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autoCompressPictures="0" defaultThemeVersion="124226"/>
  <mc:AlternateContent xmlns:mc="http://schemas.openxmlformats.org/markup-compatibility/2006">
    <mc:Choice Requires="x15">
      <x15ac:absPath xmlns:x15ac="http://schemas.microsoft.com/office/spreadsheetml/2010/11/ac" url="C:\Users\leine\Documents\QUINIELA-VENECA\MUNDIAL 2026\"/>
    </mc:Choice>
  </mc:AlternateContent>
  <xr:revisionPtr revIDLastSave="0" documentId="13_ncr:1_{2E165DD0-22E9-49DC-A3E3-B65DC50831C7}" xr6:coauthVersionLast="47" xr6:coauthVersionMax="47" xr10:uidLastSave="{00000000-0000-0000-0000-000000000000}"/>
  <bookViews>
    <workbookView xWindow="-108" yWindow="-108" windowWidth="23256" windowHeight="12456" tabRatio="749" firstSheet="1" activeTab="5" xr2:uid="{00000000-000D-0000-FFFF-FFFF00000000}"/>
  </bookViews>
  <sheets>
    <sheet name="Home" sheetId="30" r:id="rId1"/>
    <sheet name="ADMIN" sheetId="46" r:id="rId2"/>
    <sheet name="WORLDCUP" sheetId="3" r:id="rId3"/>
    <sheet name="CLAS" sheetId="47" r:id="rId4"/>
    <sheet name="DailyPrediction" sheetId="48" r:id="rId5"/>
    <sheet name="DailyClas" sheetId="50" r:id="rId6"/>
    <sheet name="Idiomas" sheetId="36" state="hidden" r:id="rId7"/>
    <sheet name="Fixture" sheetId="45" r:id="rId8"/>
    <sheet name="Stats" sheetId="51" r:id="rId9"/>
    <sheet name="x2" sheetId="53" r:id="rId10"/>
    <sheet name="Credits" sheetId="34" state="hidden" r:id="rId11"/>
    <sheet name="Equipos" sheetId="6" state="hidden" r:id="rId12"/>
    <sheet name="Horarios" sheetId="32" state="hidden" r:id="rId13"/>
    <sheet name="Combinaciones3" sheetId="40" state="hidden" r:id="rId14"/>
    <sheet name="Graf" sheetId="52" state="hidden" r:id="rId15"/>
  </sheets>
  <definedNames>
    <definedName name="_xlnm._FilterDatabase" localSheetId="13" hidden="1">Combinaciones3!$N$1:$W$496</definedName>
    <definedName name="_xlnm._FilterDatabase" localSheetId="12" hidden="1">Horarios!$Q$2:$Q$50</definedName>
    <definedName name="_xlnm._FilterDatabase" localSheetId="2"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INDEX(ADMIN!$S$1:$LF$5,1,1):INDEX(ADMIN!$S$1:$LF$5,5,ADMIN!$D$5*3)</definedName>
    <definedName name="Rango_Admin_Clas_Primera">INDEX(ADMIN!$S$1:$LF$1,1,1):INDEX(ADMIN!$S$1:$LF$1,1,ADMIN!$D$5*3)</definedName>
    <definedName name="Rango_Admin_Clas_Total">INDEX(ADMIN!$S$1:$LF$300,1,1):INDEX(ADMIN!$S$1:$LF$300,300,ADMIN!$D$5*3)</definedName>
    <definedName name="Rango_Admin_DailyClas">INDEX(ADMIN!$S$269:$LF$273,1,1):INDEX(ADMIN!$S$269:$LF$273,5,ADMIN!$D$5*3)</definedName>
    <definedName name="Rango_Admin_DailyClas_Primera">INDEX(ADMIN!$S$269:$LF$269,1,1):INDEX(ADMIN!$S$269:$LF$269,1,ADMIN!$D$5*3)</definedName>
    <definedName name="Rango_Admin_DailyPred">INDEX(ADMIN!$K$5:$LF$300,1,1):INDEX(ADMIN!$K$5:$LF$300,296,ADMIN!$D$5*3+8)</definedName>
    <definedName name="Rango_Admin_DailyPred_Primera">INDEX(ADMIN!$K$5:$LF$300,1,1):INDEX(ADMIN!$K$5:$LF$300,1,ADMIN!$D$5*3+8)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W253" i="46" l="1"/>
  <c r="DW244" i="46"/>
  <c r="DW232" i="46"/>
  <c r="DW220" i="46"/>
  <c r="DW200" i="46"/>
  <c r="DW164" i="46"/>
  <c r="DW54" i="46"/>
  <c r="DW30" i="46"/>
  <c r="DW6" i="46"/>
  <c r="DW5" i="46"/>
  <c r="DU7" i="46"/>
  <c r="DU6" i="46"/>
  <c r="DZ253" i="46"/>
  <c r="DZ244" i="46"/>
  <c r="DZ232" i="46"/>
  <c r="DZ220" i="46"/>
  <c r="DZ200" i="46"/>
  <c r="DZ164" i="46"/>
  <c r="DZ54" i="46"/>
  <c r="DZ30" i="46"/>
  <c r="DZ6" i="46"/>
  <c r="DZ5" i="46"/>
  <c r="DN253" i="46"/>
  <c r="DN244" i="46"/>
  <c r="DN232" i="46"/>
  <c r="DN220" i="46"/>
  <c r="DN200" i="46"/>
  <c r="DN164" i="46"/>
  <c r="DN54" i="46"/>
  <c r="DN30" i="46"/>
  <c r="F4" i="48" l="1" a="1"/>
  <c r="F4" i="48" s="1"/>
  <c r="LD253" i="46" l="1"/>
  <c r="LA253" i="46"/>
  <c r="KX253" i="46"/>
  <c r="KU253" i="46"/>
  <c r="KR253" i="46"/>
  <c r="KO253" i="46"/>
  <c r="KL253" i="46"/>
  <c r="KI253" i="46"/>
  <c r="KF253" i="46"/>
  <c r="KC253" i="46"/>
  <c r="JZ253" i="46"/>
  <c r="JW253" i="46"/>
  <c r="JT253" i="46"/>
  <c r="JQ253" i="46"/>
  <c r="JN253" i="46"/>
  <c r="JK253" i="46"/>
  <c r="JH253" i="46"/>
  <c r="JE253" i="46"/>
  <c r="JB253" i="46"/>
  <c r="IY253" i="46"/>
  <c r="IV253" i="46"/>
  <c r="IS253" i="46"/>
  <c r="IP253" i="46"/>
  <c r="IM253" i="46"/>
  <c r="IJ253" i="46"/>
  <c r="LD244" i="46"/>
  <c r="LA244" i="46"/>
  <c r="KX244" i="46"/>
  <c r="KU244" i="46"/>
  <c r="KR244" i="46"/>
  <c r="KO244" i="46"/>
  <c r="KL244" i="46"/>
  <c r="KI244" i="46"/>
  <c r="KF244" i="46"/>
  <c r="KC244" i="46"/>
  <c r="JZ244" i="46"/>
  <c r="JW244" i="46"/>
  <c r="JT244" i="46"/>
  <c r="JQ244" i="46"/>
  <c r="JN244" i="46"/>
  <c r="JK244" i="46"/>
  <c r="JH244" i="46"/>
  <c r="JE244" i="46"/>
  <c r="JB244" i="46"/>
  <c r="IY244" i="46"/>
  <c r="IV244" i="46"/>
  <c r="IS244" i="46"/>
  <c r="IP244" i="46"/>
  <c r="IM244" i="46"/>
  <c r="IJ244" i="46"/>
  <c r="LD232" i="46"/>
  <c r="LA232" i="46"/>
  <c r="KX232" i="46"/>
  <c r="KU232" i="46"/>
  <c r="KR232" i="46"/>
  <c r="KO232" i="46"/>
  <c r="KL232" i="46"/>
  <c r="KI232" i="46"/>
  <c r="KF232" i="46"/>
  <c r="KC232" i="46"/>
  <c r="JZ232" i="46"/>
  <c r="JW232" i="46"/>
  <c r="JT232" i="46"/>
  <c r="JQ232" i="46"/>
  <c r="JN232" i="46"/>
  <c r="JK232" i="46"/>
  <c r="JH232" i="46"/>
  <c r="JE232" i="46"/>
  <c r="JB232" i="46"/>
  <c r="IY232" i="46"/>
  <c r="IV232" i="46"/>
  <c r="IS232" i="46"/>
  <c r="IP232" i="46"/>
  <c r="IM232" i="46"/>
  <c r="IJ232" i="46"/>
  <c r="LD220" i="46"/>
  <c r="LA220" i="46"/>
  <c r="KX220" i="46"/>
  <c r="KU220" i="46"/>
  <c r="KR220" i="46"/>
  <c r="KO220" i="46"/>
  <c r="KL220" i="46"/>
  <c r="KI220" i="46"/>
  <c r="KF220" i="46"/>
  <c r="KC220" i="46"/>
  <c r="JZ220" i="46"/>
  <c r="JW220" i="46"/>
  <c r="JT220" i="46"/>
  <c r="JQ220" i="46"/>
  <c r="JN220" i="46"/>
  <c r="JK220" i="46"/>
  <c r="JH220" i="46"/>
  <c r="JE220" i="46"/>
  <c r="JB220" i="46"/>
  <c r="IY220" i="46"/>
  <c r="IV220" i="46"/>
  <c r="IS220" i="46"/>
  <c r="IP220" i="46"/>
  <c r="IM220" i="46"/>
  <c r="IJ220" i="46"/>
  <c r="LD200" i="46"/>
  <c r="LA200" i="46"/>
  <c r="KX200" i="46"/>
  <c r="KU200" i="46"/>
  <c r="KR200" i="46"/>
  <c r="KO200" i="46"/>
  <c r="KL200" i="46"/>
  <c r="KI200" i="46"/>
  <c r="KF200" i="46"/>
  <c r="KC200" i="46"/>
  <c r="JZ200" i="46"/>
  <c r="JW200" i="46"/>
  <c r="JT200" i="46"/>
  <c r="JQ200" i="46"/>
  <c r="JN200" i="46"/>
  <c r="JK200" i="46"/>
  <c r="JH200" i="46"/>
  <c r="JE200" i="46"/>
  <c r="JB200" i="46"/>
  <c r="IY200" i="46"/>
  <c r="IV200" i="46"/>
  <c r="IS200" i="46"/>
  <c r="IP200" i="46"/>
  <c r="IM200" i="46"/>
  <c r="IJ200" i="46"/>
  <c r="LD164" i="46"/>
  <c r="LA164" i="46"/>
  <c r="KX164" i="46"/>
  <c r="KU164" i="46"/>
  <c r="KR164" i="46"/>
  <c r="KO164" i="46"/>
  <c r="KL164" i="46"/>
  <c r="KI164" i="46"/>
  <c r="KF164" i="46"/>
  <c r="KC164" i="46"/>
  <c r="JZ164" i="46"/>
  <c r="JW164" i="46"/>
  <c r="JT164" i="46"/>
  <c r="JQ164" i="46"/>
  <c r="JN164" i="46"/>
  <c r="JK164" i="46"/>
  <c r="JH164" i="46"/>
  <c r="JE164" i="46"/>
  <c r="JB164" i="46"/>
  <c r="IY164" i="46"/>
  <c r="IV164" i="46"/>
  <c r="IS164" i="46"/>
  <c r="IP164" i="46"/>
  <c r="IM164" i="46"/>
  <c r="IJ164" i="46"/>
  <c r="LD54" i="46"/>
  <c r="LA54" i="46"/>
  <c r="KX54" i="46"/>
  <c r="KU54" i="46"/>
  <c r="KR54" i="46"/>
  <c r="KO54" i="46"/>
  <c r="KL54" i="46"/>
  <c r="KI54" i="46"/>
  <c r="KF54" i="46"/>
  <c r="KC54" i="46"/>
  <c r="JZ54" i="46"/>
  <c r="JW54" i="46"/>
  <c r="JT54" i="46"/>
  <c r="JQ54" i="46"/>
  <c r="JN54" i="46"/>
  <c r="JK54" i="46"/>
  <c r="JH54" i="46"/>
  <c r="JE54" i="46"/>
  <c r="JB54" i="46"/>
  <c r="IY54" i="46"/>
  <c r="IV54" i="46"/>
  <c r="IS54" i="46"/>
  <c r="IP54" i="46"/>
  <c r="IM54" i="46"/>
  <c r="IJ54" i="46"/>
  <c r="LD30" i="46"/>
  <c r="LA30" i="46"/>
  <c r="KX30" i="46"/>
  <c r="KU30" i="46"/>
  <c r="KR30" i="46"/>
  <c r="KO30" i="46"/>
  <c r="KL30" i="46"/>
  <c r="KI30" i="46"/>
  <c r="KF30" i="46"/>
  <c r="KC30" i="46"/>
  <c r="JZ30" i="46"/>
  <c r="JW30" i="46"/>
  <c r="JT30" i="46"/>
  <c r="JQ30" i="46"/>
  <c r="JN30" i="46"/>
  <c r="JK30" i="46"/>
  <c r="JH30" i="46"/>
  <c r="JE30" i="46"/>
  <c r="JB30" i="46"/>
  <c r="IY30" i="46"/>
  <c r="IV30" i="46"/>
  <c r="IS30" i="46"/>
  <c r="IP30" i="46"/>
  <c r="IM30" i="46"/>
  <c r="IJ30" i="46"/>
  <c r="LD6" i="46"/>
  <c r="LA6" i="46"/>
  <c r="KX6" i="46"/>
  <c r="KU6" i="46"/>
  <c r="KR6" i="46"/>
  <c r="KO6" i="46"/>
  <c r="KL6" i="46"/>
  <c r="KI6" i="46"/>
  <c r="KF6" i="46"/>
  <c r="KC6" i="46"/>
  <c r="JZ6" i="46"/>
  <c r="JW6" i="46"/>
  <c r="JT6" i="46"/>
  <c r="JQ6" i="46"/>
  <c r="JN6" i="46"/>
  <c r="JK6" i="46"/>
  <c r="JH6" i="46"/>
  <c r="JE6" i="46"/>
  <c r="JB6" i="46"/>
  <c r="IY6" i="46"/>
  <c r="IV6" i="46"/>
  <c r="IS6" i="46"/>
  <c r="IP6" i="46"/>
  <c r="IM6" i="46"/>
  <c r="IJ6" i="46"/>
  <c r="LD5" i="46"/>
  <c r="LD273" i="46" s="1"/>
  <c r="LA5" i="46"/>
  <c r="LA273" i="46" s="1"/>
  <c r="KX5" i="46"/>
  <c r="KX273" i="46" s="1"/>
  <c r="KU5" i="46"/>
  <c r="KU273" i="46" s="1"/>
  <c r="KR5" i="46"/>
  <c r="KR273" i="46" s="1"/>
  <c r="KO5" i="46"/>
  <c r="KO273" i="46" s="1"/>
  <c r="KL5" i="46"/>
  <c r="KL273" i="46" s="1"/>
  <c r="KI5" i="46"/>
  <c r="KI273" i="46" s="1"/>
  <c r="KF5" i="46"/>
  <c r="KF273" i="46" s="1"/>
  <c r="KC5" i="46"/>
  <c r="KC273" i="46" s="1"/>
  <c r="JZ5" i="46"/>
  <c r="JZ273" i="46" s="1"/>
  <c r="JW5" i="46"/>
  <c r="JW273" i="46" s="1"/>
  <c r="JT5" i="46"/>
  <c r="JT273" i="46" s="1"/>
  <c r="JQ5" i="46"/>
  <c r="JQ273" i="46" s="1"/>
  <c r="JN5" i="46"/>
  <c r="JN273" i="46" s="1"/>
  <c r="JK5" i="46"/>
  <c r="JK273" i="46" s="1"/>
  <c r="JH5" i="46"/>
  <c r="JH273" i="46" s="1"/>
  <c r="JE5" i="46"/>
  <c r="JE273" i="46" s="1"/>
  <c r="JB5" i="46"/>
  <c r="JB273" i="46" s="1"/>
  <c r="IY5" i="46"/>
  <c r="IY273" i="46" s="1"/>
  <c r="IV5" i="46"/>
  <c r="IV273" i="46" s="1"/>
  <c r="IS5" i="46"/>
  <c r="IS273" i="46" s="1"/>
  <c r="IP5" i="46"/>
  <c r="IP273" i="46" s="1"/>
  <c r="IM5" i="46"/>
  <c r="IM273" i="46" s="1"/>
  <c r="IJ5" i="46"/>
  <c r="IJ273" i="46" s="1"/>
  <c r="IG253" i="46"/>
  <c r="ID253" i="46"/>
  <c r="IA253" i="46"/>
  <c r="HX253" i="46"/>
  <c r="HU253" i="46"/>
  <c r="HR253" i="46"/>
  <c r="HO253" i="46"/>
  <c r="HL253" i="46"/>
  <c r="HI253" i="46"/>
  <c r="HF253" i="46"/>
  <c r="HC253" i="46"/>
  <c r="GZ253" i="46"/>
  <c r="GW253" i="46"/>
  <c r="GT253" i="46"/>
  <c r="GQ253" i="46"/>
  <c r="GN253" i="46"/>
  <c r="GK253" i="46"/>
  <c r="GH253" i="46"/>
  <c r="GE253" i="46"/>
  <c r="GB253" i="46"/>
  <c r="FY253" i="46"/>
  <c r="FV253" i="46"/>
  <c r="FS253" i="46"/>
  <c r="FP253" i="46"/>
  <c r="FM253" i="46"/>
  <c r="IG244" i="46"/>
  <c r="ID244" i="46"/>
  <c r="IA244" i="46"/>
  <c r="HX244" i="46"/>
  <c r="HU244" i="46"/>
  <c r="HR244" i="46"/>
  <c r="HO244" i="46"/>
  <c r="HL244" i="46"/>
  <c r="HI244" i="46"/>
  <c r="HF244" i="46"/>
  <c r="HC244" i="46"/>
  <c r="GZ244" i="46"/>
  <c r="GW244" i="46"/>
  <c r="GT244" i="46"/>
  <c r="GQ244" i="46"/>
  <c r="GN244" i="46"/>
  <c r="GK244" i="46"/>
  <c r="GH244" i="46"/>
  <c r="GE244" i="46"/>
  <c r="GB244" i="46"/>
  <c r="FY244" i="46"/>
  <c r="FV244" i="46"/>
  <c r="FS244" i="46"/>
  <c r="FP244" i="46"/>
  <c r="FM244" i="46"/>
  <c r="IG232" i="46"/>
  <c r="ID232" i="46"/>
  <c r="IA232" i="46"/>
  <c r="HX232" i="46"/>
  <c r="HU232" i="46"/>
  <c r="HR232" i="46"/>
  <c r="HO232" i="46"/>
  <c r="HL232" i="46"/>
  <c r="HI232" i="46"/>
  <c r="HF232" i="46"/>
  <c r="HC232" i="46"/>
  <c r="GZ232" i="46"/>
  <c r="GW232" i="46"/>
  <c r="GT232" i="46"/>
  <c r="GQ232" i="46"/>
  <c r="GN232" i="46"/>
  <c r="GK232" i="46"/>
  <c r="GH232" i="46"/>
  <c r="GE232" i="46"/>
  <c r="GB232" i="46"/>
  <c r="FY232" i="46"/>
  <c r="FV232" i="46"/>
  <c r="FS232" i="46"/>
  <c r="FP232" i="46"/>
  <c r="FM232" i="46"/>
  <c r="IG220" i="46"/>
  <c r="ID220" i="46"/>
  <c r="IA220" i="46"/>
  <c r="HX220" i="46"/>
  <c r="HU220" i="46"/>
  <c r="HR220" i="46"/>
  <c r="HO220" i="46"/>
  <c r="HL220" i="46"/>
  <c r="HI220" i="46"/>
  <c r="HF220" i="46"/>
  <c r="HC220" i="46"/>
  <c r="GZ220" i="46"/>
  <c r="GW220" i="46"/>
  <c r="GT220" i="46"/>
  <c r="GQ220" i="46"/>
  <c r="GN220" i="46"/>
  <c r="GK220" i="46"/>
  <c r="GH220" i="46"/>
  <c r="GE220" i="46"/>
  <c r="GB220" i="46"/>
  <c r="FY220" i="46"/>
  <c r="FV220" i="46"/>
  <c r="FS220" i="46"/>
  <c r="FP220" i="46"/>
  <c r="FM220" i="46"/>
  <c r="IG200" i="46"/>
  <c r="ID200" i="46"/>
  <c r="IA200" i="46"/>
  <c r="HX200" i="46"/>
  <c r="HU200" i="46"/>
  <c r="HR200" i="46"/>
  <c r="HO200" i="46"/>
  <c r="HL200" i="46"/>
  <c r="HI200" i="46"/>
  <c r="HF200" i="46"/>
  <c r="HC200" i="46"/>
  <c r="GZ200" i="46"/>
  <c r="GW200" i="46"/>
  <c r="GT200" i="46"/>
  <c r="GQ200" i="46"/>
  <c r="GN200" i="46"/>
  <c r="GK200" i="46"/>
  <c r="GH200" i="46"/>
  <c r="GE200" i="46"/>
  <c r="GB200" i="46"/>
  <c r="FY200" i="46"/>
  <c r="FV200" i="46"/>
  <c r="FS200" i="46"/>
  <c r="FP200" i="46"/>
  <c r="FM200" i="46"/>
  <c r="IG164" i="46"/>
  <c r="ID164" i="46"/>
  <c r="IA164" i="46"/>
  <c r="HX164" i="46"/>
  <c r="HU164" i="46"/>
  <c r="HR164" i="46"/>
  <c r="HO164" i="46"/>
  <c r="HL164" i="46"/>
  <c r="HI164" i="46"/>
  <c r="HF164" i="46"/>
  <c r="HC164" i="46"/>
  <c r="GZ164" i="46"/>
  <c r="GW164" i="46"/>
  <c r="GT164" i="46"/>
  <c r="GQ164" i="46"/>
  <c r="GN164" i="46"/>
  <c r="GK164" i="46"/>
  <c r="GH164" i="46"/>
  <c r="GE164" i="46"/>
  <c r="GB164" i="46"/>
  <c r="FY164" i="46"/>
  <c r="FV164" i="46"/>
  <c r="FS164" i="46"/>
  <c r="FP164" i="46"/>
  <c r="FM164" i="46"/>
  <c r="IG54" i="46"/>
  <c r="ID54" i="46"/>
  <c r="IA54" i="46"/>
  <c r="HX54" i="46"/>
  <c r="HU54" i="46"/>
  <c r="HR54" i="46"/>
  <c r="HO54" i="46"/>
  <c r="HL54" i="46"/>
  <c r="HI54" i="46"/>
  <c r="HF54" i="46"/>
  <c r="HC54" i="46"/>
  <c r="GZ54" i="46"/>
  <c r="GW54" i="46"/>
  <c r="GT54" i="46"/>
  <c r="GQ54" i="46"/>
  <c r="GN54" i="46"/>
  <c r="GK54" i="46"/>
  <c r="GH54" i="46"/>
  <c r="GE54" i="46"/>
  <c r="GB54" i="46"/>
  <c r="FY54" i="46"/>
  <c r="FV54" i="46"/>
  <c r="FS54" i="46"/>
  <c r="FP54" i="46"/>
  <c r="FM54" i="46"/>
  <c r="IG30" i="46"/>
  <c r="ID30" i="46"/>
  <c r="IA30" i="46"/>
  <c r="HX30" i="46"/>
  <c r="HU30" i="46"/>
  <c r="HR30" i="46"/>
  <c r="HO30" i="46"/>
  <c r="HL30" i="46"/>
  <c r="HI30" i="46"/>
  <c r="HF30" i="46"/>
  <c r="HC30" i="46"/>
  <c r="GZ30" i="46"/>
  <c r="GW30" i="46"/>
  <c r="GT30" i="46"/>
  <c r="GQ30" i="46"/>
  <c r="GN30" i="46"/>
  <c r="GK30" i="46"/>
  <c r="GH30" i="46"/>
  <c r="GE30" i="46"/>
  <c r="GB30" i="46"/>
  <c r="FY30" i="46"/>
  <c r="FV30" i="46"/>
  <c r="FS30" i="46"/>
  <c r="FP30" i="46"/>
  <c r="FM30" i="46"/>
  <c r="IG6" i="46"/>
  <c r="ID6" i="46"/>
  <c r="IA6" i="46"/>
  <c r="HX6" i="46"/>
  <c r="HU6" i="46"/>
  <c r="HR6" i="46"/>
  <c r="HO6" i="46"/>
  <c r="HL6" i="46"/>
  <c r="HI6" i="46"/>
  <c r="HF6" i="46"/>
  <c r="HC6" i="46"/>
  <c r="GZ6" i="46"/>
  <c r="GW6" i="46"/>
  <c r="GT6" i="46"/>
  <c r="GQ6" i="46"/>
  <c r="GN6" i="46"/>
  <c r="GK6" i="46"/>
  <c r="GH6" i="46"/>
  <c r="GE6" i="46"/>
  <c r="GB6" i="46"/>
  <c r="FY6" i="46"/>
  <c r="FV6" i="46"/>
  <c r="FS6" i="46"/>
  <c r="FP6" i="46"/>
  <c r="FM6" i="46"/>
  <c r="IG5" i="46"/>
  <c r="IG273" i="46" s="1"/>
  <c r="ID5" i="46"/>
  <c r="ID273" i="46" s="1"/>
  <c r="IA5" i="46"/>
  <c r="IA273" i="46" s="1"/>
  <c r="HX5" i="46"/>
  <c r="HX273" i="46" s="1"/>
  <c r="HU5" i="46"/>
  <c r="HU273" i="46" s="1"/>
  <c r="HR5" i="46"/>
  <c r="HR273" i="46" s="1"/>
  <c r="HO5" i="46"/>
  <c r="HO273" i="46" s="1"/>
  <c r="HL5" i="46"/>
  <c r="HL273" i="46" s="1"/>
  <c r="HI5" i="46"/>
  <c r="HI273" i="46" s="1"/>
  <c r="HF5" i="46"/>
  <c r="HF273" i="46" s="1"/>
  <c r="HC5" i="46"/>
  <c r="HC273" i="46" s="1"/>
  <c r="GZ5" i="46"/>
  <c r="GZ273" i="46" s="1"/>
  <c r="GW5" i="46"/>
  <c r="GW273" i="46" s="1"/>
  <c r="GT5" i="46"/>
  <c r="GT273" i="46" s="1"/>
  <c r="GQ5" i="46"/>
  <c r="GQ273" i="46" s="1"/>
  <c r="GN5" i="46"/>
  <c r="GN273" i="46" s="1"/>
  <c r="GK5" i="46"/>
  <c r="GK273" i="46" s="1"/>
  <c r="GH5" i="46"/>
  <c r="GH273" i="46" s="1"/>
  <c r="GE5" i="46"/>
  <c r="GE273" i="46" s="1"/>
  <c r="GB5" i="46"/>
  <c r="GB273" i="46" s="1"/>
  <c r="FY5" i="46"/>
  <c r="FY273" i="46" s="1"/>
  <c r="FV5" i="46"/>
  <c r="FV273" i="46" s="1"/>
  <c r="FS5" i="46"/>
  <c r="FS273" i="46" s="1"/>
  <c r="FP5" i="46"/>
  <c r="FP273" i="46" s="1"/>
  <c r="FM5" i="46"/>
  <c r="FM273" i="46" s="1"/>
  <c r="FJ253" i="46"/>
  <c r="FG253" i="46"/>
  <c r="FD253" i="46"/>
  <c r="FA253" i="46"/>
  <c r="EX253" i="46"/>
  <c r="EU253" i="46"/>
  <c r="ER253" i="46"/>
  <c r="EO253" i="46"/>
  <c r="EL253" i="46"/>
  <c r="EI253" i="46"/>
  <c r="EF253" i="46"/>
  <c r="EC253" i="46"/>
  <c r="FJ244" i="46"/>
  <c r="FG244" i="46"/>
  <c r="FD244" i="46"/>
  <c r="FA244" i="46"/>
  <c r="EX244" i="46"/>
  <c r="EU244" i="46"/>
  <c r="ER244" i="46"/>
  <c r="EO244" i="46"/>
  <c r="EL244" i="46"/>
  <c r="EI244" i="46"/>
  <c r="EF244" i="46"/>
  <c r="EC244" i="46"/>
  <c r="FJ232" i="46"/>
  <c r="FG232" i="46"/>
  <c r="FD232" i="46"/>
  <c r="FA232" i="46"/>
  <c r="EX232" i="46"/>
  <c r="EU232" i="46"/>
  <c r="ER232" i="46"/>
  <c r="EO232" i="46"/>
  <c r="EL232" i="46"/>
  <c r="EI232" i="46"/>
  <c r="EF232" i="46"/>
  <c r="EC232" i="46"/>
  <c r="FJ220" i="46"/>
  <c r="FG220" i="46"/>
  <c r="FD220" i="46"/>
  <c r="FA220" i="46"/>
  <c r="EX220" i="46"/>
  <c r="EU220" i="46"/>
  <c r="ER220" i="46"/>
  <c r="EO220" i="46"/>
  <c r="EL220" i="46"/>
  <c r="EI220" i="46"/>
  <c r="EF220" i="46"/>
  <c r="EC220" i="46"/>
  <c r="FJ200" i="46"/>
  <c r="FG200" i="46"/>
  <c r="FD200" i="46"/>
  <c r="FA200" i="46"/>
  <c r="EX200" i="46"/>
  <c r="EU200" i="46"/>
  <c r="ER200" i="46"/>
  <c r="EO200" i="46"/>
  <c r="EL200" i="46"/>
  <c r="EI200" i="46"/>
  <c r="EF200" i="46"/>
  <c r="EC200" i="46"/>
  <c r="FJ164" i="46"/>
  <c r="FG164" i="46"/>
  <c r="FD164" i="46"/>
  <c r="FA164" i="46"/>
  <c r="EX164" i="46"/>
  <c r="EU164" i="46"/>
  <c r="ER164" i="46"/>
  <c r="EO164" i="46"/>
  <c r="EL164" i="46"/>
  <c r="EI164" i="46"/>
  <c r="EF164" i="46"/>
  <c r="EC164" i="46"/>
  <c r="FJ54" i="46"/>
  <c r="FG54" i="46"/>
  <c r="FD54" i="46"/>
  <c r="FA54" i="46"/>
  <c r="EX54" i="46"/>
  <c r="EU54" i="46"/>
  <c r="ER54" i="46"/>
  <c r="EO54" i="46"/>
  <c r="EL54" i="46"/>
  <c r="EI54" i="46"/>
  <c r="EF54" i="46"/>
  <c r="EC54" i="46"/>
  <c r="FJ30" i="46"/>
  <c r="FG30" i="46"/>
  <c r="FD30" i="46"/>
  <c r="FA30" i="46"/>
  <c r="EX30" i="46"/>
  <c r="EU30" i="46"/>
  <c r="ER30" i="46"/>
  <c r="EO30" i="46"/>
  <c r="EL30" i="46"/>
  <c r="EI30" i="46"/>
  <c r="EF30" i="46"/>
  <c r="EC30" i="46"/>
  <c r="FJ6" i="46"/>
  <c r="FG6" i="46"/>
  <c r="FD6" i="46"/>
  <c r="FA6" i="46"/>
  <c r="EX6" i="46"/>
  <c r="EU6" i="46"/>
  <c r="ER6" i="46"/>
  <c r="EO6" i="46"/>
  <c r="EL6" i="46"/>
  <c r="EI6" i="46"/>
  <c r="EF6" i="46"/>
  <c r="EC6" i="46"/>
  <c r="FJ5" i="46"/>
  <c r="FJ273" i="46" s="1"/>
  <c r="FG5" i="46"/>
  <c r="FG273" i="46" s="1"/>
  <c r="FD5" i="46"/>
  <c r="FD273" i="46" s="1"/>
  <c r="FA5" i="46"/>
  <c r="FA273" i="46" s="1"/>
  <c r="EX5" i="46"/>
  <c r="EX273" i="46" s="1"/>
  <c r="EU5" i="46"/>
  <c r="EU273" i="46" s="1"/>
  <c r="ER5" i="46"/>
  <c r="ER273" i="46" s="1"/>
  <c r="EO5" i="46"/>
  <c r="EO273" i="46" s="1"/>
  <c r="EL5" i="46"/>
  <c r="EL273" i="46" s="1"/>
  <c r="EI5" i="46"/>
  <c r="EI273" i="46" s="1"/>
  <c r="EF5" i="46"/>
  <c r="EF273" i="46" s="1"/>
  <c r="EC5" i="46"/>
  <c r="EC273" i="46" s="1"/>
  <c r="DZ273" i="46"/>
  <c r="DW273" i="46"/>
  <c r="DT273" i="46"/>
  <c r="DQ273" i="46"/>
  <c r="DN273" i="46"/>
  <c r="DK273" i="46"/>
  <c r="DH273" i="46"/>
  <c r="DE273" i="46"/>
  <c r="DB273" i="46"/>
  <c r="CY273" i="46"/>
  <c r="CV273" i="46"/>
  <c r="CS273" i="46"/>
  <c r="CP273" i="46"/>
  <c r="CM273" i="46"/>
  <c r="CJ273" i="46"/>
  <c r="CG273" i="46"/>
  <c r="CD273" i="46"/>
  <c r="CA273" i="46"/>
  <c r="BX273" i="46"/>
  <c r="BU273" i="46"/>
  <c r="BR273" i="46"/>
  <c r="BO273" i="46"/>
  <c r="BL273" i="46"/>
  <c r="BI273" i="46"/>
  <c r="BF273" i="46"/>
  <c r="BC273" i="46"/>
  <c r="AZ273" i="46"/>
  <c r="AW273" i="46"/>
  <c r="AT273" i="46"/>
  <c r="AQ273" i="46"/>
  <c r="AN273" i="46"/>
  <c r="AK273" i="46"/>
  <c r="AH273" i="46"/>
  <c r="A5" i="47"/>
  <c r="J5" i="46"/>
  <c r="A52" i="47" l="1"/>
  <c r="A6" i="47"/>
  <c r="A7" i="47"/>
  <c r="A8" i="47"/>
  <c r="A9" i="47"/>
  <c r="A10" i="47"/>
  <c r="A11" i="47"/>
  <c r="A12" i="47"/>
  <c r="A13" i="47"/>
  <c r="A14" i="47"/>
  <c r="A15" i="47"/>
  <c r="A16" i="47"/>
  <c r="A17" i="47"/>
  <c r="A18" i="47"/>
  <c r="A19" i="47"/>
  <c r="A20" i="47"/>
  <c r="A21" i="47"/>
  <c r="A22" i="47"/>
  <c r="A23" i="47"/>
  <c r="A24" i="47"/>
  <c r="A25" i="47"/>
  <c r="A26" i="47"/>
  <c r="A27" i="47"/>
  <c r="A28" i="47"/>
  <c r="A29" i="47"/>
  <c r="A30" i="47"/>
  <c r="A31" i="47"/>
  <c r="A32" i="47"/>
  <c r="A33" i="47"/>
  <c r="A34" i="47"/>
  <c r="A35" i="47"/>
  <c r="A36" i="47"/>
  <c r="A37" i="47"/>
  <c r="A38" i="47"/>
  <c r="A39" i="47"/>
  <c r="A40" i="47"/>
  <c r="A41" i="47"/>
  <c r="A42" i="47"/>
  <c r="A43" i="47"/>
  <c r="A44" i="47"/>
  <c r="A45" i="47"/>
  <c r="A46" i="47"/>
  <c r="A47" i="47"/>
  <c r="A48" i="47"/>
  <c r="A49" i="47"/>
  <c r="A50" i="47"/>
  <c r="A51" i="47"/>
  <c r="AG89" i="3"/>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F5" i="48" s="1" a="1"/>
  <c r="F5" i="48" s="1"/>
  <c r="D4" i="3"/>
  <c r="D166" i="46"/>
  <c r="B166" i="46"/>
  <c r="A166" i="46"/>
  <c r="E166" i="46" s="1"/>
  <c r="L166" i="46"/>
  <c r="N166" i="46"/>
  <c r="O166" i="46"/>
  <c r="L202" i="46"/>
  <c r="L203" i="46"/>
  <c r="L204" i="46"/>
  <c r="M204" i="46" s="1"/>
  <c r="L205" i="46"/>
  <c r="L206" i="46"/>
  <c r="L207" i="46"/>
  <c r="M207" i="46" s="1"/>
  <c r="I1" i="50"/>
  <c r="M268"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7" i="46" s="1"/>
  <c r="Q32" i="6"/>
  <c r="Q26" i="6"/>
  <c r="L247" i="46"/>
  <c r="M247" i="46" s="1"/>
  <c r="L244" i="46"/>
  <c r="L233" i="46"/>
  <c r="L232" i="46"/>
  <c r="M232" i="46" s="1"/>
  <c r="L223" i="46"/>
  <c r="L222" i="46"/>
  <c r="L221" i="46"/>
  <c r="M221" i="46" s="1"/>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Q202" i="46" s="1"/>
  <c r="A202" i="46"/>
  <c r="E202" i="46" s="1"/>
  <c r="B201" i="46"/>
  <c r="A201" i="46"/>
  <c r="E201" i="46" s="1"/>
  <c r="B200" i="46"/>
  <c r="A200" i="46"/>
  <c r="O207" i="46"/>
  <c r="N207" i="46"/>
  <c r="O206" i="46"/>
  <c r="N206" i="46"/>
  <c r="P206" i="46" s="1"/>
  <c r="O205" i="46"/>
  <c r="N205" i="46"/>
  <c r="O204" i="46"/>
  <c r="N204" i="46"/>
  <c r="O203" i="46"/>
  <c r="N203" i="46"/>
  <c r="O202" i="46"/>
  <c r="N202" i="46"/>
  <c r="O201" i="46"/>
  <c r="N201" i="46"/>
  <c r="O200" i="46"/>
  <c r="N200" i="46"/>
  <c r="N29" i="46"/>
  <c r="P29" i="46"/>
  <c r="O9" i="46"/>
  <c r="O10" i="46"/>
  <c r="O11" i="46"/>
  <c r="O12" i="46"/>
  <c r="O13" i="46"/>
  <c r="Q13" i="46" s="1"/>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Q26" i="46" s="1"/>
  <c r="P27" i="46"/>
  <c r="P30" i="46"/>
  <c r="N9" i="46"/>
  <c r="N10" i="46"/>
  <c r="N11" i="46"/>
  <c r="N12" i="46"/>
  <c r="N13" i="46"/>
  <c r="M13" i="46" s="1"/>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Q62" i="46" s="1"/>
  <c r="P61" i="46"/>
  <c r="O61" i="46"/>
  <c r="P60" i="46"/>
  <c r="O60" i="46"/>
  <c r="Q60" i="46" s="1"/>
  <c r="P59" i="46"/>
  <c r="O59" i="46"/>
  <c r="P58" i="46"/>
  <c r="O58" i="46"/>
  <c r="Q58" i="46" s="1"/>
  <c r="P57" i="46"/>
  <c r="O57" i="46"/>
  <c r="P56" i="46"/>
  <c r="O56" i="46"/>
  <c r="M56" i="46" s="1"/>
  <c r="P55" i="46"/>
  <c r="O55" i="46"/>
  <c r="P53" i="46"/>
  <c r="O53" i="46"/>
  <c r="Q53" i="46" s="1"/>
  <c r="O52" i="46"/>
  <c r="P51" i="46"/>
  <c r="O51" i="46"/>
  <c r="P50" i="46"/>
  <c r="O50" i="46"/>
  <c r="P49" i="46"/>
  <c r="O49" i="46"/>
  <c r="P48" i="46"/>
  <c r="O48" i="46"/>
  <c r="P47" i="46"/>
  <c r="O47" i="46"/>
  <c r="P46" i="46"/>
  <c r="O46" i="46"/>
  <c r="P45" i="46"/>
  <c r="O45" i="46"/>
  <c r="Q45" i="46" s="1"/>
  <c r="P44" i="46"/>
  <c r="O44" i="46"/>
  <c r="P43" i="46"/>
  <c r="O43" i="46"/>
  <c r="P42" i="46"/>
  <c r="O42" i="46"/>
  <c r="P41" i="46"/>
  <c r="O41" i="46"/>
  <c r="P40" i="46"/>
  <c r="O40" i="46"/>
  <c r="P39" i="46"/>
  <c r="O39" i="46"/>
  <c r="P38" i="46"/>
  <c r="O38" i="46"/>
  <c r="P37" i="46"/>
  <c r="O37" i="46"/>
  <c r="P36" i="46"/>
  <c r="O36" i="46"/>
  <c r="P35" i="46"/>
  <c r="O35" i="46"/>
  <c r="P34" i="46"/>
  <c r="O34" i="46"/>
  <c r="P33" i="46"/>
  <c r="M33" i="46" s="1"/>
  <c r="O33" i="46"/>
  <c r="P32" i="46"/>
  <c r="O32" i="46"/>
  <c r="P31" i="46"/>
  <c r="O31" i="46"/>
  <c r="F233" i="46"/>
  <c r="F232" i="46"/>
  <c r="D50" i="3"/>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73" i="46"/>
  <c r="AB273" i="46"/>
  <c r="Y273"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D109" i="36"/>
  <c r="L42" i="34" s="1"/>
  <c r="D108" i="36"/>
  <c r="L41" i="34" s="1"/>
  <c r="D106" i="36"/>
  <c r="L38" i="34" s="1"/>
  <c r="D99" i="36"/>
  <c r="L23" i="34" s="1"/>
  <c r="D88" i="36"/>
  <c r="D90" i="36"/>
  <c r="M66" i="46"/>
  <c r="E222" i="46"/>
  <c r="E207" i="46"/>
  <c r="C39" i="46"/>
  <c r="M37" i="46"/>
  <c r="E179" i="46"/>
  <c r="E247" i="46"/>
  <c r="E206" i="46"/>
  <c r="D266" i="36"/>
  <c r="L2" i="32" s="1"/>
  <c r="D365" i="36"/>
  <c r="D364" i="36"/>
  <c r="D263" i="36"/>
  <c r="C60" i="46" s="1"/>
  <c r="D46" i="36"/>
  <c r="AA160" i="3" s="1"/>
  <c r="D369" i="36"/>
  <c r="D137" i="36"/>
  <c r="H152" i="46" s="1"/>
  <c r="M74" i="46"/>
  <c r="M72" i="46"/>
  <c r="M43" i="46"/>
  <c r="M16" i="46"/>
  <c r="M65" i="46"/>
  <c r="E221" i="46"/>
  <c r="E233" i="46"/>
  <c r="M61" i="46"/>
  <c r="M45" i="46"/>
  <c r="M69" i="46"/>
  <c r="M29" i="46"/>
  <c r="M49" i="46"/>
  <c r="M77" i="46"/>
  <c r="M57" i="46"/>
  <c r="E223" i="46"/>
  <c r="M26" i="46"/>
  <c r="M36" i="46"/>
  <c r="M50" i="46"/>
  <c r="Q47" i="46"/>
  <c r="M47" i="46"/>
  <c r="M62" i="46"/>
  <c r="M11" i="46"/>
  <c r="M44" i="46"/>
  <c r="M53" i="46"/>
  <c r="M14" i="46"/>
  <c r="M17" i="46"/>
  <c r="S273" i="46"/>
  <c r="Q9" i="46" l="1"/>
  <c r="P202" i="46"/>
  <c r="Q223" i="46"/>
  <c r="Q21" i="46"/>
  <c r="AC53" i="46"/>
  <c r="Z53" i="46"/>
  <c r="W53" i="46"/>
  <c r="T53" i="46"/>
  <c r="JF53" i="46"/>
  <c r="HV53" i="46"/>
  <c r="CW53" i="46"/>
  <c r="CQ53" i="46"/>
  <c r="CT53" i="46"/>
  <c r="FH53" i="46"/>
  <c r="DO53" i="46"/>
  <c r="DL53" i="46"/>
  <c r="CZ53" i="46"/>
  <c r="DC53" i="46"/>
  <c r="CE53" i="46"/>
  <c r="CB53" i="46"/>
  <c r="DU53" i="46"/>
  <c r="BV53" i="46"/>
  <c r="DR53" i="46"/>
  <c r="BS53" i="46"/>
  <c r="BP53" i="46"/>
  <c r="BM53" i="46"/>
  <c r="CN53" i="46"/>
  <c r="CK53" i="46"/>
  <c r="BG53" i="46"/>
  <c r="AU53" i="46"/>
  <c r="BA53" i="46"/>
  <c r="AL53" i="46"/>
  <c r="BJ53" i="46"/>
  <c r="AI53" i="46"/>
  <c r="BD53" i="46"/>
  <c r="AR53" i="46"/>
  <c r="CH53" i="46"/>
  <c r="AO53" i="46"/>
  <c r="BY53" i="46"/>
  <c r="AX53" i="46"/>
  <c r="T44" i="46"/>
  <c r="Z44" i="46"/>
  <c r="W44" i="46"/>
  <c r="AC44" i="46"/>
  <c r="LB44" i="46"/>
  <c r="FQ44" i="46"/>
  <c r="DL44" i="46"/>
  <c r="DR44" i="46"/>
  <c r="DC44" i="46"/>
  <c r="CZ44" i="46"/>
  <c r="CW44" i="46"/>
  <c r="CT44" i="46"/>
  <c r="DU44" i="46"/>
  <c r="DO44" i="46"/>
  <c r="BA44" i="46"/>
  <c r="CN44" i="46"/>
  <c r="AX44" i="46"/>
  <c r="CK44" i="46"/>
  <c r="BY44" i="46"/>
  <c r="CH44" i="46"/>
  <c r="BV44" i="46"/>
  <c r="CE44" i="46"/>
  <c r="BS44" i="46"/>
  <c r="BM44" i="46"/>
  <c r="AU44" i="46"/>
  <c r="CQ44" i="46"/>
  <c r="BP44" i="46"/>
  <c r="AR44" i="46"/>
  <c r="AO44" i="46"/>
  <c r="BG44" i="46"/>
  <c r="AI44" i="46"/>
  <c r="CB44" i="46"/>
  <c r="BD44" i="46"/>
  <c r="AL44" i="46"/>
  <c r="BJ44" i="46"/>
  <c r="T11" i="46"/>
  <c r="W11" i="46"/>
  <c r="AC11" i="46"/>
  <c r="CW11" i="46"/>
  <c r="CT11" i="46"/>
  <c r="DR11" i="46"/>
  <c r="CE11" i="46"/>
  <c r="DL11" i="46"/>
  <c r="DC11" i="46"/>
  <c r="AL11" i="46"/>
  <c r="BJ11" i="46"/>
  <c r="BG11" i="46"/>
  <c r="BD11" i="46"/>
  <c r="BS11" i="46"/>
  <c r="BM11" i="46"/>
  <c r="BV11" i="46"/>
  <c r="AX11" i="46"/>
  <c r="DO11" i="46"/>
  <c r="AU11" i="46"/>
  <c r="AR11" i="46"/>
  <c r="BA11" i="46"/>
  <c r="AC20" i="46"/>
  <c r="Z20" i="46"/>
  <c r="W20" i="46"/>
  <c r="T20" i="46"/>
  <c r="DU20" i="46"/>
  <c r="DR20" i="46"/>
  <c r="DO20" i="46"/>
  <c r="DL20" i="46"/>
  <c r="CN20" i="46"/>
  <c r="CZ20" i="46"/>
  <c r="CE20" i="46"/>
  <c r="BA20" i="46"/>
  <c r="AX20" i="46"/>
  <c r="BY20" i="46"/>
  <c r="BV20" i="46"/>
  <c r="BS20" i="46"/>
  <c r="BM20" i="46"/>
  <c r="FB20" i="46"/>
  <c r="CQ20" i="46"/>
  <c r="CH20" i="46"/>
  <c r="DC20" i="46"/>
  <c r="CW20" i="46"/>
  <c r="CT20" i="46"/>
  <c r="CK20" i="46"/>
  <c r="CB20" i="46"/>
  <c r="BG20" i="46"/>
  <c r="AR20" i="46"/>
  <c r="AL20" i="46"/>
  <c r="BD20" i="46"/>
  <c r="BP20" i="46"/>
  <c r="AU20" i="46"/>
  <c r="AO20" i="46"/>
  <c r="AI20" i="46"/>
  <c r="BJ20" i="46"/>
  <c r="T50" i="46"/>
  <c r="W50" i="46"/>
  <c r="AC50" i="46"/>
  <c r="Z50" i="46"/>
  <c r="IK50" i="46"/>
  <c r="DU50" i="46"/>
  <c r="DR50" i="46"/>
  <c r="DO50" i="46"/>
  <c r="CN50" i="46"/>
  <c r="CT50" i="46"/>
  <c r="DC50" i="46"/>
  <c r="CK50" i="46"/>
  <c r="CZ50" i="46"/>
  <c r="CH50" i="46"/>
  <c r="AU50" i="46"/>
  <c r="AO50" i="46"/>
  <c r="CW50" i="46"/>
  <c r="CE50" i="46"/>
  <c r="AR50" i="46"/>
  <c r="CQ50" i="46"/>
  <c r="CB50" i="46"/>
  <c r="BY50" i="46"/>
  <c r="BJ50" i="46"/>
  <c r="AL50" i="46"/>
  <c r="BA50" i="46"/>
  <c r="BS50" i="46"/>
  <c r="BG50" i="46"/>
  <c r="AI50" i="46"/>
  <c r="BD50" i="46"/>
  <c r="BV50" i="46"/>
  <c r="AX50" i="46"/>
  <c r="BP50" i="46"/>
  <c r="BM50" i="46"/>
  <c r="DL50" i="46"/>
  <c r="W75" i="46"/>
  <c r="AC75" i="46"/>
  <c r="T75" i="46"/>
  <c r="Z75" i="46"/>
  <c r="DC75" i="46"/>
  <c r="CT75" i="46"/>
  <c r="DR75" i="46"/>
  <c r="CZ75" i="46"/>
  <c r="CN75" i="46"/>
  <c r="CW75" i="46"/>
  <c r="CK75" i="46"/>
  <c r="CQ75" i="46"/>
  <c r="CH75" i="46"/>
  <c r="CE75" i="46"/>
  <c r="DO75" i="46"/>
  <c r="DL75" i="46"/>
  <c r="AL75" i="46"/>
  <c r="AI75" i="46"/>
  <c r="BJ75" i="46"/>
  <c r="GC75" i="46"/>
  <c r="BG75" i="46"/>
  <c r="BD75" i="46"/>
  <c r="BY75" i="46"/>
  <c r="BP75" i="46"/>
  <c r="BV75" i="46"/>
  <c r="BS75" i="46"/>
  <c r="BM75" i="46"/>
  <c r="CB75" i="46"/>
  <c r="AX75" i="46"/>
  <c r="BA75" i="46"/>
  <c r="DU75" i="46"/>
  <c r="AU75" i="46"/>
  <c r="AR75" i="46"/>
  <c r="AO75" i="46"/>
  <c r="AC33" i="46"/>
  <c r="W33" i="46"/>
  <c r="Z33" i="46"/>
  <c r="T33" i="46"/>
  <c r="KY33" i="46"/>
  <c r="FZ33" i="46"/>
  <c r="DC33" i="46"/>
  <c r="CT33" i="46"/>
  <c r="CW33" i="46"/>
  <c r="CQ33" i="46"/>
  <c r="BP33" i="46"/>
  <c r="BM33" i="46"/>
  <c r="DU33" i="46"/>
  <c r="DL33" i="46"/>
  <c r="CZ33" i="46"/>
  <c r="AU33" i="46"/>
  <c r="AR33" i="46"/>
  <c r="CN33" i="46"/>
  <c r="CK33" i="46"/>
  <c r="CE33" i="46"/>
  <c r="CH33" i="46"/>
  <c r="AO33" i="46"/>
  <c r="CB33" i="46"/>
  <c r="BG33" i="46"/>
  <c r="AI33" i="46"/>
  <c r="BD33" i="46"/>
  <c r="BV33" i="46"/>
  <c r="AL33" i="46"/>
  <c r="BS33" i="46"/>
  <c r="DR33" i="46"/>
  <c r="DO33" i="46"/>
  <c r="BA33" i="46"/>
  <c r="BJ33" i="46"/>
  <c r="AX33" i="46"/>
  <c r="BY33" i="46"/>
  <c r="W65" i="46"/>
  <c r="AC65" i="46"/>
  <c r="T65" i="46"/>
  <c r="Z65" i="46"/>
  <c r="DU65" i="46"/>
  <c r="DR65" i="46"/>
  <c r="DL65" i="46"/>
  <c r="DO65" i="46"/>
  <c r="CH65" i="46"/>
  <c r="CE65" i="46"/>
  <c r="CB65" i="46"/>
  <c r="DC65" i="46"/>
  <c r="BV65" i="46"/>
  <c r="CZ65" i="46"/>
  <c r="CT65" i="46"/>
  <c r="BM65" i="46"/>
  <c r="AR65" i="46"/>
  <c r="AU65" i="46"/>
  <c r="BY65" i="46"/>
  <c r="AO65" i="46"/>
  <c r="BS65" i="46"/>
  <c r="BP65" i="46"/>
  <c r="BG65" i="46"/>
  <c r="AI65" i="46"/>
  <c r="BD65" i="46"/>
  <c r="CK65" i="46"/>
  <c r="AL65" i="46"/>
  <c r="CQ65" i="46"/>
  <c r="CN65" i="46"/>
  <c r="CW65" i="46"/>
  <c r="BA65" i="46"/>
  <c r="AX65" i="46"/>
  <c r="BJ65" i="46"/>
  <c r="AC26" i="46"/>
  <c r="Z26" i="46"/>
  <c r="W26" i="46"/>
  <c r="T26" i="46"/>
  <c r="GI26" i="46"/>
  <c r="KV26" i="46"/>
  <c r="DL26" i="46"/>
  <c r="CW26" i="46"/>
  <c r="DU26" i="46"/>
  <c r="DO26" i="46"/>
  <c r="CN26" i="46"/>
  <c r="IK26" i="46"/>
  <c r="CE26" i="46"/>
  <c r="CB26" i="46"/>
  <c r="AU26" i="46"/>
  <c r="AR26" i="46"/>
  <c r="AO26" i="46"/>
  <c r="DR26" i="46"/>
  <c r="DC26" i="46"/>
  <c r="CT26" i="46"/>
  <c r="BY26" i="46"/>
  <c r="BG26" i="46"/>
  <c r="BM26" i="46"/>
  <c r="BD26" i="46"/>
  <c r="BJ26" i="46"/>
  <c r="CH26" i="46"/>
  <c r="BV26" i="46"/>
  <c r="AX26" i="46"/>
  <c r="BS26" i="46"/>
  <c r="AL26" i="46"/>
  <c r="CK26" i="46"/>
  <c r="BA26" i="46"/>
  <c r="BP26" i="46"/>
  <c r="CQ26" i="46"/>
  <c r="AI26" i="46"/>
  <c r="CZ26" i="46"/>
  <c r="Z21" i="46"/>
  <c r="W21" i="46"/>
  <c r="T21" i="46"/>
  <c r="AC21" i="46"/>
  <c r="JO21" i="46"/>
  <c r="KG21" i="46"/>
  <c r="DU21" i="46"/>
  <c r="DL21" i="46"/>
  <c r="DR21" i="46"/>
  <c r="DO21" i="46"/>
  <c r="CE21" i="46"/>
  <c r="CB21" i="46"/>
  <c r="CZ21" i="46"/>
  <c r="BP21" i="46"/>
  <c r="BM21" i="46"/>
  <c r="DC21" i="46"/>
  <c r="CW21" i="46"/>
  <c r="CT21" i="46"/>
  <c r="CN21" i="46"/>
  <c r="CH21" i="46"/>
  <c r="CK21" i="46"/>
  <c r="BY21" i="46"/>
  <c r="BG21" i="46"/>
  <c r="CQ21" i="46"/>
  <c r="AU21" i="46"/>
  <c r="BA21" i="46"/>
  <c r="AR21" i="46"/>
  <c r="BS21" i="46"/>
  <c r="AO21" i="46"/>
  <c r="AX21" i="46"/>
  <c r="AL21" i="46"/>
  <c r="AI21" i="46"/>
  <c r="BV21" i="46"/>
  <c r="BJ21" i="46"/>
  <c r="BD21" i="46"/>
  <c r="Z37" i="46"/>
  <c r="W37" i="46"/>
  <c r="AC37" i="46"/>
  <c r="T37" i="46"/>
  <c r="DC37" i="46"/>
  <c r="CT37" i="46"/>
  <c r="CZ37" i="46"/>
  <c r="CE37" i="46"/>
  <c r="CW37" i="46"/>
  <c r="CB37" i="46"/>
  <c r="CQ37" i="46"/>
  <c r="BP37" i="46"/>
  <c r="BM37" i="46"/>
  <c r="CN37" i="46"/>
  <c r="CK37" i="46"/>
  <c r="CH37" i="46"/>
  <c r="DR37" i="46"/>
  <c r="DO37" i="46"/>
  <c r="BS37" i="46"/>
  <c r="BY37" i="46"/>
  <c r="BV37" i="46"/>
  <c r="BG37" i="46"/>
  <c r="DU37" i="46"/>
  <c r="BA37" i="46"/>
  <c r="DL37" i="46"/>
  <c r="BD37" i="46"/>
  <c r="AX37" i="46"/>
  <c r="AU37" i="46"/>
  <c r="AR37" i="46"/>
  <c r="AI37" i="46"/>
  <c r="BJ37" i="46"/>
  <c r="AO37" i="46"/>
  <c r="AL37" i="46"/>
  <c r="AC47" i="46"/>
  <c r="Z47" i="46"/>
  <c r="W47" i="46"/>
  <c r="T47" i="46"/>
  <c r="JC47" i="46"/>
  <c r="CW47" i="46"/>
  <c r="CT47" i="46"/>
  <c r="CQ47" i="46"/>
  <c r="CN47" i="46"/>
  <c r="CK47" i="46"/>
  <c r="CH47" i="46"/>
  <c r="DU47" i="46"/>
  <c r="CE47" i="46"/>
  <c r="DO47" i="46"/>
  <c r="BM47" i="46"/>
  <c r="CB47" i="46"/>
  <c r="DR47" i="46"/>
  <c r="DC47" i="46"/>
  <c r="CZ47" i="46"/>
  <c r="AL47" i="46"/>
  <c r="AI47" i="46"/>
  <c r="DL47" i="46"/>
  <c r="BJ47" i="46"/>
  <c r="BG47" i="46"/>
  <c r="BD47" i="46"/>
  <c r="BV47" i="46"/>
  <c r="BP47" i="46"/>
  <c r="BY47" i="46"/>
  <c r="AU47" i="46"/>
  <c r="AR47" i="46"/>
  <c r="AO47" i="46"/>
  <c r="BA47" i="46"/>
  <c r="AX47" i="46"/>
  <c r="BS47" i="46"/>
  <c r="AC66" i="46"/>
  <c r="Z66" i="46"/>
  <c r="T66" i="46"/>
  <c r="W66" i="46"/>
  <c r="DU66" i="46"/>
  <c r="DR66" i="46"/>
  <c r="DL66" i="46"/>
  <c r="BY66" i="46"/>
  <c r="BS66" i="46"/>
  <c r="CN66" i="46"/>
  <c r="DO66" i="46"/>
  <c r="CW66" i="46"/>
  <c r="DC66" i="46"/>
  <c r="CZ66" i="46"/>
  <c r="CT66" i="46"/>
  <c r="CH66" i="46"/>
  <c r="AO66" i="46"/>
  <c r="AU66" i="46"/>
  <c r="AR66" i="46"/>
  <c r="CQ66" i="46"/>
  <c r="BP66" i="46"/>
  <c r="BA66" i="46"/>
  <c r="BJ66" i="46"/>
  <c r="AL66" i="46"/>
  <c r="BM66" i="46"/>
  <c r="BG66" i="46"/>
  <c r="AI66" i="46"/>
  <c r="BV66" i="46"/>
  <c r="BD66" i="46"/>
  <c r="AX66" i="46"/>
  <c r="CE66" i="46"/>
  <c r="CB66" i="46"/>
  <c r="CK66" i="46"/>
  <c r="AC16" i="46"/>
  <c r="Z16" i="46"/>
  <c r="W16" i="46"/>
  <c r="T16" i="46"/>
  <c r="DU16" i="46"/>
  <c r="DR16" i="46"/>
  <c r="DO16" i="46"/>
  <c r="CE16" i="46"/>
  <c r="CB16" i="46"/>
  <c r="DL16" i="46"/>
  <c r="CZ16" i="46"/>
  <c r="CQ16" i="46"/>
  <c r="BA16" i="46"/>
  <c r="AX16" i="46"/>
  <c r="BY16" i="46"/>
  <c r="BV16" i="46"/>
  <c r="BS16" i="46"/>
  <c r="CN16" i="46"/>
  <c r="BM16" i="46"/>
  <c r="BP16" i="46"/>
  <c r="CT16" i="46"/>
  <c r="BG16" i="46"/>
  <c r="CH16" i="46"/>
  <c r="AU16" i="46"/>
  <c r="AR16" i="46"/>
  <c r="AI16" i="46"/>
  <c r="BD16" i="46"/>
  <c r="AO16" i="46"/>
  <c r="CW16" i="46"/>
  <c r="AL16" i="46"/>
  <c r="DC16" i="46"/>
  <c r="BJ16" i="46"/>
  <c r="CK16" i="46"/>
  <c r="AC36" i="46"/>
  <c r="Z36" i="46"/>
  <c r="T36" i="46"/>
  <c r="W36" i="46"/>
  <c r="GL36" i="46"/>
  <c r="DU36" i="46"/>
  <c r="DR36" i="46"/>
  <c r="CN36" i="46"/>
  <c r="EP36" i="46"/>
  <c r="CE36" i="46"/>
  <c r="CW36" i="46"/>
  <c r="BA36" i="46"/>
  <c r="CT36" i="46"/>
  <c r="AX36" i="46"/>
  <c r="CQ36" i="46"/>
  <c r="BY36" i="46"/>
  <c r="BV36" i="46"/>
  <c r="BS36" i="46"/>
  <c r="CH36" i="46"/>
  <c r="BM36" i="46"/>
  <c r="DO36" i="46"/>
  <c r="CB36" i="46"/>
  <c r="DL36" i="46"/>
  <c r="DC36" i="46"/>
  <c r="CZ36" i="46"/>
  <c r="BP36" i="46"/>
  <c r="CK36" i="46"/>
  <c r="AU36" i="46"/>
  <c r="AL36" i="46"/>
  <c r="AR36" i="46"/>
  <c r="AO36" i="46"/>
  <c r="AI36" i="46"/>
  <c r="BJ36" i="46"/>
  <c r="BG36" i="46"/>
  <c r="BD36" i="46"/>
  <c r="AC43" i="46"/>
  <c r="Z43" i="46"/>
  <c r="T43" i="46"/>
  <c r="W43" i="46"/>
  <c r="CZ43" i="46"/>
  <c r="CN43" i="46"/>
  <c r="CW43" i="46"/>
  <c r="CK43" i="46"/>
  <c r="CT43" i="46"/>
  <c r="CH43" i="46"/>
  <c r="CQ43" i="46"/>
  <c r="CE43" i="46"/>
  <c r="AL43" i="46"/>
  <c r="AI43" i="46"/>
  <c r="BJ43" i="46"/>
  <c r="BG43" i="46"/>
  <c r="BD43" i="46"/>
  <c r="CB43" i="46"/>
  <c r="BS43" i="46"/>
  <c r="DR43" i="46"/>
  <c r="BY43" i="46"/>
  <c r="BP43" i="46"/>
  <c r="DU43" i="46"/>
  <c r="BV43" i="46"/>
  <c r="DO43" i="46"/>
  <c r="BM43" i="46"/>
  <c r="DL43" i="46"/>
  <c r="DC43" i="46"/>
  <c r="AR43" i="46"/>
  <c r="BA43" i="46"/>
  <c r="AX43" i="46"/>
  <c r="AU43" i="46"/>
  <c r="AO43" i="46"/>
  <c r="T72" i="46"/>
  <c r="AC72" i="46"/>
  <c r="Z72" i="46"/>
  <c r="W72" i="46"/>
  <c r="CT72" i="46"/>
  <c r="CQ72" i="46"/>
  <c r="DU72" i="46"/>
  <c r="DO72" i="46"/>
  <c r="DR72" i="46"/>
  <c r="DL72" i="46"/>
  <c r="CW72" i="46"/>
  <c r="CZ72" i="46"/>
  <c r="CH72" i="46"/>
  <c r="CK72" i="46"/>
  <c r="BS72" i="46"/>
  <c r="BA72" i="46"/>
  <c r="CE72" i="46"/>
  <c r="BP72" i="46"/>
  <c r="AX72" i="46"/>
  <c r="CB72" i="46"/>
  <c r="BM72" i="46"/>
  <c r="DC72" i="46"/>
  <c r="AO72" i="46"/>
  <c r="BJ72" i="46"/>
  <c r="AL72" i="46"/>
  <c r="BG72" i="46"/>
  <c r="AI72" i="46"/>
  <c r="CN72" i="46"/>
  <c r="BD72" i="46"/>
  <c r="AU72" i="46"/>
  <c r="BY72" i="46"/>
  <c r="BV72" i="46"/>
  <c r="AR72" i="46"/>
  <c r="AC74" i="46"/>
  <c r="Z74" i="46"/>
  <c r="W74" i="46"/>
  <c r="T74" i="46"/>
  <c r="DU74" i="46"/>
  <c r="DR74" i="46"/>
  <c r="EG74" i="46"/>
  <c r="DL74" i="46"/>
  <c r="BY74" i="46"/>
  <c r="BS74" i="46"/>
  <c r="CN74" i="46"/>
  <c r="DO74" i="46"/>
  <c r="CW74" i="46"/>
  <c r="CE74" i="46"/>
  <c r="CB74" i="46"/>
  <c r="DC74" i="46"/>
  <c r="AU74" i="46"/>
  <c r="AO74" i="46"/>
  <c r="AR74" i="46"/>
  <c r="BP74" i="46"/>
  <c r="CZ74" i="46"/>
  <c r="CT74" i="46"/>
  <c r="CQ74" i="46"/>
  <c r="BV74" i="46"/>
  <c r="BM74" i="46"/>
  <c r="BG74" i="46"/>
  <c r="CH74" i="46"/>
  <c r="AL74" i="46"/>
  <c r="CK74" i="46"/>
  <c r="AI74" i="46"/>
  <c r="BD74" i="46"/>
  <c r="BJ74" i="46"/>
  <c r="BA74" i="46"/>
  <c r="AX74" i="46"/>
  <c r="AC56" i="46"/>
  <c r="Z56" i="46"/>
  <c r="W56" i="46"/>
  <c r="T56" i="46"/>
  <c r="CT56" i="46"/>
  <c r="CQ56" i="46"/>
  <c r="DU56" i="46"/>
  <c r="DO56" i="46"/>
  <c r="DR56" i="46"/>
  <c r="DL56" i="46"/>
  <c r="CW56" i="46"/>
  <c r="BA56" i="46"/>
  <c r="AX56" i="46"/>
  <c r="CN56" i="46"/>
  <c r="CH56" i="46"/>
  <c r="DC56" i="46"/>
  <c r="BS56" i="46"/>
  <c r="CZ56" i="46"/>
  <c r="AO56" i="46"/>
  <c r="AL56" i="46"/>
  <c r="BJ56" i="46"/>
  <c r="BG56" i="46"/>
  <c r="AI56" i="46"/>
  <c r="BD56" i="46"/>
  <c r="CK56" i="46"/>
  <c r="CE56" i="46"/>
  <c r="CB56" i="46"/>
  <c r="BY56" i="46"/>
  <c r="BV56" i="46"/>
  <c r="AU56" i="46"/>
  <c r="BM56" i="46"/>
  <c r="AR56" i="46"/>
  <c r="BP56" i="46"/>
  <c r="Q66" i="46"/>
  <c r="Q76" i="46"/>
  <c r="T58" i="46"/>
  <c r="W58" i="46"/>
  <c r="AC58" i="46"/>
  <c r="Z58" i="46"/>
  <c r="KY58" i="46"/>
  <c r="DU58" i="46"/>
  <c r="DR58" i="46"/>
  <c r="FN58" i="46"/>
  <c r="DL58" i="46"/>
  <c r="BY58" i="46"/>
  <c r="BS58" i="46"/>
  <c r="CN58" i="46"/>
  <c r="CW58" i="46"/>
  <c r="CZ58" i="46"/>
  <c r="CE58" i="46"/>
  <c r="CT58" i="46"/>
  <c r="CB58" i="46"/>
  <c r="CQ58" i="46"/>
  <c r="CH58" i="46"/>
  <c r="BP58" i="46"/>
  <c r="AO58" i="46"/>
  <c r="BM58" i="46"/>
  <c r="AU58" i="46"/>
  <c r="AR58" i="46"/>
  <c r="BV58" i="46"/>
  <c r="CK58" i="46"/>
  <c r="BG58" i="46"/>
  <c r="DO58" i="46"/>
  <c r="AI58" i="46"/>
  <c r="BA58" i="46"/>
  <c r="BD58" i="46"/>
  <c r="BJ58" i="46"/>
  <c r="DC58" i="46"/>
  <c r="AX58" i="46"/>
  <c r="AL58" i="46"/>
  <c r="Q179" i="46"/>
  <c r="AC13" i="46"/>
  <c r="Z13" i="46"/>
  <c r="W13" i="46"/>
  <c r="T13" i="46"/>
  <c r="DU13" i="46"/>
  <c r="DL13" i="46"/>
  <c r="DR13" i="46"/>
  <c r="DO13" i="46"/>
  <c r="CZ13" i="46"/>
  <c r="BP13" i="46"/>
  <c r="BM13" i="46"/>
  <c r="DC13" i="46"/>
  <c r="CT13" i="46"/>
  <c r="CN13" i="46"/>
  <c r="AO13" i="46"/>
  <c r="AL13" i="46"/>
  <c r="BJ13" i="46"/>
  <c r="BG13" i="46"/>
  <c r="AI13" i="46"/>
  <c r="BA13" i="46"/>
  <c r="CW13" i="46"/>
  <c r="BD13" i="46"/>
  <c r="AX13" i="46"/>
  <c r="CQ13" i="46"/>
  <c r="CB13" i="46"/>
  <c r="BS13" i="46"/>
  <c r="CE13" i="46"/>
  <c r="BV13" i="46"/>
  <c r="CH13" i="46"/>
  <c r="BY13" i="46"/>
  <c r="AU13" i="46"/>
  <c r="AR13" i="46"/>
  <c r="CK13" i="46"/>
  <c r="Z63" i="46"/>
  <c r="AC63" i="46"/>
  <c r="T63" i="46"/>
  <c r="W63" i="46"/>
  <c r="DC63" i="46"/>
  <c r="CT63" i="46"/>
  <c r="DX63" i="46"/>
  <c r="DR63" i="46"/>
  <c r="CZ63" i="46"/>
  <c r="CN63" i="46"/>
  <c r="CW63" i="46"/>
  <c r="CK63" i="46"/>
  <c r="CQ63" i="46"/>
  <c r="CH63" i="46"/>
  <c r="CE63" i="46"/>
  <c r="CB63" i="46"/>
  <c r="DU63" i="46"/>
  <c r="BP63" i="46"/>
  <c r="AL63" i="46"/>
  <c r="AI63" i="46"/>
  <c r="BM63" i="46"/>
  <c r="DO63" i="46"/>
  <c r="BJ63" i="46"/>
  <c r="DL63" i="46"/>
  <c r="BG63" i="46"/>
  <c r="BD63" i="46"/>
  <c r="BY63" i="46"/>
  <c r="BV63" i="46"/>
  <c r="BS63" i="46"/>
  <c r="AU63" i="46"/>
  <c r="AX63" i="46"/>
  <c r="BA63" i="46"/>
  <c r="AR63" i="46"/>
  <c r="AO63" i="46"/>
  <c r="AC61" i="46"/>
  <c r="Z61" i="46"/>
  <c r="W61" i="46"/>
  <c r="T61" i="46"/>
  <c r="DU61" i="46"/>
  <c r="DR61" i="46"/>
  <c r="DL61" i="46"/>
  <c r="DC61" i="46"/>
  <c r="CH61" i="46"/>
  <c r="BV61" i="46"/>
  <c r="CN61" i="46"/>
  <c r="BM61" i="46"/>
  <c r="CK61" i="46"/>
  <c r="CB61" i="46"/>
  <c r="AO61" i="46"/>
  <c r="BJ61" i="46"/>
  <c r="AL61" i="46"/>
  <c r="DO61" i="46"/>
  <c r="BG61" i="46"/>
  <c r="AI61" i="46"/>
  <c r="CZ61" i="46"/>
  <c r="BD61" i="46"/>
  <c r="CW61" i="46"/>
  <c r="BA61" i="46"/>
  <c r="CT61" i="46"/>
  <c r="AX61" i="46"/>
  <c r="CQ61" i="46"/>
  <c r="BP61" i="46"/>
  <c r="BY61" i="46"/>
  <c r="AU61" i="46"/>
  <c r="BS61" i="46"/>
  <c r="CE61" i="46"/>
  <c r="AR61" i="46"/>
  <c r="T62" i="46"/>
  <c r="W62" i="46"/>
  <c r="AC62" i="46"/>
  <c r="Z62" i="46"/>
  <c r="DU62" i="46"/>
  <c r="DR62" i="46"/>
  <c r="DL62" i="46"/>
  <c r="BY62" i="46"/>
  <c r="BS62" i="46"/>
  <c r="CN62" i="46"/>
  <c r="CW62" i="46"/>
  <c r="DC62" i="46"/>
  <c r="CZ62" i="46"/>
  <c r="CT62" i="46"/>
  <c r="CQ62" i="46"/>
  <c r="CE62" i="46"/>
  <c r="BV62" i="46"/>
  <c r="AU62" i="46"/>
  <c r="AO62" i="46"/>
  <c r="BP62" i="46"/>
  <c r="AR62" i="46"/>
  <c r="BM62" i="46"/>
  <c r="CK62" i="46"/>
  <c r="DO62" i="46"/>
  <c r="AX62" i="46"/>
  <c r="BA62" i="46"/>
  <c r="BG62" i="46"/>
  <c r="CH62" i="46"/>
  <c r="BD62" i="46"/>
  <c r="AI62" i="46"/>
  <c r="CB62" i="46"/>
  <c r="KY62" i="46"/>
  <c r="AL62" i="46"/>
  <c r="BJ62" i="46"/>
  <c r="T52" i="46"/>
  <c r="AC52" i="46"/>
  <c r="W52" i="46"/>
  <c r="Z52" i="46"/>
  <c r="KD52" i="46"/>
  <c r="FQ52" i="46"/>
  <c r="DL52" i="46"/>
  <c r="CZ52" i="46"/>
  <c r="CW52" i="46"/>
  <c r="IT52" i="46"/>
  <c r="CT52" i="46"/>
  <c r="CQ52" i="46"/>
  <c r="DC52" i="46"/>
  <c r="DU52" i="46"/>
  <c r="CN52" i="46"/>
  <c r="CE52" i="46"/>
  <c r="BA52" i="46"/>
  <c r="AX52" i="46"/>
  <c r="BY52" i="46"/>
  <c r="DO52" i="46"/>
  <c r="BS52" i="46"/>
  <c r="BP52" i="46"/>
  <c r="BM52" i="46"/>
  <c r="DR52" i="46"/>
  <c r="CK52" i="46"/>
  <c r="BV52" i="46"/>
  <c r="BG52" i="46"/>
  <c r="BD52" i="46"/>
  <c r="AU52" i="46"/>
  <c r="AO52" i="46"/>
  <c r="AL52" i="46"/>
  <c r="AR52" i="46"/>
  <c r="CH52" i="46"/>
  <c r="CB52" i="46"/>
  <c r="AI52" i="46"/>
  <c r="BJ52" i="46"/>
  <c r="T77" i="46"/>
  <c r="Z77" i="46"/>
  <c r="W77" i="46"/>
  <c r="AC77" i="46"/>
  <c r="JX77" i="46"/>
  <c r="HV77" i="46"/>
  <c r="GU77" i="46"/>
  <c r="IW77" i="46"/>
  <c r="HD77" i="46"/>
  <c r="HA77" i="46"/>
  <c r="DU77" i="46"/>
  <c r="DR77" i="46"/>
  <c r="DL77" i="46"/>
  <c r="CW77" i="46"/>
  <c r="DO77" i="46"/>
  <c r="BS77" i="46"/>
  <c r="DC77" i="46"/>
  <c r="CZ77" i="46"/>
  <c r="CQ77" i="46"/>
  <c r="CH77" i="46"/>
  <c r="BM77" i="46"/>
  <c r="CT77" i="46"/>
  <c r="CN77" i="46"/>
  <c r="CE77" i="46"/>
  <c r="AO77" i="46"/>
  <c r="BA77" i="46"/>
  <c r="BJ77" i="46"/>
  <c r="AL77" i="46"/>
  <c r="BG77" i="46"/>
  <c r="AI77" i="46"/>
  <c r="BD77" i="46"/>
  <c r="AX77" i="46"/>
  <c r="CB77" i="46"/>
  <c r="AR77" i="46"/>
  <c r="BV77" i="46"/>
  <c r="AU77" i="46"/>
  <c r="CK77" i="46"/>
  <c r="BY77" i="46"/>
  <c r="BP77" i="46"/>
  <c r="T49" i="46"/>
  <c r="AC49" i="46"/>
  <c r="W49" i="46"/>
  <c r="Z49" i="46"/>
  <c r="CW49" i="46"/>
  <c r="DU49" i="46"/>
  <c r="DO49" i="46"/>
  <c r="DR49" i="46"/>
  <c r="DL49" i="46"/>
  <c r="DC49" i="46"/>
  <c r="CQ49" i="46"/>
  <c r="BS49" i="46"/>
  <c r="BP49" i="46"/>
  <c r="BM49" i="46"/>
  <c r="CK49" i="46"/>
  <c r="CZ49" i="46"/>
  <c r="CB49" i="46"/>
  <c r="CT49" i="46"/>
  <c r="AR49" i="46"/>
  <c r="AU49" i="46"/>
  <c r="AO49" i="46"/>
  <c r="BG49" i="46"/>
  <c r="AI49" i="46"/>
  <c r="BD49" i="46"/>
  <c r="CE49" i="46"/>
  <c r="AL49" i="46"/>
  <c r="AX49" i="46"/>
  <c r="BJ49" i="46"/>
  <c r="BA49" i="46"/>
  <c r="BY49" i="46"/>
  <c r="CH49" i="46"/>
  <c r="CN49" i="46"/>
  <c r="BV49" i="46"/>
  <c r="AC29" i="46"/>
  <c r="T29" i="46"/>
  <c r="Z29" i="46"/>
  <c r="W29" i="46"/>
  <c r="DU29" i="46"/>
  <c r="DL29" i="46"/>
  <c r="DR29" i="46"/>
  <c r="DO29" i="46"/>
  <c r="CZ29" i="46"/>
  <c r="CT29" i="46"/>
  <c r="BP29" i="46"/>
  <c r="CQ29" i="46"/>
  <c r="BM29" i="46"/>
  <c r="CN29" i="46"/>
  <c r="CH29" i="46"/>
  <c r="AO29" i="46"/>
  <c r="AL29" i="46"/>
  <c r="BA29" i="46"/>
  <c r="BJ29" i="46"/>
  <c r="BG29" i="46"/>
  <c r="AI29" i="46"/>
  <c r="BD29" i="46"/>
  <c r="AX29" i="46"/>
  <c r="BY29" i="46"/>
  <c r="CE29" i="46"/>
  <c r="CB29" i="46"/>
  <c r="CW29" i="46"/>
  <c r="BV29" i="46"/>
  <c r="EP29" i="46"/>
  <c r="BS29" i="46"/>
  <c r="CK29" i="46"/>
  <c r="DC29" i="46"/>
  <c r="AR29" i="46"/>
  <c r="AU29" i="46"/>
  <c r="AC14" i="46"/>
  <c r="Z14" i="46"/>
  <c r="W14" i="46"/>
  <c r="T14" i="46"/>
  <c r="DL14" i="46"/>
  <c r="CW14" i="46"/>
  <c r="DU14" i="46"/>
  <c r="DO14" i="46"/>
  <c r="CN14" i="46"/>
  <c r="CE14" i="46"/>
  <c r="CZ14" i="46"/>
  <c r="AO14" i="46"/>
  <c r="CT14" i="46"/>
  <c r="CQ14" i="46"/>
  <c r="AU14" i="46"/>
  <c r="AR14" i="46"/>
  <c r="CK14" i="46"/>
  <c r="CH14" i="46"/>
  <c r="AX14" i="46"/>
  <c r="DR14" i="46"/>
  <c r="DC14" i="46"/>
  <c r="BY14" i="46"/>
  <c r="BA14" i="46"/>
  <c r="AI14" i="46"/>
  <c r="BS14" i="46"/>
  <c r="BM14" i="46"/>
  <c r="BV14" i="46"/>
  <c r="CB14" i="46"/>
  <c r="BP14" i="46"/>
  <c r="AL14" i="46"/>
  <c r="BJ14" i="46"/>
  <c r="BG14" i="46"/>
  <c r="BD14" i="46"/>
  <c r="T57" i="46"/>
  <c r="Z57" i="46"/>
  <c r="W57" i="46"/>
  <c r="AC57" i="46"/>
  <c r="EJ57" i="46"/>
  <c r="EG57" i="46"/>
  <c r="DU57" i="46"/>
  <c r="DR57" i="46"/>
  <c r="DL57" i="46"/>
  <c r="CN57" i="46"/>
  <c r="CE57" i="46"/>
  <c r="DC57" i="46"/>
  <c r="CZ57" i="46"/>
  <c r="CW57" i="46"/>
  <c r="CK57" i="46"/>
  <c r="CT57" i="46"/>
  <c r="CH57" i="46"/>
  <c r="BY57" i="46"/>
  <c r="CQ57" i="46"/>
  <c r="CB57" i="46"/>
  <c r="BV57" i="46"/>
  <c r="BS57" i="46"/>
  <c r="BM57" i="46"/>
  <c r="AX57" i="46"/>
  <c r="BP57" i="46"/>
  <c r="BA57" i="46"/>
  <c r="DO57" i="46"/>
  <c r="AU57" i="46"/>
  <c r="AL57" i="46"/>
  <c r="AR57" i="46"/>
  <c r="AI57" i="46"/>
  <c r="BJ57" i="46"/>
  <c r="AO57" i="46"/>
  <c r="BG57" i="46"/>
  <c r="BD57" i="46"/>
  <c r="Z41" i="46"/>
  <c r="W41" i="46"/>
  <c r="T41" i="46"/>
  <c r="AC41" i="46"/>
  <c r="DC41" i="46"/>
  <c r="CT41" i="46"/>
  <c r="DU41" i="46"/>
  <c r="DR41" i="46"/>
  <c r="DO41" i="46"/>
  <c r="CN41" i="46"/>
  <c r="DL41" i="46"/>
  <c r="CW41" i="46"/>
  <c r="CE41" i="46"/>
  <c r="BP41" i="46"/>
  <c r="BM41" i="46"/>
  <c r="CK41" i="46"/>
  <c r="CH41" i="46"/>
  <c r="AX41" i="46"/>
  <c r="CB41" i="46"/>
  <c r="BY41" i="46"/>
  <c r="BA41" i="46"/>
  <c r="BG41" i="46"/>
  <c r="AU41" i="46"/>
  <c r="AI41" i="46"/>
  <c r="BD41" i="46"/>
  <c r="AR41" i="46"/>
  <c r="AO41" i="46"/>
  <c r="BS41" i="46"/>
  <c r="AL41" i="46"/>
  <c r="CZ41" i="46"/>
  <c r="BV41" i="46"/>
  <c r="CQ41" i="46"/>
  <c r="BJ41" i="46"/>
  <c r="T69" i="46"/>
  <c r="Z69" i="46"/>
  <c r="W69" i="46"/>
  <c r="AC69" i="46"/>
  <c r="IN69" i="46"/>
  <c r="DU69" i="46"/>
  <c r="DR69" i="46"/>
  <c r="DL69" i="46"/>
  <c r="CW69" i="46"/>
  <c r="CE69" i="46"/>
  <c r="CB69" i="46"/>
  <c r="CT69" i="46"/>
  <c r="CK69" i="46"/>
  <c r="CQ69" i="46"/>
  <c r="CH69" i="46"/>
  <c r="BV69" i="46"/>
  <c r="CN69" i="46"/>
  <c r="BG69" i="46"/>
  <c r="AL69" i="46"/>
  <c r="AI69" i="46"/>
  <c r="DO69" i="46"/>
  <c r="BD69" i="46"/>
  <c r="BA69" i="46"/>
  <c r="BY69" i="46"/>
  <c r="DC69" i="46"/>
  <c r="BM69" i="46"/>
  <c r="CZ69" i="46"/>
  <c r="AX69" i="46"/>
  <c r="BJ69" i="46"/>
  <c r="AO69" i="46"/>
  <c r="AU69" i="46"/>
  <c r="AR69" i="46"/>
  <c r="BP69" i="46"/>
  <c r="BS69" i="46"/>
  <c r="Q27" i="46"/>
  <c r="Z17" i="46"/>
  <c r="T17" i="46"/>
  <c r="W17" i="46"/>
  <c r="AC17" i="46"/>
  <c r="GC17" i="46"/>
  <c r="FQ17" i="46"/>
  <c r="DU17" i="46"/>
  <c r="DL17" i="46"/>
  <c r="DR17" i="46"/>
  <c r="DO17" i="46"/>
  <c r="IH17" i="46"/>
  <c r="HG17" i="46"/>
  <c r="EY17" i="46"/>
  <c r="EV17" i="46"/>
  <c r="CZ17" i="46"/>
  <c r="BP17" i="46"/>
  <c r="CN17" i="46"/>
  <c r="BM17" i="46"/>
  <c r="CK17" i="46"/>
  <c r="CH17" i="46"/>
  <c r="CE17" i="46"/>
  <c r="CW17" i="46"/>
  <c r="DC17" i="46"/>
  <c r="CT17" i="46"/>
  <c r="AU17" i="46"/>
  <c r="AR17" i="46"/>
  <c r="CQ17" i="46"/>
  <c r="BY17" i="46"/>
  <c r="BS17" i="46"/>
  <c r="BV17" i="46"/>
  <c r="AO17" i="46"/>
  <c r="BG17" i="46"/>
  <c r="AI17" i="46"/>
  <c r="BD17" i="46"/>
  <c r="CB17" i="46"/>
  <c r="AX17" i="46"/>
  <c r="BJ17" i="46"/>
  <c r="BA17" i="46"/>
  <c r="AL17" i="46"/>
  <c r="AC45" i="46"/>
  <c r="T45" i="46"/>
  <c r="Z45" i="46"/>
  <c r="W45" i="46"/>
  <c r="KJ45" i="46"/>
  <c r="IQ45" i="46"/>
  <c r="FT45" i="46"/>
  <c r="FQ45" i="46"/>
  <c r="CW45" i="46"/>
  <c r="GX45" i="46"/>
  <c r="DU45" i="46"/>
  <c r="DR45" i="46"/>
  <c r="DO45" i="46"/>
  <c r="DL45" i="46"/>
  <c r="DC45" i="46"/>
  <c r="CZ45" i="46"/>
  <c r="CQ45" i="46"/>
  <c r="CB45" i="46"/>
  <c r="BP45" i="46"/>
  <c r="BM45" i="46"/>
  <c r="CT45" i="46"/>
  <c r="BY45" i="46"/>
  <c r="AO45" i="46"/>
  <c r="AL45" i="46"/>
  <c r="BA45" i="46"/>
  <c r="BV45" i="46"/>
  <c r="BJ45" i="46"/>
  <c r="BS45" i="46"/>
  <c r="BG45" i="46"/>
  <c r="AI45" i="46"/>
  <c r="CH45" i="46"/>
  <c r="BD45" i="46"/>
  <c r="CN45" i="46"/>
  <c r="CK45" i="46"/>
  <c r="AX45" i="46"/>
  <c r="CE45" i="46"/>
  <c r="EP45" i="46"/>
  <c r="AR45" i="46"/>
  <c r="AU45" i="46"/>
  <c r="Q39" i="46"/>
  <c r="W48" i="46"/>
  <c r="T48" i="46"/>
  <c r="Z48" i="46"/>
  <c r="AC48" i="46"/>
  <c r="KY48" i="46"/>
  <c r="KV48" i="46"/>
  <c r="IN48" i="46"/>
  <c r="DL48" i="46"/>
  <c r="GL48" i="46"/>
  <c r="DU48" i="46"/>
  <c r="DI48" i="46"/>
  <c r="FK48" i="46"/>
  <c r="CQ48" i="46"/>
  <c r="CE48" i="46"/>
  <c r="CB48" i="46"/>
  <c r="CT48" i="46"/>
  <c r="BA48" i="46"/>
  <c r="AX48" i="46"/>
  <c r="BY48" i="46"/>
  <c r="BV48" i="46"/>
  <c r="BP48" i="46"/>
  <c r="CN48" i="46"/>
  <c r="CH48" i="46"/>
  <c r="CK48" i="46"/>
  <c r="DR48" i="46"/>
  <c r="DO48" i="46"/>
  <c r="DC48" i="46"/>
  <c r="CZ48" i="46"/>
  <c r="BM48" i="46"/>
  <c r="BG48" i="46"/>
  <c r="BS48" i="46"/>
  <c r="AO48" i="46"/>
  <c r="AI48" i="46"/>
  <c r="CW48" i="46"/>
  <c r="AU48" i="46"/>
  <c r="AL48" i="46"/>
  <c r="BD48" i="46"/>
  <c r="AR48" i="46"/>
  <c r="BJ48" i="46"/>
  <c r="M7" i="46"/>
  <c r="AC7" i="46"/>
  <c r="JX7" i="46"/>
  <c r="BG7" i="46"/>
  <c r="EJ7" i="46"/>
  <c r="BD7" i="46"/>
  <c r="ED7" i="46"/>
  <c r="JL7" i="46"/>
  <c r="AU7" i="46"/>
  <c r="JI7" i="46"/>
  <c r="DI7" i="46"/>
  <c r="CH7" i="46"/>
  <c r="KY7" i="46"/>
  <c r="IQ7" i="46"/>
  <c r="GI7" i="46"/>
  <c r="KM7" i="46"/>
  <c r="FW7" i="46"/>
  <c r="IB7" i="46"/>
  <c r="KD7" i="46"/>
  <c r="FN7" i="46"/>
  <c r="ES7" i="46"/>
  <c r="BM7" i="46"/>
  <c r="KA7" i="46"/>
  <c r="E6" i="48"/>
  <c r="F6" i="48" s="1" a="1"/>
  <c r="F6" i="48" s="1"/>
  <c r="Q30" i="46"/>
  <c r="Q232" i="46"/>
  <c r="Q59" i="46"/>
  <c r="Q244" i="46"/>
  <c r="P247" i="46"/>
  <c r="Q201" i="46"/>
  <c r="Q74" i="46"/>
  <c r="Q52" i="46"/>
  <c r="Q65" i="46"/>
  <c r="FT65" i="46" s="1"/>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JF4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K150" i="46"/>
  <c r="H158" i="46"/>
  <c r="H237" i="46"/>
  <c r="K158" i="46"/>
  <c r="K153" i="46"/>
  <c r="H147" i="46"/>
  <c r="H240" i="46"/>
  <c r="H157" i="46"/>
  <c r="K156" i="46"/>
  <c r="K140" i="46"/>
  <c r="K143" i="46"/>
  <c r="H155" i="46"/>
  <c r="H135" i="46"/>
  <c r="H159" i="46"/>
  <c r="K160" i="46"/>
  <c r="K144" i="46"/>
  <c r="K139" i="46"/>
  <c r="H132" i="46"/>
  <c r="H150" i="46"/>
  <c r="H151" i="46"/>
  <c r="M254" i="46"/>
  <c r="H229" i="46"/>
  <c r="H197" i="46"/>
  <c r="H174" i="46"/>
  <c r="K182" i="46"/>
  <c r="AF75" i="3"/>
  <c r="AF67" i="3"/>
  <c r="H250" i="46"/>
  <c r="AF51" i="3"/>
  <c r="D13" i="36"/>
  <c r="K14" i="30" s="1"/>
  <c r="D432" i="36"/>
  <c r="H226" i="46"/>
  <c r="K213" i="46"/>
  <c r="AM53" i="3"/>
  <c r="H196" i="46"/>
  <c r="AF130" i="3"/>
  <c r="H222" i="46"/>
  <c r="AF142" i="3"/>
  <c r="H252" i="46"/>
  <c r="Q25" i="6"/>
  <c r="AF137" i="3"/>
  <c r="T1" i="6"/>
  <c r="C61" i="46"/>
  <c r="H177" i="46"/>
  <c r="H227" i="46"/>
  <c r="H207" i="46"/>
  <c r="H212" i="46"/>
  <c r="H156" i="46"/>
  <c r="H134" i="46"/>
  <c r="H254" i="46"/>
  <c r="H256" i="46"/>
  <c r="H141" i="46"/>
  <c r="H133" i="46"/>
  <c r="K186" i="46"/>
  <c r="K151" i="46"/>
  <c r="H220" i="46"/>
  <c r="H185" i="46"/>
  <c r="H170" i="46"/>
  <c r="H4" i="47"/>
  <c r="K190" i="46"/>
  <c r="K185" i="46"/>
  <c r="C50" i="46"/>
  <c r="K12" i="30"/>
  <c r="B34" i="34"/>
  <c r="Q36" i="46"/>
  <c r="Q40" i="46"/>
  <c r="Q44" i="46"/>
  <c r="P203" i="46"/>
  <c r="Q203" i="46"/>
  <c r="Q207" i="46"/>
  <c r="Q33" i="46"/>
  <c r="Q37" i="46"/>
  <c r="Q41" i="46"/>
  <c r="Q49" i="46"/>
  <c r="P204" i="46"/>
  <c r="M177" i="46"/>
  <c r="M169" i="46"/>
  <c r="Q55" i="46"/>
  <c r="Q247" i="46"/>
  <c r="P232" i="46"/>
  <c r="M203" i="46"/>
  <c r="E203" i="46"/>
  <c r="M202" i="46"/>
  <c r="E165" i="46"/>
  <c r="AF21" i="46"/>
  <c r="AF17" i="46"/>
  <c r="AF26" i="46"/>
  <c r="AF37" i="46"/>
  <c r="AF45" i="46"/>
  <c r="AF53" i="46"/>
  <c r="AF56" i="46"/>
  <c r="AF36" i="46"/>
  <c r="AF58" i="46"/>
  <c r="AF62" i="46"/>
  <c r="AF65" i="46"/>
  <c r="AF52" i="46"/>
  <c r="AF74" i="46"/>
  <c r="AF47" i="46"/>
  <c r="AF71" i="46"/>
  <c r="AF75" i="46"/>
  <c r="AF63" i="46"/>
  <c r="Q46" i="46"/>
  <c r="P221" i="46"/>
  <c r="Q222" i="46"/>
  <c r="Q68" i="46"/>
  <c r="Q16" i="46"/>
  <c r="AF16" i="46" s="1"/>
  <c r="Q29" i="46"/>
  <c r="HP29" i="46" s="1"/>
  <c r="Q220" i="46"/>
  <c r="Q14" i="46"/>
  <c r="Q233" i="46"/>
  <c r="Q8" i="46"/>
  <c r="P178" i="46"/>
  <c r="P174" i="46"/>
  <c r="Q173" i="46"/>
  <c r="Q169" i="46"/>
  <c r="Q50" i="46"/>
  <c r="Q70" i="46"/>
  <c r="Q71" i="46"/>
  <c r="Q23" i="46"/>
  <c r="M46" i="46"/>
  <c r="M71" i="46"/>
  <c r="M70" i="46"/>
  <c r="M23" i="46"/>
  <c r="Q22" i="46"/>
  <c r="M22" i="46"/>
  <c r="Q200" i="46"/>
  <c r="Q72" i="46"/>
  <c r="AF72" i="46" s="1"/>
  <c r="Q43" i="46"/>
  <c r="KS43" i="46" s="1"/>
  <c r="Q64" i="46"/>
  <c r="Q34" i="46"/>
  <c r="V273" i="46"/>
  <c r="M39" i="46"/>
  <c r="M28" i="46"/>
  <c r="Q28" i="46"/>
  <c r="Q12" i="46"/>
  <c r="E205" i="46"/>
  <c r="Q205" i="46"/>
  <c r="M233" i="46"/>
  <c r="P233" i="46"/>
  <c r="M244" i="46"/>
  <c r="P244" i="46"/>
  <c r="E164" i="46"/>
  <c r="Q164" i="46"/>
  <c r="E176" i="46"/>
  <c r="Q172" i="46"/>
  <c r="E168" i="46"/>
  <c r="M35" i="46"/>
  <c r="Q35" i="46"/>
  <c r="M51" i="46"/>
  <c r="Q51" i="46"/>
  <c r="Q11" i="46"/>
  <c r="DU11" i="46" s="1"/>
  <c r="M64" i="46"/>
  <c r="M25" i="46"/>
  <c r="M10" i="46"/>
  <c r="Q18" i="46"/>
  <c r="Q57" i="46"/>
  <c r="Q61" i="46"/>
  <c r="Q69" i="46"/>
  <c r="Q73" i="46"/>
  <c r="M73" i="46"/>
  <c r="M12" i="46"/>
  <c r="M24" i="46"/>
  <c r="Q171" i="46"/>
  <c r="M32" i="46"/>
  <c r="M40" i="46"/>
  <c r="Q48" i="46"/>
  <c r="M27" i="46"/>
  <c r="M19" i="46"/>
  <c r="D65" i="46"/>
  <c r="M59" i="46"/>
  <c r="M15" i="46"/>
  <c r="P170" i="46"/>
  <c r="M60" i="46"/>
  <c r="M68" i="46"/>
  <c r="M200" i="46"/>
  <c r="M76" i="46"/>
  <c r="AF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M18" i="46"/>
  <c r="M42" i="46"/>
  <c r="Q38" i="46"/>
  <c r="M34" i="46"/>
  <c r="Q32" i="46"/>
  <c r="Q31" i="46"/>
  <c r="Q25" i="46"/>
  <c r="Q24" i="46"/>
  <c r="Q20" i="46"/>
  <c r="AF20" i="46" s="1"/>
  <c r="Q19" i="46"/>
  <c r="Q15" i="46"/>
  <c r="Q10" i="46"/>
  <c r="M9" i="46"/>
  <c r="Q67" i="46"/>
  <c r="E167"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L27" i="6"/>
  <c r="M27" i="6"/>
  <c r="O237" i="36"/>
  <c r="J237" i="36" s="1"/>
  <c r="G237" i="36" s="1"/>
  <c r="D237" i="36" s="1"/>
  <c r="K27" i="6" s="1"/>
  <c r="Q42"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BY11" i="46" l="1"/>
  <c r="Z11" i="46"/>
  <c r="CB11" i="46"/>
  <c r="AI11" i="46"/>
  <c r="CZ11" i="46"/>
  <c r="CH11" i="46"/>
  <c r="CK11" i="46"/>
  <c r="CN11" i="46"/>
  <c r="CQ11" i="46"/>
  <c r="AO11" i="46"/>
  <c r="BP11" i="46"/>
  <c r="GI29" i="46"/>
  <c r="DI52" i="46"/>
  <c r="EM63" i="46"/>
  <c r="LE58" i="46"/>
  <c r="DF74" i="46"/>
  <c r="LB53" i="46"/>
  <c r="GX53" i="46"/>
  <c r="IT44" i="46"/>
  <c r="FB44" i="46"/>
  <c r="HS11" i="46"/>
  <c r="JI50" i="46"/>
  <c r="EG75" i="46"/>
  <c r="KP33" i="46"/>
  <c r="EP33" i="46"/>
  <c r="KG65" i="46"/>
  <c r="HP26" i="46"/>
  <c r="FK26" i="46"/>
  <c r="HD21" i="46"/>
  <c r="IW21" i="46"/>
  <c r="HG37" i="46"/>
  <c r="LB47" i="46"/>
  <c r="KD66" i="46"/>
  <c r="GL16" i="46"/>
  <c r="HY36" i="46"/>
  <c r="EA36" i="46"/>
  <c r="EG36" i="46"/>
  <c r="IW43" i="46"/>
  <c r="ES43" i="46"/>
  <c r="IB74" i="46"/>
  <c r="EV74" i="46"/>
  <c r="LB58" i="46"/>
  <c r="KA13" i="46"/>
  <c r="HY13" i="46"/>
  <c r="HM63" i="46"/>
  <c r="IB61" i="46"/>
  <c r="GR62" i="46"/>
  <c r="JX52" i="46"/>
  <c r="HJ52" i="46"/>
  <c r="JO77" i="46"/>
  <c r="JF14" i="46"/>
  <c r="GR14" i="46"/>
  <c r="LB57" i="46"/>
  <c r="FH57" i="46"/>
  <c r="HA41" i="46"/>
  <c r="JL69" i="46"/>
  <c r="FB69" i="46"/>
  <c r="KP17" i="46"/>
  <c r="HV17" i="46"/>
  <c r="JL45" i="46"/>
  <c r="HG45" i="46"/>
  <c r="JC45" i="46"/>
  <c r="JR48" i="46"/>
  <c r="KG48" i="46"/>
  <c r="EY53" i="46"/>
  <c r="DX44" i="46"/>
  <c r="JC65" i="46"/>
  <c r="GO21" i="46"/>
  <c r="IN66" i="46"/>
  <c r="EA16" i="46"/>
  <c r="JR36" i="46"/>
  <c r="JR63" i="46"/>
  <c r="EG61" i="46"/>
  <c r="FH77" i="46"/>
  <c r="HA45" i="46"/>
  <c r="IE48" i="46"/>
  <c r="JF75" i="46"/>
  <c r="IT33" i="46"/>
  <c r="IZ65" i="46"/>
  <c r="JC26" i="46"/>
  <c r="GI21" i="46"/>
  <c r="EG47" i="46"/>
  <c r="KD74" i="46"/>
  <c r="DF13" i="46"/>
  <c r="KV53" i="46"/>
  <c r="FW44" i="46"/>
  <c r="FK11" i="46"/>
  <c r="IH50" i="46"/>
  <c r="KS75" i="46"/>
  <c r="ED75" i="46"/>
  <c r="JL33" i="46"/>
  <c r="HY33" i="46"/>
  <c r="FQ65" i="46"/>
  <c r="HM26" i="46"/>
  <c r="FH26" i="46"/>
  <c r="GX21" i="46"/>
  <c r="GF37" i="46"/>
  <c r="GR47" i="46"/>
  <c r="KA66" i="46"/>
  <c r="IB66" i="46"/>
  <c r="GC16" i="46"/>
  <c r="HV36" i="46"/>
  <c r="KM36" i="46"/>
  <c r="IT43" i="46"/>
  <c r="GL43" i="46"/>
  <c r="HY74" i="46"/>
  <c r="KP58" i="46"/>
  <c r="EY58" i="46"/>
  <c r="KS13" i="46"/>
  <c r="EG13" i="46"/>
  <c r="JF63" i="46"/>
  <c r="HP61" i="46"/>
  <c r="GO62" i="46"/>
  <c r="EV62" i="46"/>
  <c r="JU52" i="46"/>
  <c r="EM52" i="46"/>
  <c r="FN77" i="46"/>
  <c r="HV57" i="46"/>
  <c r="FB57" i="46"/>
  <c r="HV69" i="46"/>
  <c r="EY69" i="46"/>
  <c r="KG17" i="46"/>
  <c r="KY17" i="46"/>
  <c r="GL17" i="46"/>
  <c r="IN45" i="46"/>
  <c r="FE45" i="46"/>
  <c r="FH45" i="46"/>
  <c r="JO48" i="46"/>
  <c r="JI75" i="46"/>
  <c r="IZ33" i="46"/>
  <c r="FW47" i="46"/>
  <c r="FZ66" i="46"/>
  <c r="GO43" i="46"/>
  <c r="FZ72" i="46"/>
  <c r="HS58" i="46"/>
  <c r="DF63" i="46"/>
  <c r="FB62" i="46"/>
  <c r="IW57" i="46"/>
  <c r="HD53" i="46"/>
  <c r="HG11" i="46"/>
  <c r="EP26" i="46"/>
  <c r="EV21" i="46"/>
  <c r="DI66" i="46"/>
  <c r="FH74" i="46"/>
  <c r="HP58" i="46"/>
  <c r="JC13" i="46"/>
  <c r="JL63" i="46"/>
  <c r="GU53" i="46"/>
  <c r="IB50" i="46"/>
  <c r="LB75" i="46"/>
  <c r="EY75" i="46"/>
  <c r="JF33" i="46"/>
  <c r="HV65" i="46"/>
  <c r="IE26" i="46"/>
  <c r="KV21" i="46"/>
  <c r="HV21" i="46"/>
  <c r="KM47" i="46"/>
  <c r="IQ66" i="46"/>
  <c r="EP16" i="46"/>
  <c r="HS36" i="46"/>
  <c r="IQ43" i="46"/>
  <c r="EP43" i="46"/>
  <c r="DX43" i="46"/>
  <c r="JI72" i="46"/>
  <c r="HV74" i="46"/>
  <c r="GU58" i="46"/>
  <c r="EP58" i="46"/>
  <c r="KP13" i="46"/>
  <c r="ED13" i="46"/>
  <c r="HJ63" i="46"/>
  <c r="HG61" i="46"/>
  <c r="LE62" i="46"/>
  <c r="KP52" i="46"/>
  <c r="LB52" i="46"/>
  <c r="EG52" i="46"/>
  <c r="JI77" i="46"/>
  <c r="KS29" i="46"/>
  <c r="FH29" i="46"/>
  <c r="FN57" i="46"/>
  <c r="EY57" i="46"/>
  <c r="FN69" i="46"/>
  <c r="ES69" i="46"/>
  <c r="KD17" i="46"/>
  <c r="GI17" i="46"/>
  <c r="FE17" i="46"/>
  <c r="LB45" i="46"/>
  <c r="FB45" i="46"/>
  <c r="IT48" i="46"/>
  <c r="JI48" i="46"/>
  <c r="FZ75" i="46"/>
  <c r="HV26" i="46"/>
  <c r="KP21" i="46"/>
  <c r="DI47" i="46"/>
  <c r="EM36" i="46"/>
  <c r="EG43" i="46"/>
  <c r="GF74" i="46"/>
  <c r="FE58" i="46"/>
  <c r="FH63" i="46"/>
  <c r="KA62" i="46"/>
  <c r="KJ52" i="46"/>
  <c r="IH14" i="46"/>
  <c r="ES57" i="46"/>
  <c r="HP69" i="46"/>
  <c r="GF17" i="46"/>
  <c r="FN45" i="46"/>
  <c r="GC48" i="46"/>
  <c r="IT47" i="46"/>
  <c r="LB66" i="46"/>
  <c r="GI16" i="46"/>
  <c r="HD36" i="46"/>
  <c r="KD43" i="46"/>
  <c r="JU72" i="46"/>
  <c r="IQ74" i="46"/>
  <c r="FE13" i="46"/>
  <c r="ED44" i="46"/>
  <c r="EY44" i="46"/>
  <c r="GC20" i="46"/>
  <c r="HP50" i="46"/>
  <c r="KJ75" i="46"/>
  <c r="HD75" i="46"/>
  <c r="JC33" i="46"/>
  <c r="FN65" i="46"/>
  <c r="JF26" i="46"/>
  <c r="GU21" i="46"/>
  <c r="GO47" i="46"/>
  <c r="ES47" i="46"/>
  <c r="LE66" i="46"/>
  <c r="GL66" i="46"/>
  <c r="ES66" i="46"/>
  <c r="JU16" i="46"/>
  <c r="GX16" i="46"/>
  <c r="JU36" i="46"/>
  <c r="GR43" i="46"/>
  <c r="GF72" i="46"/>
  <c r="HS74" i="46"/>
  <c r="HV58" i="46"/>
  <c r="FK58" i="46"/>
  <c r="KM13" i="46"/>
  <c r="IK63" i="46"/>
  <c r="GX63" i="46"/>
  <c r="GL61" i="46"/>
  <c r="GI62" i="46"/>
  <c r="KM52" i="46"/>
  <c r="FK52" i="46"/>
  <c r="ED52" i="46"/>
  <c r="IE77" i="46"/>
  <c r="HM77" i="46"/>
  <c r="HS57" i="46"/>
  <c r="GU57" i="46"/>
  <c r="JI69" i="46"/>
  <c r="DI69" i="46"/>
  <c r="JX17" i="46"/>
  <c r="EA17" i="46"/>
  <c r="HV45" i="46"/>
  <c r="HD45" i="46"/>
  <c r="EY45" i="46"/>
  <c r="IZ48" i="46"/>
  <c r="JF48" i="46"/>
  <c r="JL47" i="46"/>
  <c r="JI16" i="46"/>
  <c r="EY74" i="46"/>
  <c r="KJ13" i="46"/>
  <c r="EY63" i="46"/>
  <c r="LB62" i="46"/>
  <c r="IB77" i="46"/>
  <c r="KA17" i="46"/>
  <c r="ES45" i="46"/>
  <c r="JF16" i="46"/>
  <c r="IH53" i="46"/>
  <c r="FZ53" i="46"/>
  <c r="IN44" i="46"/>
  <c r="HJ44" i="46"/>
  <c r="GI11" i="46"/>
  <c r="JC75" i="46"/>
  <c r="GX33" i="46"/>
  <c r="ED33" i="46"/>
  <c r="GI65" i="46"/>
  <c r="FW26" i="46"/>
  <c r="KM21" i="46"/>
  <c r="GL21" i="46"/>
  <c r="HJ47" i="46"/>
  <c r="KM66" i="46"/>
  <c r="JR66" i="46"/>
  <c r="JC16" i="46"/>
  <c r="FZ16" i="46"/>
  <c r="KD16" i="46"/>
  <c r="GX36" i="46"/>
  <c r="KA43" i="46"/>
  <c r="FQ72" i="46"/>
  <c r="KA74" i="46"/>
  <c r="DX74" i="46"/>
  <c r="FB74" i="46"/>
  <c r="HM58" i="46"/>
  <c r="IZ13" i="46"/>
  <c r="HG13" i="46"/>
  <c r="IZ63" i="46"/>
  <c r="IN63" i="46"/>
  <c r="FE63" i="46"/>
  <c r="GU61" i="46"/>
  <c r="IZ62" i="46"/>
  <c r="ES62" i="46"/>
  <c r="FN52" i="46"/>
  <c r="GX52" i="46"/>
  <c r="HP77" i="46"/>
  <c r="EV29" i="46"/>
  <c r="GI57" i="46"/>
  <c r="HD69" i="46"/>
  <c r="JR17" i="46"/>
  <c r="FZ17" i="46"/>
  <c r="FK17" i="46"/>
  <c r="HS45" i="46"/>
  <c r="GR45" i="46"/>
  <c r="EV45" i="46"/>
  <c r="FZ48" i="46"/>
  <c r="GF48" i="46"/>
  <c r="KD53" i="46"/>
  <c r="IK44" i="46"/>
  <c r="GO11" i="46"/>
  <c r="GX75" i="46"/>
  <c r="GC33" i="46"/>
  <c r="DX33" i="46"/>
  <c r="GF65" i="46"/>
  <c r="FZ21" i="46"/>
  <c r="JO47" i="46"/>
  <c r="JF66" i="46"/>
  <c r="IK16" i="46"/>
  <c r="FQ16" i="46"/>
  <c r="EY16" i="46"/>
  <c r="GO36" i="46"/>
  <c r="FW43" i="46"/>
  <c r="HS72" i="46"/>
  <c r="JL74" i="46"/>
  <c r="ES74" i="46"/>
  <c r="KM58" i="46"/>
  <c r="DF58" i="46"/>
  <c r="IQ13" i="46"/>
  <c r="EV13" i="46"/>
  <c r="EP13" i="46"/>
  <c r="IW63" i="46"/>
  <c r="FB63" i="46"/>
  <c r="EV63" i="46"/>
  <c r="EA61" i="46"/>
  <c r="IW62" i="46"/>
  <c r="HY52" i="46"/>
  <c r="FH52" i="46"/>
  <c r="KP77" i="46"/>
  <c r="GX77" i="46"/>
  <c r="EV77" i="46"/>
  <c r="GF57" i="46"/>
  <c r="GL69" i="46"/>
  <c r="JO17" i="46"/>
  <c r="KM45" i="46"/>
  <c r="GO45" i="46"/>
  <c r="JC53" i="46"/>
  <c r="EV53" i="46"/>
  <c r="KP44" i="46"/>
  <c r="GI44" i="46"/>
  <c r="GX50" i="46"/>
  <c r="KA75" i="46"/>
  <c r="FT33" i="46"/>
  <c r="EM65" i="46"/>
  <c r="HD26" i="46"/>
  <c r="FQ21" i="46"/>
  <c r="IW47" i="46"/>
  <c r="JC66" i="46"/>
  <c r="KV16" i="46"/>
  <c r="ES16" i="46"/>
  <c r="IN36" i="46"/>
  <c r="DX36" i="46"/>
  <c r="FT43" i="46"/>
  <c r="KS74" i="46"/>
  <c r="GL74" i="46"/>
  <c r="GF58" i="46"/>
  <c r="GX13" i="46"/>
  <c r="KM63" i="46"/>
  <c r="GL63" i="46"/>
  <c r="JO62" i="46"/>
  <c r="KS62" i="46"/>
  <c r="HS52" i="46"/>
  <c r="GU52" i="46"/>
  <c r="LB77" i="46"/>
  <c r="GR77" i="46"/>
  <c r="DF77" i="46"/>
  <c r="FW57" i="46"/>
  <c r="GC69" i="46"/>
  <c r="HD17" i="46"/>
  <c r="LB17" i="46"/>
  <c r="JF45" i="46"/>
  <c r="GX48" i="46"/>
  <c r="FT48" i="46"/>
  <c r="FB48" i="46"/>
  <c r="IW53" i="46"/>
  <c r="EP53" i="46"/>
  <c r="JL44" i="46"/>
  <c r="ES44" i="46"/>
  <c r="JX75" i="46"/>
  <c r="HA33" i="46"/>
  <c r="JU65" i="46"/>
  <c r="DI26" i="46"/>
  <c r="EG26" i="46"/>
  <c r="IH21" i="46"/>
  <c r="GU47" i="46"/>
  <c r="HD66" i="46"/>
  <c r="KS16" i="46"/>
  <c r="KS36" i="46"/>
  <c r="IE43" i="46"/>
  <c r="GO72" i="46"/>
  <c r="KM74" i="46"/>
  <c r="DI74" i="46"/>
  <c r="KD58" i="46"/>
  <c r="IB58" i="46"/>
  <c r="GU13" i="46"/>
  <c r="KJ63" i="46"/>
  <c r="FW63" i="46"/>
  <c r="IE61" i="46"/>
  <c r="JR62" i="46"/>
  <c r="FQ62" i="46"/>
  <c r="GR52" i="46"/>
  <c r="KY77" i="46"/>
  <c r="GO77" i="46"/>
  <c r="JL57" i="46"/>
  <c r="DF57" i="46"/>
  <c r="IT69" i="46"/>
  <c r="HA17" i="46"/>
  <c r="ED17" i="46"/>
  <c r="GO17" i="46"/>
  <c r="IZ45" i="46"/>
  <c r="GU48" i="46"/>
  <c r="EJ48" i="46"/>
  <c r="KM53" i="46"/>
  <c r="HA53" i="46"/>
  <c r="JF44" i="46"/>
  <c r="DF50" i="46"/>
  <c r="HS75" i="46"/>
  <c r="FW33" i="46"/>
  <c r="EJ65" i="46"/>
  <c r="LE26" i="46"/>
  <c r="EA21" i="46"/>
  <c r="GF47" i="46"/>
  <c r="KV66" i="46"/>
  <c r="FK66" i="46"/>
  <c r="HP16" i="46"/>
  <c r="IK36" i="46"/>
  <c r="FQ43" i="46"/>
  <c r="FB43" i="46"/>
  <c r="KJ74" i="46"/>
  <c r="GC74" i="46"/>
  <c r="KA58" i="46"/>
  <c r="DX58" i="46"/>
  <c r="HS13" i="46"/>
  <c r="KD63" i="46"/>
  <c r="EG63" i="46"/>
  <c r="JL62" i="46"/>
  <c r="FZ62" i="46"/>
  <c r="GO52" i="46"/>
  <c r="KM77" i="46"/>
  <c r="GI77" i="46"/>
  <c r="FT57" i="46"/>
  <c r="EG69" i="46"/>
  <c r="GX17" i="46"/>
  <c r="FH17" i="46"/>
  <c r="IB45" i="46"/>
  <c r="GR48" i="46"/>
  <c r="HY48" i="46"/>
  <c r="CT7" i="46"/>
  <c r="IT53" i="46"/>
  <c r="GL53" i="46"/>
  <c r="JC44" i="46"/>
  <c r="JU75" i="46"/>
  <c r="EJ75" i="46"/>
  <c r="KM33" i="46"/>
  <c r="EA65" i="46"/>
  <c r="IW26" i="46"/>
  <c r="EA26" i="46"/>
  <c r="GC26" i="46"/>
  <c r="JL21" i="46"/>
  <c r="IE21" i="46"/>
  <c r="GC47" i="46"/>
  <c r="JU66" i="46"/>
  <c r="FE66" i="46"/>
  <c r="KP16" i="46"/>
  <c r="EG16" i="46"/>
  <c r="JO36" i="46"/>
  <c r="KA36" i="46"/>
  <c r="EV36" i="46"/>
  <c r="IB43" i="46"/>
  <c r="FE43" i="46"/>
  <c r="DI72" i="46"/>
  <c r="JX74" i="46"/>
  <c r="FN74" i="46"/>
  <c r="JU58" i="46"/>
  <c r="GL58" i="46"/>
  <c r="IK13" i="46"/>
  <c r="FH13" i="46"/>
  <c r="LB63" i="46"/>
  <c r="ED63" i="46"/>
  <c r="IN61" i="46"/>
  <c r="JI62" i="46"/>
  <c r="EJ62" i="46"/>
  <c r="GL52" i="46"/>
  <c r="JF77" i="46"/>
  <c r="GF77" i="46"/>
  <c r="IZ57" i="46"/>
  <c r="ED69" i="46"/>
  <c r="GU17" i="46"/>
  <c r="HY45" i="46"/>
  <c r="GU45" i="46"/>
  <c r="GO48" i="46"/>
  <c r="ED48" i="46"/>
  <c r="FE48" i="46"/>
  <c r="LE53" i="46"/>
  <c r="LE44" i="46"/>
  <c r="IH75" i="46"/>
  <c r="FQ33" i="46"/>
  <c r="KA26" i="46"/>
  <c r="DX26" i="46"/>
  <c r="FN26" i="46"/>
  <c r="JI21" i="46"/>
  <c r="DX21" i="46"/>
  <c r="IK47" i="46"/>
  <c r="HY47" i="46"/>
  <c r="GU66" i="46"/>
  <c r="HJ16" i="46"/>
  <c r="JL36" i="46"/>
  <c r="DI36" i="46"/>
  <c r="HA43" i="46"/>
  <c r="EY43" i="46"/>
  <c r="JR74" i="46"/>
  <c r="EJ74" i="46"/>
  <c r="HP56" i="46"/>
  <c r="JL58" i="46"/>
  <c r="HP13" i="46"/>
  <c r="ES13" i="46"/>
  <c r="KY63" i="46"/>
  <c r="EA63" i="46"/>
  <c r="KP61" i="46"/>
  <c r="IT62" i="46"/>
  <c r="FN62" i="46"/>
  <c r="FH62" i="46"/>
  <c r="IN52" i="46"/>
  <c r="LE52" i="46"/>
  <c r="FB52" i="46"/>
  <c r="JC77" i="46"/>
  <c r="JR77" i="46"/>
  <c r="JR29" i="46"/>
  <c r="EM57" i="46"/>
  <c r="KV69" i="46"/>
  <c r="EA69" i="46"/>
  <c r="IT17" i="46"/>
  <c r="DF17" i="46"/>
  <c r="HP45" i="46"/>
  <c r="LE45" i="46"/>
  <c r="LB48" i="46"/>
  <c r="HJ48" i="46"/>
  <c r="DX48" i="46"/>
  <c r="JL53" i="46"/>
  <c r="FN44" i="46"/>
  <c r="EV50" i="46"/>
  <c r="GL75" i="46"/>
  <c r="KA33" i="46"/>
  <c r="KY65" i="46"/>
  <c r="JI26" i="46"/>
  <c r="JR21" i="46"/>
  <c r="ED21" i="46"/>
  <c r="HV37" i="46"/>
  <c r="IZ47" i="46"/>
  <c r="GI47" i="46"/>
  <c r="IB47" i="46"/>
  <c r="GO66" i="46"/>
  <c r="HV16" i="46"/>
  <c r="FZ36" i="46"/>
  <c r="DF36" i="46"/>
  <c r="JC43" i="46"/>
  <c r="HG43" i="46"/>
  <c r="IK43" i="46"/>
  <c r="IN74" i="46"/>
  <c r="IT58" i="46"/>
  <c r="FQ58" i="46"/>
  <c r="GR13" i="46"/>
  <c r="HV63" i="46"/>
  <c r="JU61" i="46"/>
  <c r="HS62" i="46"/>
  <c r="EA62" i="46"/>
  <c r="JL52" i="46"/>
  <c r="FW52" i="46"/>
  <c r="EJ52" i="46"/>
  <c r="KG77" i="46"/>
  <c r="ED77" i="46"/>
  <c r="HJ29" i="46"/>
  <c r="KJ69" i="46"/>
  <c r="JI17" i="46"/>
  <c r="FT17" i="46"/>
  <c r="FB17" i="46"/>
  <c r="IE17" i="46"/>
  <c r="KG45" i="46"/>
  <c r="FZ45" i="46"/>
  <c r="IQ48" i="46"/>
  <c r="HG48" i="46"/>
  <c r="DF48" i="46"/>
  <c r="HJ53" i="46"/>
  <c r="HS44" i="46"/>
  <c r="HG50" i="46"/>
  <c r="GR75" i="46"/>
  <c r="JI33" i="46"/>
  <c r="EY33" i="46"/>
  <c r="JI65" i="46"/>
  <c r="GR65" i="46"/>
  <c r="KP26" i="46"/>
  <c r="JC21" i="46"/>
  <c r="DF21" i="46"/>
  <c r="FE21" i="46"/>
  <c r="KD47" i="46"/>
  <c r="FN47" i="46"/>
  <c r="IH66" i="46"/>
  <c r="IB16" i="46"/>
  <c r="FN36" i="46"/>
  <c r="KM43" i="46"/>
  <c r="HD43" i="46"/>
  <c r="LE74" i="46"/>
  <c r="HG58" i="46"/>
  <c r="IH58" i="46"/>
  <c r="JF13" i="46"/>
  <c r="IH13" i="46"/>
  <c r="JI63" i="46"/>
  <c r="IW61" i="46"/>
  <c r="GO61" i="46"/>
  <c r="GX62" i="46"/>
  <c r="KA52" i="46"/>
  <c r="GF52" i="46"/>
  <c r="JU77" i="46"/>
  <c r="GL77" i="46"/>
  <c r="HY29" i="46"/>
  <c r="JX14" i="46"/>
  <c r="GX14" i="46"/>
  <c r="JR57" i="46"/>
  <c r="FQ69" i="46"/>
  <c r="FE69" i="46"/>
  <c r="LE17" i="46"/>
  <c r="IB17" i="46"/>
  <c r="EM17" i="46"/>
  <c r="KS45" i="46"/>
  <c r="IH45" i="46"/>
  <c r="FK45" i="46"/>
  <c r="KS48" i="46"/>
  <c r="FW48" i="46"/>
  <c r="IT45" i="46"/>
  <c r="DI57" i="46"/>
  <c r="IB29" i="46"/>
  <c r="KD77" i="46"/>
  <c r="HG52" i="46"/>
  <c r="DI13" i="46"/>
  <c r="FK36" i="46"/>
  <c r="EV66" i="46"/>
  <c r="FB65" i="46"/>
  <c r="IE29" i="46"/>
  <c r="EP77" i="46"/>
  <c r="FE74" i="46"/>
  <c r="LE43" i="46"/>
  <c r="FE65" i="46"/>
  <c r="HG33" i="46"/>
  <c r="HJ75" i="46"/>
  <c r="KG72" i="46"/>
  <c r="FN48" i="46"/>
  <c r="JX45" i="46"/>
  <c r="JL77" i="46"/>
  <c r="IT77" i="46"/>
  <c r="DX47" i="46"/>
  <c r="EA48" i="46"/>
  <c r="FW45" i="46"/>
  <c r="KY45" i="46"/>
  <c r="HA57" i="46"/>
  <c r="HM29" i="46"/>
  <c r="IZ77" i="46"/>
  <c r="JR52" i="46"/>
  <c r="ED62" i="46"/>
  <c r="IE72" i="46"/>
  <c r="GC43" i="46"/>
  <c r="EJ36" i="46"/>
  <c r="ED16" i="46"/>
  <c r="HM33" i="46"/>
  <c r="HM75" i="46"/>
  <c r="HV44" i="46"/>
  <c r="IZ53" i="46"/>
  <c r="EG48" i="46"/>
  <c r="EM45" i="46"/>
  <c r="KV45" i="46"/>
  <c r="DX17" i="46"/>
  <c r="IK29" i="46"/>
  <c r="LE77" i="46"/>
  <c r="GI52" i="46"/>
  <c r="EG62" i="46"/>
  <c r="HJ43" i="46"/>
  <c r="GU36" i="46"/>
  <c r="KS26" i="46"/>
  <c r="IZ75" i="46"/>
  <c r="JR44" i="46"/>
  <c r="HP53" i="46"/>
  <c r="EV48" i="46"/>
  <c r="KD45" i="46"/>
  <c r="FN17" i="46"/>
  <c r="FH69" i="46"/>
  <c r="KG14" i="46"/>
  <c r="HV52" i="46"/>
  <c r="GC62" i="46"/>
  <c r="EM13" i="46"/>
  <c r="HS43" i="46"/>
  <c r="GC66" i="46"/>
  <c r="GU65" i="46"/>
  <c r="IB44" i="46"/>
  <c r="JO53" i="46"/>
  <c r="IH43" i="46"/>
  <c r="EV65" i="46"/>
  <c r="HD48" i="46"/>
  <c r="HJ17" i="46"/>
  <c r="GO69" i="46"/>
  <c r="KG57" i="46"/>
  <c r="JI52" i="46"/>
  <c r="GF62" i="46"/>
  <c r="IH61" i="46"/>
  <c r="DI58" i="46"/>
  <c r="FE56" i="46"/>
  <c r="KV43" i="46"/>
  <c r="IE36" i="46"/>
  <c r="FN16" i="46"/>
  <c r="FT47" i="46"/>
  <c r="KD21" i="46"/>
  <c r="JO26" i="46"/>
  <c r="JL65" i="46"/>
  <c r="JR69" i="46"/>
  <c r="HM62" i="46"/>
  <c r="FZ58" i="46"/>
  <c r="KD36" i="46"/>
  <c r="JR26" i="46"/>
  <c r="DX52" i="46"/>
  <c r="HP48" i="46"/>
  <c r="DX45" i="46"/>
  <c r="JC17" i="46"/>
  <c r="HG69" i="46"/>
  <c r="KV57" i="46"/>
  <c r="HY62" i="46"/>
  <c r="JR61" i="46"/>
  <c r="JU63" i="46"/>
  <c r="HM13" i="46"/>
  <c r="IT74" i="46"/>
  <c r="JI36" i="46"/>
  <c r="EV16" i="46"/>
  <c r="JR16" i="46"/>
  <c r="HY66" i="46"/>
  <c r="EA47" i="46"/>
  <c r="FN37" i="46"/>
  <c r="FH44" i="46"/>
  <c r="JL48" i="46"/>
  <c r="HA61" i="46"/>
  <c r="HP63" i="46"/>
  <c r="HD16" i="46"/>
  <c r="FT66" i="46"/>
  <c r="DI45" i="46"/>
  <c r="JI41" i="46"/>
  <c r="IK52" i="46"/>
  <c r="JO61" i="46"/>
  <c r="ES58" i="46"/>
  <c r="HM74" i="46"/>
  <c r="GC36" i="46"/>
  <c r="HS47" i="46"/>
  <c r="HA48" i="46"/>
  <c r="JF17" i="46"/>
  <c r="JO69" i="46"/>
  <c r="EP52" i="46"/>
  <c r="IQ62" i="46"/>
  <c r="JC61" i="46"/>
  <c r="KA63" i="46"/>
  <c r="HA13" i="46"/>
  <c r="KV58" i="46"/>
  <c r="IZ74" i="46"/>
  <c r="KY36" i="46"/>
  <c r="KJ16" i="46"/>
  <c r="JO66" i="46"/>
  <c r="HG47" i="46"/>
  <c r="ED37" i="46"/>
  <c r="JI37" i="46"/>
  <c r="IE53" i="46"/>
  <c r="IQ17" i="46"/>
  <c r="JF43" i="46"/>
  <c r="FZ47" i="46"/>
  <c r="LE21" i="46"/>
  <c r="GI61" i="46"/>
  <c r="HM48" i="46"/>
  <c r="GI69" i="46"/>
  <c r="IN57" i="46"/>
  <c r="HJ13" i="46"/>
  <c r="HG16" i="46"/>
  <c r="KV65" i="46"/>
  <c r="JC48" i="46"/>
  <c r="JL17" i="46"/>
  <c r="IZ69" i="46"/>
  <c r="EM41" i="46"/>
  <c r="JU62" i="46"/>
  <c r="JL61" i="46"/>
  <c r="KP63" i="46"/>
  <c r="JI13" i="46"/>
  <c r="IN58" i="46"/>
  <c r="KV74" i="46"/>
  <c r="LE16" i="46"/>
  <c r="JI66" i="46"/>
  <c r="KG47" i="46"/>
  <c r="FK44" i="46"/>
  <c r="HD57" i="46"/>
  <c r="JO52" i="46"/>
  <c r="EJ13" i="46"/>
  <c r="GU74" i="46"/>
  <c r="JO65" i="46"/>
  <c r="JU17" i="46"/>
  <c r="FE77" i="46"/>
  <c r="HP62" i="46"/>
  <c r="LE63" i="46"/>
  <c r="GF66" i="46"/>
  <c r="JF21" i="46"/>
  <c r="IH48" i="46"/>
  <c r="KS69" i="46"/>
  <c r="EA77" i="46"/>
  <c r="JC62" i="46"/>
  <c r="IQ58" i="46"/>
  <c r="KJ47" i="46"/>
  <c r="EG50" i="46"/>
  <c r="DF44" i="46"/>
  <c r="KJ57" i="46"/>
  <c r="JF50" i="46"/>
  <c r="JC49" i="46"/>
  <c r="IW41" i="46"/>
  <c r="LE56" i="46"/>
  <c r="EP11" i="46"/>
  <c r="JX37" i="46"/>
  <c r="CW7" i="46"/>
  <c r="JR14" i="46"/>
  <c r="GL7" i="46"/>
  <c r="FH7" i="46"/>
  <c r="GO7" i="46"/>
  <c r="GU7" i="46"/>
  <c r="W28" i="46"/>
  <c r="T28" i="46"/>
  <c r="Z28" i="46"/>
  <c r="AC28" i="46"/>
  <c r="KA28" i="46"/>
  <c r="JX28" i="46"/>
  <c r="JU28" i="46"/>
  <c r="KG28" i="46"/>
  <c r="KD28" i="46"/>
  <c r="JR28" i="46"/>
  <c r="IW28" i="46"/>
  <c r="IT28" i="46"/>
  <c r="IQ28" i="46"/>
  <c r="IN28" i="46"/>
  <c r="KS28" i="46"/>
  <c r="IZ28" i="46"/>
  <c r="IK28" i="46"/>
  <c r="LE28" i="46"/>
  <c r="KY28" i="46"/>
  <c r="HS28" i="46"/>
  <c r="HP28" i="46"/>
  <c r="HM28" i="46"/>
  <c r="HJ28" i="46"/>
  <c r="KJ28" i="46"/>
  <c r="HV28" i="46"/>
  <c r="JO28" i="46"/>
  <c r="HG28" i="46"/>
  <c r="JL28" i="46"/>
  <c r="HD28" i="46"/>
  <c r="JI28" i="46"/>
  <c r="HA28" i="46"/>
  <c r="JC28" i="46"/>
  <c r="GU28" i="46"/>
  <c r="GF28" i="46"/>
  <c r="KP28" i="46"/>
  <c r="GR28" i="46"/>
  <c r="KM28" i="46"/>
  <c r="GO28" i="46"/>
  <c r="JF28" i="46"/>
  <c r="GL28" i="46"/>
  <c r="GI28" i="46"/>
  <c r="FZ28" i="46"/>
  <c r="FW28" i="46"/>
  <c r="KV28" i="46"/>
  <c r="EP28" i="46"/>
  <c r="EM28" i="46"/>
  <c r="EJ28" i="46"/>
  <c r="IH28" i="46"/>
  <c r="IB28" i="46"/>
  <c r="EA28" i="46"/>
  <c r="GC28" i="46"/>
  <c r="FT28" i="46"/>
  <c r="IE28" i="46"/>
  <c r="DX28" i="46"/>
  <c r="HY28" i="46"/>
  <c r="DU28" i="46"/>
  <c r="GX28" i="46"/>
  <c r="DR28" i="46"/>
  <c r="FQ28" i="46"/>
  <c r="DO28" i="46"/>
  <c r="DI28" i="46"/>
  <c r="LB28" i="46"/>
  <c r="EG28" i="46"/>
  <c r="ED28" i="46"/>
  <c r="DL28" i="46"/>
  <c r="DF28" i="46"/>
  <c r="CZ28" i="46"/>
  <c r="BA28" i="46"/>
  <c r="AX28" i="46"/>
  <c r="FK28" i="46"/>
  <c r="BY28" i="46"/>
  <c r="FH28" i="46"/>
  <c r="BV28" i="46"/>
  <c r="FE28" i="46"/>
  <c r="BS28" i="46"/>
  <c r="EY28" i="46"/>
  <c r="BM28" i="46"/>
  <c r="DC28" i="46"/>
  <c r="CN28" i="46"/>
  <c r="CW28" i="46"/>
  <c r="CK28" i="46"/>
  <c r="CQ28" i="46"/>
  <c r="CE28" i="46"/>
  <c r="AR28" i="46"/>
  <c r="AU28" i="46"/>
  <c r="AO28" i="46"/>
  <c r="BG28" i="46"/>
  <c r="AI28" i="46"/>
  <c r="BD28" i="46"/>
  <c r="CB28" i="46"/>
  <c r="CT28" i="46"/>
  <c r="BP28" i="46"/>
  <c r="FN28" i="46"/>
  <c r="BJ28" i="46"/>
  <c r="AL28" i="46"/>
  <c r="CH28" i="46"/>
  <c r="FB28" i="46"/>
  <c r="EV28" i="46"/>
  <c r="ES28" i="46"/>
  <c r="IH41" i="46"/>
  <c r="DX6" i="46"/>
  <c r="DR6" i="46"/>
  <c r="CZ6" i="46"/>
  <c r="HS7" i="46"/>
  <c r="DF7" i="46"/>
  <c r="HA7" i="46"/>
  <c r="FZ41" i="46"/>
  <c r="EJ14" i="46"/>
  <c r="JC14" i="46"/>
  <c r="HG29" i="46"/>
  <c r="JO49" i="46"/>
  <c r="FK56" i="46"/>
  <c r="JC56" i="46"/>
  <c r="GL72" i="46"/>
  <c r="JC72" i="46"/>
  <c r="JR37" i="46"/>
  <c r="DI50" i="46"/>
  <c r="FH20" i="46"/>
  <c r="FZ20" i="46"/>
  <c r="KY41" i="46"/>
  <c r="GO41" i="46"/>
  <c r="FK41" i="46"/>
  <c r="JX41" i="46"/>
  <c r="HJ41" i="46"/>
  <c r="JU41" i="46"/>
  <c r="HG41" i="46"/>
  <c r="EY41" i="46"/>
  <c r="EP41" i="46"/>
  <c r="T9" i="46"/>
  <c r="AC9" i="46"/>
  <c r="Z9" i="46"/>
  <c r="W9" i="46"/>
  <c r="JL9" i="46"/>
  <c r="JI9" i="46"/>
  <c r="JF9" i="46"/>
  <c r="KP9" i="46"/>
  <c r="KM9" i="46"/>
  <c r="KJ9" i="46"/>
  <c r="JO9" i="46"/>
  <c r="JC9" i="46"/>
  <c r="IZ9" i="46"/>
  <c r="IW9" i="46"/>
  <c r="IT9" i="46"/>
  <c r="IQ9" i="46"/>
  <c r="IN9" i="46"/>
  <c r="IK9" i="46"/>
  <c r="LB9" i="46"/>
  <c r="KY9" i="46"/>
  <c r="KV9" i="46"/>
  <c r="KS9" i="46"/>
  <c r="KD9" i="46"/>
  <c r="JX9" i="46"/>
  <c r="HD9" i="46"/>
  <c r="JU9" i="46"/>
  <c r="HA9" i="46"/>
  <c r="JR9" i="46"/>
  <c r="GX9" i="46"/>
  <c r="GU9" i="46"/>
  <c r="HS9" i="46"/>
  <c r="HP9" i="46"/>
  <c r="HM9" i="46"/>
  <c r="LE9" i="46"/>
  <c r="HJ9" i="46"/>
  <c r="KA9" i="46"/>
  <c r="GR9" i="46"/>
  <c r="GC9" i="46"/>
  <c r="IH9" i="46"/>
  <c r="IE9" i="46"/>
  <c r="KG9" i="46"/>
  <c r="IB9" i="46"/>
  <c r="HY9" i="46"/>
  <c r="HG9" i="46"/>
  <c r="GO9" i="46"/>
  <c r="FZ9" i="46"/>
  <c r="FT9" i="46"/>
  <c r="EA9" i="46"/>
  <c r="DX9" i="46"/>
  <c r="DU9" i="46"/>
  <c r="GL9" i="46"/>
  <c r="DL9" i="46"/>
  <c r="FW9" i="46"/>
  <c r="FQ9" i="46"/>
  <c r="EG9" i="46"/>
  <c r="ED9" i="46"/>
  <c r="DR9" i="46"/>
  <c r="DO9" i="46"/>
  <c r="DF9" i="46"/>
  <c r="HV9" i="46"/>
  <c r="GF9" i="46"/>
  <c r="FB9" i="46"/>
  <c r="EY9" i="46"/>
  <c r="EV9" i="46"/>
  <c r="CN9" i="46"/>
  <c r="EM9" i="46"/>
  <c r="CE9" i="46"/>
  <c r="GI9" i="46"/>
  <c r="CZ9" i="46"/>
  <c r="BP9" i="46"/>
  <c r="BM9" i="46"/>
  <c r="CH9" i="46"/>
  <c r="FH9" i="46"/>
  <c r="FE9" i="46"/>
  <c r="EP9" i="46"/>
  <c r="AX9" i="46"/>
  <c r="CK9" i="46"/>
  <c r="CB9" i="46"/>
  <c r="FK9" i="46"/>
  <c r="ES9" i="46"/>
  <c r="FN9" i="46"/>
  <c r="DC9" i="46"/>
  <c r="CW9" i="46"/>
  <c r="BS9" i="46"/>
  <c r="CQ9" i="46"/>
  <c r="BA9" i="46"/>
  <c r="BG9" i="46"/>
  <c r="AO9" i="46"/>
  <c r="AU9" i="46"/>
  <c r="BD9" i="46"/>
  <c r="AL9" i="46"/>
  <c r="AI9" i="46"/>
  <c r="EJ9" i="46"/>
  <c r="DI9" i="46"/>
  <c r="BY9" i="46"/>
  <c r="CT9" i="46"/>
  <c r="BV9" i="46"/>
  <c r="BJ9" i="46"/>
  <c r="AR9" i="46"/>
  <c r="Z68" i="46"/>
  <c r="W68" i="46"/>
  <c r="T68" i="46"/>
  <c r="AC68" i="46"/>
  <c r="JC68" i="46"/>
  <c r="IZ68" i="46"/>
  <c r="LE68" i="46"/>
  <c r="IW68" i="46"/>
  <c r="KP68" i="46"/>
  <c r="KY68" i="46"/>
  <c r="KV68" i="46"/>
  <c r="KS68" i="46"/>
  <c r="KM68" i="46"/>
  <c r="JU68" i="46"/>
  <c r="JR68" i="46"/>
  <c r="JO68" i="46"/>
  <c r="JI68" i="46"/>
  <c r="JL68" i="46"/>
  <c r="JF68" i="46"/>
  <c r="IT68" i="46"/>
  <c r="IQ68" i="46"/>
  <c r="IN68" i="46"/>
  <c r="IK68" i="46"/>
  <c r="GF68" i="46"/>
  <c r="GC68" i="46"/>
  <c r="IH68" i="46"/>
  <c r="FZ68" i="46"/>
  <c r="HY68" i="46"/>
  <c r="FQ68" i="46"/>
  <c r="JX68" i="46"/>
  <c r="HS68" i="46"/>
  <c r="HP68" i="46"/>
  <c r="HM68" i="46"/>
  <c r="HJ68" i="46"/>
  <c r="HG68" i="46"/>
  <c r="FN68" i="46"/>
  <c r="LB68" i="46"/>
  <c r="KD68" i="46"/>
  <c r="KA68" i="46"/>
  <c r="HD68" i="46"/>
  <c r="HV68" i="46"/>
  <c r="FB68" i="46"/>
  <c r="CT68" i="46"/>
  <c r="HA68" i="46"/>
  <c r="EY68" i="46"/>
  <c r="CQ68" i="46"/>
  <c r="GX68" i="46"/>
  <c r="EV68" i="46"/>
  <c r="GU68" i="46"/>
  <c r="GO68" i="46"/>
  <c r="EM68" i="46"/>
  <c r="GL68" i="46"/>
  <c r="KJ68" i="46"/>
  <c r="ED68" i="46"/>
  <c r="KG68" i="46"/>
  <c r="EA68" i="46"/>
  <c r="DX68" i="46"/>
  <c r="DU68" i="46"/>
  <c r="IE68" i="46"/>
  <c r="DO68" i="46"/>
  <c r="GI68" i="46"/>
  <c r="FW68" i="46"/>
  <c r="EJ68" i="46"/>
  <c r="EG68" i="46"/>
  <c r="DR68" i="46"/>
  <c r="DL68" i="46"/>
  <c r="DF68" i="46"/>
  <c r="CW68" i="46"/>
  <c r="FT68" i="46"/>
  <c r="FH68" i="46"/>
  <c r="ES68" i="46"/>
  <c r="BV68" i="46"/>
  <c r="EP68" i="46"/>
  <c r="DI68" i="46"/>
  <c r="CN68" i="46"/>
  <c r="DC68" i="46"/>
  <c r="CE68" i="46"/>
  <c r="BA68" i="46"/>
  <c r="AX68" i="46"/>
  <c r="IB68" i="46"/>
  <c r="FE68" i="46"/>
  <c r="CH68" i="46"/>
  <c r="BS68" i="46"/>
  <c r="BP68" i="46"/>
  <c r="BM68" i="46"/>
  <c r="GR68" i="46"/>
  <c r="CK68" i="46"/>
  <c r="CB68" i="46"/>
  <c r="CZ68" i="46"/>
  <c r="BY68" i="46"/>
  <c r="BJ68" i="46"/>
  <c r="AO68" i="46"/>
  <c r="FK68" i="46"/>
  <c r="AU68" i="46"/>
  <c r="AR68" i="46"/>
  <c r="BG68" i="46"/>
  <c r="BD68" i="46"/>
  <c r="AL68" i="46"/>
  <c r="AI68" i="46"/>
  <c r="T10" i="46"/>
  <c r="W10" i="46"/>
  <c r="AC10" i="46"/>
  <c r="Z10" i="46"/>
  <c r="LE10" i="46"/>
  <c r="IW10" i="46"/>
  <c r="LB10" i="46"/>
  <c r="IT10" i="46"/>
  <c r="KY10" i="46"/>
  <c r="IQ10" i="46"/>
  <c r="KJ10" i="46"/>
  <c r="KG10" i="46"/>
  <c r="KD10" i="46"/>
  <c r="JR10" i="46"/>
  <c r="JO10" i="46"/>
  <c r="JL10" i="46"/>
  <c r="JI10" i="46"/>
  <c r="KM10" i="46"/>
  <c r="KA10" i="46"/>
  <c r="JX10" i="46"/>
  <c r="JU10" i="46"/>
  <c r="JC10" i="46"/>
  <c r="GO10" i="46"/>
  <c r="GL10" i="46"/>
  <c r="GI10" i="46"/>
  <c r="GF10" i="46"/>
  <c r="IZ10" i="46"/>
  <c r="HP10" i="46"/>
  <c r="IN10" i="46"/>
  <c r="HM10" i="46"/>
  <c r="IK10" i="46"/>
  <c r="HJ10" i="46"/>
  <c r="HG10" i="46"/>
  <c r="HA10" i="46"/>
  <c r="FZ10" i="46"/>
  <c r="KP10" i="46"/>
  <c r="JF10" i="46"/>
  <c r="IH10" i="46"/>
  <c r="IE10" i="46"/>
  <c r="HS10" i="46"/>
  <c r="GX10" i="46"/>
  <c r="FW10" i="46"/>
  <c r="DL10" i="46"/>
  <c r="FT10" i="46"/>
  <c r="DI10" i="46"/>
  <c r="FQ10" i="46"/>
  <c r="DF10" i="46"/>
  <c r="FN10" i="46"/>
  <c r="FE10" i="46"/>
  <c r="CW10" i="46"/>
  <c r="KV10" i="46"/>
  <c r="HD10" i="46"/>
  <c r="ED10" i="46"/>
  <c r="KS10" i="46"/>
  <c r="EA10" i="46"/>
  <c r="IB10" i="46"/>
  <c r="DX10" i="46"/>
  <c r="HY10" i="46"/>
  <c r="DU10" i="46"/>
  <c r="GU10" i="46"/>
  <c r="DO10" i="46"/>
  <c r="CN10" i="46"/>
  <c r="CE10" i="46"/>
  <c r="CB10" i="46"/>
  <c r="FK10" i="46"/>
  <c r="EY10" i="46"/>
  <c r="GC10" i="46"/>
  <c r="EM10" i="46"/>
  <c r="EP10" i="46"/>
  <c r="EJ10" i="46"/>
  <c r="EG10" i="46"/>
  <c r="AU10" i="46"/>
  <c r="AO10" i="46"/>
  <c r="DR10" i="46"/>
  <c r="CK10" i="46"/>
  <c r="AR10" i="46"/>
  <c r="DC10" i="46"/>
  <c r="CH10" i="46"/>
  <c r="CT10" i="46"/>
  <c r="FH10" i="46"/>
  <c r="BV10" i="46"/>
  <c r="FB10" i="46"/>
  <c r="EV10" i="46"/>
  <c r="ES10" i="46"/>
  <c r="CZ10" i="46"/>
  <c r="BY10" i="46"/>
  <c r="CQ10" i="46"/>
  <c r="BS10" i="46"/>
  <c r="BP10" i="46"/>
  <c r="BG10" i="46"/>
  <c r="BM10" i="46"/>
  <c r="AX10" i="46"/>
  <c r="BD10" i="46"/>
  <c r="BJ10" i="46"/>
  <c r="AL10" i="46"/>
  <c r="HV10" i="46"/>
  <c r="GR10" i="46"/>
  <c r="AI10" i="46"/>
  <c r="BA10" i="46"/>
  <c r="EG41" i="46"/>
  <c r="JC41" i="46"/>
  <c r="GO14" i="46"/>
  <c r="ED49" i="46"/>
  <c r="KA49" i="46"/>
  <c r="HM56" i="46"/>
  <c r="FH72" i="46"/>
  <c r="FB72" i="46"/>
  <c r="ES20" i="46"/>
  <c r="DX20" i="46"/>
  <c r="HY20" i="46"/>
  <c r="T15" i="46"/>
  <c r="AC15" i="46"/>
  <c r="W15" i="46"/>
  <c r="Z15" i="46"/>
  <c r="KP15" i="46"/>
  <c r="KM15" i="46"/>
  <c r="KJ15" i="46"/>
  <c r="JO15" i="46"/>
  <c r="JL15" i="46"/>
  <c r="JI15" i="46"/>
  <c r="LE15" i="46"/>
  <c r="LB15" i="46"/>
  <c r="KY15" i="46"/>
  <c r="JU15" i="46"/>
  <c r="IK15" i="46"/>
  <c r="KA15" i="46"/>
  <c r="JX15" i="46"/>
  <c r="JR15" i="46"/>
  <c r="JF15" i="46"/>
  <c r="IZ15" i="46"/>
  <c r="IH15" i="46"/>
  <c r="FZ15" i="46"/>
  <c r="IE15" i="46"/>
  <c r="FW15" i="46"/>
  <c r="IB15" i="46"/>
  <c r="FT15" i="46"/>
  <c r="HY15" i="46"/>
  <c r="FQ15" i="46"/>
  <c r="HM15" i="46"/>
  <c r="HJ15" i="46"/>
  <c r="HG15" i="46"/>
  <c r="HD15" i="46"/>
  <c r="GX15" i="46"/>
  <c r="KG15" i="46"/>
  <c r="KD15" i="46"/>
  <c r="GI15" i="46"/>
  <c r="KS15" i="46"/>
  <c r="HP15" i="46"/>
  <c r="JC15" i="46"/>
  <c r="HA15" i="46"/>
  <c r="IW15" i="46"/>
  <c r="GU15" i="46"/>
  <c r="IT15" i="46"/>
  <c r="GR15" i="46"/>
  <c r="IN15" i="46"/>
  <c r="GL15" i="46"/>
  <c r="GF15" i="46"/>
  <c r="KV15" i="46"/>
  <c r="FE15" i="46"/>
  <c r="CW15" i="46"/>
  <c r="IQ15" i="46"/>
  <c r="FB15" i="46"/>
  <c r="CT15" i="46"/>
  <c r="EY15" i="46"/>
  <c r="CQ15" i="46"/>
  <c r="EP15" i="46"/>
  <c r="GO15" i="46"/>
  <c r="EA15" i="46"/>
  <c r="CN15" i="46"/>
  <c r="HV15" i="46"/>
  <c r="DX15" i="46"/>
  <c r="CK15" i="46"/>
  <c r="HS15" i="46"/>
  <c r="DU15" i="46"/>
  <c r="CH15" i="46"/>
  <c r="GC15" i="46"/>
  <c r="DR15" i="46"/>
  <c r="CE15" i="46"/>
  <c r="DL15" i="46"/>
  <c r="DC15" i="46"/>
  <c r="CZ15" i="46"/>
  <c r="CB15" i="46"/>
  <c r="FK15" i="46"/>
  <c r="AL15" i="46"/>
  <c r="AI15" i="46"/>
  <c r="FH15" i="46"/>
  <c r="EV15" i="46"/>
  <c r="BJ15" i="46"/>
  <c r="ES15" i="46"/>
  <c r="BG15" i="46"/>
  <c r="EM15" i="46"/>
  <c r="BD15" i="46"/>
  <c r="EG15" i="46"/>
  <c r="DI15" i="46"/>
  <c r="BS15" i="46"/>
  <c r="DF15" i="46"/>
  <c r="FN15" i="46"/>
  <c r="BY15" i="46"/>
  <c r="EJ15" i="46"/>
  <c r="DO15" i="46"/>
  <c r="BV15" i="46"/>
  <c r="BA15" i="46"/>
  <c r="BP15" i="46"/>
  <c r="BM15" i="46"/>
  <c r="AR15" i="46"/>
  <c r="AO15" i="46"/>
  <c r="AU15" i="46"/>
  <c r="AX15" i="46"/>
  <c r="ED15" i="46"/>
  <c r="DF37" i="46"/>
  <c r="JF37" i="46"/>
  <c r="HM37" i="46"/>
  <c r="HD37" i="46"/>
  <c r="T256" i="46"/>
  <c r="Z256" i="46"/>
  <c r="W256" i="46"/>
  <c r="AC256" i="46"/>
  <c r="JI256" i="46"/>
  <c r="JF256" i="46"/>
  <c r="JC256" i="46"/>
  <c r="KP256" i="46"/>
  <c r="KG256" i="46"/>
  <c r="KD256" i="46"/>
  <c r="KA256" i="46"/>
  <c r="JX256" i="46"/>
  <c r="IZ256" i="46"/>
  <c r="IW256" i="46"/>
  <c r="IT256" i="46"/>
  <c r="LB256" i="46"/>
  <c r="KJ256" i="46"/>
  <c r="HD256" i="46"/>
  <c r="JU256" i="46"/>
  <c r="HA256" i="46"/>
  <c r="JR256" i="46"/>
  <c r="GX256" i="46"/>
  <c r="JO256" i="46"/>
  <c r="GO256" i="46"/>
  <c r="GL256" i="46"/>
  <c r="GI256" i="46"/>
  <c r="HM256" i="46"/>
  <c r="HJ256" i="46"/>
  <c r="HG256" i="46"/>
  <c r="JL256" i="46"/>
  <c r="IQ256" i="46"/>
  <c r="IN256" i="46"/>
  <c r="IK256" i="46"/>
  <c r="IH256" i="46"/>
  <c r="IB256" i="46"/>
  <c r="IE256" i="46"/>
  <c r="HY256" i="46"/>
  <c r="HV256" i="46"/>
  <c r="HP256" i="46"/>
  <c r="EV256" i="46"/>
  <c r="ES256" i="46"/>
  <c r="EP256" i="46"/>
  <c r="LE256" i="46"/>
  <c r="EM256" i="46"/>
  <c r="KY256" i="46"/>
  <c r="KS256" i="46"/>
  <c r="DO256" i="46"/>
  <c r="DL256" i="46"/>
  <c r="DI256" i="46"/>
  <c r="DF256" i="46"/>
  <c r="HS256" i="46"/>
  <c r="CZ256" i="46"/>
  <c r="GU256" i="46"/>
  <c r="GC256" i="46"/>
  <c r="FZ256" i="46"/>
  <c r="FE256" i="46"/>
  <c r="FW256" i="46"/>
  <c r="EG256" i="46"/>
  <c r="FT256" i="46"/>
  <c r="ED256" i="46"/>
  <c r="FQ256" i="46"/>
  <c r="EA256" i="46"/>
  <c r="FN256" i="46"/>
  <c r="DX256" i="46"/>
  <c r="DR256" i="46"/>
  <c r="DC256" i="46"/>
  <c r="FH256" i="46"/>
  <c r="CN256" i="46"/>
  <c r="FB256" i="46"/>
  <c r="CK256" i="46"/>
  <c r="EY256" i="46"/>
  <c r="CH256" i="46"/>
  <c r="EJ256" i="46"/>
  <c r="GF256" i="46"/>
  <c r="CW256" i="46"/>
  <c r="KV256" i="46"/>
  <c r="KM256" i="46"/>
  <c r="GR256" i="46"/>
  <c r="FK256" i="46"/>
  <c r="CE256" i="46"/>
  <c r="BP256" i="46"/>
  <c r="CB256" i="46"/>
  <c r="BM256" i="46"/>
  <c r="CQ256" i="46"/>
  <c r="BS256" i="46"/>
  <c r="BA256" i="46"/>
  <c r="AX256" i="46"/>
  <c r="CT256" i="46"/>
  <c r="DU256" i="46"/>
  <c r="BJ256" i="46"/>
  <c r="BG256" i="46"/>
  <c r="AR256" i="46"/>
  <c r="AO256" i="46"/>
  <c r="AI256" i="46"/>
  <c r="AL256" i="46"/>
  <c r="BD256" i="46"/>
  <c r="BY256" i="46"/>
  <c r="BV256" i="46"/>
  <c r="AU256" i="46"/>
  <c r="EV41" i="46"/>
  <c r="JR41" i="46"/>
  <c r="ED14" i="46"/>
  <c r="KD14" i="46"/>
  <c r="GL29" i="46"/>
  <c r="IH29" i="46"/>
  <c r="FH49" i="46"/>
  <c r="EJ49" i="46"/>
  <c r="IQ49" i="46"/>
  <c r="FQ56" i="46"/>
  <c r="GI72" i="46"/>
  <c r="HY72" i="46"/>
  <c r="EV37" i="46"/>
  <c r="IK37" i="46"/>
  <c r="HM50" i="46"/>
  <c r="JC20" i="46"/>
  <c r="GX11" i="46"/>
  <c r="IK49" i="46"/>
  <c r="FN20" i="46"/>
  <c r="DF56" i="46"/>
  <c r="KS56" i="46"/>
  <c r="IE37" i="46"/>
  <c r="KD37" i="46"/>
  <c r="GF20" i="46"/>
  <c r="HV11" i="46"/>
  <c r="IT11" i="46"/>
  <c r="KJ7" i="46"/>
  <c r="IT7" i="46"/>
  <c r="HM7" i="46"/>
  <c r="DX41" i="46"/>
  <c r="IB41" i="46"/>
  <c r="KP41" i="46"/>
  <c r="FB14" i="46"/>
  <c r="HD14" i="46"/>
  <c r="KP14" i="46"/>
  <c r="EY29" i="46"/>
  <c r="GU49" i="46"/>
  <c r="FK61" i="46"/>
  <c r="LB61" i="46"/>
  <c r="IK61" i="46"/>
  <c r="KV56" i="46"/>
  <c r="IH72" i="46"/>
  <c r="KG37" i="46"/>
  <c r="HJ50" i="46"/>
  <c r="IZ20" i="46"/>
  <c r="EV11" i="46"/>
  <c r="IZ11" i="46"/>
  <c r="HD49" i="46"/>
  <c r="IN49" i="46"/>
  <c r="FE14" i="46"/>
  <c r="FE49" i="46"/>
  <c r="T31" i="46"/>
  <c r="W31" i="46"/>
  <c r="AC31" i="46"/>
  <c r="Z31" i="46"/>
  <c r="JF31" i="46"/>
  <c r="JC31" i="46"/>
  <c r="IZ31" i="46"/>
  <c r="KJ31" i="46"/>
  <c r="KG31" i="46"/>
  <c r="KD31" i="46"/>
  <c r="KP31" i="46"/>
  <c r="KM31" i="46"/>
  <c r="KA31" i="46"/>
  <c r="JX31" i="46"/>
  <c r="IT31" i="46"/>
  <c r="IQ31" i="46"/>
  <c r="IN31" i="46"/>
  <c r="IK31" i="46"/>
  <c r="JU31" i="46"/>
  <c r="GR31" i="46"/>
  <c r="JR31" i="46"/>
  <c r="GO31" i="46"/>
  <c r="JO31" i="46"/>
  <c r="JL31" i="46"/>
  <c r="IW31" i="46"/>
  <c r="HJ31" i="46"/>
  <c r="HG31" i="46"/>
  <c r="HD31" i="46"/>
  <c r="HA31" i="46"/>
  <c r="GX31" i="46"/>
  <c r="FQ31" i="46"/>
  <c r="FN31" i="46"/>
  <c r="LE31" i="46"/>
  <c r="LB31" i="46"/>
  <c r="KV31" i="46"/>
  <c r="IE31" i="46"/>
  <c r="KS31" i="46"/>
  <c r="HP31" i="46"/>
  <c r="HS31" i="46"/>
  <c r="HM31" i="46"/>
  <c r="GU31" i="46"/>
  <c r="GL31" i="46"/>
  <c r="GF31" i="46"/>
  <c r="GC31" i="46"/>
  <c r="IH31" i="46"/>
  <c r="EM31" i="46"/>
  <c r="IB31" i="46"/>
  <c r="EJ31" i="46"/>
  <c r="HY31" i="46"/>
  <c r="EG31" i="46"/>
  <c r="HV31" i="46"/>
  <c r="FZ31" i="46"/>
  <c r="DX31" i="46"/>
  <c r="JI31" i="46"/>
  <c r="FK31" i="46"/>
  <c r="CQ31" i="46"/>
  <c r="CN31" i="46"/>
  <c r="KY31" i="46"/>
  <c r="FH31" i="46"/>
  <c r="CK31" i="46"/>
  <c r="FE31" i="46"/>
  <c r="CH31" i="46"/>
  <c r="FB31" i="46"/>
  <c r="CE31" i="46"/>
  <c r="EV31" i="46"/>
  <c r="FW31" i="46"/>
  <c r="EP31" i="46"/>
  <c r="ED31" i="46"/>
  <c r="EA31" i="46"/>
  <c r="CB31" i="46"/>
  <c r="DU31" i="46"/>
  <c r="DO31" i="46"/>
  <c r="DF31" i="46"/>
  <c r="DC31" i="46"/>
  <c r="AL31" i="46"/>
  <c r="AI31" i="46"/>
  <c r="EY31" i="46"/>
  <c r="BJ31" i="46"/>
  <c r="ES31" i="46"/>
  <c r="BG31" i="46"/>
  <c r="DR31" i="46"/>
  <c r="BD31" i="46"/>
  <c r="DI31" i="46"/>
  <c r="CT31" i="46"/>
  <c r="BS31" i="46"/>
  <c r="BY31" i="46"/>
  <c r="BV31" i="46"/>
  <c r="BP31" i="46"/>
  <c r="BM31" i="46"/>
  <c r="DL31" i="46"/>
  <c r="GI31" i="46"/>
  <c r="CZ31" i="46"/>
  <c r="AU31" i="46"/>
  <c r="AR31" i="46"/>
  <c r="AO31" i="46"/>
  <c r="AX31" i="46"/>
  <c r="FT31" i="46"/>
  <c r="BA31" i="46"/>
  <c r="CW31" i="46"/>
  <c r="AC27" i="46"/>
  <c r="Z27" i="46"/>
  <c r="W27" i="46"/>
  <c r="T27" i="46"/>
  <c r="KP27" i="46"/>
  <c r="KM27" i="46"/>
  <c r="KJ27" i="46"/>
  <c r="KD27" i="46"/>
  <c r="KA27" i="46"/>
  <c r="JX27" i="46"/>
  <c r="IT27" i="46"/>
  <c r="IQ27" i="46"/>
  <c r="IN27" i="46"/>
  <c r="IK27" i="46"/>
  <c r="KG27" i="46"/>
  <c r="LE27" i="46"/>
  <c r="LB27" i="46"/>
  <c r="KV27" i="46"/>
  <c r="JL27" i="46"/>
  <c r="JI27" i="46"/>
  <c r="JF27" i="46"/>
  <c r="JC27" i="46"/>
  <c r="IW27" i="46"/>
  <c r="JU27" i="46"/>
  <c r="IH27" i="46"/>
  <c r="FZ27" i="46"/>
  <c r="JR27" i="46"/>
  <c r="IE27" i="46"/>
  <c r="FW27" i="46"/>
  <c r="JO27" i="46"/>
  <c r="IB27" i="46"/>
  <c r="FT27" i="46"/>
  <c r="IZ27" i="46"/>
  <c r="HY27" i="46"/>
  <c r="FQ27" i="46"/>
  <c r="HM27" i="46"/>
  <c r="HJ27" i="46"/>
  <c r="HG27" i="46"/>
  <c r="HD27" i="46"/>
  <c r="GX27" i="46"/>
  <c r="KY27" i="46"/>
  <c r="GI27" i="46"/>
  <c r="FN27" i="46"/>
  <c r="KS27" i="46"/>
  <c r="HV27" i="46"/>
  <c r="HP27" i="46"/>
  <c r="FE27" i="46"/>
  <c r="CW27" i="46"/>
  <c r="FB27" i="46"/>
  <c r="CT27" i="46"/>
  <c r="EY27" i="46"/>
  <c r="CQ27" i="46"/>
  <c r="EP27" i="46"/>
  <c r="HS27" i="46"/>
  <c r="GO27" i="46"/>
  <c r="EA27" i="46"/>
  <c r="CN27" i="46"/>
  <c r="DX27" i="46"/>
  <c r="CK27" i="46"/>
  <c r="DU27" i="46"/>
  <c r="CH27" i="46"/>
  <c r="DR27" i="46"/>
  <c r="CE27" i="46"/>
  <c r="HA27" i="46"/>
  <c r="DL27" i="46"/>
  <c r="GL27" i="46"/>
  <c r="GC27" i="46"/>
  <c r="DC27" i="46"/>
  <c r="CZ27" i="46"/>
  <c r="GR27" i="46"/>
  <c r="GF27" i="46"/>
  <c r="FK27" i="46"/>
  <c r="DO27" i="46"/>
  <c r="AL27" i="46"/>
  <c r="AI27" i="46"/>
  <c r="DI27" i="46"/>
  <c r="DF27" i="46"/>
  <c r="BJ27" i="46"/>
  <c r="BG27" i="46"/>
  <c r="BD27" i="46"/>
  <c r="BS27" i="46"/>
  <c r="EV27" i="46"/>
  <c r="ES27" i="46"/>
  <c r="EG27" i="46"/>
  <c r="EM27" i="46"/>
  <c r="EJ27" i="46"/>
  <c r="ED27" i="46"/>
  <c r="BY27" i="46"/>
  <c r="FH27" i="46"/>
  <c r="CB27" i="46"/>
  <c r="AX27" i="46"/>
  <c r="AR27" i="46"/>
  <c r="GU27" i="46"/>
  <c r="BA27" i="46"/>
  <c r="BP27" i="46"/>
  <c r="BV27" i="46"/>
  <c r="AU27" i="46"/>
  <c r="AO27" i="46"/>
  <c r="BM27" i="46"/>
  <c r="AF27" i="46"/>
  <c r="Z35" i="46"/>
  <c r="W35" i="46"/>
  <c r="AC35" i="46"/>
  <c r="T35" i="46"/>
  <c r="JF35" i="46"/>
  <c r="JC35" i="46"/>
  <c r="IZ35" i="46"/>
  <c r="JU35" i="46"/>
  <c r="JR35" i="46"/>
  <c r="JO35" i="46"/>
  <c r="IK35" i="46"/>
  <c r="LE35" i="46"/>
  <c r="LB35" i="46"/>
  <c r="KG35" i="46"/>
  <c r="KD35" i="46"/>
  <c r="KA35" i="46"/>
  <c r="JX35" i="46"/>
  <c r="JL35" i="46"/>
  <c r="IW35" i="46"/>
  <c r="KJ35" i="46"/>
  <c r="GR35" i="46"/>
  <c r="JI35" i="46"/>
  <c r="GO35" i="46"/>
  <c r="IT35" i="46"/>
  <c r="IQ35" i="46"/>
  <c r="KY35" i="46"/>
  <c r="FZ35" i="46"/>
  <c r="KV35" i="46"/>
  <c r="FW35" i="46"/>
  <c r="KS35" i="46"/>
  <c r="IH35" i="46"/>
  <c r="FT35" i="46"/>
  <c r="KP35" i="46"/>
  <c r="IE35" i="46"/>
  <c r="FQ35" i="46"/>
  <c r="KM35" i="46"/>
  <c r="IB35" i="46"/>
  <c r="FN35" i="46"/>
  <c r="HP35" i="46"/>
  <c r="HM35" i="46"/>
  <c r="HJ35" i="46"/>
  <c r="HG35" i="46"/>
  <c r="IN35" i="46"/>
  <c r="HA35" i="46"/>
  <c r="GF35" i="46"/>
  <c r="HV35" i="46"/>
  <c r="EM35" i="46"/>
  <c r="EJ35" i="46"/>
  <c r="EG35" i="46"/>
  <c r="DX35" i="46"/>
  <c r="HY35" i="46"/>
  <c r="GU35" i="46"/>
  <c r="FK35" i="46"/>
  <c r="CQ35" i="46"/>
  <c r="CN35" i="46"/>
  <c r="FH35" i="46"/>
  <c r="CK35" i="46"/>
  <c r="FE35" i="46"/>
  <c r="CH35" i="46"/>
  <c r="FB35" i="46"/>
  <c r="CE35" i="46"/>
  <c r="EV35" i="46"/>
  <c r="HS35" i="46"/>
  <c r="GX35" i="46"/>
  <c r="EP35" i="46"/>
  <c r="ED35" i="46"/>
  <c r="EA35" i="46"/>
  <c r="DU35" i="46"/>
  <c r="DO35" i="46"/>
  <c r="GL35" i="46"/>
  <c r="DF35" i="46"/>
  <c r="GI35" i="46"/>
  <c r="DC35" i="46"/>
  <c r="AL35" i="46"/>
  <c r="AI35" i="46"/>
  <c r="BJ35" i="46"/>
  <c r="HD35" i="46"/>
  <c r="EY35" i="46"/>
  <c r="BG35" i="46"/>
  <c r="GC35" i="46"/>
  <c r="ES35" i="46"/>
  <c r="BD35" i="46"/>
  <c r="DL35" i="46"/>
  <c r="CW35" i="46"/>
  <c r="BS35" i="46"/>
  <c r="CT35" i="46"/>
  <c r="AX35" i="46"/>
  <c r="AO35" i="46"/>
  <c r="CB35" i="46"/>
  <c r="DR35" i="46"/>
  <c r="DI35" i="46"/>
  <c r="CZ35" i="46"/>
  <c r="BY35" i="46"/>
  <c r="BA35" i="46"/>
  <c r="BV35" i="46"/>
  <c r="AU35" i="46"/>
  <c r="BM35" i="46"/>
  <c r="BP35" i="46"/>
  <c r="AR35" i="46"/>
  <c r="KJ29" i="46"/>
  <c r="GR29" i="46"/>
  <c r="EG29" i="46"/>
  <c r="KG29" i="46"/>
  <c r="GC29" i="46"/>
  <c r="ED29" i="46"/>
  <c r="HD29" i="46"/>
  <c r="BV7" i="46"/>
  <c r="LB7" i="46"/>
  <c r="JU7" i="46"/>
  <c r="JL41" i="46"/>
  <c r="EV14" i="46"/>
  <c r="KS14" i="46"/>
  <c r="FB29" i="46"/>
  <c r="KP29" i="46"/>
  <c r="GX49" i="46"/>
  <c r="GC56" i="46"/>
  <c r="EG72" i="46"/>
  <c r="KA72" i="46"/>
  <c r="IE50" i="46"/>
  <c r="HA20" i="46"/>
  <c r="FQ11" i="46"/>
  <c r="Z25" i="46"/>
  <c r="AC25" i="46"/>
  <c r="T25" i="46"/>
  <c r="W25" i="46"/>
  <c r="JL25" i="46"/>
  <c r="JI25" i="46"/>
  <c r="JF25" i="46"/>
  <c r="KP25" i="46"/>
  <c r="KM25" i="46"/>
  <c r="KJ25" i="46"/>
  <c r="LE25" i="46"/>
  <c r="LB25" i="46"/>
  <c r="KY25" i="46"/>
  <c r="KV25" i="46"/>
  <c r="JR25" i="46"/>
  <c r="IW25" i="46"/>
  <c r="IT25" i="46"/>
  <c r="IQ25" i="46"/>
  <c r="IN25" i="46"/>
  <c r="JX25" i="46"/>
  <c r="JU25" i="46"/>
  <c r="JO25" i="46"/>
  <c r="JC25" i="46"/>
  <c r="IK25" i="46"/>
  <c r="HD25" i="46"/>
  <c r="HA25" i="46"/>
  <c r="GX25" i="46"/>
  <c r="GU25" i="46"/>
  <c r="IZ25" i="46"/>
  <c r="HS25" i="46"/>
  <c r="HP25" i="46"/>
  <c r="HM25" i="46"/>
  <c r="HJ25" i="46"/>
  <c r="GR25" i="46"/>
  <c r="GC25" i="46"/>
  <c r="HV25" i="46"/>
  <c r="HG25" i="46"/>
  <c r="GO25" i="46"/>
  <c r="GL25" i="46"/>
  <c r="GF25" i="46"/>
  <c r="FZ25" i="46"/>
  <c r="KS25" i="46"/>
  <c r="FN25" i="46"/>
  <c r="KD25" i="46"/>
  <c r="EA25" i="46"/>
  <c r="DX25" i="46"/>
  <c r="DU25" i="46"/>
  <c r="KG25" i="46"/>
  <c r="DL25" i="46"/>
  <c r="IH25" i="46"/>
  <c r="IE25" i="46"/>
  <c r="GI25" i="46"/>
  <c r="EG25" i="46"/>
  <c r="ED25" i="46"/>
  <c r="DR25" i="46"/>
  <c r="DO25" i="46"/>
  <c r="DF25" i="46"/>
  <c r="FW25" i="46"/>
  <c r="FQ25" i="46"/>
  <c r="FB25" i="46"/>
  <c r="KA25" i="46"/>
  <c r="EY25" i="46"/>
  <c r="EV25" i="46"/>
  <c r="CN25" i="46"/>
  <c r="ES25" i="46"/>
  <c r="EM25" i="46"/>
  <c r="CE25" i="46"/>
  <c r="CZ25" i="46"/>
  <c r="IB25" i="46"/>
  <c r="HY25" i="46"/>
  <c r="DC25" i="46"/>
  <c r="BP25" i="46"/>
  <c r="CW25" i="46"/>
  <c r="BM25" i="46"/>
  <c r="CT25" i="46"/>
  <c r="CQ25" i="46"/>
  <c r="FT25" i="46"/>
  <c r="CB25" i="46"/>
  <c r="BY25" i="46"/>
  <c r="AX25" i="46"/>
  <c r="BV25" i="46"/>
  <c r="BS25" i="46"/>
  <c r="FK25" i="46"/>
  <c r="FH25" i="46"/>
  <c r="EP25" i="46"/>
  <c r="CH25" i="46"/>
  <c r="BA25" i="46"/>
  <c r="AR25" i="46"/>
  <c r="BJ25" i="46"/>
  <c r="EJ25" i="46"/>
  <c r="AO25" i="46"/>
  <c r="FE25" i="46"/>
  <c r="AL25" i="46"/>
  <c r="CK25" i="46"/>
  <c r="AI25" i="46"/>
  <c r="DI25" i="46"/>
  <c r="BG25" i="46"/>
  <c r="BD25" i="46"/>
  <c r="AU25" i="46"/>
  <c r="HS41" i="46"/>
  <c r="FN41" i="46"/>
  <c r="HY56" i="46"/>
  <c r="FQ41" i="46"/>
  <c r="ED41" i="46"/>
  <c r="KA41" i="46"/>
  <c r="IB14" i="46"/>
  <c r="KV14" i="46"/>
  <c r="KY56" i="46"/>
  <c r="FK37" i="46"/>
  <c r="KD20" i="46"/>
  <c r="JF11" i="46"/>
  <c r="AC34" i="46"/>
  <c r="Z34" i="46"/>
  <c r="W34" i="46"/>
  <c r="T34" i="46"/>
  <c r="JU34" i="46"/>
  <c r="JR34" i="46"/>
  <c r="JO34" i="46"/>
  <c r="KA34" i="46"/>
  <c r="JX34" i="46"/>
  <c r="JL34" i="46"/>
  <c r="LE34" i="46"/>
  <c r="LB34" i="46"/>
  <c r="KY34" i="46"/>
  <c r="KD34" i="46"/>
  <c r="IT34" i="46"/>
  <c r="IQ34" i="46"/>
  <c r="IN34" i="46"/>
  <c r="IK34" i="46"/>
  <c r="HG34" i="46"/>
  <c r="HD34" i="46"/>
  <c r="KV34" i="46"/>
  <c r="KP34" i="46"/>
  <c r="GI34" i="46"/>
  <c r="GF34" i="46"/>
  <c r="GC34" i="46"/>
  <c r="FZ34" i="46"/>
  <c r="FW34" i="46"/>
  <c r="KS34" i="46"/>
  <c r="HJ34" i="46"/>
  <c r="HA34" i="46"/>
  <c r="GX34" i="46"/>
  <c r="GU34" i="46"/>
  <c r="GO34" i="46"/>
  <c r="KM34" i="46"/>
  <c r="JI34" i="46"/>
  <c r="JF34" i="46"/>
  <c r="IZ34" i="46"/>
  <c r="IH34" i="46"/>
  <c r="IW34" i="46"/>
  <c r="IE34" i="46"/>
  <c r="IB34" i="46"/>
  <c r="HY34" i="46"/>
  <c r="HS34" i="46"/>
  <c r="HP34" i="46"/>
  <c r="FT34" i="46"/>
  <c r="FN34" i="46"/>
  <c r="KJ34" i="46"/>
  <c r="HV34" i="46"/>
  <c r="FB34" i="46"/>
  <c r="CT34" i="46"/>
  <c r="HM34" i="46"/>
  <c r="EY34" i="46"/>
  <c r="CQ34" i="46"/>
  <c r="GR34" i="46"/>
  <c r="EV34" i="46"/>
  <c r="GL34" i="46"/>
  <c r="EM34" i="46"/>
  <c r="JC34" i="46"/>
  <c r="FK34" i="46"/>
  <c r="FH34" i="46"/>
  <c r="FE34" i="46"/>
  <c r="EP34" i="46"/>
  <c r="CN34" i="46"/>
  <c r="FQ34" i="46"/>
  <c r="DR34" i="46"/>
  <c r="DO34" i="46"/>
  <c r="DL34" i="46"/>
  <c r="DI34" i="46"/>
  <c r="DC34" i="46"/>
  <c r="CW34" i="46"/>
  <c r="AU34" i="46"/>
  <c r="AO34" i="46"/>
  <c r="AR34" i="46"/>
  <c r="KG34" i="46"/>
  <c r="CK34" i="46"/>
  <c r="CH34" i="46"/>
  <c r="EJ34" i="46"/>
  <c r="CB34" i="46"/>
  <c r="BY34" i="46"/>
  <c r="BJ34" i="46"/>
  <c r="AL34" i="46"/>
  <c r="CE34" i="46"/>
  <c r="BG34" i="46"/>
  <c r="AI34" i="46"/>
  <c r="BD34" i="46"/>
  <c r="BA34" i="46"/>
  <c r="AX34" i="46"/>
  <c r="ES34" i="46"/>
  <c r="EA34" i="46"/>
  <c r="DX34" i="46"/>
  <c r="BV34" i="46"/>
  <c r="DF34" i="46"/>
  <c r="CZ34" i="46"/>
  <c r="BM34" i="46"/>
  <c r="BS34" i="46"/>
  <c r="EG34" i="46"/>
  <c r="ED34" i="46"/>
  <c r="DU34" i="46"/>
  <c r="BP34" i="46"/>
  <c r="AC40" i="46"/>
  <c r="Z40" i="46"/>
  <c r="W40" i="46"/>
  <c r="T40" i="46"/>
  <c r="KY40" i="46"/>
  <c r="IQ40" i="46"/>
  <c r="KV40" i="46"/>
  <c r="IN40" i="46"/>
  <c r="KS40" i="46"/>
  <c r="IK40" i="46"/>
  <c r="IZ40" i="46"/>
  <c r="IW40" i="46"/>
  <c r="IT40" i="46"/>
  <c r="LE40" i="46"/>
  <c r="KM40" i="46"/>
  <c r="KJ40" i="46"/>
  <c r="KG40" i="46"/>
  <c r="KD40" i="46"/>
  <c r="JI40" i="46"/>
  <c r="JF40" i="46"/>
  <c r="JC40" i="46"/>
  <c r="GC40" i="46"/>
  <c r="IH40" i="46"/>
  <c r="FZ40" i="46"/>
  <c r="HA40" i="46"/>
  <c r="GX40" i="46"/>
  <c r="GU40" i="46"/>
  <c r="GR40" i="46"/>
  <c r="GO40" i="46"/>
  <c r="KP40" i="46"/>
  <c r="JU40" i="46"/>
  <c r="HG40" i="46"/>
  <c r="JR40" i="46"/>
  <c r="HD40" i="46"/>
  <c r="JO40" i="46"/>
  <c r="GL40" i="46"/>
  <c r="JL40" i="46"/>
  <c r="GI40" i="46"/>
  <c r="FW40" i="46"/>
  <c r="FT40" i="46"/>
  <c r="GF40" i="46"/>
  <c r="LB40" i="46"/>
  <c r="FQ40" i="46"/>
  <c r="KA40" i="46"/>
  <c r="FN40" i="46"/>
  <c r="JX40" i="46"/>
  <c r="IE40" i="46"/>
  <c r="HS40" i="46"/>
  <c r="DX40" i="46"/>
  <c r="HP40" i="46"/>
  <c r="DU40" i="46"/>
  <c r="HM40" i="46"/>
  <c r="DR40" i="46"/>
  <c r="HJ40" i="46"/>
  <c r="DI40" i="46"/>
  <c r="FH40" i="46"/>
  <c r="FE40" i="46"/>
  <c r="FB40" i="46"/>
  <c r="EY40" i="46"/>
  <c r="ES40" i="46"/>
  <c r="EJ40" i="46"/>
  <c r="HY40" i="46"/>
  <c r="CT40" i="46"/>
  <c r="CQ40" i="46"/>
  <c r="EV40" i="46"/>
  <c r="EP40" i="46"/>
  <c r="DO40" i="46"/>
  <c r="BA40" i="46"/>
  <c r="DL40" i="46"/>
  <c r="AX40" i="46"/>
  <c r="DF40" i="46"/>
  <c r="BY40" i="46"/>
  <c r="DC40" i="46"/>
  <c r="BV40" i="46"/>
  <c r="CZ40" i="46"/>
  <c r="BS40" i="46"/>
  <c r="BM40" i="46"/>
  <c r="CN40" i="46"/>
  <c r="EG40" i="46"/>
  <c r="AO40" i="46"/>
  <c r="AL40" i="46"/>
  <c r="ED40" i="46"/>
  <c r="BJ40" i="46"/>
  <c r="EA40" i="46"/>
  <c r="BG40" i="46"/>
  <c r="AI40" i="46"/>
  <c r="CW40" i="46"/>
  <c r="BD40" i="46"/>
  <c r="IB40" i="46"/>
  <c r="HV40" i="46"/>
  <c r="CK40" i="46"/>
  <c r="CE40" i="46"/>
  <c r="EM40" i="46"/>
  <c r="AU40" i="46"/>
  <c r="CH40" i="46"/>
  <c r="BP40" i="46"/>
  <c r="AR40" i="46"/>
  <c r="FK40" i="46"/>
  <c r="CB40" i="46"/>
  <c r="FB7" i="46"/>
  <c r="CK7" i="46"/>
  <c r="HP7" i="46"/>
  <c r="ES41" i="46"/>
  <c r="KM41" i="46"/>
  <c r="HY14" i="46"/>
  <c r="DF29" i="46"/>
  <c r="IN29" i="46"/>
  <c r="HM49" i="46"/>
  <c r="HD61" i="46"/>
  <c r="LB56" i="46"/>
  <c r="KD72" i="46"/>
  <c r="GL37" i="46"/>
  <c r="IZ50" i="46"/>
  <c r="KS20" i="46"/>
  <c r="KG11" i="46"/>
  <c r="AF39" i="46"/>
  <c r="AC39" i="46"/>
  <c r="Z39" i="46"/>
  <c r="W39" i="46"/>
  <c r="T39" i="46"/>
  <c r="JF39" i="46"/>
  <c r="JC39" i="46"/>
  <c r="IZ39" i="46"/>
  <c r="IW39" i="46"/>
  <c r="IT39" i="46"/>
  <c r="IQ39" i="46"/>
  <c r="LB39" i="46"/>
  <c r="IK39" i="46"/>
  <c r="KG39" i="46"/>
  <c r="KD39" i="46"/>
  <c r="KA39" i="46"/>
  <c r="JX39" i="46"/>
  <c r="LE39" i="46"/>
  <c r="KY39" i="46"/>
  <c r="KS39" i="46"/>
  <c r="JU39" i="46"/>
  <c r="GR39" i="46"/>
  <c r="JR39" i="46"/>
  <c r="GO39" i="46"/>
  <c r="JO39" i="46"/>
  <c r="JL39" i="46"/>
  <c r="IN39" i="46"/>
  <c r="HJ39" i="46"/>
  <c r="HG39" i="46"/>
  <c r="HD39" i="46"/>
  <c r="HA39" i="46"/>
  <c r="GX39" i="46"/>
  <c r="GF39" i="46"/>
  <c r="GC39" i="46"/>
  <c r="FZ39" i="46"/>
  <c r="FW39" i="46"/>
  <c r="KP39" i="46"/>
  <c r="FQ39" i="46"/>
  <c r="KM39" i="46"/>
  <c r="FN39" i="46"/>
  <c r="IE39" i="46"/>
  <c r="IH39" i="46"/>
  <c r="KJ39" i="46"/>
  <c r="HY39" i="46"/>
  <c r="JI39" i="46"/>
  <c r="HV39" i="46"/>
  <c r="GU39" i="46"/>
  <c r="GI39" i="46"/>
  <c r="EM39" i="46"/>
  <c r="EJ39" i="46"/>
  <c r="EG39" i="46"/>
  <c r="HS39" i="46"/>
  <c r="DX39" i="46"/>
  <c r="GL39" i="46"/>
  <c r="FT39" i="46"/>
  <c r="FK39" i="46"/>
  <c r="CQ39" i="46"/>
  <c r="CN39" i="46"/>
  <c r="FH39" i="46"/>
  <c r="CK39" i="46"/>
  <c r="FE39" i="46"/>
  <c r="CH39" i="46"/>
  <c r="FB39" i="46"/>
  <c r="CE39" i="46"/>
  <c r="EV39" i="46"/>
  <c r="ED39" i="46"/>
  <c r="KV39" i="46"/>
  <c r="HM39" i="46"/>
  <c r="HP39" i="46"/>
  <c r="EY39" i="46"/>
  <c r="ES39" i="46"/>
  <c r="EA39" i="46"/>
  <c r="DO39" i="46"/>
  <c r="DL39" i="46"/>
  <c r="IB39" i="46"/>
  <c r="AL39" i="46"/>
  <c r="AI39" i="46"/>
  <c r="BJ39" i="46"/>
  <c r="BG39" i="46"/>
  <c r="BD39" i="46"/>
  <c r="EP39" i="46"/>
  <c r="DI39" i="46"/>
  <c r="BS39" i="46"/>
  <c r="DF39" i="46"/>
  <c r="CZ39" i="46"/>
  <c r="AR39" i="46"/>
  <c r="DC39" i="46"/>
  <c r="BA39" i="46"/>
  <c r="AU39" i="46"/>
  <c r="DU39" i="46"/>
  <c r="DR39" i="46"/>
  <c r="AX39" i="46"/>
  <c r="AO39" i="46"/>
  <c r="CW39" i="46"/>
  <c r="CT39" i="46"/>
  <c r="BM39" i="46"/>
  <c r="CB39" i="46"/>
  <c r="BY39" i="46"/>
  <c r="BV39" i="46"/>
  <c r="BP39" i="46"/>
  <c r="EG49" i="46"/>
  <c r="JR49" i="46"/>
  <c r="KM14" i="46"/>
  <c r="FZ14" i="46"/>
  <c r="EA14" i="46"/>
  <c r="EG14" i="46"/>
  <c r="JI14" i="46"/>
  <c r="FW14" i="46"/>
  <c r="DX14" i="46"/>
  <c r="FH14" i="46"/>
  <c r="HV41" i="46"/>
  <c r="EA41" i="46"/>
  <c r="FH41" i="46"/>
  <c r="IW49" i="46"/>
  <c r="HJ49" i="46"/>
  <c r="HY41" i="46"/>
  <c r="JO41" i="46"/>
  <c r="IE14" i="46"/>
  <c r="LE14" i="46"/>
  <c r="JO29" i="46"/>
  <c r="DI49" i="46"/>
  <c r="HY49" i="46"/>
  <c r="DI56" i="46"/>
  <c r="EA56" i="46"/>
  <c r="JU56" i="46"/>
  <c r="ED72" i="46"/>
  <c r="IQ72" i="46"/>
  <c r="KS37" i="46"/>
  <c r="JR20" i="46"/>
  <c r="KS11" i="46"/>
  <c r="IE7" i="46"/>
  <c r="DR7" i="46"/>
  <c r="T7" i="46"/>
  <c r="GU69" i="46"/>
  <c r="HY69" i="46"/>
  <c r="IE41" i="46"/>
  <c r="KV41" i="46"/>
  <c r="FE57" i="46"/>
  <c r="HJ57" i="46"/>
  <c r="KA14" i="46"/>
  <c r="JC29" i="46"/>
  <c r="FK49" i="46"/>
  <c r="IH49" i="46"/>
  <c r="HM61" i="46"/>
  <c r="ED56" i="46"/>
  <c r="JR56" i="46"/>
  <c r="FT72" i="46"/>
  <c r="JF72" i="46"/>
  <c r="EA37" i="46"/>
  <c r="GO37" i="46"/>
  <c r="HD50" i="46"/>
  <c r="KG20" i="46"/>
  <c r="KY11" i="46"/>
  <c r="GU41" i="46"/>
  <c r="FT14" i="46"/>
  <c r="KV29" i="46"/>
  <c r="EV49" i="46"/>
  <c r="GO49" i="46"/>
  <c r="GX61" i="46"/>
  <c r="DF61" i="46"/>
  <c r="IZ61" i="46"/>
  <c r="EM56" i="46"/>
  <c r="KP56" i="46"/>
  <c r="GR72" i="46"/>
  <c r="KS72" i="46"/>
  <c r="GR37" i="46"/>
  <c r="LB50" i="46"/>
  <c r="DI20" i="46"/>
  <c r="JI20" i="46"/>
  <c r="FH11" i="46"/>
  <c r="GU11" i="46"/>
  <c r="JR11" i="46"/>
  <c r="GI56" i="46"/>
  <c r="GC41" i="46"/>
  <c r="GF49" i="46"/>
  <c r="DX37" i="46"/>
  <c r="KJ20" i="46"/>
  <c r="LB11" i="46"/>
  <c r="Z7" i="46"/>
  <c r="DX7" i="46"/>
  <c r="JR7" i="46"/>
  <c r="AL7" i="46"/>
  <c r="KV7" i="46"/>
  <c r="CQ7" i="46"/>
  <c r="HJ7" i="46"/>
  <c r="IZ7" i="46"/>
  <c r="IN7" i="46"/>
  <c r="BS7" i="46"/>
  <c r="AF7" i="46"/>
  <c r="EG7" i="46"/>
  <c r="GR7" i="46"/>
  <c r="GF7" i="46"/>
  <c r="KG7" i="46"/>
  <c r="BA7" i="46"/>
  <c r="DO7" i="46"/>
  <c r="CB7" i="46"/>
  <c r="FQ7" i="46"/>
  <c r="JO7" i="46"/>
  <c r="CN7" i="46"/>
  <c r="KS7" i="46"/>
  <c r="EV7" i="46"/>
  <c r="HG7" i="46"/>
  <c r="AI7" i="46"/>
  <c r="GC7" i="46"/>
  <c r="BP7" i="46"/>
  <c r="AX7" i="46"/>
  <c r="DL7" i="46"/>
  <c r="IH7" i="46"/>
  <c r="HV7" i="46"/>
  <c r="GI49" i="46"/>
  <c r="KM56" i="46"/>
  <c r="EM72" i="46"/>
  <c r="KP20" i="46"/>
  <c r="EA11" i="46"/>
  <c r="JO11" i="46"/>
  <c r="T254" i="46"/>
  <c r="Z254" i="46"/>
  <c r="AC254" i="46"/>
  <c r="W254" i="46"/>
  <c r="KM254" i="46"/>
  <c r="KJ254" i="46"/>
  <c r="KG254" i="46"/>
  <c r="JL254" i="46"/>
  <c r="KD254" i="46"/>
  <c r="KA254" i="46"/>
  <c r="JX254" i="46"/>
  <c r="JU254" i="46"/>
  <c r="LE254" i="46"/>
  <c r="KP254" i="46"/>
  <c r="JI254" i="46"/>
  <c r="LB254" i="46"/>
  <c r="KY254" i="46"/>
  <c r="KV254" i="46"/>
  <c r="KS254" i="46"/>
  <c r="IW254" i="46"/>
  <c r="HS254" i="46"/>
  <c r="HP254" i="46"/>
  <c r="HM254" i="46"/>
  <c r="JR254" i="46"/>
  <c r="HG254" i="46"/>
  <c r="JO254" i="46"/>
  <c r="HD254" i="46"/>
  <c r="JF254" i="46"/>
  <c r="HA254" i="46"/>
  <c r="JC254" i="46"/>
  <c r="IB254" i="46"/>
  <c r="HY254" i="46"/>
  <c r="HV254" i="46"/>
  <c r="HJ254" i="46"/>
  <c r="GU254" i="46"/>
  <c r="IT254" i="46"/>
  <c r="FT254" i="46"/>
  <c r="FQ254" i="46"/>
  <c r="IZ254" i="46"/>
  <c r="FN254" i="46"/>
  <c r="IQ254" i="46"/>
  <c r="IK254" i="46"/>
  <c r="DR254" i="46"/>
  <c r="DO254" i="46"/>
  <c r="DL254" i="46"/>
  <c r="DI254" i="46"/>
  <c r="IN254" i="46"/>
  <c r="GX254" i="46"/>
  <c r="DU254" i="46"/>
  <c r="GR254" i="46"/>
  <c r="DF254" i="46"/>
  <c r="GO254" i="46"/>
  <c r="DC254" i="46"/>
  <c r="GL254" i="46"/>
  <c r="CZ254" i="46"/>
  <c r="GF254" i="46"/>
  <c r="CT254" i="46"/>
  <c r="GC254" i="46"/>
  <c r="FK254" i="46"/>
  <c r="FH254" i="46"/>
  <c r="FB254" i="46"/>
  <c r="EY254" i="46"/>
  <c r="FZ254" i="46"/>
  <c r="EM254" i="46"/>
  <c r="EG254" i="46"/>
  <c r="EJ254" i="46"/>
  <c r="ED254" i="46"/>
  <c r="EA254" i="46"/>
  <c r="DX254" i="46"/>
  <c r="CQ254" i="46"/>
  <c r="IE254" i="46"/>
  <c r="GI254" i="46"/>
  <c r="FE254" i="46"/>
  <c r="BY254" i="46"/>
  <c r="EV254" i="46"/>
  <c r="BV254" i="46"/>
  <c r="ES254" i="46"/>
  <c r="BS254" i="46"/>
  <c r="EP254" i="46"/>
  <c r="CK254" i="46"/>
  <c r="FW254" i="46"/>
  <c r="CN254" i="46"/>
  <c r="CB254" i="46"/>
  <c r="AU254" i="46"/>
  <c r="AR254" i="46"/>
  <c r="IH254" i="46"/>
  <c r="BP254" i="46"/>
  <c r="AO254" i="46"/>
  <c r="CH254" i="46"/>
  <c r="BD254" i="46"/>
  <c r="AL254" i="46"/>
  <c r="AI254" i="46"/>
  <c r="CW254" i="46"/>
  <c r="BG254" i="46"/>
  <c r="BJ254" i="46"/>
  <c r="BA254" i="46"/>
  <c r="AX254" i="46"/>
  <c r="BM254" i="46"/>
  <c r="CE254" i="46"/>
  <c r="KJ41" i="46"/>
  <c r="FE7" i="46"/>
  <c r="EJ69" i="46"/>
  <c r="GX41" i="46"/>
  <c r="FQ57" i="46"/>
  <c r="HA14" i="46"/>
  <c r="IQ29" i="46"/>
  <c r="EY49" i="46"/>
  <c r="FN49" i="46"/>
  <c r="EV61" i="46"/>
  <c r="KA61" i="46"/>
  <c r="FW56" i="46"/>
  <c r="JX56" i="46"/>
  <c r="GX72" i="46"/>
  <c r="KV72" i="46"/>
  <c r="HA37" i="46"/>
  <c r="EY50" i="46"/>
  <c r="IN50" i="46"/>
  <c r="JL20" i="46"/>
  <c r="FN11" i="46"/>
  <c r="JU11" i="46"/>
  <c r="HS56" i="46"/>
  <c r="AC67" i="46"/>
  <c r="Z67" i="46"/>
  <c r="T67" i="46"/>
  <c r="W67" i="46"/>
  <c r="JR67" i="46"/>
  <c r="JO67" i="46"/>
  <c r="JL67" i="46"/>
  <c r="LB67" i="46"/>
  <c r="IK67" i="46"/>
  <c r="KY67" i="46"/>
  <c r="KV67" i="46"/>
  <c r="KS67" i="46"/>
  <c r="JF67" i="46"/>
  <c r="JC67" i="46"/>
  <c r="IZ67" i="46"/>
  <c r="IT67" i="46"/>
  <c r="KG67" i="46"/>
  <c r="LE67" i="46"/>
  <c r="KP67" i="46"/>
  <c r="KJ67" i="46"/>
  <c r="IW67" i="46"/>
  <c r="GU67" i="46"/>
  <c r="IQ67" i="46"/>
  <c r="GR67" i="46"/>
  <c r="IN67" i="46"/>
  <c r="GO67" i="46"/>
  <c r="GF67" i="46"/>
  <c r="HV67" i="46"/>
  <c r="KM67" i="46"/>
  <c r="HS67" i="46"/>
  <c r="KD67" i="46"/>
  <c r="HP67" i="46"/>
  <c r="KA67" i="46"/>
  <c r="HM67" i="46"/>
  <c r="JX67" i="46"/>
  <c r="HJ67" i="46"/>
  <c r="JI67" i="46"/>
  <c r="IH67" i="46"/>
  <c r="IE67" i="46"/>
  <c r="IB67" i="46"/>
  <c r="HG67" i="46"/>
  <c r="HD67" i="46"/>
  <c r="GI67" i="46"/>
  <c r="DI67" i="46"/>
  <c r="DF67" i="46"/>
  <c r="FK67" i="46"/>
  <c r="DC67" i="46"/>
  <c r="FB67" i="46"/>
  <c r="CT67" i="46"/>
  <c r="HY67" i="46"/>
  <c r="GX67" i="46"/>
  <c r="FZ67" i="46"/>
  <c r="EG67" i="46"/>
  <c r="ED67" i="46"/>
  <c r="JU67" i="46"/>
  <c r="EA67" i="46"/>
  <c r="DX67" i="46"/>
  <c r="DR67" i="46"/>
  <c r="GL67" i="46"/>
  <c r="FQ67" i="46"/>
  <c r="FT67" i="46"/>
  <c r="CZ67" i="46"/>
  <c r="CN67" i="46"/>
  <c r="FN67" i="46"/>
  <c r="CW67" i="46"/>
  <c r="CK67" i="46"/>
  <c r="CQ67" i="46"/>
  <c r="CH67" i="46"/>
  <c r="CE67" i="46"/>
  <c r="EV67" i="46"/>
  <c r="EJ67" i="46"/>
  <c r="GC67" i="46"/>
  <c r="FH67" i="46"/>
  <c r="HA67" i="46"/>
  <c r="ES67" i="46"/>
  <c r="FW67" i="46"/>
  <c r="EP67" i="46"/>
  <c r="BY67" i="46"/>
  <c r="AL67" i="46"/>
  <c r="BV67" i="46"/>
  <c r="AI67" i="46"/>
  <c r="BS67" i="46"/>
  <c r="BJ67" i="46"/>
  <c r="BP67" i="46"/>
  <c r="BG67" i="46"/>
  <c r="BM67" i="46"/>
  <c r="BD67" i="46"/>
  <c r="FE67" i="46"/>
  <c r="AX67" i="46"/>
  <c r="AO67" i="46"/>
  <c r="EY67" i="46"/>
  <c r="EM67" i="46"/>
  <c r="DU67" i="46"/>
  <c r="DO67" i="46"/>
  <c r="DL67" i="46"/>
  <c r="BA67" i="46"/>
  <c r="AU67" i="46"/>
  <c r="AR67" i="46"/>
  <c r="CB67" i="46"/>
  <c r="KJ14" i="46"/>
  <c r="KD41" i="46"/>
  <c r="IE56" i="46"/>
  <c r="KG41" i="46"/>
  <c r="KM72" i="46"/>
  <c r="AC46" i="46"/>
  <c r="Z46" i="46"/>
  <c r="W46" i="46"/>
  <c r="T46" i="46"/>
  <c r="JU46" i="46"/>
  <c r="JR46" i="46"/>
  <c r="JO46" i="46"/>
  <c r="KP46" i="46"/>
  <c r="KM46" i="46"/>
  <c r="KJ46" i="46"/>
  <c r="KD46" i="46"/>
  <c r="KS46" i="46"/>
  <c r="KG46" i="46"/>
  <c r="KA46" i="46"/>
  <c r="JX46" i="46"/>
  <c r="IT46" i="46"/>
  <c r="JI46" i="46"/>
  <c r="JF46" i="46"/>
  <c r="JC46" i="46"/>
  <c r="IZ46" i="46"/>
  <c r="IQ46" i="46"/>
  <c r="HG46" i="46"/>
  <c r="HD46" i="46"/>
  <c r="HS46" i="46"/>
  <c r="HP46" i="46"/>
  <c r="HM46" i="46"/>
  <c r="HJ46" i="46"/>
  <c r="HA46" i="46"/>
  <c r="LE46" i="46"/>
  <c r="GO46" i="46"/>
  <c r="GL46" i="46"/>
  <c r="GI46" i="46"/>
  <c r="GF46" i="46"/>
  <c r="FZ46" i="46"/>
  <c r="FW46" i="46"/>
  <c r="LB46" i="46"/>
  <c r="EP46" i="46"/>
  <c r="KY46" i="46"/>
  <c r="JL46" i="46"/>
  <c r="IW46" i="46"/>
  <c r="HY46" i="46"/>
  <c r="GX46" i="46"/>
  <c r="HV46" i="46"/>
  <c r="DI46" i="46"/>
  <c r="GU46" i="46"/>
  <c r="DF46" i="46"/>
  <c r="GR46" i="46"/>
  <c r="DC46" i="46"/>
  <c r="GC46" i="46"/>
  <c r="FK46" i="46"/>
  <c r="CZ46" i="46"/>
  <c r="FQ46" i="46"/>
  <c r="FE46" i="46"/>
  <c r="CT46" i="46"/>
  <c r="KV46" i="46"/>
  <c r="EA46" i="46"/>
  <c r="DX46" i="46"/>
  <c r="DU46" i="46"/>
  <c r="DR46" i="46"/>
  <c r="DL46" i="46"/>
  <c r="CN46" i="46"/>
  <c r="IN46" i="46"/>
  <c r="IE46" i="46"/>
  <c r="FT46" i="46"/>
  <c r="EM46" i="46"/>
  <c r="CQ46" i="46"/>
  <c r="CE46" i="46"/>
  <c r="FN46" i="46"/>
  <c r="IK46" i="46"/>
  <c r="AO46" i="46"/>
  <c r="AU46" i="46"/>
  <c r="AR46" i="46"/>
  <c r="FH46" i="46"/>
  <c r="EY46" i="46"/>
  <c r="EJ46" i="46"/>
  <c r="EG46" i="46"/>
  <c r="IB46" i="46"/>
  <c r="DO46" i="46"/>
  <c r="BY46" i="46"/>
  <c r="AX46" i="46"/>
  <c r="CK46" i="46"/>
  <c r="CH46" i="46"/>
  <c r="CB46" i="46"/>
  <c r="EV46" i="46"/>
  <c r="ES46" i="46"/>
  <c r="CW46" i="46"/>
  <c r="IH46" i="46"/>
  <c r="BM46" i="46"/>
  <c r="BA46" i="46"/>
  <c r="BJ46" i="46"/>
  <c r="BV46" i="46"/>
  <c r="BS46" i="46"/>
  <c r="FB46" i="46"/>
  <c r="BP46" i="46"/>
  <c r="ED46" i="46"/>
  <c r="BG46" i="46"/>
  <c r="AL46" i="46"/>
  <c r="BD46" i="46"/>
  <c r="AI46" i="46"/>
  <c r="KY69" i="46"/>
  <c r="IQ69" i="46"/>
  <c r="JC69" i="46"/>
  <c r="FK69" i="46"/>
  <c r="JU69" i="46"/>
  <c r="GF69" i="46"/>
  <c r="FZ7" i="46"/>
  <c r="GX7" i="46"/>
  <c r="EM69" i="46"/>
  <c r="JX69" i="46"/>
  <c r="HD41" i="46"/>
  <c r="IH57" i="46"/>
  <c r="HY57" i="46"/>
  <c r="EY14" i="46"/>
  <c r="HG14" i="46"/>
  <c r="FE29" i="46"/>
  <c r="FN29" i="46"/>
  <c r="IT29" i="46"/>
  <c r="FT49" i="46"/>
  <c r="HV49" i="46"/>
  <c r="DI61" i="46"/>
  <c r="HS61" i="46"/>
  <c r="GO56" i="46"/>
  <c r="KG56" i="46"/>
  <c r="ES72" i="46"/>
  <c r="EP72" i="46"/>
  <c r="KY72" i="46"/>
  <c r="HP37" i="46"/>
  <c r="FH50" i="46"/>
  <c r="IQ50" i="46"/>
  <c r="FT20" i="46"/>
  <c r="JO20" i="46"/>
  <c r="IN11" i="46"/>
  <c r="KA11" i="46"/>
  <c r="Z64" i="46"/>
  <c r="T64" i="46"/>
  <c r="AC64" i="46"/>
  <c r="W64" i="46"/>
  <c r="JC64" i="46"/>
  <c r="IZ64" i="46"/>
  <c r="LE64" i="46"/>
  <c r="IW64" i="46"/>
  <c r="IT64" i="46"/>
  <c r="IQ64" i="46"/>
  <c r="IN64" i="46"/>
  <c r="LB64" i="46"/>
  <c r="IK64" i="46"/>
  <c r="KV64" i="46"/>
  <c r="KS64" i="46"/>
  <c r="KP64" i="46"/>
  <c r="KJ64" i="46"/>
  <c r="KD64" i="46"/>
  <c r="JO64" i="46"/>
  <c r="JL64" i="46"/>
  <c r="JI64" i="46"/>
  <c r="JF64" i="46"/>
  <c r="KA64" i="46"/>
  <c r="GF64" i="46"/>
  <c r="JX64" i="46"/>
  <c r="GC64" i="46"/>
  <c r="JU64" i="46"/>
  <c r="IH64" i="46"/>
  <c r="FZ64" i="46"/>
  <c r="JR64" i="46"/>
  <c r="HY64" i="46"/>
  <c r="FQ64" i="46"/>
  <c r="KG64" i="46"/>
  <c r="HS64" i="46"/>
  <c r="HP64" i="46"/>
  <c r="HM64" i="46"/>
  <c r="HJ64" i="46"/>
  <c r="HG64" i="46"/>
  <c r="FN64" i="46"/>
  <c r="KY64" i="46"/>
  <c r="KM64" i="46"/>
  <c r="HD64" i="46"/>
  <c r="HA64" i="46"/>
  <c r="FB64" i="46"/>
  <c r="CT64" i="46"/>
  <c r="GX64" i="46"/>
  <c r="EY64" i="46"/>
  <c r="CQ64" i="46"/>
  <c r="GU64" i="46"/>
  <c r="EV64" i="46"/>
  <c r="GR64" i="46"/>
  <c r="GL64" i="46"/>
  <c r="EM64" i="46"/>
  <c r="GI64" i="46"/>
  <c r="ED64" i="46"/>
  <c r="EA64" i="46"/>
  <c r="DX64" i="46"/>
  <c r="DU64" i="46"/>
  <c r="DO64" i="46"/>
  <c r="HV64" i="46"/>
  <c r="GO64" i="46"/>
  <c r="EJ64" i="46"/>
  <c r="EG64" i="46"/>
  <c r="DR64" i="46"/>
  <c r="DL64" i="46"/>
  <c r="IB64" i="46"/>
  <c r="DF64" i="46"/>
  <c r="CW64" i="46"/>
  <c r="FH64" i="46"/>
  <c r="DC64" i="46"/>
  <c r="CE64" i="46"/>
  <c r="BP64" i="46"/>
  <c r="CZ64" i="46"/>
  <c r="CB64" i="46"/>
  <c r="FT64" i="46"/>
  <c r="BA64" i="46"/>
  <c r="AX64" i="46"/>
  <c r="CN64" i="46"/>
  <c r="CK64" i="46"/>
  <c r="FW64" i="46"/>
  <c r="IE64" i="46"/>
  <c r="BY64" i="46"/>
  <c r="FK64" i="46"/>
  <c r="FE64" i="46"/>
  <c r="BG64" i="46"/>
  <c r="EP64" i="46"/>
  <c r="AO64" i="46"/>
  <c r="AR64" i="46"/>
  <c r="AL64" i="46"/>
  <c r="BJ64" i="46"/>
  <c r="BD64" i="46"/>
  <c r="AU64" i="46"/>
  <c r="BV64" i="46"/>
  <c r="CH64" i="46"/>
  <c r="AI64" i="46"/>
  <c r="DI64" i="46"/>
  <c r="BS64" i="46"/>
  <c r="ES64" i="46"/>
  <c r="BM64" i="46"/>
  <c r="FE41" i="46"/>
  <c r="T51" i="46"/>
  <c r="Z51" i="46"/>
  <c r="AC51" i="46"/>
  <c r="W51" i="46"/>
  <c r="JF51" i="46"/>
  <c r="JC51" i="46"/>
  <c r="IZ51" i="46"/>
  <c r="JU51" i="46"/>
  <c r="JR51" i="46"/>
  <c r="JO51" i="46"/>
  <c r="JI51" i="46"/>
  <c r="JX51" i="46"/>
  <c r="JL51" i="46"/>
  <c r="IW51" i="46"/>
  <c r="IT51" i="46"/>
  <c r="LB51" i="46"/>
  <c r="IN51" i="46"/>
  <c r="IK51" i="46"/>
  <c r="LE51" i="46"/>
  <c r="GR51" i="46"/>
  <c r="KY51" i="46"/>
  <c r="GO51" i="46"/>
  <c r="KV51" i="46"/>
  <c r="KS51" i="46"/>
  <c r="KM51" i="46"/>
  <c r="KG51" i="46"/>
  <c r="FZ51" i="46"/>
  <c r="FW51" i="46"/>
  <c r="IH51" i="46"/>
  <c r="FT51" i="46"/>
  <c r="IE51" i="46"/>
  <c r="FQ51" i="46"/>
  <c r="IB51" i="46"/>
  <c r="FN51" i="46"/>
  <c r="GF51" i="46"/>
  <c r="GC51" i="46"/>
  <c r="KJ51" i="46"/>
  <c r="KD51" i="46"/>
  <c r="HP51" i="46"/>
  <c r="GU51" i="46"/>
  <c r="EA51" i="46"/>
  <c r="GL51" i="46"/>
  <c r="GI51" i="46"/>
  <c r="KP51" i="46"/>
  <c r="IQ51" i="46"/>
  <c r="HV51" i="46"/>
  <c r="DL51" i="46"/>
  <c r="DI51" i="46"/>
  <c r="DF51" i="46"/>
  <c r="KA51" i="46"/>
  <c r="DC51" i="46"/>
  <c r="HS51" i="46"/>
  <c r="FH51" i="46"/>
  <c r="CW51" i="46"/>
  <c r="HG51" i="46"/>
  <c r="HD51" i="46"/>
  <c r="CN51" i="46"/>
  <c r="FK51" i="46"/>
  <c r="CK51" i="46"/>
  <c r="FE51" i="46"/>
  <c r="CH51" i="46"/>
  <c r="FB51" i="46"/>
  <c r="CE51" i="46"/>
  <c r="EV51" i="46"/>
  <c r="EM51" i="46"/>
  <c r="HY51" i="46"/>
  <c r="HJ51" i="46"/>
  <c r="CZ51" i="46"/>
  <c r="DU51" i="46"/>
  <c r="BM51" i="46"/>
  <c r="DR51" i="46"/>
  <c r="DO51" i="46"/>
  <c r="CT51" i="46"/>
  <c r="CB51" i="46"/>
  <c r="AL51" i="46"/>
  <c r="AI51" i="46"/>
  <c r="BJ51" i="46"/>
  <c r="BG51" i="46"/>
  <c r="BD51" i="46"/>
  <c r="GX51" i="46"/>
  <c r="ES51" i="46"/>
  <c r="BY51" i="46"/>
  <c r="EP51" i="46"/>
  <c r="EG51" i="46"/>
  <c r="BP51" i="46"/>
  <c r="AX51" i="46"/>
  <c r="AO51" i="46"/>
  <c r="BV51" i="46"/>
  <c r="BS51" i="46"/>
  <c r="EJ51" i="46"/>
  <c r="ED51" i="46"/>
  <c r="CQ51" i="46"/>
  <c r="HA51" i="46"/>
  <c r="BA51" i="46"/>
  <c r="AR51" i="46"/>
  <c r="EY51" i="46"/>
  <c r="DX51" i="46"/>
  <c r="HM51" i="46"/>
  <c r="AU51" i="46"/>
  <c r="KJ56" i="46"/>
  <c r="GU37" i="46"/>
  <c r="AC258" i="46"/>
  <c r="Z258" i="46"/>
  <c r="W258" i="46"/>
  <c r="T258" i="46"/>
  <c r="PO264" i="46"/>
  <c r="NG264" i="46"/>
  <c r="KY264" i="46"/>
  <c r="IQ264" i="46"/>
  <c r="OW263" i="46"/>
  <c r="MO263" i="46"/>
  <c r="KG263" i="46"/>
  <c r="QM262" i="46"/>
  <c r="OE262" i="46"/>
  <c r="LW262" i="46"/>
  <c r="JO262" i="46"/>
  <c r="PU261" i="46"/>
  <c r="NM261" i="46"/>
  <c r="LE261" i="46"/>
  <c r="IW261" i="46"/>
  <c r="PC260" i="46"/>
  <c r="MU260" i="46"/>
  <c r="KM260" i="46"/>
  <c r="IE264" i="46"/>
  <c r="HP263" i="46"/>
  <c r="HA262" i="46"/>
  <c r="IE260" i="46"/>
  <c r="FW264" i="46"/>
  <c r="FH263" i="46"/>
  <c r="GL261" i="46"/>
  <c r="FW260" i="46"/>
  <c r="DO264" i="46"/>
  <c r="ES262" i="46"/>
  <c r="ED261" i="46"/>
  <c r="DO260" i="46"/>
  <c r="CZ263" i="46"/>
  <c r="CK262" i="46"/>
  <c r="BV261" i="46"/>
  <c r="BG264" i="46"/>
  <c r="BA262" i="46"/>
  <c r="AL261" i="46"/>
  <c r="Z263" i="46"/>
  <c r="KM258" i="46"/>
  <c r="PL264" i="46"/>
  <c r="ND264" i="46"/>
  <c r="KV264" i="46"/>
  <c r="IN264" i="46"/>
  <c r="OT263" i="46"/>
  <c r="ML263" i="46"/>
  <c r="KD263" i="46"/>
  <c r="QJ262" i="46"/>
  <c r="OB262" i="46"/>
  <c r="LT262" i="46"/>
  <c r="JL262" i="46"/>
  <c r="PR261" i="46"/>
  <c r="NJ261" i="46"/>
  <c r="LB261" i="46"/>
  <c r="IT261" i="46"/>
  <c r="OZ260" i="46"/>
  <c r="MR260" i="46"/>
  <c r="KJ260" i="46"/>
  <c r="IB264" i="46"/>
  <c r="HM263" i="46"/>
  <c r="GX262" i="46"/>
  <c r="IB260" i="46"/>
  <c r="FT264" i="46"/>
  <c r="FE263" i="46"/>
  <c r="GI261" i="46"/>
  <c r="FT260" i="46"/>
  <c r="DL264" i="46"/>
  <c r="EP262" i="46"/>
  <c r="EA261" i="46"/>
  <c r="DL260" i="46"/>
  <c r="CW263" i="46"/>
  <c r="CH262" i="46"/>
  <c r="BS261" i="46"/>
  <c r="BD264" i="46"/>
  <c r="AX262" i="46"/>
  <c r="AR260" i="46"/>
  <c r="Z262" i="46"/>
  <c r="KJ258" i="46"/>
  <c r="PI264" i="46"/>
  <c r="NA264" i="46"/>
  <c r="KS264" i="46"/>
  <c r="IK264" i="46"/>
  <c r="OQ263" i="46"/>
  <c r="MI263" i="46"/>
  <c r="KA263" i="46"/>
  <c r="QG262" i="46"/>
  <c r="NY262" i="46"/>
  <c r="LQ262" i="46"/>
  <c r="JI262" i="46"/>
  <c r="PO261" i="46"/>
  <c r="NG261" i="46"/>
  <c r="KY261" i="46"/>
  <c r="IQ261" i="46"/>
  <c r="OW260" i="46"/>
  <c r="MO260" i="46"/>
  <c r="KG260" i="46"/>
  <c r="HY264" i="46"/>
  <c r="HJ263" i="46"/>
  <c r="GU262" i="46"/>
  <c r="HY260" i="46"/>
  <c r="FQ264" i="46"/>
  <c r="FB263" i="46"/>
  <c r="GF261" i="46"/>
  <c r="FQ260" i="46"/>
  <c r="DI264" i="46"/>
  <c r="EM262" i="46"/>
  <c r="DX261" i="46"/>
  <c r="DI260" i="46"/>
  <c r="CT263" i="46"/>
  <c r="CE262" i="46"/>
  <c r="BP261" i="46"/>
  <c r="BJ263" i="46"/>
  <c r="AU262" i="46"/>
  <c r="AO260" i="46"/>
  <c r="Z261" i="46"/>
  <c r="KG258" i="46"/>
  <c r="OZ264" i="46"/>
  <c r="MR264" i="46"/>
  <c r="KJ264" i="46"/>
  <c r="QP263" i="46"/>
  <c r="OH263" i="46"/>
  <c r="LZ263" i="46"/>
  <c r="JR263" i="46"/>
  <c r="PX262" i="46"/>
  <c r="NP262" i="46"/>
  <c r="LH262" i="46"/>
  <c r="IZ262" i="46"/>
  <c r="PF261" i="46"/>
  <c r="MX261" i="46"/>
  <c r="KP261" i="46"/>
  <c r="QV260" i="46"/>
  <c r="ON260" i="46"/>
  <c r="MF260" i="46"/>
  <c r="JX260" i="46"/>
  <c r="HP264" i="46"/>
  <c r="HA263" i="46"/>
  <c r="IE261" i="46"/>
  <c r="HP260" i="46"/>
  <c r="FH264" i="46"/>
  <c r="OT264" i="46"/>
  <c r="ML264" i="46"/>
  <c r="KD264" i="46"/>
  <c r="QJ263" i="46"/>
  <c r="OB263" i="46"/>
  <c r="LT263" i="46"/>
  <c r="JL263" i="46"/>
  <c r="PR262" i="46"/>
  <c r="NJ262" i="46"/>
  <c r="LB262" i="46"/>
  <c r="IT262" i="46"/>
  <c r="OZ261" i="46"/>
  <c r="MR261" i="46"/>
  <c r="KJ261" i="46"/>
  <c r="QP260" i="46"/>
  <c r="OH260" i="46"/>
  <c r="LZ260" i="46"/>
  <c r="JR260" i="46"/>
  <c r="HJ264" i="46"/>
  <c r="GU263" i="46"/>
  <c r="HY261" i="46"/>
  <c r="HJ260" i="46"/>
  <c r="FB264" i="46"/>
  <c r="GF262" i="46"/>
  <c r="FQ261" i="46"/>
  <c r="FB260" i="46"/>
  <c r="EM263" i="46"/>
  <c r="DX262" i="46"/>
  <c r="DI261" i="46"/>
  <c r="CT264" i="46"/>
  <c r="CE263" i="46"/>
  <c r="BP262" i="46"/>
  <c r="CT260" i="46"/>
  <c r="BD262" i="46"/>
  <c r="AX260" i="46"/>
  <c r="AI263" i="46"/>
  <c r="W261" i="46"/>
  <c r="QV264" i="46"/>
  <c r="ON264" i="46"/>
  <c r="MF264" i="46"/>
  <c r="JX264" i="46"/>
  <c r="QD263" i="46"/>
  <c r="NV263" i="46"/>
  <c r="LN263" i="46"/>
  <c r="JF263" i="46"/>
  <c r="PL262" i="46"/>
  <c r="ND262" i="46"/>
  <c r="KV262" i="46"/>
  <c r="IN262" i="46"/>
  <c r="OT261" i="46"/>
  <c r="ML261" i="46"/>
  <c r="KD261" i="46"/>
  <c r="QJ260" i="46"/>
  <c r="OB260" i="46"/>
  <c r="LT260" i="46"/>
  <c r="JL260" i="46"/>
  <c r="HD264" i="46"/>
  <c r="IH262" i="46"/>
  <c r="HS261" i="46"/>
  <c r="HD260" i="46"/>
  <c r="GO263" i="46"/>
  <c r="FZ262" i="46"/>
  <c r="FK261" i="46"/>
  <c r="EV264" i="46"/>
  <c r="EG263" i="46"/>
  <c r="DR262" i="46"/>
  <c r="EV260" i="46"/>
  <c r="CN264" i="46"/>
  <c r="BY263" i="46"/>
  <c r="DC261" i="46"/>
  <c r="CN260" i="46"/>
  <c r="BG261" i="46"/>
  <c r="AR264" i="46"/>
  <c r="AC263" i="46"/>
  <c r="T261" i="46"/>
  <c r="JL258" i="46"/>
  <c r="QM264" i="46"/>
  <c r="NM264" i="46"/>
  <c r="JU264" i="46"/>
  <c r="PI263" i="46"/>
  <c r="LW263" i="46"/>
  <c r="IQ263" i="46"/>
  <c r="NV262" i="46"/>
  <c r="KM262" i="46"/>
  <c r="QA261" i="46"/>
  <c r="MI261" i="46"/>
  <c r="JI261" i="46"/>
  <c r="OK260" i="46"/>
  <c r="LE260" i="46"/>
  <c r="HV264" i="46"/>
  <c r="HY262" i="46"/>
  <c r="GR261" i="46"/>
  <c r="GL263" i="46"/>
  <c r="FH262" i="46"/>
  <c r="FN260" i="46"/>
  <c r="ED263" i="46"/>
  <c r="ES261" i="46"/>
  <c r="DF260" i="46"/>
  <c r="BV263" i="46"/>
  <c r="CK261" i="46"/>
  <c r="BG263" i="46"/>
  <c r="AO264" i="46"/>
  <c r="AC261" i="46"/>
  <c r="KD258" i="46"/>
  <c r="QJ264" i="46"/>
  <c r="NJ264" i="46"/>
  <c r="JR264" i="46"/>
  <c r="PF263" i="46"/>
  <c r="LQ263" i="46"/>
  <c r="IN263" i="46"/>
  <c r="NS262" i="46"/>
  <c r="KJ262" i="46"/>
  <c r="PX261" i="46"/>
  <c r="MF261" i="46"/>
  <c r="JF261" i="46"/>
  <c r="OE260" i="46"/>
  <c r="LB260" i="46"/>
  <c r="HS264" i="46"/>
  <c r="HV262" i="46"/>
  <c r="IH260" i="46"/>
  <c r="GI263" i="46"/>
  <c r="FE262" i="46"/>
  <c r="FK260" i="46"/>
  <c r="EA263" i="46"/>
  <c r="EP261" i="46"/>
  <c r="DC264" i="46"/>
  <c r="BS263" i="46"/>
  <c r="CH261" i="46"/>
  <c r="BD263" i="46"/>
  <c r="AL264" i="46"/>
  <c r="AI260" i="46"/>
  <c r="KA258" i="46"/>
  <c r="QG264" i="46"/>
  <c r="MX264" i="46"/>
  <c r="JO264" i="46"/>
  <c r="PC263" i="46"/>
  <c r="LK263" i="46"/>
  <c r="IK263" i="46"/>
  <c r="NM262" i="46"/>
  <c r="KG262" i="46"/>
  <c r="PL261" i="46"/>
  <c r="MC261" i="46"/>
  <c r="JC261" i="46"/>
  <c r="NY260" i="46"/>
  <c r="KY260" i="46"/>
  <c r="HM264" i="46"/>
  <c r="HS262" i="46"/>
  <c r="HV260" i="46"/>
  <c r="GF263" i="46"/>
  <c r="FB262" i="46"/>
  <c r="FH260" i="46"/>
  <c r="DX263" i="46"/>
  <c r="EM261" i="46"/>
  <c r="CZ264" i="46"/>
  <c r="BP263" i="46"/>
  <c r="CE261" i="46"/>
  <c r="BJ262" i="46"/>
  <c r="AR263" i="46"/>
  <c r="AF260" i="46"/>
  <c r="JX258" i="46"/>
  <c r="QD264" i="46"/>
  <c r="MU264" i="46"/>
  <c r="JL264" i="46"/>
  <c r="OZ263" i="46"/>
  <c r="LH263" i="46"/>
  <c r="QV262" i="46"/>
  <c r="NG262" i="46"/>
  <c r="KD262" i="46"/>
  <c r="PI261" i="46"/>
  <c r="LZ261" i="46"/>
  <c r="IZ261" i="46"/>
  <c r="NV260" i="46"/>
  <c r="KV260" i="46"/>
  <c r="HG264" i="46"/>
  <c r="HP262" i="46"/>
  <c r="HS260" i="46"/>
  <c r="GC263" i="46"/>
  <c r="EY262" i="46"/>
  <c r="FE260" i="46"/>
  <c r="DU263" i="46"/>
  <c r="EJ261" i="46"/>
  <c r="CW264" i="46"/>
  <c r="BM263" i="46"/>
  <c r="CB261" i="46"/>
  <c r="BG262" i="46"/>
  <c r="AO263" i="46"/>
  <c r="AC260" i="46"/>
  <c r="JU258" i="46"/>
  <c r="OW264" i="46"/>
  <c r="LQ264" i="46"/>
  <c r="QV263" i="46"/>
  <c r="NM263" i="46"/>
  <c r="KM263" i="46"/>
  <c r="PI262" i="46"/>
  <c r="MI262" i="46"/>
  <c r="IW262" i="46"/>
  <c r="OE261" i="46"/>
  <c r="KV261" i="46"/>
  <c r="QA260" i="46"/>
  <c r="NA260" i="46"/>
  <c r="JI260" i="46"/>
  <c r="IB263" i="46"/>
  <c r="IB261" i="46"/>
  <c r="GO264" i="46"/>
  <c r="EY263" i="46"/>
  <c r="FH261" i="46"/>
  <c r="ED264" i="46"/>
  <c r="EJ262" i="46"/>
  <c r="ES260" i="46"/>
  <c r="BV264" i="46"/>
  <c r="CB262" i="46"/>
  <c r="PC264" i="46"/>
  <c r="LB264" i="46"/>
  <c r="ON263" i="46"/>
  <c r="KP263" i="46"/>
  <c r="OT262" i="46"/>
  <c r="KA262" i="46"/>
  <c r="OH261" i="46"/>
  <c r="JX261" i="46"/>
  <c r="NS260" i="46"/>
  <c r="JO260" i="46"/>
  <c r="HD263" i="46"/>
  <c r="HM260" i="46"/>
  <c r="FK263" i="46"/>
  <c r="GL260" i="46"/>
  <c r="DR263" i="46"/>
  <c r="DF261" i="46"/>
  <c r="CQ263" i="46"/>
  <c r="BY261" i="46"/>
  <c r="BD260" i="46"/>
  <c r="AF264" i="46"/>
  <c r="KY258" i="46"/>
  <c r="OQ264" i="46"/>
  <c r="KP264" i="46"/>
  <c r="OK263" i="46"/>
  <c r="KJ263" i="46"/>
  <c r="OQ262" i="46"/>
  <c r="JX262" i="46"/>
  <c r="OB261" i="46"/>
  <c r="JU261" i="46"/>
  <c r="NP260" i="46"/>
  <c r="JF260" i="46"/>
  <c r="GX263" i="46"/>
  <c r="HG260" i="46"/>
  <c r="GO262" i="46"/>
  <c r="GI260" i="46"/>
  <c r="DO263" i="46"/>
  <c r="EP260" i="46"/>
  <c r="CN263" i="46"/>
  <c r="BM261" i="46"/>
  <c r="BA264" i="46"/>
  <c r="AC264" i="46"/>
  <c r="KV258" i="46"/>
  <c r="OK264" i="46"/>
  <c r="KM264" i="46"/>
  <c r="OE263" i="46"/>
  <c r="JX263" i="46"/>
  <c r="ON262" i="46"/>
  <c r="JU262" i="46"/>
  <c r="NY261" i="46"/>
  <c r="JR261" i="46"/>
  <c r="NM260" i="46"/>
  <c r="JC260" i="46"/>
  <c r="GR263" i="46"/>
  <c r="HA260" i="46"/>
  <c r="GL262" i="46"/>
  <c r="GF260" i="46"/>
  <c r="DL263" i="46"/>
  <c r="EM260" i="46"/>
  <c r="CK263" i="46"/>
  <c r="DC260" i="46"/>
  <c r="AX264" i="46"/>
  <c r="AF263" i="46"/>
  <c r="KS258" i="46"/>
  <c r="NV264" i="46"/>
  <c r="JC264" i="46"/>
  <c r="NG263" i="46"/>
  <c r="IZ263" i="46"/>
  <c r="MU262" i="46"/>
  <c r="IK262" i="46"/>
  <c r="NA261" i="46"/>
  <c r="QS260" i="46"/>
  <c r="ML260" i="46"/>
  <c r="IN260" i="46"/>
  <c r="HG262" i="46"/>
  <c r="GI264" i="46"/>
  <c r="FQ262" i="46"/>
  <c r="EP264" i="46"/>
  <c r="ED262" i="46"/>
  <c r="DX260" i="46"/>
  <c r="CW262" i="46"/>
  <c r="CH260" i="46"/>
  <c r="BA261" i="46"/>
  <c r="AF261" i="46"/>
  <c r="JF258" i="46"/>
  <c r="MO264" i="46"/>
  <c r="IT264" i="46"/>
  <c r="MX263" i="46"/>
  <c r="QS262" i="46"/>
  <c r="ML262" i="46"/>
  <c r="QP261" i="46"/>
  <c r="LW261" i="46"/>
  <c r="QD260" i="46"/>
  <c r="LW260" i="46"/>
  <c r="HA264" i="46"/>
  <c r="IH261" i="46"/>
  <c r="FZ264" i="46"/>
  <c r="GO261" i="46"/>
  <c r="EG264" i="46"/>
  <c r="DO262" i="46"/>
  <c r="CQ264" i="46"/>
  <c r="CN262" i="46"/>
  <c r="BY260" i="46"/>
  <c r="BA260" i="46"/>
  <c r="W264" i="46"/>
  <c r="IW258" i="46"/>
  <c r="NP264" i="46"/>
  <c r="PX263" i="46"/>
  <c r="JU263" i="46"/>
  <c r="MO262" i="46"/>
  <c r="PC261" i="46"/>
  <c r="JO261" i="46"/>
  <c r="MC260" i="46"/>
  <c r="IE263" i="46"/>
  <c r="GX260" i="46"/>
  <c r="FK262" i="46"/>
  <c r="DF264" i="46"/>
  <c r="EJ260" i="46"/>
  <c r="CQ262" i="46"/>
  <c r="BJ264" i="46"/>
  <c r="AI262" i="46"/>
  <c r="IZ258" i="46"/>
  <c r="IH258" i="46"/>
  <c r="FZ258" i="46"/>
  <c r="MI264" i="46"/>
  <c r="PU263" i="46"/>
  <c r="JO263" i="46"/>
  <c r="MF262" i="46"/>
  <c r="OW261" i="46"/>
  <c r="JL261" i="46"/>
  <c r="LQ260" i="46"/>
  <c r="HY263" i="46"/>
  <c r="GU260" i="46"/>
  <c r="GC261" i="46"/>
  <c r="EV263" i="46"/>
  <c r="EG260" i="46"/>
  <c r="BY262" i="46"/>
  <c r="BJ261" i="46"/>
  <c r="AF262" i="46"/>
  <c r="IT258" i="46"/>
  <c r="IE258" i="46"/>
  <c r="FW258" i="46"/>
  <c r="MC264" i="46"/>
  <c r="PR263" i="46"/>
  <c r="JI263" i="46"/>
  <c r="MC262" i="46"/>
  <c r="OQ261" i="46"/>
  <c r="IN261" i="46"/>
  <c r="LN260" i="46"/>
  <c r="HV263" i="46"/>
  <c r="GR260" i="46"/>
  <c r="FZ261" i="46"/>
  <c r="ES263" i="46"/>
  <c r="ED260" i="46"/>
  <c r="BV262" i="46"/>
  <c r="BD261" i="46"/>
  <c r="AC262" i="46"/>
  <c r="IQ258" i="46"/>
  <c r="IB258" i="46"/>
  <c r="FT258" i="46"/>
  <c r="LZ264" i="46"/>
  <c r="PO263" i="46"/>
  <c r="JC263" i="46"/>
  <c r="LZ262" i="46"/>
  <c r="ON261" i="46"/>
  <c r="IK261" i="46"/>
  <c r="LK260" i="46"/>
  <c r="HS263" i="46"/>
  <c r="GL264" i="46"/>
  <c r="FW261" i="46"/>
  <c r="EP263" i="46"/>
  <c r="EA260" i="46"/>
  <c r="BS262" i="46"/>
  <c r="BJ260" i="46"/>
  <c r="AI261" i="46"/>
  <c r="IN258" i="46"/>
  <c r="QP264" i="46"/>
  <c r="LE264" i="46"/>
  <c r="ND263" i="46"/>
  <c r="PU262" i="46"/>
  <c r="KP262" i="46"/>
  <c r="MU261" i="46"/>
  <c r="PO260" i="46"/>
  <c r="JU260" i="46"/>
  <c r="HD262" i="46"/>
  <c r="EY264" i="46"/>
  <c r="GO260" i="46"/>
  <c r="EA262" i="46"/>
  <c r="CB264" i="46"/>
  <c r="CN261" i="46"/>
  <c r="AX261" i="46"/>
  <c r="T262" i="46"/>
  <c r="KG264" i="46"/>
  <c r="LE263" i="46"/>
  <c r="LN262" i="46"/>
  <c r="MO261" i="46"/>
  <c r="NJ260" i="46"/>
  <c r="HG263" i="46"/>
  <c r="FZ263" i="46"/>
  <c r="EJ264" i="46"/>
  <c r="DU260" i="46"/>
  <c r="CZ260" i="46"/>
  <c r="AL262" i="46"/>
  <c r="IK258" i="46"/>
  <c r="GL258" i="46"/>
  <c r="KA264" i="46"/>
  <c r="LB263" i="46"/>
  <c r="LK262" i="46"/>
  <c r="LT261" i="46"/>
  <c r="NG260" i="46"/>
  <c r="IE262" i="46"/>
  <c r="FW263" i="46"/>
  <c r="EA264" i="46"/>
  <c r="DR260" i="46"/>
  <c r="CW260" i="46"/>
  <c r="AR261" i="46"/>
  <c r="GI258" i="46"/>
  <c r="JI264" i="46"/>
  <c r="KY263" i="46"/>
  <c r="LE262" i="46"/>
  <c r="LQ261" i="46"/>
  <c r="ND260" i="46"/>
  <c r="IB262" i="46"/>
  <c r="FT263" i="46"/>
  <c r="DX264" i="46"/>
  <c r="CK264" i="46"/>
  <c r="CQ260" i="46"/>
  <c r="AO261" i="46"/>
  <c r="GF258" i="46"/>
  <c r="JF264" i="46"/>
  <c r="KV263" i="46"/>
  <c r="KY262" i="46"/>
  <c r="LN261" i="46"/>
  <c r="MX260" i="46"/>
  <c r="HM262" i="46"/>
  <c r="FQ263" i="46"/>
  <c r="DU264" i="46"/>
  <c r="CH264" i="46"/>
  <c r="CK260" i="46"/>
  <c r="AL260" i="46"/>
  <c r="QS264" i="46"/>
  <c r="IZ264" i="46"/>
  <c r="KS263" i="46"/>
  <c r="KS262" i="46"/>
  <c r="LK261" i="46"/>
  <c r="MI260" i="46"/>
  <c r="HJ262" i="46"/>
  <c r="FN263" i="46"/>
  <c r="DR264" i="46"/>
  <c r="CE264" i="46"/>
  <c r="CE260" i="46"/>
  <c r="AI264" i="46"/>
  <c r="QA264" i="46"/>
  <c r="PL263" i="46"/>
  <c r="OK262" i="46"/>
  <c r="LH261" i="46"/>
  <c r="IZ260" i="46"/>
  <c r="GF264" i="46"/>
  <c r="EJ263" i="46"/>
  <c r="CH263" i="46"/>
  <c r="AU261" i="46"/>
  <c r="HS258" i="46"/>
  <c r="PX264" i="46"/>
  <c r="NY263" i="46"/>
  <c r="OH262" i="46"/>
  <c r="KS261" i="46"/>
  <c r="IW260" i="46"/>
  <c r="GC264" i="46"/>
  <c r="DI263" i="46"/>
  <c r="CB263" i="46"/>
  <c r="AU260" i="46"/>
  <c r="HP258" i="46"/>
  <c r="PU264" i="46"/>
  <c r="NS263" i="46"/>
  <c r="NA262" i="46"/>
  <c r="KM261" i="46"/>
  <c r="IT260" i="46"/>
  <c r="FN264" i="46"/>
  <c r="DF263" i="46"/>
  <c r="DC262" i="46"/>
  <c r="AL263" i="46"/>
  <c r="HM258" i="46"/>
  <c r="PR264" i="46"/>
  <c r="NP263" i="46"/>
  <c r="MX262" i="46"/>
  <c r="KG261" i="46"/>
  <c r="IQ260" i="46"/>
  <c r="FK264" i="46"/>
  <c r="EV262" i="46"/>
  <c r="CZ262" i="46"/>
  <c r="AR262" i="46"/>
  <c r="OH264" i="46"/>
  <c r="LW264" i="46"/>
  <c r="IW263" i="46"/>
  <c r="QS261" i="46"/>
  <c r="PL260" i="46"/>
  <c r="GR262" i="46"/>
  <c r="FT261" i="46"/>
  <c r="EG261" i="46"/>
  <c r="CB260" i="46"/>
  <c r="T263" i="46"/>
  <c r="PF264" i="46"/>
  <c r="IT263" i="46"/>
  <c r="NV261" i="46"/>
  <c r="IH264" i="46"/>
  <c r="FN261" i="46"/>
  <c r="BS264" i="46"/>
  <c r="Z264" i="46"/>
  <c r="GX258" i="46"/>
  <c r="OE264" i="46"/>
  <c r="QP262" i="46"/>
  <c r="NS261" i="46"/>
  <c r="GX264" i="46"/>
  <c r="FE261" i="46"/>
  <c r="BP264" i="46"/>
  <c r="Z260" i="46"/>
  <c r="GU258" i="46"/>
  <c r="OB264" i="46"/>
  <c r="QD262" i="46"/>
  <c r="NP261" i="46"/>
  <c r="GU264" i="46"/>
  <c r="FB261" i="46"/>
  <c r="BM264" i="46"/>
  <c r="W263" i="46"/>
  <c r="GR258" i="46"/>
  <c r="NY264" i="46"/>
  <c r="QA262" i="46"/>
  <c r="ND261" i="46"/>
  <c r="GR264" i="46"/>
  <c r="EY261" i="46"/>
  <c r="DC263" i="46"/>
  <c r="W262" i="46"/>
  <c r="GO258" i="46"/>
  <c r="LT264" i="46"/>
  <c r="PF262" i="46"/>
  <c r="QM260" i="46"/>
  <c r="HV261" i="46"/>
  <c r="FZ260" i="46"/>
  <c r="BM262" i="46"/>
  <c r="T264" i="46"/>
  <c r="FQ258" i="46"/>
  <c r="QS263" i="46"/>
  <c r="JR262" i="46"/>
  <c r="PI260" i="46"/>
  <c r="HD261" i="46"/>
  <c r="DU262" i="46"/>
  <c r="BV260" i="46"/>
  <c r="JR258" i="46"/>
  <c r="NS264" i="46"/>
  <c r="JC262" i="46"/>
  <c r="KA260" i="46"/>
  <c r="EG262" i="46"/>
  <c r="BA263" i="46"/>
  <c r="HY258" i="46"/>
  <c r="LN264" i="46"/>
  <c r="IQ262" i="46"/>
  <c r="IK260" i="46"/>
  <c r="DL262" i="46"/>
  <c r="AX263" i="46"/>
  <c r="HV258" i="46"/>
  <c r="LK264" i="46"/>
  <c r="QV261" i="46"/>
  <c r="IH263" i="46"/>
  <c r="DI262" i="46"/>
  <c r="AU263" i="46"/>
  <c r="HJ258" i="46"/>
  <c r="LH264" i="46"/>
  <c r="QM261" i="46"/>
  <c r="HP261" i="46"/>
  <c r="DF262" i="46"/>
  <c r="AO262" i="46"/>
  <c r="HG258" i="46"/>
  <c r="QM263" i="46"/>
  <c r="QG261" i="46"/>
  <c r="HJ261" i="46"/>
  <c r="DU261" i="46"/>
  <c r="T260" i="46"/>
  <c r="HA258" i="46"/>
  <c r="QA263" i="46"/>
  <c r="OK261" i="46"/>
  <c r="HA261" i="46"/>
  <c r="DO261" i="46"/>
  <c r="LB258" i="46"/>
  <c r="IW264" i="46"/>
  <c r="PR260" i="46"/>
  <c r="ES264" i="46"/>
  <c r="JI258" i="46"/>
  <c r="DR258" i="46"/>
  <c r="QG263" i="46"/>
  <c r="PF260" i="46"/>
  <c r="EM264" i="46"/>
  <c r="JC258" i="46"/>
  <c r="DO258" i="46"/>
  <c r="NJ263" i="46"/>
  <c r="OT260" i="46"/>
  <c r="EV261" i="46"/>
  <c r="DL258" i="46"/>
  <c r="NA263" i="46"/>
  <c r="OQ260" i="46"/>
  <c r="DR261" i="46"/>
  <c r="DI258" i="46"/>
  <c r="MU263" i="46"/>
  <c r="LH260" i="46"/>
  <c r="DL261" i="46"/>
  <c r="MF263" i="46"/>
  <c r="KP260" i="46"/>
  <c r="CT262" i="46"/>
  <c r="PC262" i="46"/>
  <c r="HG261" i="46"/>
  <c r="CT261" i="46"/>
  <c r="OZ262" i="46"/>
  <c r="GX261" i="46"/>
  <c r="CQ261" i="46"/>
  <c r="MR263" i="46"/>
  <c r="FT262" i="46"/>
  <c r="DU258" i="46"/>
  <c r="MC263" i="46"/>
  <c r="FN262" i="46"/>
  <c r="DF258" i="46"/>
  <c r="PO262" i="46"/>
  <c r="GC260" i="46"/>
  <c r="DC258" i="46"/>
  <c r="OW262" i="46"/>
  <c r="EY260" i="46"/>
  <c r="CZ258" i="46"/>
  <c r="JF262" i="46"/>
  <c r="CZ261" i="46"/>
  <c r="CT258" i="46"/>
  <c r="QJ261" i="46"/>
  <c r="CW261" i="46"/>
  <c r="QG260" i="46"/>
  <c r="BM260" i="46"/>
  <c r="PX260" i="46"/>
  <c r="BG260" i="46"/>
  <c r="EY258" i="46"/>
  <c r="KS260" i="46"/>
  <c r="W260" i="46"/>
  <c r="MR262" i="46"/>
  <c r="QD261" i="46"/>
  <c r="KA261" i="46"/>
  <c r="PU260" i="46"/>
  <c r="HM261" i="46"/>
  <c r="FK258" i="46"/>
  <c r="GU261" i="46"/>
  <c r="FH258" i="46"/>
  <c r="FW262" i="46"/>
  <c r="ES258" i="46"/>
  <c r="BS260" i="46"/>
  <c r="EM258" i="46"/>
  <c r="LE258" i="46"/>
  <c r="FN258" i="46"/>
  <c r="JO258" i="46"/>
  <c r="KD260" i="46"/>
  <c r="FE264" i="46"/>
  <c r="HD258" i="46"/>
  <c r="FE258" i="46"/>
  <c r="GI262" i="46"/>
  <c r="GC258" i="46"/>
  <c r="FB258" i="46"/>
  <c r="GC262" i="46"/>
  <c r="EV258" i="46"/>
  <c r="BP260" i="46"/>
  <c r="EJ258" i="46"/>
  <c r="EA258" i="46"/>
  <c r="DX258" i="46"/>
  <c r="BY264" i="46"/>
  <c r="BY258" i="46"/>
  <c r="AU264" i="46"/>
  <c r="BV258" i="46"/>
  <c r="KP258" i="46"/>
  <c r="EP258" i="46"/>
  <c r="BS258" i="46"/>
  <c r="EG258" i="46"/>
  <c r="BP258" i="46"/>
  <c r="CW258" i="46"/>
  <c r="ED258" i="46"/>
  <c r="CQ258" i="46"/>
  <c r="CB258" i="46"/>
  <c r="AU258" i="46"/>
  <c r="AR258" i="46"/>
  <c r="AO258" i="46"/>
  <c r="BD258" i="46"/>
  <c r="BA258" i="46"/>
  <c r="AX258" i="46"/>
  <c r="AI258" i="46"/>
  <c r="CN258" i="46"/>
  <c r="CH258" i="46"/>
  <c r="BG258" i="46"/>
  <c r="BM258" i="46"/>
  <c r="AL258" i="46"/>
  <c r="CK258" i="46"/>
  <c r="BJ258" i="46"/>
  <c r="CE258" i="46"/>
  <c r="BY7" i="46"/>
  <c r="JC7" i="46"/>
  <c r="FT41" i="46"/>
  <c r="FQ14" i="46"/>
  <c r="HV29" i="46"/>
  <c r="LE37" i="46"/>
  <c r="AC38" i="46"/>
  <c r="T38" i="46"/>
  <c r="W38" i="46"/>
  <c r="Z38" i="46"/>
  <c r="JU38" i="46"/>
  <c r="JR38" i="46"/>
  <c r="JO38" i="46"/>
  <c r="JC38" i="46"/>
  <c r="IZ38" i="46"/>
  <c r="IW38" i="46"/>
  <c r="IQ38" i="46"/>
  <c r="KA38" i="46"/>
  <c r="JX38" i="46"/>
  <c r="JL38" i="46"/>
  <c r="JI38" i="46"/>
  <c r="LE38" i="46"/>
  <c r="KM38" i="46"/>
  <c r="KJ38" i="46"/>
  <c r="KG38" i="46"/>
  <c r="KD38" i="46"/>
  <c r="IT38" i="46"/>
  <c r="HG38" i="46"/>
  <c r="HD38" i="46"/>
  <c r="KY38" i="46"/>
  <c r="KS38" i="46"/>
  <c r="HS38" i="46"/>
  <c r="KP38" i="46"/>
  <c r="HP38" i="46"/>
  <c r="JF38" i="46"/>
  <c r="HM38" i="46"/>
  <c r="IN38" i="46"/>
  <c r="HJ38" i="46"/>
  <c r="IK38" i="46"/>
  <c r="HA38" i="46"/>
  <c r="FZ38" i="46"/>
  <c r="FW38" i="46"/>
  <c r="FT38" i="46"/>
  <c r="FQ38" i="46"/>
  <c r="LB38" i="46"/>
  <c r="KV38" i="46"/>
  <c r="HY38" i="46"/>
  <c r="GR38" i="46"/>
  <c r="GO38" i="46"/>
  <c r="GL38" i="46"/>
  <c r="GI38" i="46"/>
  <c r="GC38" i="46"/>
  <c r="FN38" i="46"/>
  <c r="FB38" i="46"/>
  <c r="CT38" i="46"/>
  <c r="EY38" i="46"/>
  <c r="CQ38" i="46"/>
  <c r="EV38" i="46"/>
  <c r="EM38" i="46"/>
  <c r="IB38" i="46"/>
  <c r="GF38" i="46"/>
  <c r="GX38" i="46"/>
  <c r="GU38" i="46"/>
  <c r="FK38" i="46"/>
  <c r="FH38" i="46"/>
  <c r="FE38" i="46"/>
  <c r="EP38" i="46"/>
  <c r="CN38" i="46"/>
  <c r="ED38" i="46"/>
  <c r="IE38" i="46"/>
  <c r="DX38" i="46"/>
  <c r="IH38" i="46"/>
  <c r="DU38" i="46"/>
  <c r="HV38" i="46"/>
  <c r="DR38" i="46"/>
  <c r="DO38" i="46"/>
  <c r="DI38" i="46"/>
  <c r="CZ38" i="46"/>
  <c r="CW38" i="46"/>
  <c r="DF38" i="46"/>
  <c r="CE38" i="46"/>
  <c r="DC38" i="46"/>
  <c r="CB38" i="46"/>
  <c r="AU38" i="46"/>
  <c r="AR38" i="46"/>
  <c r="AO38" i="46"/>
  <c r="BY38" i="46"/>
  <c r="BV38" i="46"/>
  <c r="BS38" i="46"/>
  <c r="BP38" i="46"/>
  <c r="BM38" i="46"/>
  <c r="BG38" i="46"/>
  <c r="AI38" i="46"/>
  <c r="BD38" i="46"/>
  <c r="EG38" i="46"/>
  <c r="EA38" i="46"/>
  <c r="ES38" i="46"/>
  <c r="CK38" i="46"/>
  <c r="AX38" i="46"/>
  <c r="CH38" i="46"/>
  <c r="BJ38" i="46"/>
  <c r="DL38" i="46"/>
  <c r="BA38" i="46"/>
  <c r="AL38" i="46"/>
  <c r="EJ38" i="46"/>
  <c r="BJ7" i="46"/>
  <c r="KP7" i="46"/>
  <c r="JF7" i="46"/>
  <c r="EP69" i="46"/>
  <c r="FT69" i="46"/>
  <c r="KG69" i="46"/>
  <c r="HM41" i="46"/>
  <c r="FK14" i="46"/>
  <c r="HJ14" i="46"/>
  <c r="FK29" i="46"/>
  <c r="FZ29" i="46"/>
  <c r="IZ29" i="46"/>
  <c r="FB49" i="46"/>
  <c r="FN61" i="46"/>
  <c r="ES56" i="46"/>
  <c r="IW56" i="46"/>
  <c r="FE72" i="46"/>
  <c r="EY72" i="46"/>
  <c r="LE72" i="46"/>
  <c r="HY37" i="46"/>
  <c r="FN50" i="46"/>
  <c r="IT50" i="46"/>
  <c r="LE20" i="46"/>
  <c r="AC60" i="46"/>
  <c r="W60" i="46"/>
  <c r="Z60" i="46"/>
  <c r="T60" i="46"/>
  <c r="JC60" i="46"/>
  <c r="IZ60" i="46"/>
  <c r="LE60" i="46"/>
  <c r="IW60" i="46"/>
  <c r="JR60" i="46"/>
  <c r="JO60" i="46"/>
  <c r="JL60" i="46"/>
  <c r="JI60" i="46"/>
  <c r="IT60" i="46"/>
  <c r="IQ60" i="46"/>
  <c r="IN60" i="46"/>
  <c r="KY60" i="46"/>
  <c r="KV60" i="46"/>
  <c r="KS60" i="46"/>
  <c r="KP60" i="46"/>
  <c r="JU60" i="46"/>
  <c r="JX60" i="46"/>
  <c r="JF60" i="46"/>
  <c r="IK60" i="46"/>
  <c r="GF60" i="46"/>
  <c r="GC60" i="46"/>
  <c r="IH60" i="46"/>
  <c r="FZ60" i="46"/>
  <c r="HY60" i="46"/>
  <c r="FQ60" i="46"/>
  <c r="KG60" i="46"/>
  <c r="HS60" i="46"/>
  <c r="KD60" i="46"/>
  <c r="HP60" i="46"/>
  <c r="KA60" i="46"/>
  <c r="HM60" i="46"/>
  <c r="HJ60" i="46"/>
  <c r="HG60" i="46"/>
  <c r="FN60" i="46"/>
  <c r="HD60" i="46"/>
  <c r="GX60" i="46"/>
  <c r="FB60" i="46"/>
  <c r="CT60" i="46"/>
  <c r="GU60" i="46"/>
  <c r="EY60" i="46"/>
  <c r="CQ60" i="46"/>
  <c r="GR60" i="46"/>
  <c r="EV60" i="46"/>
  <c r="GO60" i="46"/>
  <c r="GI60" i="46"/>
  <c r="EM60" i="46"/>
  <c r="FW60" i="46"/>
  <c r="KM60" i="46"/>
  <c r="ED60" i="46"/>
  <c r="EA60" i="46"/>
  <c r="DX60" i="46"/>
  <c r="DU60" i="46"/>
  <c r="DO60" i="46"/>
  <c r="IB60" i="46"/>
  <c r="LB60" i="46"/>
  <c r="HV60" i="46"/>
  <c r="FT60" i="46"/>
  <c r="EJ60" i="46"/>
  <c r="EG60" i="46"/>
  <c r="DR60" i="46"/>
  <c r="DL60" i="46"/>
  <c r="DF60" i="46"/>
  <c r="CW60" i="46"/>
  <c r="HA60" i="46"/>
  <c r="FH60" i="46"/>
  <c r="KJ60" i="46"/>
  <c r="CZ60" i="46"/>
  <c r="FE60" i="46"/>
  <c r="BA60" i="46"/>
  <c r="ES60" i="46"/>
  <c r="AX60" i="46"/>
  <c r="EP60" i="46"/>
  <c r="DI60" i="46"/>
  <c r="DC60" i="46"/>
  <c r="BS60" i="46"/>
  <c r="CK60" i="46"/>
  <c r="BP60" i="46"/>
  <c r="CH60" i="46"/>
  <c r="BM60" i="46"/>
  <c r="CE60" i="46"/>
  <c r="CB60" i="46"/>
  <c r="AU60" i="46"/>
  <c r="AR60" i="46"/>
  <c r="AO60" i="46"/>
  <c r="IE60" i="46"/>
  <c r="GL60" i="46"/>
  <c r="FK60" i="46"/>
  <c r="BG60" i="46"/>
  <c r="AI60" i="46"/>
  <c r="BD60" i="46"/>
  <c r="CN60" i="46"/>
  <c r="BV60" i="46"/>
  <c r="BJ60" i="46"/>
  <c r="AL60" i="46"/>
  <c r="BY60" i="46"/>
  <c r="KP49" i="46"/>
  <c r="IE49" i="46"/>
  <c r="HA49" i="46"/>
  <c r="KM49" i="46"/>
  <c r="IB49" i="46"/>
  <c r="EA49" i="46"/>
  <c r="LE49" i="46"/>
  <c r="ES49" i="46"/>
  <c r="DF49" i="46"/>
  <c r="AC59" i="46"/>
  <c r="T59" i="46"/>
  <c r="Z59" i="46"/>
  <c r="W59" i="46"/>
  <c r="JR59" i="46"/>
  <c r="JO59" i="46"/>
  <c r="JL59" i="46"/>
  <c r="JX59" i="46"/>
  <c r="JU59" i="46"/>
  <c r="JI59" i="46"/>
  <c r="JF59" i="46"/>
  <c r="IN59" i="46"/>
  <c r="IK59" i="46"/>
  <c r="LE59" i="46"/>
  <c r="KG59" i="46"/>
  <c r="KD59" i="46"/>
  <c r="KA59" i="46"/>
  <c r="JC59" i="46"/>
  <c r="LB59" i="46"/>
  <c r="KV59" i="46"/>
  <c r="IW59" i="46"/>
  <c r="GU59" i="46"/>
  <c r="IT59" i="46"/>
  <c r="GR59" i="46"/>
  <c r="IQ59" i="46"/>
  <c r="GO59" i="46"/>
  <c r="GF59" i="46"/>
  <c r="HV59" i="46"/>
  <c r="HS59" i="46"/>
  <c r="HP59" i="46"/>
  <c r="KY59" i="46"/>
  <c r="HM59" i="46"/>
  <c r="KS59" i="46"/>
  <c r="HJ59" i="46"/>
  <c r="KM59" i="46"/>
  <c r="IH59" i="46"/>
  <c r="IE59" i="46"/>
  <c r="IB59" i="46"/>
  <c r="HG59" i="46"/>
  <c r="HD59" i="46"/>
  <c r="GI59" i="46"/>
  <c r="DI59" i="46"/>
  <c r="DF59" i="46"/>
  <c r="FK59" i="46"/>
  <c r="DC59" i="46"/>
  <c r="FB59" i="46"/>
  <c r="CT59" i="46"/>
  <c r="GX59" i="46"/>
  <c r="KP59" i="46"/>
  <c r="GC59" i="46"/>
  <c r="FT59" i="46"/>
  <c r="EG59" i="46"/>
  <c r="ED59" i="46"/>
  <c r="EA59" i="46"/>
  <c r="DX59" i="46"/>
  <c r="DR59" i="46"/>
  <c r="IZ59" i="46"/>
  <c r="FZ59" i="46"/>
  <c r="GL59" i="46"/>
  <c r="CZ59" i="46"/>
  <c r="CN59" i="46"/>
  <c r="FW59" i="46"/>
  <c r="CW59" i="46"/>
  <c r="CK59" i="46"/>
  <c r="FQ59" i="46"/>
  <c r="CQ59" i="46"/>
  <c r="CH59" i="46"/>
  <c r="FN59" i="46"/>
  <c r="CE59" i="46"/>
  <c r="EJ59" i="46"/>
  <c r="KJ59" i="46"/>
  <c r="HY59" i="46"/>
  <c r="BY59" i="46"/>
  <c r="FH59" i="46"/>
  <c r="FE59" i="46"/>
  <c r="EY59" i="46"/>
  <c r="ES59" i="46"/>
  <c r="DU59" i="46"/>
  <c r="DO59" i="46"/>
  <c r="AL59" i="46"/>
  <c r="AI59" i="46"/>
  <c r="BJ59" i="46"/>
  <c r="BG59" i="46"/>
  <c r="BD59" i="46"/>
  <c r="EP59" i="46"/>
  <c r="BV59" i="46"/>
  <c r="BS59" i="46"/>
  <c r="CB59" i="46"/>
  <c r="BP59" i="46"/>
  <c r="BM59" i="46"/>
  <c r="HA59" i="46"/>
  <c r="EV59" i="46"/>
  <c r="AO59" i="46"/>
  <c r="BA59" i="46"/>
  <c r="DL59" i="46"/>
  <c r="AX59" i="46"/>
  <c r="EM59" i="46"/>
  <c r="AU59" i="46"/>
  <c r="AR59" i="46"/>
  <c r="HA56" i="46"/>
  <c r="FN14" i="46"/>
  <c r="GO20" i="46"/>
  <c r="KD29" i="46"/>
  <c r="FT56" i="46"/>
  <c r="IE20" i="46"/>
  <c r="W55" i="46"/>
  <c r="Z55" i="46"/>
  <c r="T55" i="46"/>
  <c r="AC55" i="46"/>
  <c r="JR55" i="46"/>
  <c r="JO55" i="46"/>
  <c r="KM55" i="46"/>
  <c r="KJ55" i="46"/>
  <c r="KG55" i="46"/>
  <c r="KD55" i="46"/>
  <c r="JX55" i="46"/>
  <c r="JU55" i="46"/>
  <c r="JL55" i="46"/>
  <c r="JF55" i="46"/>
  <c r="IT55" i="46"/>
  <c r="IQ55" i="46"/>
  <c r="IN55" i="46"/>
  <c r="IK55" i="46"/>
  <c r="LB55" i="46"/>
  <c r="LE55" i="46"/>
  <c r="GU55" i="46"/>
  <c r="GR55" i="46"/>
  <c r="GO55" i="46"/>
  <c r="KY55" i="46"/>
  <c r="GF55" i="46"/>
  <c r="KS55" i="46"/>
  <c r="HV55" i="46"/>
  <c r="HS55" i="46"/>
  <c r="HP55" i="46"/>
  <c r="HM55" i="46"/>
  <c r="KV55" i="46"/>
  <c r="HJ55" i="46"/>
  <c r="KA55" i="46"/>
  <c r="IW55" i="46"/>
  <c r="IH55" i="46"/>
  <c r="IE55" i="46"/>
  <c r="IB55" i="46"/>
  <c r="HG55" i="46"/>
  <c r="HD55" i="46"/>
  <c r="KP55" i="46"/>
  <c r="GI55" i="46"/>
  <c r="IZ55" i="46"/>
  <c r="DI55" i="46"/>
  <c r="DF55" i="46"/>
  <c r="FK55" i="46"/>
  <c r="DC55" i="46"/>
  <c r="FB55" i="46"/>
  <c r="CT55" i="46"/>
  <c r="GL55" i="46"/>
  <c r="FZ55" i="46"/>
  <c r="FQ55" i="46"/>
  <c r="FN55" i="46"/>
  <c r="EG55" i="46"/>
  <c r="ED55" i="46"/>
  <c r="EA55" i="46"/>
  <c r="DX55" i="46"/>
  <c r="DR55" i="46"/>
  <c r="GX55" i="46"/>
  <c r="JI55" i="46"/>
  <c r="CZ55" i="46"/>
  <c r="CN55" i="46"/>
  <c r="JC55" i="46"/>
  <c r="CW55" i="46"/>
  <c r="CK55" i="46"/>
  <c r="CQ55" i="46"/>
  <c r="CH55" i="46"/>
  <c r="CE55" i="46"/>
  <c r="HY55" i="46"/>
  <c r="GC55" i="46"/>
  <c r="EJ55" i="46"/>
  <c r="FH55" i="46"/>
  <c r="BS55" i="46"/>
  <c r="FE55" i="46"/>
  <c r="EY55" i="46"/>
  <c r="EV55" i="46"/>
  <c r="FW55" i="46"/>
  <c r="EP55" i="46"/>
  <c r="DO55" i="46"/>
  <c r="DL55" i="46"/>
  <c r="AL55" i="46"/>
  <c r="AI55" i="46"/>
  <c r="BJ55" i="46"/>
  <c r="BG55" i="46"/>
  <c r="BD55" i="46"/>
  <c r="CB55" i="46"/>
  <c r="EM55" i="46"/>
  <c r="BY55" i="46"/>
  <c r="AR55" i="46"/>
  <c r="ES55" i="46"/>
  <c r="DU55" i="46"/>
  <c r="AU55" i="46"/>
  <c r="BA55" i="46"/>
  <c r="AX55" i="46"/>
  <c r="AO55" i="46"/>
  <c r="BV55" i="46"/>
  <c r="BP55" i="46"/>
  <c r="HA55" i="46"/>
  <c r="FT55" i="46"/>
  <c r="BM55" i="46"/>
  <c r="AC73" i="46"/>
  <c r="Z73" i="46"/>
  <c r="W73" i="46"/>
  <c r="T73" i="46"/>
  <c r="KV73" i="46"/>
  <c r="IN73" i="46"/>
  <c r="KS73" i="46"/>
  <c r="IK73" i="46"/>
  <c r="KP73" i="46"/>
  <c r="KA73" i="46"/>
  <c r="LE73" i="46"/>
  <c r="LB73" i="46"/>
  <c r="KY73" i="46"/>
  <c r="KM73" i="46"/>
  <c r="JR73" i="46"/>
  <c r="JO73" i="46"/>
  <c r="JL73" i="46"/>
  <c r="JF73" i="46"/>
  <c r="IT73" i="46"/>
  <c r="IQ73" i="46"/>
  <c r="HY73" i="46"/>
  <c r="FQ73" i="46"/>
  <c r="HV73" i="46"/>
  <c r="FN73" i="46"/>
  <c r="HS73" i="46"/>
  <c r="HJ73" i="46"/>
  <c r="IB73" i="46"/>
  <c r="HP73" i="46"/>
  <c r="HM73" i="46"/>
  <c r="HG73" i="46"/>
  <c r="HD73" i="46"/>
  <c r="KG73" i="46"/>
  <c r="GL73" i="46"/>
  <c r="GI73" i="46"/>
  <c r="GF73" i="46"/>
  <c r="GC73" i="46"/>
  <c r="FW73" i="46"/>
  <c r="FT73" i="46"/>
  <c r="KD73" i="46"/>
  <c r="JX73" i="46"/>
  <c r="EM73" i="46"/>
  <c r="KJ73" i="46"/>
  <c r="EJ73" i="46"/>
  <c r="JU73" i="46"/>
  <c r="EG73" i="46"/>
  <c r="JI73" i="46"/>
  <c r="IZ73" i="46"/>
  <c r="DX73" i="46"/>
  <c r="IW73" i="46"/>
  <c r="IE73" i="46"/>
  <c r="GU73" i="46"/>
  <c r="GX73" i="46"/>
  <c r="ED73" i="46"/>
  <c r="GR73" i="46"/>
  <c r="EA73" i="46"/>
  <c r="GO73" i="46"/>
  <c r="DU73" i="46"/>
  <c r="FZ73" i="46"/>
  <c r="DR73" i="46"/>
  <c r="DL73" i="46"/>
  <c r="JC73" i="46"/>
  <c r="IH73" i="46"/>
  <c r="FH73" i="46"/>
  <c r="FE73" i="46"/>
  <c r="HA73" i="46"/>
  <c r="FB73" i="46"/>
  <c r="EY73" i="46"/>
  <c r="ES73" i="46"/>
  <c r="DI73" i="46"/>
  <c r="CW73" i="46"/>
  <c r="CT73" i="46"/>
  <c r="BM73" i="46"/>
  <c r="CQ73" i="46"/>
  <c r="CN73" i="46"/>
  <c r="CE73" i="46"/>
  <c r="FK73" i="46"/>
  <c r="EV73" i="46"/>
  <c r="EP73" i="46"/>
  <c r="DO73" i="46"/>
  <c r="DF73" i="46"/>
  <c r="CZ73" i="46"/>
  <c r="CK73" i="46"/>
  <c r="AX73" i="46"/>
  <c r="CH73" i="46"/>
  <c r="CB73" i="46"/>
  <c r="BV73" i="46"/>
  <c r="DC73" i="46"/>
  <c r="BY73" i="46"/>
  <c r="BS73" i="46"/>
  <c r="BP73" i="46"/>
  <c r="BA73" i="46"/>
  <c r="BG73" i="46"/>
  <c r="BD73" i="46"/>
  <c r="AO73" i="46"/>
  <c r="AI73" i="46"/>
  <c r="AU73" i="46"/>
  <c r="AL73" i="46"/>
  <c r="AR73" i="46"/>
  <c r="BJ73" i="46"/>
  <c r="AO7" i="46"/>
  <c r="AC76" i="46"/>
  <c r="Z76" i="46"/>
  <c r="T76" i="46"/>
  <c r="W76" i="46"/>
  <c r="JC76" i="46"/>
  <c r="IZ76" i="46"/>
  <c r="LE76" i="46"/>
  <c r="IW76" i="46"/>
  <c r="KP76" i="46"/>
  <c r="KY76" i="46"/>
  <c r="KV76" i="46"/>
  <c r="KS76" i="46"/>
  <c r="KM76" i="46"/>
  <c r="IN76" i="46"/>
  <c r="IK76" i="46"/>
  <c r="JI76" i="46"/>
  <c r="JF76" i="46"/>
  <c r="IT76" i="46"/>
  <c r="IQ76" i="46"/>
  <c r="LB76" i="46"/>
  <c r="JX76" i="46"/>
  <c r="IH76" i="46"/>
  <c r="FZ76" i="46"/>
  <c r="JU76" i="46"/>
  <c r="JR76" i="46"/>
  <c r="JO76" i="46"/>
  <c r="GO76" i="46"/>
  <c r="GL76" i="46"/>
  <c r="GI76" i="46"/>
  <c r="FW76" i="46"/>
  <c r="IB76" i="46"/>
  <c r="HY76" i="46"/>
  <c r="HV76" i="46"/>
  <c r="HS76" i="46"/>
  <c r="HP76" i="46"/>
  <c r="KJ76" i="46"/>
  <c r="FT76" i="46"/>
  <c r="KG76" i="46"/>
  <c r="FQ76" i="46"/>
  <c r="KD76" i="46"/>
  <c r="FN76" i="46"/>
  <c r="KA76" i="46"/>
  <c r="HM76" i="46"/>
  <c r="FB76" i="46"/>
  <c r="CT76" i="46"/>
  <c r="EY76" i="46"/>
  <c r="CQ76" i="46"/>
  <c r="IE76" i="46"/>
  <c r="EV76" i="46"/>
  <c r="HJ76" i="46"/>
  <c r="HD76" i="46"/>
  <c r="EM76" i="46"/>
  <c r="HA76" i="46"/>
  <c r="GF76" i="46"/>
  <c r="ED76" i="46"/>
  <c r="EA76" i="46"/>
  <c r="DX76" i="46"/>
  <c r="HG76" i="46"/>
  <c r="DU76" i="46"/>
  <c r="GU76" i="46"/>
  <c r="DO76" i="46"/>
  <c r="EJ76" i="46"/>
  <c r="EG76" i="46"/>
  <c r="DR76" i="46"/>
  <c r="DL76" i="46"/>
  <c r="DF76" i="46"/>
  <c r="CW76" i="46"/>
  <c r="FH76" i="46"/>
  <c r="ES76" i="46"/>
  <c r="EP76" i="46"/>
  <c r="GX76" i="46"/>
  <c r="BA76" i="46"/>
  <c r="GR76" i="46"/>
  <c r="BY76" i="46"/>
  <c r="AX76" i="46"/>
  <c r="GC76" i="46"/>
  <c r="FK76" i="46"/>
  <c r="BV76" i="46"/>
  <c r="FE76" i="46"/>
  <c r="BS76" i="46"/>
  <c r="DI76" i="46"/>
  <c r="BP76" i="46"/>
  <c r="CZ76" i="46"/>
  <c r="CK76" i="46"/>
  <c r="CH76" i="46"/>
  <c r="JL76" i="46"/>
  <c r="CB76" i="46"/>
  <c r="AR76" i="46"/>
  <c r="AU76" i="46"/>
  <c r="AO76" i="46"/>
  <c r="BG76" i="46"/>
  <c r="AI76" i="46"/>
  <c r="BD76" i="46"/>
  <c r="BM76" i="46"/>
  <c r="DC76" i="46"/>
  <c r="CN76" i="46"/>
  <c r="BJ76" i="46"/>
  <c r="CE76" i="46"/>
  <c r="AL76" i="46"/>
  <c r="JF57" i="46"/>
  <c r="GC57" i="46"/>
  <c r="KM57" i="46"/>
  <c r="JO57" i="46"/>
  <c r="FZ57" i="46"/>
  <c r="EP7" i="46"/>
  <c r="CE7" i="46"/>
  <c r="AR7" i="46"/>
  <c r="FW69" i="46"/>
  <c r="IK69" i="46"/>
  <c r="GF41" i="46"/>
  <c r="EA57" i="46"/>
  <c r="KY57" i="46"/>
  <c r="GC14" i="46"/>
  <c r="HP14" i="46"/>
  <c r="GO29" i="46"/>
  <c r="EP49" i="46"/>
  <c r="IT49" i="46"/>
  <c r="JI49" i="46"/>
  <c r="GR61" i="46"/>
  <c r="KM61" i="46"/>
  <c r="EY56" i="46"/>
  <c r="FK72" i="46"/>
  <c r="HV72" i="46"/>
  <c r="IZ72" i="46"/>
  <c r="IB37" i="46"/>
  <c r="GO50" i="46"/>
  <c r="LE61" i="46"/>
  <c r="GC63" i="46"/>
  <c r="IH63" i="46"/>
  <c r="KV63" i="46"/>
  <c r="FZ13" i="46"/>
  <c r="GC13" i="46"/>
  <c r="IW13" i="46"/>
  <c r="EJ58" i="46"/>
  <c r="HA58" i="46"/>
  <c r="IK58" i="46"/>
  <c r="DX56" i="46"/>
  <c r="IK56" i="46"/>
  <c r="JO56" i="46"/>
  <c r="ED74" i="46"/>
  <c r="HP74" i="46"/>
  <c r="JU74" i="46"/>
  <c r="EA72" i="46"/>
  <c r="HP72" i="46"/>
  <c r="IT72" i="46"/>
  <c r="DI43" i="46"/>
  <c r="GI43" i="46"/>
  <c r="FN43" i="46"/>
  <c r="IN43" i="46"/>
  <c r="FW36" i="46"/>
  <c r="GI36" i="46"/>
  <c r="JF36" i="46"/>
  <c r="IW36" i="46"/>
  <c r="DX16" i="46"/>
  <c r="KY16" i="46"/>
  <c r="LB16" i="46"/>
  <c r="DF66" i="46"/>
  <c r="FW66" i="46"/>
  <c r="HV66" i="46"/>
  <c r="IK66" i="46"/>
  <c r="IE47" i="46"/>
  <c r="DF47" i="46"/>
  <c r="FH47" i="46"/>
  <c r="HD47" i="46"/>
  <c r="JX47" i="46"/>
  <c r="FW37" i="46"/>
  <c r="KM37" i="46"/>
  <c r="HJ37" i="46"/>
  <c r="JC37" i="46"/>
  <c r="ES21" i="46"/>
  <c r="IB21" i="46"/>
  <c r="KJ21" i="46"/>
  <c r="IN21" i="46"/>
  <c r="EY26" i="46"/>
  <c r="IZ26" i="46"/>
  <c r="HJ26" i="46"/>
  <c r="IT26" i="46"/>
  <c r="ES65" i="46"/>
  <c r="EG65" i="46"/>
  <c r="HJ65" i="46"/>
  <c r="KS65" i="46"/>
  <c r="ES33" i="46"/>
  <c r="IW33" i="46"/>
  <c r="GR33" i="46"/>
  <c r="KG33" i="46"/>
  <c r="ES75" i="46"/>
  <c r="DI75" i="46"/>
  <c r="IT75" i="46"/>
  <c r="JR75" i="46"/>
  <c r="FT50" i="46"/>
  <c r="GL50" i="46"/>
  <c r="GI50" i="46"/>
  <c r="FE20" i="46"/>
  <c r="ED20" i="46"/>
  <c r="EP20" i="46"/>
  <c r="HP20" i="46"/>
  <c r="DX11" i="46"/>
  <c r="GF11" i="46"/>
  <c r="JC11" i="46"/>
  <c r="EV44" i="46"/>
  <c r="FE44" i="46"/>
  <c r="IW44" i="46"/>
  <c r="KD44" i="46"/>
  <c r="EM53" i="46"/>
  <c r="GR53" i="46"/>
  <c r="HS53" i="46"/>
  <c r="LB26" i="46"/>
  <c r="EY65" i="46"/>
  <c r="JF65" i="46"/>
  <c r="HS65" i="46"/>
  <c r="IN65" i="46"/>
  <c r="IB33" i="46"/>
  <c r="JO33" i="46"/>
  <c r="IQ33" i="46"/>
  <c r="KJ33" i="46"/>
  <c r="FT75" i="46"/>
  <c r="GU75" i="46"/>
  <c r="GR50" i="46"/>
  <c r="KM50" i="46"/>
  <c r="IB20" i="46"/>
  <c r="EG20" i="46"/>
  <c r="GR20" i="46"/>
  <c r="HS20" i="46"/>
  <c r="EM11" i="46"/>
  <c r="GR11" i="46"/>
  <c r="GL11" i="46"/>
  <c r="JI11" i="46"/>
  <c r="FT44" i="46"/>
  <c r="KJ44" i="46"/>
  <c r="ES53" i="46"/>
  <c r="IN53" i="46"/>
  <c r="FN53" i="46"/>
  <c r="IN37" i="46"/>
  <c r="KJ37" i="46"/>
  <c r="EY21" i="46"/>
  <c r="FN21" i="46"/>
  <c r="HA21" i="46"/>
  <c r="FQ26" i="46"/>
  <c r="HY26" i="46"/>
  <c r="GF26" i="46"/>
  <c r="FH65" i="46"/>
  <c r="JX65" i="46"/>
  <c r="HY65" i="46"/>
  <c r="EV33" i="46"/>
  <c r="KS33" i="46"/>
  <c r="HS33" i="46"/>
  <c r="HG75" i="46"/>
  <c r="IQ75" i="46"/>
  <c r="HA75" i="46"/>
  <c r="EM50" i="46"/>
  <c r="ES50" i="46"/>
  <c r="EP50" i="46"/>
  <c r="KS50" i="46"/>
  <c r="EY20" i="46"/>
  <c r="FQ20" i="46"/>
  <c r="KM20" i="46"/>
  <c r="EG11" i="46"/>
  <c r="IW11" i="46"/>
  <c r="HD11" i="46"/>
  <c r="KV11" i="46"/>
  <c r="GL44" i="46"/>
  <c r="IZ44" i="46"/>
  <c r="JI44" i="46"/>
  <c r="FB53" i="46"/>
  <c r="IK53" i="46"/>
  <c r="KA53" i="46"/>
  <c r="EA52" i="46"/>
  <c r="HA52" i="46"/>
  <c r="IZ52" i="46"/>
  <c r="JC52" i="46"/>
  <c r="DI62" i="46"/>
  <c r="HA62" i="46"/>
  <c r="JX62" i="46"/>
  <c r="ED61" i="46"/>
  <c r="IQ61" i="46"/>
  <c r="JF61" i="46"/>
  <c r="EJ63" i="46"/>
  <c r="HA63" i="46"/>
  <c r="JX63" i="46"/>
  <c r="IQ63" i="46"/>
  <c r="FK13" i="46"/>
  <c r="FT13" i="46"/>
  <c r="JO13" i="46"/>
  <c r="JU13" i="46"/>
  <c r="GC58" i="46"/>
  <c r="HY58" i="46"/>
  <c r="JO58" i="46"/>
  <c r="HV56" i="46"/>
  <c r="GL56" i="46"/>
  <c r="FZ56" i="46"/>
  <c r="KA56" i="46"/>
  <c r="EP74" i="46"/>
  <c r="IH74" i="46"/>
  <c r="HG74" i="46"/>
  <c r="KY74" i="46"/>
  <c r="EV72" i="46"/>
  <c r="JX72" i="46"/>
  <c r="KP72" i="46"/>
  <c r="FK43" i="46"/>
  <c r="GU43" i="46"/>
  <c r="FZ43" i="46"/>
  <c r="KY43" i="46"/>
  <c r="ED36" i="46"/>
  <c r="JX36" i="46"/>
  <c r="IB36" i="46"/>
  <c r="KV36" i="46"/>
  <c r="DF16" i="46"/>
  <c r="IE16" i="46"/>
  <c r="EJ16" i="46"/>
  <c r="KM16" i="46"/>
  <c r="JX16" i="46"/>
  <c r="IE66" i="46"/>
  <c r="HG66" i="46"/>
  <c r="KG66" i="46"/>
  <c r="EJ47" i="46"/>
  <c r="HV47" i="46"/>
  <c r="JR47" i="46"/>
  <c r="EG37" i="46"/>
  <c r="KV37" i="46"/>
  <c r="JU37" i="46"/>
  <c r="IQ21" i="46"/>
  <c r="IT21" i="46"/>
  <c r="EJ26" i="46"/>
  <c r="GR26" i="46"/>
  <c r="GL26" i="46"/>
  <c r="FZ65" i="46"/>
  <c r="FW65" i="46"/>
  <c r="KM65" i="46"/>
  <c r="FE33" i="46"/>
  <c r="HD33" i="46"/>
  <c r="FN33" i="46"/>
  <c r="FE75" i="46"/>
  <c r="DX75" i="46"/>
  <c r="IK75" i="46"/>
  <c r="KM75" i="46"/>
  <c r="FB50" i="46"/>
  <c r="HV50" i="46"/>
  <c r="LE50" i="46"/>
  <c r="IW20" i="46"/>
  <c r="LB20" i="46"/>
  <c r="HA11" i="46"/>
  <c r="HJ11" i="46"/>
  <c r="LE11" i="46"/>
  <c r="GO44" i="46"/>
  <c r="JO44" i="46"/>
  <c r="KG44" i="46"/>
  <c r="IQ53" i="46"/>
  <c r="KP53" i="46"/>
  <c r="FW62" i="46"/>
  <c r="KV62" i="46"/>
  <c r="KJ62" i="46"/>
  <c r="FZ61" i="46"/>
  <c r="HJ61" i="46"/>
  <c r="JI61" i="46"/>
  <c r="FQ63" i="46"/>
  <c r="FZ63" i="46"/>
  <c r="HS63" i="46"/>
  <c r="IT63" i="46"/>
  <c r="HV13" i="46"/>
  <c r="GL13" i="46"/>
  <c r="LB13" i="46"/>
  <c r="JX13" i="46"/>
  <c r="EV58" i="46"/>
  <c r="KJ58" i="46"/>
  <c r="JR58" i="46"/>
  <c r="FH56" i="46"/>
  <c r="EV56" i="46"/>
  <c r="IH56" i="46"/>
  <c r="KD56" i="46"/>
  <c r="HJ74" i="46"/>
  <c r="LB74" i="46"/>
  <c r="DF72" i="46"/>
  <c r="HA72" i="46"/>
  <c r="GC72" i="46"/>
  <c r="IW72" i="46"/>
  <c r="GX43" i="46"/>
  <c r="JU43" i="46"/>
  <c r="IZ43" i="46"/>
  <c r="FT36" i="46"/>
  <c r="FQ36" i="46"/>
  <c r="IQ36" i="46"/>
  <c r="EM16" i="46"/>
  <c r="HM16" i="46"/>
  <c r="KA16" i="46"/>
  <c r="EP66" i="46"/>
  <c r="FQ66" i="46"/>
  <c r="DX66" i="46"/>
  <c r="HJ66" i="46"/>
  <c r="ED47" i="46"/>
  <c r="FQ47" i="46"/>
  <c r="JU47" i="46"/>
  <c r="EP37" i="46"/>
  <c r="DI37" i="46"/>
  <c r="HS37" i="46"/>
  <c r="FB21" i="46"/>
  <c r="FW21" i="46"/>
  <c r="IZ21" i="46"/>
  <c r="ES26" i="46"/>
  <c r="HS26" i="46"/>
  <c r="GO26" i="46"/>
  <c r="KA65" i="46"/>
  <c r="GC65" i="46"/>
  <c r="LB65" i="46"/>
  <c r="FH33" i="46"/>
  <c r="IH33" i="46"/>
  <c r="HV33" i="46"/>
  <c r="EP75" i="46"/>
  <c r="EA75" i="46"/>
  <c r="HP75" i="46"/>
  <c r="GO75" i="46"/>
  <c r="EA50" i="46"/>
  <c r="FE50" i="46"/>
  <c r="HY50" i="46"/>
  <c r="KV50" i="46"/>
  <c r="FK20" i="46"/>
  <c r="FW20" i="46"/>
  <c r="GU20" i="46"/>
  <c r="JF20" i="46"/>
  <c r="ES11" i="46"/>
  <c r="HP11" i="46"/>
  <c r="HM11" i="46"/>
  <c r="JL11" i="46"/>
  <c r="GR44" i="46"/>
  <c r="HY44" i="46"/>
  <c r="KM44" i="46"/>
  <c r="FK53" i="46"/>
  <c r="HM53" i="46"/>
  <c r="KS53" i="46"/>
  <c r="T19" i="46"/>
  <c r="AC19" i="46"/>
  <c r="Z19" i="46"/>
  <c r="W19" i="46"/>
  <c r="KP19" i="46"/>
  <c r="KM19" i="46"/>
  <c r="KJ19" i="46"/>
  <c r="IZ19" i="46"/>
  <c r="IW19" i="46"/>
  <c r="IT19" i="46"/>
  <c r="JL19" i="46"/>
  <c r="JI19" i="46"/>
  <c r="JF19" i="46"/>
  <c r="JC19" i="46"/>
  <c r="KY19" i="46"/>
  <c r="JO19" i="46"/>
  <c r="IQ19" i="46"/>
  <c r="IN19" i="46"/>
  <c r="IK19" i="46"/>
  <c r="KD19" i="46"/>
  <c r="KA19" i="46"/>
  <c r="JX19" i="46"/>
  <c r="JU19" i="46"/>
  <c r="KV19" i="46"/>
  <c r="IH19" i="46"/>
  <c r="FZ19" i="46"/>
  <c r="KS19" i="46"/>
  <c r="IE19" i="46"/>
  <c r="FW19" i="46"/>
  <c r="KG19" i="46"/>
  <c r="IB19" i="46"/>
  <c r="FT19" i="46"/>
  <c r="JR19" i="46"/>
  <c r="HY19" i="46"/>
  <c r="FQ19" i="46"/>
  <c r="HM19" i="46"/>
  <c r="HJ19" i="46"/>
  <c r="HG19" i="46"/>
  <c r="HD19" i="46"/>
  <c r="GX19" i="46"/>
  <c r="LB19" i="46"/>
  <c r="GI19" i="46"/>
  <c r="HV19" i="46"/>
  <c r="HS19" i="46"/>
  <c r="HA19" i="46"/>
  <c r="GU19" i="46"/>
  <c r="GF19" i="46"/>
  <c r="FN19" i="46"/>
  <c r="HP19" i="46"/>
  <c r="FE19" i="46"/>
  <c r="CW19" i="46"/>
  <c r="GR19" i="46"/>
  <c r="FB19" i="46"/>
  <c r="CT19" i="46"/>
  <c r="GO19" i="46"/>
  <c r="EY19" i="46"/>
  <c r="CQ19" i="46"/>
  <c r="GL19" i="46"/>
  <c r="EP19" i="46"/>
  <c r="EA19" i="46"/>
  <c r="CN19" i="46"/>
  <c r="DX19" i="46"/>
  <c r="CK19" i="46"/>
  <c r="DU19" i="46"/>
  <c r="CH19" i="46"/>
  <c r="DR19" i="46"/>
  <c r="CE19" i="46"/>
  <c r="DL19" i="46"/>
  <c r="DC19" i="46"/>
  <c r="CZ19" i="46"/>
  <c r="LE19" i="46"/>
  <c r="FK19" i="46"/>
  <c r="EM19" i="46"/>
  <c r="AL19" i="46"/>
  <c r="EJ19" i="46"/>
  <c r="AI19" i="46"/>
  <c r="EG19" i="46"/>
  <c r="BJ19" i="46"/>
  <c r="ED19" i="46"/>
  <c r="BG19" i="46"/>
  <c r="DO19" i="46"/>
  <c r="BD19" i="46"/>
  <c r="GC19" i="46"/>
  <c r="DF19" i="46"/>
  <c r="BS19" i="46"/>
  <c r="AX19" i="46"/>
  <c r="AO19" i="46"/>
  <c r="FH19" i="46"/>
  <c r="EV19" i="46"/>
  <c r="CB19" i="46"/>
  <c r="BM19" i="46"/>
  <c r="BA19" i="46"/>
  <c r="AU19" i="46"/>
  <c r="DI19" i="46"/>
  <c r="AR19" i="46"/>
  <c r="ES19" i="46"/>
  <c r="BV19" i="46"/>
  <c r="BY19" i="46"/>
  <c r="BP19" i="46"/>
  <c r="EY48" i="46"/>
  <c r="JU48" i="46"/>
  <c r="IW48" i="46"/>
  <c r="GL45" i="46"/>
  <c r="GC45" i="46"/>
  <c r="IK45" i="46"/>
  <c r="DI17" i="46"/>
  <c r="GR17" i="46"/>
  <c r="KM17" i="46"/>
  <c r="DF69" i="46"/>
  <c r="GX69" i="46"/>
  <c r="HM69" i="46"/>
  <c r="KD69" i="46"/>
  <c r="EJ41" i="46"/>
  <c r="FB41" i="46"/>
  <c r="GI41" i="46"/>
  <c r="KS41" i="46"/>
  <c r="GL57" i="46"/>
  <c r="LE57" i="46"/>
  <c r="GU14" i="46"/>
  <c r="HM14" i="46"/>
  <c r="JO14" i="46"/>
  <c r="HS29" i="46"/>
  <c r="IW29" i="46"/>
  <c r="HG49" i="46"/>
  <c r="GL49" i="46"/>
  <c r="JL49" i="46"/>
  <c r="FK77" i="46"/>
  <c r="HJ77" i="46"/>
  <c r="HY77" i="46"/>
  <c r="KA77" i="46"/>
  <c r="EV52" i="46"/>
  <c r="HD52" i="46"/>
  <c r="IB52" i="46"/>
  <c r="KS52" i="46"/>
  <c r="EP62" i="46"/>
  <c r="IH62" i="46"/>
  <c r="GL62" i="46"/>
  <c r="HV62" i="46"/>
  <c r="JF62" i="46"/>
  <c r="JX61" i="46"/>
  <c r="DX61" i="46"/>
  <c r="KD61" i="46"/>
  <c r="KS61" i="46"/>
  <c r="FK63" i="46"/>
  <c r="GF63" i="46"/>
  <c r="JO63" i="46"/>
  <c r="FN13" i="46"/>
  <c r="LE13" i="46"/>
  <c r="HD13" i="46"/>
  <c r="JL13" i="46"/>
  <c r="FT58" i="46"/>
  <c r="HD58" i="46"/>
  <c r="KG58" i="46"/>
  <c r="GR56" i="46"/>
  <c r="GF56" i="46"/>
  <c r="IZ56" i="46"/>
  <c r="FK74" i="46"/>
  <c r="FT74" i="46"/>
  <c r="IW74" i="46"/>
  <c r="KG74" i="46"/>
  <c r="IK72" i="46"/>
  <c r="EA43" i="46"/>
  <c r="KG43" i="46"/>
  <c r="IZ36" i="46"/>
  <c r="HA36" i="46"/>
  <c r="IH36" i="46"/>
  <c r="FT16" i="46"/>
  <c r="HY16" i="46"/>
  <c r="HS16" i="46"/>
  <c r="EY66" i="46"/>
  <c r="EA66" i="46"/>
  <c r="GI66" i="46"/>
  <c r="KJ66" i="46"/>
  <c r="IH47" i="46"/>
  <c r="GL47" i="46"/>
  <c r="KA47" i="46"/>
  <c r="EJ37" i="46"/>
  <c r="EY37" i="46"/>
  <c r="JO37" i="46"/>
  <c r="KA37" i="46"/>
  <c r="GF21" i="46"/>
  <c r="KS21" i="46"/>
  <c r="ED26" i="46"/>
  <c r="IB26" i="46"/>
  <c r="JX26" i="46"/>
  <c r="HA65" i="46"/>
  <c r="GL65" i="46"/>
  <c r="JR65" i="46"/>
  <c r="EA33" i="46"/>
  <c r="HP33" i="46"/>
  <c r="GU33" i="46"/>
  <c r="KV33" i="46"/>
  <c r="FW75" i="46"/>
  <c r="IE75" i="46"/>
  <c r="HV75" i="46"/>
  <c r="KP75" i="46"/>
  <c r="KY50" i="46"/>
  <c r="HS50" i="46"/>
  <c r="FW50" i="46"/>
  <c r="IW50" i="46"/>
  <c r="GI20" i="46"/>
  <c r="HD20" i="46"/>
  <c r="IN20" i="46"/>
  <c r="DI11" i="46"/>
  <c r="EY11" i="46"/>
  <c r="HY11" i="46"/>
  <c r="JX11" i="46"/>
  <c r="DI44" i="46"/>
  <c r="GU44" i="46"/>
  <c r="EA44" i="46"/>
  <c r="JU44" i="46"/>
  <c r="KS44" i="46"/>
  <c r="FQ53" i="46"/>
  <c r="HY53" i="46"/>
  <c r="JI53" i="46"/>
  <c r="W54" i="46"/>
  <c r="AC54" i="46"/>
  <c r="Z54" i="46"/>
  <c r="T54" i="46"/>
  <c r="KY54" i="46"/>
  <c r="IW54" i="46"/>
  <c r="KG54" i="46"/>
  <c r="KD54" i="46"/>
  <c r="JR54" i="46"/>
  <c r="JL54" i="46"/>
  <c r="IQ54" i="46"/>
  <c r="KM54" i="46"/>
  <c r="HV54" i="46"/>
  <c r="GL54" i="46"/>
  <c r="HJ54" i="46"/>
  <c r="GR54" i="46"/>
  <c r="IB54" i="46"/>
  <c r="JX54" i="46"/>
  <c r="HY54" i="46"/>
  <c r="GF54" i="46"/>
  <c r="FZ54" i="46"/>
  <c r="HD54" i="46"/>
  <c r="EJ54" i="46"/>
  <c r="IZ54" i="46"/>
  <c r="LB54" i="46"/>
  <c r="GC54" i="46"/>
  <c r="FW54" i="46"/>
  <c r="DX54" i="46"/>
  <c r="FN54" i="46"/>
  <c r="ES54" i="46"/>
  <c r="IH54" i="46"/>
  <c r="IE54" i="46"/>
  <c r="HG54" i="46"/>
  <c r="DU54" i="46"/>
  <c r="BY54" i="46"/>
  <c r="FQ54" i="46"/>
  <c r="DR54" i="46"/>
  <c r="DO54" i="46"/>
  <c r="BS54" i="46"/>
  <c r="DL54" i="46"/>
  <c r="CN54" i="46"/>
  <c r="GX54" i="46"/>
  <c r="EY54" i="46"/>
  <c r="CW54" i="46"/>
  <c r="GU54" i="46"/>
  <c r="DC54" i="46"/>
  <c r="CZ54" i="46"/>
  <c r="EV54" i="46"/>
  <c r="AU54" i="46"/>
  <c r="AR54" i="46"/>
  <c r="AO54" i="46"/>
  <c r="HA54" i="46"/>
  <c r="CK54" i="46"/>
  <c r="CT54" i="46"/>
  <c r="CE54" i="46"/>
  <c r="CQ54" i="46"/>
  <c r="FB54" i="46"/>
  <c r="BG54" i="46"/>
  <c r="AI54" i="46"/>
  <c r="BD54" i="46"/>
  <c r="BM54" i="46"/>
  <c r="AX54" i="46"/>
  <c r="AL54" i="46"/>
  <c r="CH54" i="46"/>
  <c r="BA54" i="46"/>
  <c r="CB54" i="46"/>
  <c r="EA54" i="46"/>
  <c r="BV54" i="46"/>
  <c r="BP54" i="46"/>
  <c r="BJ54" i="46"/>
  <c r="LE54" i="46"/>
  <c r="JI54" i="46"/>
  <c r="KV54" i="46"/>
  <c r="HP54" i="46"/>
  <c r="EM54" i="46"/>
  <c r="IK54" i="46"/>
  <c r="FH54" i="46"/>
  <c r="GI54" i="46"/>
  <c r="GO54" i="46"/>
  <c r="ED54" i="46"/>
  <c r="KS54" i="46"/>
  <c r="JF54" i="46"/>
  <c r="DF54" i="46"/>
  <c r="DI54" i="46"/>
  <c r="FE54" i="46"/>
  <c r="JO54" i="46"/>
  <c r="EP54" i="46"/>
  <c r="JC54" i="46"/>
  <c r="KA54" i="46"/>
  <c r="IT54" i="46"/>
  <c r="FK54" i="46"/>
  <c r="EG54" i="46"/>
  <c r="FT54" i="46"/>
  <c r="JU54" i="46"/>
  <c r="IN54" i="46"/>
  <c r="KJ54" i="46"/>
  <c r="KP54" i="46"/>
  <c r="HS54" i="46"/>
  <c r="HM54" i="46"/>
  <c r="GI48" i="46"/>
  <c r="KJ48" i="46"/>
  <c r="LE48" i="46"/>
  <c r="ED45" i="46"/>
  <c r="DF45" i="46"/>
  <c r="GF45" i="46"/>
  <c r="JI45" i="46"/>
  <c r="EJ17" i="46"/>
  <c r="EG17" i="46"/>
  <c r="HM17" i="46"/>
  <c r="KJ17" i="46"/>
  <c r="EV69" i="46"/>
  <c r="IE69" i="46"/>
  <c r="IB69" i="46"/>
  <c r="KM69" i="46"/>
  <c r="GL41" i="46"/>
  <c r="LB41" i="46"/>
  <c r="EP57" i="46"/>
  <c r="ED57" i="46"/>
  <c r="HG57" i="46"/>
  <c r="JU57" i="46"/>
  <c r="DF14" i="46"/>
  <c r="IK14" i="46"/>
  <c r="JU14" i="46"/>
  <c r="DX29" i="46"/>
  <c r="KY29" i="46"/>
  <c r="JU29" i="46"/>
  <c r="HP49" i="46"/>
  <c r="GR49" i="46"/>
  <c r="JU49" i="46"/>
  <c r="HG77" i="46"/>
  <c r="DX77" i="46"/>
  <c r="KJ77" i="46"/>
  <c r="IK77" i="46"/>
  <c r="HM52" i="46"/>
  <c r="IE52" i="46"/>
  <c r="KV52" i="46"/>
  <c r="DF62" i="46"/>
  <c r="IB62" i="46"/>
  <c r="GU62" i="46"/>
  <c r="KD62" i="46"/>
  <c r="ES61" i="46"/>
  <c r="EJ61" i="46"/>
  <c r="HV61" i="46"/>
  <c r="KV61" i="46"/>
  <c r="DI63" i="46"/>
  <c r="GO63" i="46"/>
  <c r="FQ13" i="46"/>
  <c r="DX13" i="46"/>
  <c r="JR13" i="46"/>
  <c r="FB58" i="46"/>
  <c r="GI58" i="46"/>
  <c r="HJ58" i="46"/>
  <c r="EG56" i="46"/>
  <c r="FB56" i="46"/>
  <c r="IN56" i="46"/>
  <c r="EM74" i="46"/>
  <c r="FQ74" i="46"/>
  <c r="KP74" i="46"/>
  <c r="HD74" i="46"/>
  <c r="EJ72" i="46"/>
  <c r="IB72" i="46"/>
  <c r="JL72" i="46"/>
  <c r="EV43" i="46"/>
  <c r="HM43" i="46"/>
  <c r="KP43" i="46"/>
  <c r="GF36" i="46"/>
  <c r="HJ36" i="46"/>
  <c r="KG36" i="46"/>
  <c r="FE16" i="46"/>
  <c r="FW16" i="46"/>
  <c r="IH16" i="46"/>
  <c r="IN16" i="46"/>
  <c r="FB66" i="46"/>
  <c r="ED66" i="46"/>
  <c r="GR66" i="46"/>
  <c r="KP66" i="46"/>
  <c r="EM47" i="46"/>
  <c r="EY47" i="46"/>
  <c r="HM47" i="46"/>
  <c r="LE47" i="46"/>
  <c r="EM37" i="46"/>
  <c r="FE37" i="46"/>
  <c r="KP37" i="46"/>
  <c r="KY37" i="46"/>
  <c r="EG21" i="46"/>
  <c r="GC21" i="46"/>
  <c r="JU21" i="46"/>
  <c r="EV26" i="46"/>
  <c r="FE26" i="46"/>
  <c r="IH26" i="46"/>
  <c r="JU26" i="46"/>
  <c r="IH65" i="46"/>
  <c r="KJ65" i="46"/>
  <c r="LE65" i="46"/>
  <c r="EG33" i="46"/>
  <c r="FB33" i="46"/>
  <c r="GF33" i="46"/>
  <c r="LB33" i="46"/>
  <c r="GF75" i="46"/>
  <c r="FB75" i="46"/>
  <c r="HY75" i="46"/>
  <c r="KV75" i="46"/>
  <c r="ED50" i="46"/>
  <c r="KP50" i="46"/>
  <c r="FZ50" i="46"/>
  <c r="JL50" i="46"/>
  <c r="GX20" i="46"/>
  <c r="HG20" i="46"/>
  <c r="IQ20" i="46"/>
  <c r="FB11" i="46"/>
  <c r="FT11" i="46"/>
  <c r="KD11" i="46"/>
  <c r="HA44" i="46"/>
  <c r="EG44" i="46"/>
  <c r="IE44" i="46"/>
  <c r="KV44" i="46"/>
  <c r="EA53" i="46"/>
  <c r="FE53" i="46"/>
  <c r="IB53" i="46"/>
  <c r="KG53" i="46"/>
  <c r="FK57" i="46"/>
  <c r="JC57" i="46"/>
  <c r="HM57" i="46"/>
  <c r="JX57" i="46"/>
  <c r="HS14" i="46"/>
  <c r="GF14" i="46"/>
  <c r="IQ14" i="46"/>
  <c r="FQ29" i="46"/>
  <c r="GU29" i="46"/>
  <c r="JX29" i="46"/>
  <c r="JF49" i="46"/>
  <c r="IZ49" i="46"/>
  <c r="JX49" i="46"/>
  <c r="IQ77" i="46"/>
  <c r="EG77" i="46"/>
  <c r="FW77" i="46"/>
  <c r="KS77" i="46"/>
  <c r="ES52" i="46"/>
  <c r="DF52" i="46"/>
  <c r="FZ52" i="46"/>
  <c r="IQ52" i="46"/>
  <c r="FE62" i="46"/>
  <c r="DX62" i="46"/>
  <c r="HD62" i="46"/>
  <c r="KG62" i="46"/>
  <c r="EY61" i="46"/>
  <c r="EM61" i="46"/>
  <c r="KG61" i="46"/>
  <c r="EP63" i="46"/>
  <c r="GI63" i="46"/>
  <c r="GR63" i="46"/>
  <c r="EY13" i="46"/>
  <c r="EA13" i="46"/>
  <c r="KD13" i="46"/>
  <c r="FH58" i="46"/>
  <c r="EA58" i="46"/>
  <c r="GO58" i="46"/>
  <c r="IZ58" i="46"/>
  <c r="EJ56" i="46"/>
  <c r="GU56" i="46"/>
  <c r="IQ56" i="46"/>
  <c r="GI74" i="46"/>
  <c r="JC74" i="46"/>
  <c r="FW72" i="46"/>
  <c r="HD72" i="46"/>
  <c r="JR72" i="46"/>
  <c r="JX43" i="46"/>
  <c r="JI43" i="46"/>
  <c r="ES36" i="46"/>
  <c r="GR36" i="46"/>
  <c r="KP36" i="46"/>
  <c r="FB16" i="46"/>
  <c r="GR16" i="46"/>
  <c r="GF16" i="46"/>
  <c r="IT16" i="46"/>
  <c r="FH66" i="46"/>
  <c r="EG66" i="46"/>
  <c r="GX66" i="46"/>
  <c r="KS66" i="46"/>
  <c r="HP47" i="46"/>
  <c r="JI47" i="46"/>
  <c r="FH37" i="46"/>
  <c r="GX37" i="46"/>
  <c r="IQ37" i="46"/>
  <c r="EP21" i="46"/>
  <c r="DI21" i="46"/>
  <c r="FT21" i="46"/>
  <c r="GR21" i="46"/>
  <c r="JX21" i="46"/>
  <c r="FT26" i="46"/>
  <c r="FZ26" i="46"/>
  <c r="KD26" i="46"/>
  <c r="ED65" i="46"/>
  <c r="HD65" i="46"/>
  <c r="IQ65" i="46"/>
  <c r="IE33" i="46"/>
  <c r="GI33" i="46"/>
  <c r="LE33" i="46"/>
  <c r="FH75" i="46"/>
  <c r="EV75" i="46"/>
  <c r="KD75" i="46"/>
  <c r="KY75" i="46"/>
  <c r="EJ50" i="46"/>
  <c r="KD50" i="46"/>
  <c r="JX50" i="46"/>
  <c r="IK20" i="46"/>
  <c r="KV20" i="46"/>
  <c r="IT20" i="46"/>
  <c r="IB11" i="46"/>
  <c r="KJ11" i="46"/>
  <c r="HD44" i="46"/>
  <c r="KA44" i="46"/>
  <c r="IQ44" i="46"/>
  <c r="GC53" i="46"/>
  <c r="FW53" i="46"/>
  <c r="JU53" i="46"/>
  <c r="KJ53" i="46"/>
  <c r="T32" i="46"/>
  <c r="AC32" i="46"/>
  <c r="Z32" i="46"/>
  <c r="W32" i="46"/>
  <c r="KY32" i="46"/>
  <c r="IQ32" i="46"/>
  <c r="KV32" i="46"/>
  <c r="IN32" i="46"/>
  <c r="KS32" i="46"/>
  <c r="IK32" i="46"/>
  <c r="KD32" i="46"/>
  <c r="KA32" i="46"/>
  <c r="JX32" i="46"/>
  <c r="LB32" i="46"/>
  <c r="KP32" i="46"/>
  <c r="KM32" i="46"/>
  <c r="KJ32" i="46"/>
  <c r="JF32" i="46"/>
  <c r="JU32" i="46"/>
  <c r="JR32" i="46"/>
  <c r="JO32" i="46"/>
  <c r="JL32" i="46"/>
  <c r="JC32" i="46"/>
  <c r="GC32" i="46"/>
  <c r="IH32" i="46"/>
  <c r="FZ32" i="46"/>
  <c r="HA32" i="46"/>
  <c r="GX32" i="46"/>
  <c r="GU32" i="46"/>
  <c r="LE32" i="46"/>
  <c r="GR32" i="46"/>
  <c r="KG32" i="46"/>
  <c r="GO32" i="46"/>
  <c r="IZ32" i="46"/>
  <c r="IW32" i="46"/>
  <c r="FW32" i="46"/>
  <c r="IT32" i="46"/>
  <c r="FT32" i="46"/>
  <c r="FQ32" i="46"/>
  <c r="FN32" i="46"/>
  <c r="HV32" i="46"/>
  <c r="IB32" i="46"/>
  <c r="HY32" i="46"/>
  <c r="HJ32" i="46"/>
  <c r="HD32" i="46"/>
  <c r="DX32" i="46"/>
  <c r="DU32" i="46"/>
  <c r="DR32" i="46"/>
  <c r="DI32" i="46"/>
  <c r="IE32" i="46"/>
  <c r="HG32" i="46"/>
  <c r="JI32" i="46"/>
  <c r="FH32" i="46"/>
  <c r="HS32" i="46"/>
  <c r="FE32" i="46"/>
  <c r="HP32" i="46"/>
  <c r="FB32" i="46"/>
  <c r="HM32" i="46"/>
  <c r="EY32" i="46"/>
  <c r="GI32" i="46"/>
  <c r="ES32" i="46"/>
  <c r="CE32" i="46"/>
  <c r="CB32" i="46"/>
  <c r="FK32" i="46"/>
  <c r="EV32" i="46"/>
  <c r="EM32" i="46"/>
  <c r="ED32" i="46"/>
  <c r="EA32" i="46"/>
  <c r="GL32" i="46"/>
  <c r="CT32" i="46"/>
  <c r="CH32" i="46"/>
  <c r="BA32" i="46"/>
  <c r="CQ32" i="46"/>
  <c r="AX32" i="46"/>
  <c r="BY32" i="46"/>
  <c r="BV32" i="46"/>
  <c r="BS32" i="46"/>
  <c r="GF32" i="46"/>
  <c r="BM32" i="46"/>
  <c r="EJ32" i="46"/>
  <c r="EG32" i="46"/>
  <c r="DO32" i="46"/>
  <c r="DL32" i="46"/>
  <c r="DF32" i="46"/>
  <c r="DC32" i="46"/>
  <c r="CW32" i="46"/>
  <c r="CZ32" i="46"/>
  <c r="CN32" i="46"/>
  <c r="BG32" i="46"/>
  <c r="EP32" i="46"/>
  <c r="BP32" i="46"/>
  <c r="AI32" i="46"/>
  <c r="AU32" i="46"/>
  <c r="AL32" i="46"/>
  <c r="AR32" i="46"/>
  <c r="CK32" i="46"/>
  <c r="AO32" i="46"/>
  <c r="BJ32" i="46"/>
  <c r="BD32" i="46"/>
  <c r="IB48" i="46"/>
  <c r="KM48" i="46"/>
  <c r="JX48" i="46"/>
  <c r="EA45" i="46"/>
  <c r="GI45" i="46"/>
  <c r="JO45" i="46"/>
  <c r="EP17" i="46"/>
  <c r="HY17" i="46"/>
  <c r="HP17" i="46"/>
  <c r="IK17" i="46"/>
  <c r="FZ69" i="46"/>
  <c r="GR69" i="46"/>
  <c r="HJ69" i="46"/>
  <c r="LB69" i="46"/>
  <c r="DF41" i="46"/>
  <c r="GR41" i="46"/>
  <c r="IN41" i="46"/>
  <c r="EV57" i="46"/>
  <c r="KD57" i="46"/>
  <c r="IQ57" i="46"/>
  <c r="KA57" i="46"/>
  <c r="JL14" i="46"/>
  <c r="IN14" i="46"/>
  <c r="KY14" i="46"/>
  <c r="DI29" i="46"/>
  <c r="EA29" i="46"/>
  <c r="LB29" i="46"/>
  <c r="KA29" i="46"/>
  <c r="DX49" i="46"/>
  <c r="FQ49" i="46"/>
  <c r="KS49" i="46"/>
  <c r="KD49" i="46"/>
  <c r="DI77" i="46"/>
  <c r="EJ77" i="46"/>
  <c r="IH77" i="46"/>
  <c r="IN77" i="46"/>
  <c r="HP52" i="46"/>
  <c r="IH52" i="46"/>
  <c r="KY52" i="46"/>
  <c r="EM62" i="46"/>
  <c r="FK62" i="46"/>
  <c r="IE62" i="46"/>
  <c r="HG62" i="46"/>
  <c r="FB61" i="46"/>
  <c r="FT61" i="46"/>
  <c r="FQ61" i="46"/>
  <c r="HD63" i="46"/>
  <c r="GU63" i="46"/>
  <c r="FW13" i="46"/>
  <c r="GI13" i="46"/>
  <c r="KG13" i="46"/>
  <c r="ED58" i="46"/>
  <c r="GR58" i="46"/>
  <c r="JC58" i="46"/>
  <c r="EP56" i="46"/>
  <c r="GX56" i="46"/>
  <c r="HD56" i="46"/>
  <c r="IT56" i="46"/>
  <c r="IE74" i="46"/>
  <c r="FZ74" i="46"/>
  <c r="GO74" i="46"/>
  <c r="IK74" i="46"/>
  <c r="FN72" i="46"/>
  <c r="JO72" i="46"/>
  <c r="FH43" i="46"/>
  <c r="ED43" i="46"/>
  <c r="HP43" i="46"/>
  <c r="JL43" i="46"/>
  <c r="EY36" i="46"/>
  <c r="HG36" i="46"/>
  <c r="LB36" i="46"/>
  <c r="FH16" i="46"/>
  <c r="DI16" i="46"/>
  <c r="IQ16" i="46"/>
  <c r="IW16" i="46"/>
  <c r="EM66" i="46"/>
  <c r="EJ66" i="46"/>
  <c r="HA66" i="46"/>
  <c r="IT66" i="46"/>
  <c r="EP47" i="46"/>
  <c r="FB47" i="46"/>
  <c r="GX47" i="46"/>
  <c r="KP47" i="46"/>
  <c r="ES37" i="46"/>
  <c r="IH37" i="46"/>
  <c r="IT37" i="46"/>
  <c r="HJ21" i="46"/>
  <c r="KA21" i="46"/>
  <c r="GU26" i="46"/>
  <c r="JL26" i="46"/>
  <c r="KG26" i="46"/>
  <c r="KD65" i="46"/>
  <c r="DF65" i="46"/>
  <c r="GO65" i="46"/>
  <c r="HG65" i="46"/>
  <c r="IT65" i="46"/>
  <c r="EJ33" i="46"/>
  <c r="GL33" i="46"/>
  <c r="JR33" i="46"/>
  <c r="FK75" i="46"/>
  <c r="IB75" i="46"/>
  <c r="IW75" i="46"/>
  <c r="FK50" i="46"/>
  <c r="GC50" i="46"/>
  <c r="KA50" i="46"/>
  <c r="GL20" i="46"/>
  <c r="IH20" i="46"/>
  <c r="HV20" i="46"/>
  <c r="JU20" i="46"/>
  <c r="FE11" i="46"/>
  <c r="FW11" i="46"/>
  <c r="KM11" i="46"/>
  <c r="EJ44" i="46"/>
  <c r="HM44" i="46"/>
  <c r="FZ44" i="46"/>
  <c r="KY44" i="46"/>
  <c r="DX53" i="46"/>
  <c r="FT53" i="46"/>
  <c r="JR53" i="46"/>
  <c r="T42" i="46"/>
  <c r="Z42" i="46"/>
  <c r="AC42" i="46"/>
  <c r="W42" i="46"/>
  <c r="JU42" i="46"/>
  <c r="JR42" i="46"/>
  <c r="JO42" i="46"/>
  <c r="LE42" i="46"/>
  <c r="IN42" i="46"/>
  <c r="LB42" i="46"/>
  <c r="IK42" i="46"/>
  <c r="KY42" i="46"/>
  <c r="KS42" i="46"/>
  <c r="IQ42" i="46"/>
  <c r="KD42" i="46"/>
  <c r="KV42" i="46"/>
  <c r="HG42" i="46"/>
  <c r="HD42" i="46"/>
  <c r="KP42" i="46"/>
  <c r="IZ42" i="46"/>
  <c r="GI42" i="46"/>
  <c r="IW42" i="46"/>
  <c r="GF42" i="46"/>
  <c r="IT42" i="46"/>
  <c r="GC42" i="46"/>
  <c r="FZ42" i="46"/>
  <c r="FW42" i="46"/>
  <c r="HY42" i="46"/>
  <c r="HV42" i="46"/>
  <c r="HS42" i="46"/>
  <c r="HP42" i="46"/>
  <c r="HJ42" i="46"/>
  <c r="HA42" i="46"/>
  <c r="KJ42" i="46"/>
  <c r="KG42" i="46"/>
  <c r="GO42" i="46"/>
  <c r="JC42" i="46"/>
  <c r="FQ42" i="46"/>
  <c r="EP42" i="46"/>
  <c r="FN42" i="46"/>
  <c r="IE42" i="46"/>
  <c r="KA42" i="46"/>
  <c r="JL42" i="46"/>
  <c r="FE42" i="46"/>
  <c r="CT42" i="46"/>
  <c r="FB42" i="46"/>
  <c r="CQ42" i="46"/>
  <c r="EY42" i="46"/>
  <c r="EV42" i="46"/>
  <c r="IB42" i="46"/>
  <c r="EM42" i="46"/>
  <c r="GU42" i="46"/>
  <c r="GR42" i="46"/>
  <c r="JX42" i="46"/>
  <c r="JF42" i="46"/>
  <c r="CW42" i="46"/>
  <c r="IH42" i="46"/>
  <c r="GX42" i="46"/>
  <c r="FH42" i="46"/>
  <c r="CN42" i="46"/>
  <c r="EG42" i="46"/>
  <c r="FK42" i="46"/>
  <c r="CE42" i="46"/>
  <c r="ES42" i="46"/>
  <c r="CB42" i="46"/>
  <c r="EJ42" i="46"/>
  <c r="ED42" i="46"/>
  <c r="DX42" i="46"/>
  <c r="DO42" i="46"/>
  <c r="DL42" i="46"/>
  <c r="JI42" i="46"/>
  <c r="HM42" i="46"/>
  <c r="EA42" i="46"/>
  <c r="AO42" i="46"/>
  <c r="DU42" i="46"/>
  <c r="DR42" i="46"/>
  <c r="AU42" i="46"/>
  <c r="KM42" i="46"/>
  <c r="DI42" i="46"/>
  <c r="AR42" i="46"/>
  <c r="DF42" i="46"/>
  <c r="CZ42" i="46"/>
  <c r="BY42" i="46"/>
  <c r="GL42" i="46"/>
  <c r="FT42" i="46"/>
  <c r="BV42" i="46"/>
  <c r="DC42" i="46"/>
  <c r="BG42" i="46"/>
  <c r="CH42" i="46"/>
  <c r="BM42" i="46"/>
  <c r="CK42" i="46"/>
  <c r="AX42" i="46"/>
  <c r="AL42" i="46"/>
  <c r="BS42" i="46"/>
  <c r="BP42" i="46"/>
  <c r="BJ42" i="46"/>
  <c r="BD42" i="46"/>
  <c r="BA42" i="46"/>
  <c r="AI42" i="46"/>
  <c r="AC23" i="46"/>
  <c r="W23" i="46"/>
  <c r="Z23" i="46"/>
  <c r="T23" i="46"/>
  <c r="KP23" i="46"/>
  <c r="KM23" i="46"/>
  <c r="KJ23" i="46"/>
  <c r="LB23" i="46"/>
  <c r="IK23" i="46"/>
  <c r="KY23" i="46"/>
  <c r="KV23" i="46"/>
  <c r="KG23" i="46"/>
  <c r="KD23" i="46"/>
  <c r="KA23" i="46"/>
  <c r="JX23" i="46"/>
  <c r="JC23" i="46"/>
  <c r="KS23" i="46"/>
  <c r="JU23" i="46"/>
  <c r="JR23" i="46"/>
  <c r="JO23" i="46"/>
  <c r="JI23" i="46"/>
  <c r="JL23" i="46"/>
  <c r="JF23" i="46"/>
  <c r="IZ23" i="46"/>
  <c r="IW23" i="46"/>
  <c r="IQ23" i="46"/>
  <c r="IH23" i="46"/>
  <c r="FZ23" i="46"/>
  <c r="IE23" i="46"/>
  <c r="FW23" i="46"/>
  <c r="IB23" i="46"/>
  <c r="FT23" i="46"/>
  <c r="HY23" i="46"/>
  <c r="FQ23" i="46"/>
  <c r="HM23" i="46"/>
  <c r="HJ23" i="46"/>
  <c r="HG23" i="46"/>
  <c r="HD23" i="46"/>
  <c r="GX23" i="46"/>
  <c r="IT23" i="46"/>
  <c r="IN23" i="46"/>
  <c r="GI23" i="46"/>
  <c r="HV23" i="46"/>
  <c r="GU23" i="46"/>
  <c r="GO23" i="46"/>
  <c r="FE23" i="46"/>
  <c r="CW23" i="46"/>
  <c r="FB23" i="46"/>
  <c r="CT23" i="46"/>
  <c r="EY23" i="46"/>
  <c r="CQ23" i="46"/>
  <c r="HS23" i="46"/>
  <c r="EP23" i="46"/>
  <c r="LE23" i="46"/>
  <c r="GR23" i="46"/>
  <c r="GL23" i="46"/>
  <c r="FN23" i="46"/>
  <c r="EA23" i="46"/>
  <c r="CN23" i="46"/>
  <c r="DX23" i="46"/>
  <c r="CK23" i="46"/>
  <c r="DU23" i="46"/>
  <c r="CH23" i="46"/>
  <c r="HP23" i="46"/>
  <c r="DR23" i="46"/>
  <c r="CE23" i="46"/>
  <c r="GF23" i="46"/>
  <c r="DL23" i="46"/>
  <c r="DC23" i="46"/>
  <c r="CZ23" i="46"/>
  <c r="FK23" i="46"/>
  <c r="EG23" i="46"/>
  <c r="AL23" i="46"/>
  <c r="AI23" i="46"/>
  <c r="HA23" i="46"/>
  <c r="ED23" i="46"/>
  <c r="GC23" i="46"/>
  <c r="DO23" i="46"/>
  <c r="BJ23" i="46"/>
  <c r="DI23" i="46"/>
  <c r="BG23" i="46"/>
  <c r="DF23" i="46"/>
  <c r="BD23" i="46"/>
  <c r="BS23" i="46"/>
  <c r="CB23" i="46"/>
  <c r="BY23" i="46"/>
  <c r="EM23" i="46"/>
  <c r="BP23" i="46"/>
  <c r="FH23" i="46"/>
  <c r="AU23" i="46"/>
  <c r="EV23" i="46"/>
  <c r="BA23" i="46"/>
  <c r="AR23" i="46"/>
  <c r="ES23" i="46"/>
  <c r="BV23" i="46"/>
  <c r="AX23" i="46"/>
  <c r="AO23" i="46"/>
  <c r="EJ23" i="46"/>
  <c r="BM23" i="46"/>
  <c r="EM48" i="46"/>
  <c r="HS48" i="46"/>
  <c r="KA48" i="46"/>
  <c r="EG45" i="46"/>
  <c r="IW45" i="46"/>
  <c r="JR45" i="46"/>
  <c r="KS17" i="46"/>
  <c r="IN17" i="46"/>
  <c r="HA69" i="46"/>
  <c r="IW69" i="46"/>
  <c r="LE69" i="46"/>
  <c r="DI41" i="46"/>
  <c r="IK41" i="46"/>
  <c r="LE41" i="46"/>
  <c r="GO57" i="46"/>
  <c r="GR57" i="46"/>
  <c r="HP57" i="46"/>
  <c r="KP57" i="46"/>
  <c r="EP14" i="46"/>
  <c r="DI14" i="46"/>
  <c r="GI14" i="46"/>
  <c r="IT14" i="46"/>
  <c r="EM29" i="46"/>
  <c r="FW29" i="46"/>
  <c r="GX29" i="46"/>
  <c r="JF29" i="46"/>
  <c r="FW49" i="46"/>
  <c r="KY49" i="46"/>
  <c r="KG49" i="46"/>
  <c r="ES77" i="46"/>
  <c r="FQ77" i="46"/>
  <c r="FZ77" i="46"/>
  <c r="KV77" i="46"/>
  <c r="EY52" i="46"/>
  <c r="GC52" i="46"/>
  <c r="FT62" i="46"/>
  <c r="HJ62" i="46"/>
  <c r="FE61" i="46"/>
  <c r="FW61" i="46"/>
  <c r="HY61" i="46"/>
  <c r="FN63" i="46"/>
  <c r="HG63" i="46"/>
  <c r="KG63" i="46"/>
  <c r="FB13" i="46"/>
  <c r="GO13" i="46"/>
  <c r="KV13" i="46"/>
  <c r="FW58" i="46"/>
  <c r="IW58" i="46"/>
  <c r="JF58" i="46"/>
  <c r="IB56" i="46"/>
  <c r="FN56" i="46"/>
  <c r="JF56" i="46"/>
  <c r="FW74" i="46"/>
  <c r="GR74" i="46"/>
  <c r="JF74" i="46"/>
  <c r="GU72" i="46"/>
  <c r="HG72" i="46"/>
  <c r="KJ72" i="46"/>
  <c r="EJ43" i="46"/>
  <c r="LB43" i="46"/>
  <c r="JO43" i="46"/>
  <c r="FB36" i="46"/>
  <c r="HM36" i="46"/>
  <c r="LE36" i="46"/>
  <c r="GO16" i="46"/>
  <c r="GU16" i="46"/>
  <c r="IZ16" i="46"/>
  <c r="FN66" i="46"/>
  <c r="HM66" i="46"/>
  <c r="IW66" i="46"/>
  <c r="FK47" i="46"/>
  <c r="IN47" i="46"/>
  <c r="KS47" i="46"/>
  <c r="FB37" i="46"/>
  <c r="FQ37" i="46"/>
  <c r="IZ37" i="46"/>
  <c r="EJ21" i="46"/>
  <c r="HG21" i="46"/>
  <c r="HM21" i="46"/>
  <c r="KY21" i="46"/>
  <c r="FB26" i="46"/>
  <c r="IN26" i="46"/>
  <c r="KM26" i="46"/>
  <c r="KJ26" i="46"/>
  <c r="GX65" i="46"/>
  <c r="HM65" i="46"/>
  <c r="IW65" i="46"/>
  <c r="FK33" i="46"/>
  <c r="IK33" i="46"/>
  <c r="JU33" i="46"/>
  <c r="FN75" i="46"/>
  <c r="KG75" i="46"/>
  <c r="LE75" i="46"/>
  <c r="FQ50" i="46"/>
  <c r="KG50" i="46"/>
  <c r="JO50" i="46"/>
  <c r="DF20" i="46"/>
  <c r="EA20" i="46"/>
  <c r="KY20" i="46"/>
  <c r="JX20" i="46"/>
  <c r="DF11" i="46"/>
  <c r="IK11" i="46"/>
  <c r="IE11" i="46"/>
  <c r="KP11" i="46"/>
  <c r="EP44" i="46"/>
  <c r="EM44" i="46"/>
  <c r="IH44" i="46"/>
  <c r="ED53" i="46"/>
  <c r="HG53" i="46"/>
  <c r="GF53" i="46"/>
  <c r="JX53" i="46"/>
  <c r="T70" i="46"/>
  <c r="AC70" i="46"/>
  <c r="Z70" i="46"/>
  <c r="W70" i="46"/>
  <c r="KG70" i="46"/>
  <c r="KD70" i="46"/>
  <c r="KA70" i="46"/>
  <c r="JL70" i="46"/>
  <c r="LB70" i="46"/>
  <c r="KY70" i="46"/>
  <c r="KV70" i="46"/>
  <c r="KS70" i="46"/>
  <c r="LE70" i="46"/>
  <c r="KM70" i="46"/>
  <c r="IQ70" i="46"/>
  <c r="IN70" i="46"/>
  <c r="IK70" i="46"/>
  <c r="JX70" i="46"/>
  <c r="JF70" i="46"/>
  <c r="JC70" i="46"/>
  <c r="IZ70" i="46"/>
  <c r="IW70" i="46"/>
  <c r="HJ70" i="46"/>
  <c r="HG70" i="46"/>
  <c r="HD70" i="46"/>
  <c r="GU70" i="46"/>
  <c r="HY70" i="46"/>
  <c r="HV70" i="46"/>
  <c r="HS70" i="46"/>
  <c r="HP70" i="46"/>
  <c r="HM70" i="46"/>
  <c r="KP70" i="46"/>
  <c r="JO70" i="46"/>
  <c r="JU70" i="46"/>
  <c r="HA70" i="46"/>
  <c r="JR70" i="46"/>
  <c r="GX70" i="46"/>
  <c r="JI70" i="46"/>
  <c r="GR70" i="46"/>
  <c r="IT70" i="46"/>
  <c r="GO70" i="46"/>
  <c r="GI70" i="46"/>
  <c r="GF70" i="46"/>
  <c r="FT70" i="46"/>
  <c r="DX70" i="46"/>
  <c r="IH70" i="46"/>
  <c r="DU70" i="46"/>
  <c r="IE70" i="46"/>
  <c r="DR70" i="46"/>
  <c r="IB70" i="46"/>
  <c r="GC70" i="46"/>
  <c r="DI70" i="46"/>
  <c r="FZ70" i="46"/>
  <c r="KJ70" i="46"/>
  <c r="EJ70" i="46"/>
  <c r="EG70" i="46"/>
  <c r="ED70" i="46"/>
  <c r="EA70" i="46"/>
  <c r="DL70" i="46"/>
  <c r="GL70" i="46"/>
  <c r="FQ70" i="46"/>
  <c r="BY70" i="46"/>
  <c r="BS70" i="46"/>
  <c r="FK70" i="46"/>
  <c r="FE70" i="46"/>
  <c r="CN70" i="46"/>
  <c r="EV70" i="46"/>
  <c r="FN70" i="46"/>
  <c r="DO70" i="46"/>
  <c r="CW70" i="46"/>
  <c r="EY70" i="46"/>
  <c r="ES70" i="46"/>
  <c r="EP70" i="46"/>
  <c r="EM70" i="46"/>
  <c r="DC70" i="46"/>
  <c r="CQ70" i="46"/>
  <c r="DF70" i="46"/>
  <c r="AO70" i="46"/>
  <c r="CZ70" i="46"/>
  <c r="CT70" i="46"/>
  <c r="AU70" i="46"/>
  <c r="AR70" i="46"/>
  <c r="CK70" i="46"/>
  <c r="CE70" i="46"/>
  <c r="BP70" i="46"/>
  <c r="FW70" i="46"/>
  <c r="CH70" i="46"/>
  <c r="CB70" i="46"/>
  <c r="BG70" i="46"/>
  <c r="AI70" i="46"/>
  <c r="BD70" i="46"/>
  <c r="FB70" i="46"/>
  <c r="FH70" i="46"/>
  <c r="AL70" i="46"/>
  <c r="AX70" i="46"/>
  <c r="BJ70" i="46"/>
  <c r="BA70" i="46"/>
  <c r="BV70" i="46"/>
  <c r="BM70" i="46"/>
  <c r="FH48" i="46"/>
  <c r="EP48" i="46"/>
  <c r="KP48" i="46"/>
  <c r="KD48" i="46"/>
  <c r="IE45" i="46"/>
  <c r="HJ45" i="46"/>
  <c r="KA45" i="46"/>
  <c r="FW17" i="46"/>
  <c r="HS17" i="46"/>
  <c r="IW17" i="46"/>
  <c r="IH69" i="46"/>
  <c r="JF69" i="46"/>
  <c r="KA69" i="46"/>
  <c r="FW41" i="46"/>
  <c r="IZ41" i="46"/>
  <c r="IQ41" i="46"/>
  <c r="JI57" i="46"/>
  <c r="GX57" i="46"/>
  <c r="IT57" i="46"/>
  <c r="IK57" i="46"/>
  <c r="EM14" i="46"/>
  <c r="HV14" i="46"/>
  <c r="IZ14" i="46"/>
  <c r="LB14" i="46"/>
  <c r="EJ29" i="46"/>
  <c r="GF29" i="46"/>
  <c r="KM29" i="46"/>
  <c r="LE29" i="46"/>
  <c r="JI29" i="46"/>
  <c r="KV49" i="46"/>
  <c r="FZ49" i="46"/>
  <c r="LB49" i="46"/>
  <c r="KJ49" i="46"/>
  <c r="EY77" i="46"/>
  <c r="EM77" i="46"/>
  <c r="GC77" i="46"/>
  <c r="FT52" i="46"/>
  <c r="JF52" i="46"/>
  <c r="EY62" i="46"/>
  <c r="KM62" i="46"/>
  <c r="IK62" i="46"/>
  <c r="FH61" i="46"/>
  <c r="GC61" i="46"/>
  <c r="KJ61" i="46"/>
  <c r="FT63" i="46"/>
  <c r="IB63" i="46"/>
  <c r="JC63" i="46"/>
  <c r="GF13" i="46"/>
  <c r="IB13" i="46"/>
  <c r="IN13" i="46"/>
  <c r="EG58" i="46"/>
  <c r="GX58" i="46"/>
  <c r="JI58" i="46"/>
  <c r="HG56" i="46"/>
  <c r="JI56" i="46"/>
  <c r="GX74" i="46"/>
  <c r="JI74" i="46"/>
  <c r="HJ72" i="46"/>
  <c r="LB72" i="46"/>
  <c r="DF43" i="46"/>
  <c r="GF43" i="46"/>
  <c r="HV43" i="46"/>
  <c r="JR43" i="46"/>
  <c r="FE36" i="46"/>
  <c r="JC36" i="46"/>
  <c r="KJ36" i="46"/>
  <c r="FK16" i="46"/>
  <c r="JO16" i="46"/>
  <c r="JL16" i="46"/>
  <c r="JL66" i="46"/>
  <c r="HP66" i="46"/>
  <c r="IZ66" i="46"/>
  <c r="FE47" i="46"/>
  <c r="HA47" i="46"/>
  <c r="KV47" i="46"/>
  <c r="FZ37" i="46"/>
  <c r="GC37" i="46"/>
  <c r="FT37" i="46"/>
  <c r="JL37" i="46"/>
  <c r="FH21" i="46"/>
  <c r="HY21" i="46"/>
  <c r="HP21" i="46"/>
  <c r="IK21" i="46"/>
  <c r="DF26" i="46"/>
  <c r="HA26" i="46"/>
  <c r="IQ26" i="46"/>
  <c r="EP65" i="46"/>
  <c r="FK65" i="46"/>
  <c r="IE65" i="46"/>
  <c r="HP65" i="46"/>
  <c r="KP65" i="46"/>
  <c r="HJ33" i="46"/>
  <c r="DF33" i="46"/>
  <c r="GO33" i="46"/>
  <c r="JX33" i="46"/>
  <c r="DF75" i="46"/>
  <c r="GI75" i="46"/>
  <c r="JL75" i="46"/>
  <c r="GU50" i="46"/>
  <c r="DX50" i="46"/>
  <c r="GF50" i="46"/>
  <c r="JR50" i="46"/>
  <c r="EV20" i="46"/>
  <c r="EJ20" i="46"/>
  <c r="HJ20" i="46"/>
  <c r="KA20" i="46"/>
  <c r="ED11" i="46"/>
  <c r="IQ11" i="46"/>
  <c r="FZ11" i="46"/>
  <c r="GX44" i="46"/>
  <c r="GF44" i="46"/>
  <c r="GC44" i="46"/>
  <c r="EG53" i="46"/>
  <c r="DF53" i="46"/>
  <c r="GI53" i="46"/>
  <c r="KY53" i="46"/>
  <c r="T22" i="46"/>
  <c r="AC22" i="46"/>
  <c r="W22" i="46"/>
  <c r="Z22" i="46"/>
  <c r="LE22" i="46"/>
  <c r="IW22" i="46"/>
  <c r="LB22" i="46"/>
  <c r="IT22" i="46"/>
  <c r="KY22" i="46"/>
  <c r="IQ22" i="46"/>
  <c r="KV22" i="46"/>
  <c r="KS22" i="46"/>
  <c r="KD22" i="46"/>
  <c r="KA22" i="46"/>
  <c r="JX22" i="46"/>
  <c r="JU22" i="46"/>
  <c r="IZ22" i="46"/>
  <c r="JF22" i="46"/>
  <c r="JC22" i="46"/>
  <c r="IN22" i="46"/>
  <c r="IK22" i="46"/>
  <c r="JO22" i="46"/>
  <c r="GO22" i="46"/>
  <c r="JL22" i="46"/>
  <c r="GL22" i="46"/>
  <c r="JI22" i="46"/>
  <c r="GI22" i="46"/>
  <c r="GF22" i="46"/>
  <c r="HP22" i="46"/>
  <c r="HM22" i="46"/>
  <c r="HJ22" i="46"/>
  <c r="HG22" i="46"/>
  <c r="HA22" i="46"/>
  <c r="FZ22" i="46"/>
  <c r="KG22" i="46"/>
  <c r="HY22" i="46"/>
  <c r="JR22" i="46"/>
  <c r="HV22" i="46"/>
  <c r="HS22" i="46"/>
  <c r="HD22" i="46"/>
  <c r="GU22" i="46"/>
  <c r="GR22" i="46"/>
  <c r="FQ22" i="46"/>
  <c r="KP22" i="46"/>
  <c r="FN22" i="46"/>
  <c r="DL22" i="46"/>
  <c r="DI22" i="46"/>
  <c r="DF22" i="46"/>
  <c r="FE22" i="46"/>
  <c r="CW22" i="46"/>
  <c r="KM22" i="46"/>
  <c r="GX22" i="46"/>
  <c r="ED22" i="46"/>
  <c r="EA22" i="46"/>
  <c r="DX22" i="46"/>
  <c r="DU22" i="46"/>
  <c r="DO22" i="46"/>
  <c r="CN22" i="46"/>
  <c r="IE22" i="46"/>
  <c r="GC22" i="46"/>
  <c r="FT22" i="46"/>
  <c r="FW22" i="46"/>
  <c r="KJ22" i="46"/>
  <c r="FK22" i="46"/>
  <c r="FH22" i="46"/>
  <c r="EY22" i="46"/>
  <c r="EM22" i="46"/>
  <c r="AO22" i="46"/>
  <c r="AU22" i="46"/>
  <c r="IH22" i="46"/>
  <c r="AR22" i="46"/>
  <c r="IB22" i="46"/>
  <c r="EV22" i="46"/>
  <c r="CK22" i="46"/>
  <c r="EJ22" i="46"/>
  <c r="CB22" i="46"/>
  <c r="EG22" i="46"/>
  <c r="DC22" i="46"/>
  <c r="BY22" i="46"/>
  <c r="CH22" i="46"/>
  <c r="CE22" i="46"/>
  <c r="BG22" i="46"/>
  <c r="AI22" i="46"/>
  <c r="FB22" i="46"/>
  <c r="BV22" i="46"/>
  <c r="BD22" i="46"/>
  <c r="DR22" i="46"/>
  <c r="CZ22" i="46"/>
  <c r="CQ22" i="46"/>
  <c r="ES22" i="46"/>
  <c r="AL22" i="46"/>
  <c r="EP22" i="46"/>
  <c r="BA22" i="46"/>
  <c r="CT22" i="46"/>
  <c r="BM22" i="46"/>
  <c r="BS22" i="46"/>
  <c r="BP22" i="46"/>
  <c r="BJ22" i="46"/>
  <c r="AX22" i="46"/>
  <c r="T18" i="46"/>
  <c r="W18" i="46"/>
  <c r="AC18" i="46"/>
  <c r="Z18" i="46"/>
  <c r="LE18" i="46"/>
  <c r="IW18" i="46"/>
  <c r="LB18" i="46"/>
  <c r="IT18" i="46"/>
  <c r="KY18" i="46"/>
  <c r="IQ18" i="46"/>
  <c r="JF18" i="46"/>
  <c r="JC18" i="46"/>
  <c r="IZ18" i="46"/>
  <c r="JI18" i="46"/>
  <c r="IN18" i="46"/>
  <c r="IK18" i="46"/>
  <c r="KM18" i="46"/>
  <c r="KS18" i="46"/>
  <c r="KV18" i="46"/>
  <c r="GO18" i="46"/>
  <c r="GL18" i="46"/>
  <c r="GI18" i="46"/>
  <c r="GF18" i="46"/>
  <c r="KP18" i="46"/>
  <c r="KG18" i="46"/>
  <c r="HP18" i="46"/>
  <c r="HM18" i="46"/>
  <c r="HJ18" i="46"/>
  <c r="HG18" i="46"/>
  <c r="HA18" i="46"/>
  <c r="KJ18" i="46"/>
  <c r="FZ18" i="46"/>
  <c r="GX18" i="46"/>
  <c r="GU18" i="46"/>
  <c r="GR18" i="46"/>
  <c r="GC18" i="46"/>
  <c r="FT18" i="46"/>
  <c r="FQ18" i="46"/>
  <c r="KA18" i="46"/>
  <c r="JU18" i="46"/>
  <c r="JL18" i="46"/>
  <c r="DL18" i="46"/>
  <c r="DI18" i="46"/>
  <c r="DF18" i="46"/>
  <c r="IH18" i="46"/>
  <c r="FE18" i="46"/>
  <c r="CW18" i="46"/>
  <c r="HY18" i="46"/>
  <c r="HV18" i="46"/>
  <c r="FW18" i="46"/>
  <c r="JR18" i="46"/>
  <c r="ED18" i="46"/>
  <c r="EA18" i="46"/>
  <c r="DX18" i="46"/>
  <c r="DU18" i="46"/>
  <c r="IE18" i="46"/>
  <c r="DO18" i="46"/>
  <c r="CN18" i="46"/>
  <c r="HD18" i="46"/>
  <c r="JO18" i="46"/>
  <c r="FK18" i="46"/>
  <c r="FH18" i="46"/>
  <c r="JX18" i="46"/>
  <c r="EY18" i="46"/>
  <c r="HS18" i="46"/>
  <c r="FN18" i="46"/>
  <c r="EM18" i="46"/>
  <c r="CB18" i="46"/>
  <c r="AU18" i="46"/>
  <c r="AO18" i="46"/>
  <c r="AR18" i="46"/>
  <c r="ES18" i="46"/>
  <c r="KD18" i="46"/>
  <c r="EP18" i="46"/>
  <c r="EG18" i="46"/>
  <c r="BY18" i="46"/>
  <c r="BV18" i="46"/>
  <c r="AL18" i="46"/>
  <c r="AI18" i="46"/>
  <c r="BA18" i="46"/>
  <c r="BS18" i="46"/>
  <c r="BJ18" i="46"/>
  <c r="IB18" i="46"/>
  <c r="BP18" i="46"/>
  <c r="BG18" i="46"/>
  <c r="BM18" i="46"/>
  <c r="BD18" i="46"/>
  <c r="AX18" i="46"/>
  <c r="FB18" i="46"/>
  <c r="CE18" i="46"/>
  <c r="EV18" i="46"/>
  <c r="DR18" i="46"/>
  <c r="CT18" i="46"/>
  <c r="EJ18" i="46"/>
  <c r="CK18" i="46"/>
  <c r="DC18" i="46"/>
  <c r="CH18" i="46"/>
  <c r="CZ18" i="46"/>
  <c r="CQ18" i="46"/>
  <c r="T24" i="46"/>
  <c r="Z24" i="46"/>
  <c r="AC24" i="46"/>
  <c r="W24" i="46"/>
  <c r="KA24" i="46"/>
  <c r="JX24" i="46"/>
  <c r="JU24" i="46"/>
  <c r="KV24" i="46"/>
  <c r="KS24" i="46"/>
  <c r="KP24" i="46"/>
  <c r="LB24" i="46"/>
  <c r="KY24" i="46"/>
  <c r="KM24" i="46"/>
  <c r="KJ24" i="46"/>
  <c r="JF24" i="46"/>
  <c r="LE24" i="46"/>
  <c r="KD24" i="46"/>
  <c r="HS24" i="46"/>
  <c r="JR24" i="46"/>
  <c r="HP24" i="46"/>
  <c r="JO24" i="46"/>
  <c r="HM24" i="46"/>
  <c r="JL24" i="46"/>
  <c r="HJ24" i="46"/>
  <c r="JI24" i="46"/>
  <c r="IZ24" i="46"/>
  <c r="HV24" i="46"/>
  <c r="KG24" i="46"/>
  <c r="HG24" i="46"/>
  <c r="JC24" i="46"/>
  <c r="HD24" i="46"/>
  <c r="IW24" i="46"/>
  <c r="HA24" i="46"/>
  <c r="IQ24" i="46"/>
  <c r="GU24" i="46"/>
  <c r="IN24" i="46"/>
  <c r="GF24" i="46"/>
  <c r="GC24" i="46"/>
  <c r="FZ24" i="46"/>
  <c r="FW24" i="46"/>
  <c r="FT24" i="46"/>
  <c r="FN24" i="46"/>
  <c r="IE24" i="46"/>
  <c r="IK24" i="46"/>
  <c r="GR24" i="46"/>
  <c r="EP24" i="46"/>
  <c r="GO24" i="46"/>
  <c r="EM24" i="46"/>
  <c r="GL24" i="46"/>
  <c r="EJ24" i="46"/>
  <c r="GI24" i="46"/>
  <c r="EA24" i="46"/>
  <c r="IH24" i="46"/>
  <c r="HY24" i="46"/>
  <c r="DX24" i="46"/>
  <c r="GX24" i="46"/>
  <c r="DU24" i="46"/>
  <c r="FQ24" i="46"/>
  <c r="DR24" i="46"/>
  <c r="DO24" i="46"/>
  <c r="DI24" i="46"/>
  <c r="IT24" i="46"/>
  <c r="EG24" i="46"/>
  <c r="ED24" i="46"/>
  <c r="DL24" i="46"/>
  <c r="DF24" i="46"/>
  <c r="CZ24" i="46"/>
  <c r="IB24" i="46"/>
  <c r="CN24" i="46"/>
  <c r="BA24" i="46"/>
  <c r="CK24" i="46"/>
  <c r="AX24" i="46"/>
  <c r="CH24" i="46"/>
  <c r="BY24" i="46"/>
  <c r="CE24" i="46"/>
  <c r="BV24" i="46"/>
  <c r="FK24" i="46"/>
  <c r="CB24" i="46"/>
  <c r="BS24" i="46"/>
  <c r="FE24" i="46"/>
  <c r="BM24" i="46"/>
  <c r="EV24" i="46"/>
  <c r="ES24" i="46"/>
  <c r="CW24" i="46"/>
  <c r="DC24" i="46"/>
  <c r="AO24" i="46"/>
  <c r="AL24" i="46"/>
  <c r="CT24" i="46"/>
  <c r="BJ24" i="46"/>
  <c r="CQ24" i="46"/>
  <c r="BG24" i="46"/>
  <c r="AI24" i="46"/>
  <c r="BP24" i="46"/>
  <c r="BD24" i="46"/>
  <c r="EY24" i="46"/>
  <c r="FB24" i="46"/>
  <c r="AU24" i="46"/>
  <c r="AR24" i="46"/>
  <c r="FH24" i="46"/>
  <c r="T30" i="46"/>
  <c r="AC30" i="46"/>
  <c r="Z30" i="46"/>
  <c r="W30" i="46"/>
  <c r="KD30" i="46"/>
  <c r="IN30" i="46"/>
  <c r="KV30" i="46"/>
  <c r="JF30" i="46"/>
  <c r="KP30" i="46"/>
  <c r="IT30" i="46"/>
  <c r="JL30" i="46"/>
  <c r="LE30" i="46"/>
  <c r="LB30" i="46"/>
  <c r="JR30" i="46"/>
  <c r="FW30" i="46"/>
  <c r="GF30" i="46"/>
  <c r="HV30" i="46"/>
  <c r="JX30" i="46"/>
  <c r="GL30" i="46"/>
  <c r="IE30" i="46"/>
  <c r="FT30" i="46"/>
  <c r="HD30" i="46"/>
  <c r="JI30" i="46"/>
  <c r="GI30" i="46"/>
  <c r="DI30" i="46"/>
  <c r="GX30" i="46"/>
  <c r="CW30" i="46"/>
  <c r="DU30" i="46"/>
  <c r="FK30" i="46"/>
  <c r="DR30" i="46"/>
  <c r="DO30" i="46"/>
  <c r="DL30" i="46"/>
  <c r="CN30" i="46"/>
  <c r="HY30" i="46"/>
  <c r="FN30" i="46"/>
  <c r="EJ30" i="46"/>
  <c r="CE30" i="46"/>
  <c r="DX30" i="46"/>
  <c r="AO30" i="46"/>
  <c r="CK30" i="46"/>
  <c r="ED30" i="46"/>
  <c r="CH30" i="46"/>
  <c r="AU30" i="46"/>
  <c r="CB30" i="46"/>
  <c r="AR30" i="46"/>
  <c r="EA30" i="46"/>
  <c r="CZ30" i="46"/>
  <c r="CT30" i="46"/>
  <c r="BY30" i="46"/>
  <c r="AX30" i="46"/>
  <c r="DC30" i="46"/>
  <c r="BV30" i="46"/>
  <c r="BS30" i="46"/>
  <c r="BP30" i="46"/>
  <c r="CQ30" i="46"/>
  <c r="BM30" i="46"/>
  <c r="BA30" i="46"/>
  <c r="BG30" i="46"/>
  <c r="AL30" i="46"/>
  <c r="BD30" i="46"/>
  <c r="EV30" i="46"/>
  <c r="AI30" i="46"/>
  <c r="BJ30" i="46"/>
  <c r="ES30" i="46"/>
  <c r="IK30" i="46"/>
  <c r="KM30" i="46"/>
  <c r="IQ30" i="46"/>
  <c r="HG30" i="46"/>
  <c r="EY30" i="46"/>
  <c r="IH30" i="46"/>
  <c r="IW30" i="46"/>
  <c r="IB30" i="46"/>
  <c r="EP30" i="46"/>
  <c r="FZ30" i="46"/>
  <c r="FQ30" i="46"/>
  <c r="EG30" i="46"/>
  <c r="KG30" i="46"/>
  <c r="KS30" i="46"/>
  <c r="HJ30" i="46"/>
  <c r="GU30" i="46"/>
  <c r="JC30" i="46"/>
  <c r="HS30" i="46"/>
  <c r="KA30" i="46"/>
  <c r="HP30" i="46"/>
  <c r="HA30" i="46"/>
  <c r="EM30" i="46"/>
  <c r="HM30" i="46"/>
  <c r="DF30" i="46"/>
  <c r="JO30" i="46"/>
  <c r="JU30" i="46"/>
  <c r="FH30" i="46"/>
  <c r="FB30" i="46"/>
  <c r="GO30" i="46"/>
  <c r="FE30" i="46"/>
  <c r="GC30" i="46"/>
  <c r="KY30" i="46"/>
  <c r="GR30" i="46"/>
  <c r="IZ30" i="46"/>
  <c r="KJ30" i="46"/>
  <c r="T12" i="46"/>
  <c r="AC12" i="46"/>
  <c r="W12" i="46"/>
  <c r="Z12" i="46"/>
  <c r="KA12" i="46"/>
  <c r="JX12" i="46"/>
  <c r="JU12" i="46"/>
  <c r="KG12" i="46"/>
  <c r="KD12" i="46"/>
  <c r="JR12" i="46"/>
  <c r="KP12" i="46"/>
  <c r="KM12" i="46"/>
  <c r="KJ12" i="46"/>
  <c r="JO12" i="46"/>
  <c r="IN12" i="46"/>
  <c r="IK12" i="46"/>
  <c r="IW12" i="46"/>
  <c r="HS12" i="46"/>
  <c r="IT12" i="46"/>
  <c r="HP12" i="46"/>
  <c r="IQ12" i="46"/>
  <c r="HM12" i="46"/>
  <c r="HJ12" i="46"/>
  <c r="HV12" i="46"/>
  <c r="HG12" i="46"/>
  <c r="LE12" i="46"/>
  <c r="HD12" i="46"/>
  <c r="LB12" i="46"/>
  <c r="HA12" i="46"/>
  <c r="KV12" i="46"/>
  <c r="GU12" i="46"/>
  <c r="KS12" i="46"/>
  <c r="JF12" i="46"/>
  <c r="JC12" i="46"/>
  <c r="GF12" i="46"/>
  <c r="IE12" i="46"/>
  <c r="IB12" i="46"/>
  <c r="HY12" i="46"/>
  <c r="GX12" i="46"/>
  <c r="GO12" i="46"/>
  <c r="GL12" i="46"/>
  <c r="KY12" i="46"/>
  <c r="FW12" i="46"/>
  <c r="JI12" i="46"/>
  <c r="FQ12" i="46"/>
  <c r="GR12" i="46"/>
  <c r="EP12" i="46"/>
  <c r="GI12" i="46"/>
  <c r="EM12" i="46"/>
  <c r="GC12" i="46"/>
  <c r="EJ12" i="46"/>
  <c r="FZ12" i="46"/>
  <c r="JL12" i="46"/>
  <c r="FN12" i="46"/>
  <c r="EA12" i="46"/>
  <c r="DX12" i="46"/>
  <c r="DU12" i="46"/>
  <c r="DR12" i="46"/>
  <c r="DO12" i="46"/>
  <c r="DI12" i="46"/>
  <c r="IH12" i="46"/>
  <c r="EG12" i="46"/>
  <c r="ED12" i="46"/>
  <c r="DL12" i="46"/>
  <c r="CZ12" i="46"/>
  <c r="ES12" i="46"/>
  <c r="CE12" i="46"/>
  <c r="BA12" i="46"/>
  <c r="DF12" i="46"/>
  <c r="CB12" i="46"/>
  <c r="AX12" i="46"/>
  <c r="DC12" i="46"/>
  <c r="BY12" i="46"/>
  <c r="CW12" i="46"/>
  <c r="BV12" i="46"/>
  <c r="CT12" i="46"/>
  <c r="BS12" i="46"/>
  <c r="BM12" i="46"/>
  <c r="IZ12" i="46"/>
  <c r="CN12" i="46"/>
  <c r="BP12" i="46"/>
  <c r="AU12" i="46"/>
  <c r="CK12" i="46"/>
  <c r="AR12" i="46"/>
  <c r="CH12" i="46"/>
  <c r="AO12" i="46"/>
  <c r="BG12" i="46"/>
  <c r="AI12" i="46"/>
  <c r="FT12" i="46"/>
  <c r="FK12" i="46"/>
  <c r="BD12" i="46"/>
  <c r="FB12" i="46"/>
  <c r="EY12" i="46"/>
  <c r="CQ12" i="46"/>
  <c r="FH12" i="46"/>
  <c r="FE12" i="46"/>
  <c r="AL12" i="46"/>
  <c r="EV12" i="46"/>
  <c r="BJ12" i="46"/>
  <c r="T71" i="46"/>
  <c r="W71" i="46"/>
  <c r="AC71" i="46"/>
  <c r="Z71" i="46"/>
  <c r="JR71" i="46"/>
  <c r="JO71" i="46"/>
  <c r="JL71" i="46"/>
  <c r="LE71" i="46"/>
  <c r="IW71" i="46"/>
  <c r="KY71" i="46"/>
  <c r="KV71" i="46"/>
  <c r="KS71" i="46"/>
  <c r="KP71" i="46"/>
  <c r="IN71" i="46"/>
  <c r="IK71" i="46"/>
  <c r="JX71" i="46"/>
  <c r="JU71" i="46"/>
  <c r="JI71" i="46"/>
  <c r="JF71" i="46"/>
  <c r="KM71" i="46"/>
  <c r="GU71" i="46"/>
  <c r="GR71" i="46"/>
  <c r="GO71" i="46"/>
  <c r="KJ71" i="46"/>
  <c r="GF71" i="46"/>
  <c r="KD71" i="46"/>
  <c r="KG71" i="46"/>
  <c r="HV71" i="46"/>
  <c r="KA71" i="46"/>
  <c r="HS71" i="46"/>
  <c r="JC71" i="46"/>
  <c r="HP71" i="46"/>
  <c r="IZ71" i="46"/>
  <c r="HM71" i="46"/>
  <c r="IT71" i="46"/>
  <c r="HJ71" i="46"/>
  <c r="IH71" i="46"/>
  <c r="IE71" i="46"/>
  <c r="IB71" i="46"/>
  <c r="HG71" i="46"/>
  <c r="HD71" i="46"/>
  <c r="GI71" i="46"/>
  <c r="FN71" i="46"/>
  <c r="DI71" i="46"/>
  <c r="DF71" i="46"/>
  <c r="FK71" i="46"/>
  <c r="DC71" i="46"/>
  <c r="FB71" i="46"/>
  <c r="CT71" i="46"/>
  <c r="HA71" i="46"/>
  <c r="GC71" i="46"/>
  <c r="EG71" i="46"/>
  <c r="ED71" i="46"/>
  <c r="EA71" i="46"/>
  <c r="DX71" i="46"/>
  <c r="DR71" i="46"/>
  <c r="HY71" i="46"/>
  <c r="FZ71" i="46"/>
  <c r="LB71" i="46"/>
  <c r="CZ71" i="46"/>
  <c r="CN71" i="46"/>
  <c r="CW71" i="46"/>
  <c r="CK71" i="46"/>
  <c r="CQ71" i="46"/>
  <c r="CH71" i="46"/>
  <c r="CE71" i="46"/>
  <c r="FW71" i="46"/>
  <c r="FQ71" i="46"/>
  <c r="EV71" i="46"/>
  <c r="EJ71" i="46"/>
  <c r="GX71" i="46"/>
  <c r="GL71" i="46"/>
  <c r="FT71" i="46"/>
  <c r="FH71" i="46"/>
  <c r="AL71" i="46"/>
  <c r="AI71" i="46"/>
  <c r="BJ71" i="46"/>
  <c r="CB71" i="46"/>
  <c r="BY71" i="46"/>
  <c r="BG71" i="46"/>
  <c r="BV71" i="46"/>
  <c r="BD71" i="46"/>
  <c r="BP71" i="46"/>
  <c r="FE71" i="46"/>
  <c r="ES71" i="46"/>
  <c r="AR71" i="46"/>
  <c r="AU71" i="46"/>
  <c r="BA71" i="46"/>
  <c r="AX71" i="46"/>
  <c r="AO71" i="46"/>
  <c r="EY71" i="46"/>
  <c r="EP71" i="46"/>
  <c r="IQ71" i="46"/>
  <c r="DO71" i="46"/>
  <c r="DL71" i="46"/>
  <c r="BM71" i="46"/>
  <c r="EM71" i="46"/>
  <c r="BS71" i="46"/>
  <c r="DU71" i="46"/>
  <c r="FQ48" i="46"/>
  <c r="ES48" i="46"/>
  <c r="HV48" i="46"/>
  <c r="IK48" i="46"/>
  <c r="EJ45" i="46"/>
  <c r="JU45" i="46"/>
  <c r="HM45" i="46"/>
  <c r="KP45" i="46"/>
  <c r="ES17" i="46"/>
  <c r="KV17" i="46"/>
  <c r="IZ17" i="46"/>
  <c r="DX69" i="46"/>
  <c r="HS69" i="46"/>
  <c r="KP69" i="46"/>
  <c r="HP41" i="46"/>
  <c r="JF41" i="46"/>
  <c r="IT41" i="46"/>
  <c r="IE57" i="46"/>
  <c r="DX57" i="46"/>
  <c r="IB57" i="46"/>
  <c r="KS57" i="46"/>
  <c r="ES14" i="46"/>
  <c r="GL14" i="46"/>
  <c r="IW14" i="46"/>
  <c r="ES29" i="46"/>
  <c r="FT29" i="46"/>
  <c r="HA29" i="46"/>
  <c r="JL29" i="46"/>
  <c r="EM49" i="46"/>
  <c r="GC49" i="46"/>
  <c r="HS49" i="46"/>
  <c r="FB77" i="46"/>
  <c r="FT77" i="46"/>
  <c r="HS77" i="46"/>
  <c r="FE52" i="46"/>
  <c r="IW52" i="46"/>
  <c r="KG52" i="46"/>
  <c r="KP62" i="46"/>
  <c r="IN62" i="46"/>
  <c r="EP61" i="46"/>
  <c r="IT61" i="46"/>
  <c r="GF61" i="46"/>
  <c r="KY61" i="46"/>
  <c r="ES63" i="46"/>
  <c r="HY63" i="46"/>
  <c r="IE63" i="46"/>
  <c r="KS63" i="46"/>
  <c r="KY13" i="46"/>
  <c r="IE13" i="46"/>
  <c r="IT13" i="46"/>
  <c r="EM58" i="46"/>
  <c r="IE58" i="46"/>
  <c r="JX58" i="46"/>
  <c r="KS58" i="46"/>
  <c r="HJ56" i="46"/>
  <c r="JL56" i="46"/>
  <c r="EA74" i="46"/>
  <c r="HA74" i="46"/>
  <c r="JO74" i="46"/>
  <c r="DX72" i="46"/>
  <c r="HM72" i="46"/>
  <c r="IN72" i="46"/>
  <c r="EM43" i="46"/>
  <c r="HY43" i="46"/>
  <c r="KJ43" i="46"/>
  <c r="FH36" i="46"/>
  <c r="HP36" i="46"/>
  <c r="IT36" i="46"/>
  <c r="HA16" i="46"/>
  <c r="KG16" i="46"/>
  <c r="JX66" i="46"/>
  <c r="HS66" i="46"/>
  <c r="KY66" i="46"/>
  <c r="EV47" i="46"/>
  <c r="IQ47" i="46"/>
  <c r="KY47" i="46"/>
  <c r="GI37" i="46"/>
  <c r="LB37" i="46"/>
  <c r="IW37" i="46"/>
  <c r="FK21" i="46"/>
  <c r="EM21" i="46"/>
  <c r="HS21" i="46"/>
  <c r="LB21" i="46"/>
  <c r="EM26" i="46"/>
  <c r="GX26" i="46"/>
  <c r="HG26" i="46"/>
  <c r="KY26" i="46"/>
  <c r="DI65" i="46"/>
  <c r="DX65" i="46"/>
  <c r="IB65" i="46"/>
  <c r="IK65" i="46"/>
  <c r="EM33" i="46"/>
  <c r="DI33" i="46"/>
  <c r="IN33" i="46"/>
  <c r="KD33" i="46"/>
  <c r="EM75" i="46"/>
  <c r="FQ75" i="46"/>
  <c r="IN75" i="46"/>
  <c r="JO75" i="46"/>
  <c r="HA50" i="46"/>
  <c r="JC50" i="46"/>
  <c r="KJ50" i="46"/>
  <c r="JU50" i="46"/>
  <c r="EM20" i="46"/>
  <c r="HM20" i="46"/>
  <c r="EJ11" i="46"/>
  <c r="GC11" i="46"/>
  <c r="IH11" i="46"/>
  <c r="HP44" i="46"/>
  <c r="HG44" i="46"/>
  <c r="JX44" i="46"/>
  <c r="EJ53" i="46"/>
  <c r="DI53" i="46"/>
  <c r="GO53" i="46"/>
  <c r="W8" i="46"/>
  <c r="T8" i="46"/>
  <c r="AC8" i="46"/>
  <c r="Z8" i="46"/>
  <c r="JF8" i="46"/>
  <c r="GI8" i="46"/>
  <c r="EY8" i="46"/>
  <c r="CQ8" i="46"/>
  <c r="JC8" i="46"/>
  <c r="GF8" i="46"/>
  <c r="EV8" i="46"/>
  <c r="IZ8" i="46"/>
  <c r="GC8" i="46"/>
  <c r="ES8" i="46"/>
  <c r="LE8" i="46"/>
  <c r="IW8" i="46"/>
  <c r="IH8" i="46"/>
  <c r="FZ8" i="46"/>
  <c r="EP8" i="46"/>
  <c r="LB8" i="46"/>
  <c r="IT8" i="46"/>
  <c r="IE8" i="46"/>
  <c r="FW8" i="46"/>
  <c r="EM8" i="46"/>
  <c r="JU8" i="46"/>
  <c r="KY8" i="46"/>
  <c r="IQ8" i="46"/>
  <c r="IB8" i="46"/>
  <c r="FT8" i="46"/>
  <c r="EJ8" i="46"/>
  <c r="KV8" i="46"/>
  <c r="IN8" i="46"/>
  <c r="HY8" i="46"/>
  <c r="FQ8" i="46"/>
  <c r="EG8" i="46"/>
  <c r="KS8" i="46"/>
  <c r="IK8" i="46"/>
  <c r="HV8" i="46"/>
  <c r="FN8" i="46"/>
  <c r="ED8" i="46"/>
  <c r="DF8" i="46"/>
  <c r="KP8" i="46"/>
  <c r="HS8" i="46"/>
  <c r="EA8" i="46"/>
  <c r="KM8" i="46"/>
  <c r="HP8" i="46"/>
  <c r="DX8" i="46"/>
  <c r="CN8" i="46"/>
  <c r="BY8" i="46"/>
  <c r="BJ8" i="46"/>
  <c r="AU8" i="46"/>
  <c r="GX8" i="46"/>
  <c r="KJ8" i="46"/>
  <c r="HM8" i="46"/>
  <c r="DU8" i="46"/>
  <c r="CK8" i="46"/>
  <c r="BV8" i="46"/>
  <c r="BG8" i="46"/>
  <c r="AR8" i="46"/>
  <c r="KG8" i="46"/>
  <c r="HJ8" i="46"/>
  <c r="DR8" i="46"/>
  <c r="CH8" i="46"/>
  <c r="BS8" i="46"/>
  <c r="BD8" i="46"/>
  <c r="AO8" i="46"/>
  <c r="KD8" i="46"/>
  <c r="HG8" i="46"/>
  <c r="DO8" i="46"/>
  <c r="CE8" i="46"/>
  <c r="BP8" i="46"/>
  <c r="BA8" i="46"/>
  <c r="AL8" i="46"/>
  <c r="KA8" i="46"/>
  <c r="HD8" i="46"/>
  <c r="DL8" i="46"/>
  <c r="CB8" i="46"/>
  <c r="BM8" i="46"/>
  <c r="AX8" i="46"/>
  <c r="AI8" i="46"/>
  <c r="JX8" i="46"/>
  <c r="HA8" i="46"/>
  <c r="DI8" i="46"/>
  <c r="JR8" i="46"/>
  <c r="GU8" i="46"/>
  <c r="FK8" i="46"/>
  <c r="DC8" i="46"/>
  <c r="JO8" i="46"/>
  <c r="GR8" i="46"/>
  <c r="FH8" i="46"/>
  <c r="CZ8" i="46"/>
  <c r="JL8" i="46"/>
  <c r="GO8" i="46"/>
  <c r="FE8" i="46"/>
  <c r="CW8" i="46"/>
  <c r="JI8" i="46"/>
  <c r="GL8" i="46"/>
  <c r="FB8" i="46"/>
  <c r="CT8" i="46"/>
  <c r="HY7" i="46"/>
  <c r="CZ7" i="46"/>
  <c r="IK7" i="46"/>
  <c r="EM7" i="46"/>
  <c r="EY7" i="46"/>
  <c r="DC7" i="46"/>
  <c r="IW7" i="46"/>
  <c r="EA7" i="46"/>
  <c r="W7" i="46"/>
  <c r="FT7" i="46"/>
  <c r="FK7" i="46"/>
  <c r="LE7" i="46"/>
  <c r="HD7" i="46"/>
  <c r="E7" i="48"/>
  <c r="F7" i="48" s="1" a="1"/>
  <c r="F7" i="48" s="1"/>
  <c r="AC6" i="46"/>
  <c r="Z6" i="46"/>
  <c r="W6" i="46"/>
  <c r="T6" i="46"/>
  <c r="IZ6" i="46"/>
  <c r="DI6" i="46"/>
  <c r="EY6" i="46"/>
  <c r="HD6" i="46"/>
  <c r="FN6" i="46"/>
  <c r="DF6" i="46"/>
  <c r="EV6" i="46"/>
  <c r="GX6" i="46"/>
  <c r="IH6" i="46"/>
  <c r="EM6" i="46"/>
  <c r="CQ6" i="46"/>
  <c r="GL6" i="46"/>
  <c r="JL6" i="46"/>
  <c r="GF6" i="46"/>
  <c r="HS6" i="46"/>
  <c r="JI6" i="46"/>
  <c r="EJ6" i="46"/>
  <c r="BP6" i="46"/>
  <c r="HV6" i="46"/>
  <c r="ED6" i="46"/>
  <c r="HP6" i="46"/>
  <c r="FZ6" i="46"/>
  <c r="CN6" i="46"/>
  <c r="BA6" i="46"/>
  <c r="JC6" i="46"/>
  <c r="HJ6" i="46"/>
  <c r="FT6" i="46"/>
  <c r="AX6" i="46"/>
  <c r="JR6" i="46"/>
  <c r="GU6" i="46"/>
  <c r="KS6" i="46"/>
  <c r="BS6" i="46"/>
  <c r="CB6" i="46"/>
  <c r="CK6" i="46"/>
  <c r="GO6" i="46"/>
  <c r="KD6" i="46"/>
  <c r="CE6" i="46"/>
  <c r="AL6" i="46"/>
  <c r="DL6" i="46"/>
  <c r="IE6" i="46"/>
  <c r="AU6" i="46"/>
  <c r="FQ6" i="46"/>
  <c r="LB6" i="46"/>
  <c r="BG6" i="46"/>
  <c r="CW6" i="46"/>
  <c r="KV6" i="46"/>
  <c r="DO6" i="46"/>
  <c r="EP6" i="46"/>
  <c r="CH6" i="46"/>
  <c r="FH6" i="46"/>
  <c r="IK6" i="46"/>
  <c r="FB6" i="46"/>
  <c r="FW6" i="46"/>
  <c r="EA6" i="46"/>
  <c r="LE6" i="46"/>
  <c r="IN6" i="46"/>
  <c r="KJ6" i="46"/>
  <c r="DC6" i="46"/>
  <c r="KM6" i="46"/>
  <c r="AR6" i="46"/>
  <c r="FE6" i="46"/>
  <c r="JX6" i="46"/>
  <c r="BY6" i="46"/>
  <c r="HG6" i="46"/>
  <c r="GC6" i="46"/>
  <c r="HM6" i="46"/>
  <c r="AO6" i="46"/>
  <c r="GR6" i="46"/>
  <c r="KP6" i="46"/>
  <c r="KG6" i="46"/>
  <c r="AI6" i="46"/>
  <c r="FK6" i="46"/>
  <c r="HA6" i="46"/>
  <c r="IQ6" i="46"/>
  <c r="JF6" i="46"/>
  <c r="BV6" i="46"/>
  <c r="BJ6" i="46"/>
  <c r="KY6" i="46"/>
  <c r="ES6" i="46"/>
  <c r="JU6" i="46"/>
  <c r="BD6" i="46"/>
  <c r="GI6" i="46"/>
  <c r="BM6" i="46"/>
  <c r="IB6" i="46"/>
  <c r="JO6" i="46"/>
  <c r="KA6" i="46"/>
  <c r="IT6" i="46"/>
  <c r="EG6" i="46"/>
  <c r="HY6" i="46"/>
  <c r="CT6" i="46"/>
  <c r="IW6" i="46"/>
  <c r="AF49" i="46"/>
  <c r="AF256" i="46"/>
  <c r="AF46" i="46"/>
  <c r="AF41" i="46"/>
  <c r="AF22" i="46"/>
  <c r="AF15" i="46"/>
  <c r="AF48" i="46"/>
  <c r="AF70" i="46"/>
  <c r="AF66" i="46"/>
  <c r="AF13" i="46"/>
  <c r="AF258" i="46"/>
  <c r="AF44" i="46"/>
  <c r="AF77" i="46"/>
  <c r="H164" i="46"/>
  <c r="H182" i="46"/>
  <c r="H165" i="46"/>
  <c r="C64" i="46"/>
  <c r="C56" i="46"/>
  <c r="H253" i="46"/>
  <c r="AH155" i="3"/>
  <c r="AG155" i="3" s="1"/>
  <c r="K131" i="46"/>
  <c r="K152" i="46"/>
  <c r="AL5" i="3"/>
  <c r="BD5" i="3"/>
  <c r="BD57" i="3" s="1"/>
  <c r="K142" i="46"/>
  <c r="Y19" i="3"/>
  <c r="Y35" i="3" s="1"/>
  <c r="Y91" i="3"/>
  <c r="Y100" i="3"/>
  <c r="Y59" i="3"/>
  <c r="AC3" i="3"/>
  <c r="Y75" i="3"/>
  <c r="DT130" i="3"/>
  <c r="H223" i="46"/>
  <c r="H228" i="46"/>
  <c r="AF254" i="46"/>
  <c r="Y119" i="3"/>
  <c r="DT100" i="3"/>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AF33" i="46"/>
  <c r="AF32" i="46"/>
  <c r="AF69" i="46"/>
  <c r="AF68" i="46"/>
  <c r="AF57" i="46"/>
  <c r="AF40" i="46"/>
  <c r="AF67" i="46"/>
  <c r="AF38" i="46"/>
  <c r="AF29" i="46"/>
  <c r="AF19" i="46"/>
  <c r="AF73" i="46"/>
  <c r="AF64" i="46"/>
  <c r="AF25" i="46"/>
  <c r="AF23" i="46"/>
  <c r="AF18" i="46"/>
  <c r="AF12" i="46"/>
  <c r="AF8" i="46"/>
  <c r="AF60" i="46"/>
  <c r="AF24" i="46"/>
  <c r="AF14" i="46"/>
  <c r="AF61" i="46"/>
  <c r="AF43" i="46"/>
  <c r="AF50" i="46"/>
  <c r="AF28" i="46"/>
  <c r="AF51" i="46"/>
  <c r="AF9" i="46"/>
  <c r="AF55" i="46"/>
  <c r="AF31" i="46"/>
  <c r="AF54" i="46"/>
  <c r="AF30" i="46"/>
  <c r="AF6" i="46"/>
  <c r="AF11" i="46"/>
  <c r="AF59" i="46"/>
  <c r="AF35" i="46"/>
  <c r="AF10" i="46"/>
  <c r="AF34" i="46"/>
  <c r="AF42" i="46"/>
  <c r="K11" i="6"/>
  <c r="K6" i="6"/>
  <c r="AB42" i="32"/>
  <c r="AB25" i="32"/>
  <c r="AB11" i="32"/>
  <c r="B41" i="6"/>
  <c r="A80" i="3" s="1"/>
  <c r="AB29" i="32"/>
  <c r="B23" i="6"/>
  <c r="BD27" i="3" s="1"/>
  <c r="K36" i="6"/>
  <c r="K49" i="6"/>
  <c r="AB12" i="32"/>
  <c r="AB20" i="32"/>
  <c r="K3" i="6"/>
  <c r="K8" i="6"/>
  <c r="B27" i="6"/>
  <c r="BD31" i="3" s="1"/>
  <c r="B37" i="6"/>
  <c r="BD41" i="3" s="1"/>
  <c r="K32" i="6"/>
  <c r="A13" i="3"/>
  <c r="AY14" i="3" s="1"/>
  <c r="K17" i="6"/>
  <c r="K10" i="6"/>
  <c r="AB30" i="32"/>
  <c r="A8" i="3"/>
  <c r="AF5" i="3" s="1"/>
  <c r="F4" i="45" s="1"/>
  <c r="K41" i="6"/>
  <c r="K24" i="6"/>
  <c r="AB50" i="32"/>
  <c r="AB45" i="32"/>
  <c r="B33" i="6"/>
  <c r="A64" i="3" s="1"/>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BD33" i="3"/>
  <c r="A56" i="3"/>
  <c r="AF72" i="3"/>
  <c r="AY70" i="3"/>
  <c r="AA68" i="3"/>
  <c r="AA70" i="3"/>
  <c r="AF20" i="3"/>
  <c r="AF22" i="3"/>
  <c r="AA25" i="3"/>
  <c r="AY23" i="3"/>
  <c r="A53" i="3"/>
  <c r="BD30" i="3"/>
  <c r="AF31" i="3"/>
  <c r="AF28" i="3"/>
  <c r="AA33" i="3"/>
  <c r="AY31" i="3"/>
  <c r="AY64" i="3"/>
  <c r="AF62" i="3"/>
  <c r="AA61" i="3"/>
  <c r="AF64" i="3"/>
  <c r="DR78" i="46" l="1"/>
  <c r="Z78" i="46"/>
  <c r="AL78" i="46"/>
  <c r="KJ78" i="46"/>
  <c r="BP78" i="46"/>
  <c r="BV78" i="46"/>
  <c r="CZ78" i="46"/>
  <c r="DC78" i="46"/>
  <c r="DL78" i="46"/>
  <c r="HV78" i="46"/>
  <c r="JF78" i="46"/>
  <c r="KD78" i="46"/>
  <c r="CT78" i="46"/>
  <c r="FK78" i="46"/>
  <c r="FW78" i="46"/>
  <c r="CB78" i="46"/>
  <c r="HY78" i="46"/>
  <c r="FB78" i="46"/>
  <c r="BS78" i="46"/>
  <c r="GL78" i="46"/>
  <c r="JR78" i="46"/>
  <c r="EJ78" i="46"/>
  <c r="DX78" i="46"/>
  <c r="GU78" i="46"/>
  <c r="CQ78" i="46"/>
  <c r="HG78" i="46"/>
  <c r="BA78" i="46"/>
  <c r="GI78" i="46"/>
  <c r="BG78" i="46"/>
  <c r="BD78" i="46"/>
  <c r="LB78" i="46"/>
  <c r="JU78" i="46"/>
  <c r="FZ78" i="46"/>
  <c r="IN78" i="46"/>
  <c r="EM78" i="46"/>
  <c r="IH78" i="46"/>
  <c r="CN78" i="46"/>
  <c r="DI78" i="46"/>
  <c r="AR78" i="46"/>
  <c r="HP78" i="46"/>
  <c r="KY78" i="46"/>
  <c r="KM78" i="46"/>
  <c r="IE78" i="46"/>
  <c r="T78" i="46"/>
  <c r="CE78" i="46"/>
  <c r="IQ78" i="46"/>
  <c r="GO78" i="46"/>
  <c r="HS78" i="46"/>
  <c r="DU78" i="46"/>
  <c r="AC78" i="46"/>
  <c r="IW78" i="46"/>
  <c r="HA78" i="46"/>
  <c r="EA78" i="46"/>
  <c r="CK78" i="46"/>
  <c r="GF78" i="46"/>
  <c r="KP78" i="46"/>
  <c r="JO78" i="46"/>
  <c r="AO78" i="46"/>
  <c r="CH78" i="46"/>
  <c r="BY78" i="46"/>
  <c r="JX78" i="46"/>
  <c r="ES78" i="46"/>
  <c r="FE78" i="46"/>
  <c r="FQ78" i="46"/>
  <c r="AU78" i="46"/>
  <c r="IZ78" i="46"/>
  <c r="BJ78" i="46"/>
  <c r="ED78" i="46"/>
  <c r="W78" i="46"/>
  <c r="LE78" i="46"/>
  <c r="JI78" i="46"/>
  <c r="JL78" i="46"/>
  <c r="EG78" i="46"/>
  <c r="IT78" i="46"/>
  <c r="IK78" i="46"/>
  <c r="KS78" i="46"/>
  <c r="GR78" i="46"/>
  <c r="AI78" i="46"/>
  <c r="KA78" i="46"/>
  <c r="FH78" i="46"/>
  <c r="KG78" i="46"/>
  <c r="IB78" i="46"/>
  <c r="HM78" i="46"/>
  <c r="EP78" i="46"/>
  <c r="AX78" i="46"/>
  <c r="GX78" i="46"/>
  <c r="GC78" i="46"/>
  <c r="DO78" i="46"/>
  <c r="EV78" i="46"/>
  <c r="BM78" i="46"/>
  <c r="KV78" i="46"/>
  <c r="HJ78" i="46"/>
  <c r="DF78" i="46"/>
  <c r="CW78" i="46"/>
  <c r="JC78" i="46"/>
  <c r="FN78" i="46"/>
  <c r="E8" i="48"/>
  <c r="F8" i="48" s="1" a="1"/>
  <c r="F8" i="48" s="1"/>
  <c r="FT78" i="46"/>
  <c r="HD78" i="46"/>
  <c r="EY78" i="46"/>
  <c r="AL37" i="3"/>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AF78" i="46"/>
  <c r="BD45" i="3"/>
  <c r="BC45" i="3" s="1"/>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E9" i="48" l="1"/>
  <c r="F9" i="48" s="1" a="1"/>
  <c r="F9" i="48" s="1"/>
  <c r="AC257" i="46"/>
  <c r="Z257" i="46"/>
  <c r="W257" i="46"/>
  <c r="T257" i="46"/>
  <c r="LB257" i="46"/>
  <c r="IT257" i="46"/>
  <c r="KY257" i="46"/>
  <c r="IQ257" i="46"/>
  <c r="KV257" i="46"/>
  <c r="IN257" i="46"/>
  <c r="KA257" i="46"/>
  <c r="KG257" i="46"/>
  <c r="KD257" i="46"/>
  <c r="JX257" i="46"/>
  <c r="JU257" i="46"/>
  <c r="JR257" i="46"/>
  <c r="JO257" i="46"/>
  <c r="JL257" i="46"/>
  <c r="IW257" i="46"/>
  <c r="GO257" i="46"/>
  <c r="GL257" i="46"/>
  <c r="GI257" i="46"/>
  <c r="KJ257" i="46"/>
  <c r="GR257" i="46"/>
  <c r="LE257" i="46"/>
  <c r="GF257" i="46"/>
  <c r="KS257" i="46"/>
  <c r="GC257" i="46"/>
  <c r="KP257" i="46"/>
  <c r="KM257" i="46"/>
  <c r="JI257" i="46"/>
  <c r="HP257" i="46"/>
  <c r="JF257" i="46"/>
  <c r="HM257" i="46"/>
  <c r="JC257" i="46"/>
  <c r="HJ257" i="46"/>
  <c r="IZ257" i="46"/>
  <c r="FT257" i="46"/>
  <c r="FQ257" i="46"/>
  <c r="FN257" i="46"/>
  <c r="FW257" i="46"/>
  <c r="HV257" i="46"/>
  <c r="EG257" i="46"/>
  <c r="HS257" i="46"/>
  <c r="ED257" i="46"/>
  <c r="IK257" i="46"/>
  <c r="HG257" i="46"/>
  <c r="EA257" i="46"/>
  <c r="HD257" i="46"/>
  <c r="DX257" i="46"/>
  <c r="HA257" i="46"/>
  <c r="GU257" i="46"/>
  <c r="IE257" i="46"/>
  <c r="DL257" i="46"/>
  <c r="IB257" i="46"/>
  <c r="DI257" i="46"/>
  <c r="HY257" i="46"/>
  <c r="DF257" i="46"/>
  <c r="GX257" i="46"/>
  <c r="DC257" i="46"/>
  <c r="CW257" i="46"/>
  <c r="FB257" i="46"/>
  <c r="FK257" i="46"/>
  <c r="FH257" i="46"/>
  <c r="FE257" i="46"/>
  <c r="EY257" i="46"/>
  <c r="ES257" i="46"/>
  <c r="EP257" i="46"/>
  <c r="DR257" i="46"/>
  <c r="CZ257" i="46"/>
  <c r="FZ257" i="46"/>
  <c r="IH257" i="46"/>
  <c r="EV257" i="46"/>
  <c r="DO257" i="46"/>
  <c r="BY257" i="46"/>
  <c r="EJ257" i="46"/>
  <c r="CT257" i="46"/>
  <c r="EM257" i="46"/>
  <c r="CQ257" i="46"/>
  <c r="CN257" i="46"/>
  <c r="CK257" i="46"/>
  <c r="CH257" i="46"/>
  <c r="CE257" i="46"/>
  <c r="DU257" i="46"/>
  <c r="BJ257" i="46"/>
  <c r="BG257" i="46"/>
  <c r="BD257" i="46"/>
  <c r="BA257" i="46"/>
  <c r="AX257" i="46"/>
  <c r="BV257" i="46"/>
  <c r="BS257" i="46"/>
  <c r="AI257" i="46"/>
  <c r="BM257" i="46"/>
  <c r="AR257" i="46"/>
  <c r="BP257" i="46"/>
  <c r="AU257" i="46"/>
  <c r="AO257" i="46"/>
  <c r="CB257" i="46"/>
  <c r="AL257" i="46"/>
  <c r="T255" i="46"/>
  <c r="AC255" i="46"/>
  <c r="Z255" i="46"/>
  <c r="W255" i="46"/>
  <c r="JX255" i="46"/>
  <c r="JU255" i="46"/>
  <c r="JR255" i="46"/>
  <c r="LE255" i="46"/>
  <c r="IW255" i="46"/>
  <c r="KJ255" i="46"/>
  <c r="KG255" i="46"/>
  <c r="KD255" i="46"/>
  <c r="KA255" i="46"/>
  <c r="IN255" i="46"/>
  <c r="IK255" i="46"/>
  <c r="KY255" i="46"/>
  <c r="KP255" i="46"/>
  <c r="KV255" i="46"/>
  <c r="KS255" i="46"/>
  <c r="HD255" i="46"/>
  <c r="KM255" i="46"/>
  <c r="HA255" i="46"/>
  <c r="JO255" i="46"/>
  <c r="GX255" i="46"/>
  <c r="JL255" i="46"/>
  <c r="JI255" i="46"/>
  <c r="HJ255" i="46"/>
  <c r="HG255" i="46"/>
  <c r="GU255" i="46"/>
  <c r="IE255" i="46"/>
  <c r="IB255" i="46"/>
  <c r="HY255" i="46"/>
  <c r="LB255" i="46"/>
  <c r="HV255" i="46"/>
  <c r="JC255" i="46"/>
  <c r="HP255" i="46"/>
  <c r="IT255" i="46"/>
  <c r="GL255" i="46"/>
  <c r="IQ255" i="46"/>
  <c r="GI255" i="46"/>
  <c r="GF255" i="46"/>
  <c r="GC255" i="46"/>
  <c r="FW255" i="46"/>
  <c r="HM255" i="46"/>
  <c r="FK255" i="46"/>
  <c r="DC255" i="46"/>
  <c r="GR255" i="46"/>
  <c r="FH255" i="46"/>
  <c r="CZ255" i="46"/>
  <c r="GO255" i="46"/>
  <c r="FE255" i="46"/>
  <c r="CW255" i="46"/>
  <c r="FZ255" i="46"/>
  <c r="FB255" i="46"/>
  <c r="CT255" i="46"/>
  <c r="FT255" i="46"/>
  <c r="FN255" i="46"/>
  <c r="IZ255" i="46"/>
  <c r="DR255" i="46"/>
  <c r="DO255" i="46"/>
  <c r="DL255" i="46"/>
  <c r="DI255" i="46"/>
  <c r="CQ255" i="46"/>
  <c r="JF255" i="46"/>
  <c r="DU255" i="46"/>
  <c r="DF255" i="46"/>
  <c r="HS255" i="46"/>
  <c r="FQ255" i="46"/>
  <c r="EY255" i="46"/>
  <c r="ES255" i="46"/>
  <c r="CN255" i="46"/>
  <c r="EV255" i="46"/>
  <c r="EP255" i="46"/>
  <c r="EG255" i="46"/>
  <c r="DX255" i="46"/>
  <c r="CK255" i="46"/>
  <c r="CH255" i="46"/>
  <c r="CE255" i="46"/>
  <c r="CB255" i="46"/>
  <c r="EM255" i="46"/>
  <c r="ED255" i="46"/>
  <c r="BY255" i="46"/>
  <c r="BP255" i="46"/>
  <c r="EJ255" i="46"/>
  <c r="AL255" i="46"/>
  <c r="BV255" i="46"/>
  <c r="AI255" i="46"/>
  <c r="BS255" i="46"/>
  <c r="BJ255" i="46"/>
  <c r="IH255" i="46"/>
  <c r="BM255" i="46"/>
  <c r="BG255" i="46"/>
  <c r="BD255" i="46"/>
  <c r="AX255" i="46"/>
  <c r="AO255" i="46"/>
  <c r="EA255" i="46"/>
  <c r="AR255" i="46"/>
  <c r="AU255" i="46"/>
  <c r="BA255" i="46"/>
  <c r="Z253" i="46"/>
  <c r="W253" i="46"/>
  <c r="T253" i="46"/>
  <c r="AC253" i="46"/>
  <c r="HY253" i="46"/>
  <c r="CT253" i="46"/>
  <c r="CQ253" i="46"/>
  <c r="HP253" i="46"/>
  <c r="EA253" i="46"/>
  <c r="DU253" i="46"/>
  <c r="DC253" i="46"/>
  <c r="LE253" i="46"/>
  <c r="CZ253" i="46"/>
  <c r="CW253" i="46"/>
  <c r="GU253" i="46"/>
  <c r="FQ253" i="46"/>
  <c r="DR253" i="46"/>
  <c r="DO253" i="46"/>
  <c r="DL253" i="46"/>
  <c r="DF253" i="46"/>
  <c r="BY253" i="46"/>
  <c r="CE253" i="46"/>
  <c r="BV253" i="46"/>
  <c r="CK253" i="46"/>
  <c r="BM253" i="46"/>
  <c r="CH253" i="46"/>
  <c r="AR253" i="46"/>
  <c r="AU253" i="46"/>
  <c r="AO253" i="46"/>
  <c r="AI253" i="46"/>
  <c r="CB253" i="46"/>
  <c r="BP253" i="46"/>
  <c r="AX253" i="46"/>
  <c r="BG253" i="46"/>
  <c r="CN253" i="46"/>
  <c r="BJ253" i="46"/>
  <c r="BD253" i="46"/>
  <c r="BA253" i="46"/>
  <c r="BS253" i="46"/>
  <c r="AL253" i="46"/>
  <c r="EJ253" i="46"/>
  <c r="GO253" i="46"/>
  <c r="KJ253" i="46"/>
  <c r="JI253" i="46"/>
  <c r="HJ253" i="46"/>
  <c r="ES253" i="46"/>
  <c r="HD253" i="46"/>
  <c r="IW253" i="46"/>
  <c r="JC253" i="46"/>
  <c r="IQ253" i="46"/>
  <c r="IB253" i="46"/>
  <c r="GI253" i="46"/>
  <c r="GL253" i="46"/>
  <c r="KD253" i="46"/>
  <c r="GR253" i="46"/>
  <c r="LB253" i="46"/>
  <c r="IK253" i="46"/>
  <c r="EY253" i="46"/>
  <c r="HM253" i="46"/>
  <c r="EP253" i="46"/>
  <c r="IH253" i="46"/>
  <c r="GC253" i="46"/>
  <c r="JX253" i="46"/>
  <c r="FN253" i="46"/>
  <c r="JO253" i="46"/>
  <c r="KM253" i="46"/>
  <c r="GX253" i="46"/>
  <c r="FH253" i="46"/>
  <c r="JF253" i="46"/>
  <c r="DI253" i="46"/>
  <c r="IE253" i="46"/>
  <c r="FT253" i="46"/>
  <c r="GF253" i="46"/>
  <c r="HS253" i="46"/>
  <c r="KV253" i="46"/>
  <c r="KP253" i="46"/>
  <c r="FB253" i="46"/>
  <c r="ED253" i="46"/>
  <c r="JU253" i="46"/>
  <c r="JR253" i="46"/>
  <c r="FE253" i="46"/>
  <c r="EM253" i="46"/>
  <c r="EV253" i="46"/>
  <c r="KY253" i="46"/>
  <c r="IT253" i="46"/>
  <c r="DX253" i="46"/>
  <c r="FW253" i="46"/>
  <c r="JL253" i="46"/>
  <c r="KS253" i="46"/>
  <c r="HV253" i="46"/>
  <c r="EG253" i="46"/>
  <c r="FZ253" i="46"/>
  <c r="KG253" i="46"/>
  <c r="KA253" i="46"/>
  <c r="IN253" i="46"/>
  <c r="IZ253" i="46"/>
  <c r="FK253" i="46"/>
  <c r="HG253" i="46"/>
  <c r="HA253" i="46"/>
  <c r="E10" i="48"/>
  <c r="F10" i="48" s="1" a="1"/>
  <c r="F10" i="48" s="1"/>
  <c r="AF257" i="46"/>
  <c r="AF255" i="46"/>
  <c r="AF253" i="46"/>
  <c r="AA14" i="3"/>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R16" i="45"/>
  <c r="AE65" i="3" a="1"/>
  <c r="AE65" i="3" s="1"/>
  <c r="E11" i="48" l="1"/>
  <c r="F11" i="48" s="1" a="1"/>
  <c r="F11" i="48" s="1"/>
  <c r="O40" i="45"/>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E12" i="48" l="1"/>
  <c r="F12" i="48" s="1" a="1"/>
  <c r="F12" i="48" s="1"/>
  <c r="BL26" i="3"/>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7" i="32" l="1"/>
  <c r="E13" i="48"/>
  <c r="F13" i="48" s="1" a="1"/>
  <c r="F13" i="48" s="1"/>
  <c r="W14" i="32"/>
  <c r="W32" i="32"/>
  <c r="U3"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E14" i="48" l="1"/>
  <c r="F14" i="48" s="1" a="1"/>
  <c r="F14" i="48" s="1"/>
  <c r="V10" i="32"/>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E15" i="48" l="1"/>
  <c r="F15" i="48" s="1" a="1"/>
  <c r="F15" i="48" s="1"/>
  <c r="AK99" i="3"/>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E16" i="48" l="1"/>
  <c r="F16" i="48" s="1" a="1"/>
  <c r="F16" i="48" s="1"/>
  <c r="X33" i="3"/>
  <c r="H61" i="46" s="1"/>
  <c r="Y84" i="3"/>
  <c r="X124" i="3"/>
  <c r="Y23" i="3"/>
  <c r="X28" i="3"/>
  <c r="H12" i="46" s="1"/>
  <c r="Y77" i="3"/>
  <c r="Y105" i="3"/>
  <c r="Y76" i="3"/>
  <c r="Y113" i="3"/>
  <c r="Y126" i="3"/>
  <c r="X56" i="3"/>
  <c r="H66" i="46" s="1"/>
  <c r="X96" i="3"/>
  <c r="H76" i="46" s="1"/>
  <c r="H127" i="46" s="1"/>
  <c r="Y102" i="3"/>
  <c r="Y115" i="3"/>
  <c r="Y48" i="3"/>
  <c r="X134" i="3"/>
  <c r="E42" i="30"/>
  <c r="X57" i="3"/>
  <c r="H67" i="46" s="1"/>
  <c r="X70" i="3"/>
  <c r="H46" i="46" s="1"/>
  <c r="X4" i="3"/>
  <c r="H6" i="46" s="1"/>
  <c r="Y110" i="3"/>
  <c r="X97" i="3"/>
  <c r="H77" i="46" s="1"/>
  <c r="X15" i="3"/>
  <c r="H33" i="46" s="1"/>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H58" i="46" s="1"/>
  <c r="H91" i="46" s="1"/>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62" i="46"/>
  <c r="H13" i="46"/>
  <c r="H20" i="46"/>
  <c r="H27" i="46"/>
  <c r="H69" i="46"/>
  <c r="H22" i="46"/>
  <c r="H44" i="46"/>
  <c r="H26" i="46"/>
  <c r="H48" i="46"/>
  <c r="H18" i="46"/>
  <c r="H52" i="46"/>
  <c r="H51"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G20" i="30" l="1"/>
  <c r="E17" i="48"/>
  <c r="F17" i="48" s="1" a="1"/>
  <c r="F17" i="48" s="1"/>
  <c r="G19" i="30"/>
  <c r="E45" i="51"/>
  <c r="H116" i="46"/>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E18" i="48" l="1"/>
  <c r="F18" i="48" s="1" a="1"/>
  <c r="F18" i="48" s="1"/>
  <c r="IY272" i="46"/>
  <c r="IY270" i="46" s="1"/>
  <c r="ID272" i="46"/>
  <c r="ID270" i="46" s="1"/>
  <c r="KR272" i="46"/>
  <c r="KR270" i="46" s="1"/>
  <c r="IP272" i="46"/>
  <c r="IP270" i="46" s="1"/>
  <c r="LA272" i="46"/>
  <c r="LA270" i="46" s="1"/>
  <c r="JT272" i="46"/>
  <c r="JT270" i="46" s="1"/>
  <c r="KC272" i="46"/>
  <c r="KF272" i="46"/>
  <c r="KO272" i="46"/>
  <c r="IJ272" i="46"/>
  <c r="JW272" i="46"/>
  <c r="IM272" i="46"/>
  <c r="KX272" i="46"/>
  <c r="IS272" i="46"/>
  <c r="FS272" i="46"/>
  <c r="FS270" i="46" s="1"/>
  <c r="IV272" i="46"/>
  <c r="HR272" i="46"/>
  <c r="HR270" i="46" s="1"/>
  <c r="LD272" i="46"/>
  <c r="JQ272" i="46"/>
  <c r="KU272" i="46"/>
  <c r="KL272" i="46"/>
  <c r="JB272" i="46"/>
  <c r="JN272" i="46"/>
  <c r="JE272" i="46"/>
  <c r="GZ272" i="46"/>
  <c r="GZ270" i="46" s="1"/>
  <c r="JZ272" i="46"/>
  <c r="JH272" i="46"/>
  <c r="KI272" i="46"/>
  <c r="JK272" i="46"/>
  <c r="EX272" i="46"/>
  <c r="EX270" i="46" s="1"/>
  <c r="IG272" i="46"/>
  <c r="GT272" i="46"/>
  <c r="GW272" i="46"/>
  <c r="HF272" i="46"/>
  <c r="HI272" i="46"/>
  <c r="FM272" i="46"/>
  <c r="DW272" i="46"/>
  <c r="DW270" i="46" s="1"/>
  <c r="FP272" i="46"/>
  <c r="DB272" i="46"/>
  <c r="DB270" i="46" s="1"/>
  <c r="HU272" i="46"/>
  <c r="DQ272" i="46"/>
  <c r="DQ270" i="46" s="1"/>
  <c r="HX272" i="46"/>
  <c r="FV272" i="46"/>
  <c r="IA272" i="46"/>
  <c r="HL272" i="46"/>
  <c r="GB272" i="46"/>
  <c r="GE272" i="46"/>
  <c r="GQ272" i="46"/>
  <c r="GH272" i="46"/>
  <c r="HC272" i="46"/>
  <c r="HO272" i="46"/>
  <c r="GK272" i="46"/>
  <c r="FY272" i="46"/>
  <c r="GN272" i="46"/>
  <c r="DE272" i="46"/>
  <c r="DT272" i="46"/>
  <c r="EI272" i="46"/>
  <c r="ER272" i="46"/>
  <c r="CS272" i="46"/>
  <c r="DZ272" i="46"/>
  <c r="EC272" i="46"/>
  <c r="EF272" i="46"/>
  <c r="CP272" i="46"/>
  <c r="CV272" i="46"/>
  <c r="FD272" i="46"/>
  <c r="CY272" i="46"/>
  <c r="CA272" i="46"/>
  <c r="CA270" i="46" s="1"/>
  <c r="EO272" i="46"/>
  <c r="FG272" i="46"/>
  <c r="EL272" i="46"/>
  <c r="DH272" i="46"/>
  <c r="EU272" i="46"/>
  <c r="DK272" i="46"/>
  <c r="FA272" i="46"/>
  <c r="DN272" i="46"/>
  <c r="FJ272" i="46"/>
  <c r="BX272" i="46"/>
  <c r="BX270" i="46" s="1"/>
  <c r="CD272" i="46"/>
  <c r="CG272" i="46"/>
  <c r="CJ272" i="46"/>
  <c r="CM272" i="46"/>
  <c r="BL272" i="46"/>
  <c r="BO272" i="46"/>
  <c r="BR272" i="46"/>
  <c r="BU272" i="46"/>
  <c r="AT272" i="46"/>
  <c r="AT270" i="46" s="1"/>
  <c r="AW272" i="46"/>
  <c r="AZ272" i="46"/>
  <c r="BC272" i="46"/>
  <c r="BF272" i="46"/>
  <c r="BI272" i="46"/>
  <c r="AH272" i="46"/>
  <c r="AK272" i="46"/>
  <c r="AN272" i="46"/>
  <c r="AQ272" i="46"/>
  <c r="Q3" i="6"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E19" i="48" l="1"/>
  <c r="F19" i="48" s="1" a="1"/>
  <c r="F19" i="48" s="1"/>
  <c r="IV270" i="46"/>
  <c r="IS270" i="46"/>
  <c r="KX270" i="46"/>
  <c r="JW270" i="46"/>
  <c r="IM270" i="46"/>
  <c r="JH270" i="46"/>
  <c r="KO270" i="46"/>
  <c r="KI270" i="46"/>
  <c r="JZ270" i="46"/>
  <c r="KF270" i="46"/>
  <c r="KC270" i="46"/>
  <c r="JE270" i="46"/>
  <c r="JN270" i="46"/>
  <c r="JB270" i="46"/>
  <c r="KU270" i="46"/>
  <c r="IJ270" i="46"/>
  <c r="KL270" i="46"/>
  <c r="JQ270" i="46"/>
  <c r="JK270" i="46"/>
  <c r="LD270" i="46"/>
  <c r="FP270" i="46"/>
  <c r="FM270" i="46"/>
  <c r="HI270" i="46"/>
  <c r="GN270" i="46"/>
  <c r="HO270" i="46"/>
  <c r="GW270" i="46"/>
  <c r="HC270" i="46"/>
  <c r="GT270" i="46"/>
  <c r="HU270" i="46"/>
  <c r="GH270" i="46"/>
  <c r="IG270" i="46"/>
  <c r="GK270" i="46"/>
  <c r="GQ270" i="46"/>
  <c r="FY270" i="46"/>
  <c r="HL270" i="46"/>
  <c r="GE270" i="46"/>
  <c r="IA270" i="46"/>
  <c r="FV270" i="46"/>
  <c r="HF270" i="46"/>
  <c r="GB270" i="46"/>
  <c r="HX270" i="46"/>
  <c r="CY270" i="46"/>
  <c r="CV270" i="46"/>
  <c r="CP270" i="46"/>
  <c r="EF270" i="46"/>
  <c r="EC270" i="46"/>
  <c r="DZ270" i="46"/>
  <c r="CS270" i="46"/>
  <c r="FJ270" i="46"/>
  <c r="ER270" i="46"/>
  <c r="DN270" i="46"/>
  <c r="EI270" i="46"/>
  <c r="FA270" i="46"/>
  <c r="DT270" i="46"/>
  <c r="DK270" i="46"/>
  <c r="DE270" i="46"/>
  <c r="EU270" i="46"/>
  <c r="FD270" i="46"/>
  <c r="DH270" i="46"/>
  <c r="EL270" i="46"/>
  <c r="FG270" i="46"/>
  <c r="EO270" i="46"/>
  <c r="CJ270" i="46"/>
  <c r="CG270" i="46"/>
  <c r="CD270" i="46"/>
  <c r="CM270" i="46"/>
  <c r="BU270" i="46"/>
  <c r="BO270" i="46"/>
  <c r="BL270" i="46"/>
  <c r="BR270" i="46"/>
  <c r="BI270" i="46"/>
  <c r="BF270" i="46"/>
  <c r="BC270" i="46"/>
  <c r="AZ270" i="46"/>
  <c r="AW270" i="46"/>
  <c r="AQ270" i="46"/>
  <c r="AN270" i="46"/>
  <c r="AK270" i="46"/>
  <c r="AH270" i="46"/>
  <c r="BU39" i="3"/>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E20" i="48" l="1"/>
  <c r="F20" i="48" s="1" a="1"/>
  <c r="F20" i="48" s="1"/>
  <c r="BX23" i="3"/>
  <c r="BX39" i="3"/>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1" i="48" l="1"/>
  <c r="F21" i="48" s="1" a="1"/>
  <c r="F21" i="48" s="1"/>
  <c r="BY52" i="3"/>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E22" i="48" l="1"/>
  <c r="F22" i="48" s="1" a="1"/>
  <c r="F22" i="48" s="1"/>
  <c r="BZ34" i="3"/>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3" i="48" l="1"/>
  <c r="F23" i="48" s="1" a="1"/>
  <c r="F23" i="48" s="1"/>
  <c r="I23" i="3"/>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CA20" i="3" s="1"/>
  <c r="H22" i="3"/>
  <c r="H46" i="3"/>
  <c r="H77" i="3"/>
  <c r="H15" i="3"/>
  <c r="I4" i="3"/>
  <c r="CA6" i="3" s="1"/>
  <c r="I15" i="3"/>
  <c r="I95" i="3"/>
  <c r="I92" i="3"/>
  <c r="I62" i="3"/>
  <c r="CA34" i="3" s="1"/>
  <c r="I64" i="3"/>
  <c r="I63" i="3"/>
  <c r="CB37" i="3" s="1"/>
  <c r="I52" i="3"/>
  <c r="H57" i="3"/>
  <c r="I53" i="3"/>
  <c r="H38" i="3"/>
  <c r="I32" i="3"/>
  <c r="H56" i="3"/>
  <c r="I22" i="3"/>
  <c r="I41" i="3"/>
  <c r="I78" i="3"/>
  <c r="H40" i="3"/>
  <c r="I39" i="3"/>
  <c r="H33" i="3"/>
  <c r="H12" i="3"/>
  <c r="H70" i="3"/>
  <c r="H79" i="3"/>
  <c r="CB43" i="3" s="1"/>
  <c r="I24" i="3"/>
  <c r="H20" i="3"/>
  <c r="I56" i="3"/>
  <c r="H28" i="3"/>
  <c r="CA19" i="3" s="1"/>
  <c r="I93" i="3"/>
  <c r="CA52" i="3" s="1"/>
  <c r="H52" i="3"/>
  <c r="I28" i="3"/>
  <c r="CA18" i="3" s="1"/>
  <c r="H54" i="3"/>
  <c r="I40" i="3"/>
  <c r="CB23" i="3" s="1"/>
  <c r="I71" i="3"/>
  <c r="I76" i="3"/>
  <c r="H96" i="3"/>
  <c r="I68" i="3"/>
  <c r="H80" i="3"/>
  <c r="CA44" i="3" s="1"/>
  <c r="H5" i="3"/>
  <c r="I49" i="3"/>
  <c r="H85" i="3"/>
  <c r="I70" i="3"/>
  <c r="I8" i="3"/>
  <c r="I46" i="3"/>
  <c r="CB26" i="3" s="1"/>
  <c r="I37" i="3"/>
  <c r="I86" i="3"/>
  <c r="CB46" i="3" s="1"/>
  <c r="H69" i="3"/>
  <c r="H7" i="3"/>
  <c r="H41" i="3"/>
  <c r="I9" i="3"/>
  <c r="H71" i="3"/>
  <c r="I13" i="3"/>
  <c r="I38" i="3"/>
  <c r="I47" i="3"/>
  <c r="H14" i="3"/>
  <c r="H53" i="3"/>
  <c r="CB33" i="3" s="1"/>
  <c r="H48" i="3"/>
  <c r="H17" i="3"/>
  <c r="Q9" i="6" a="1"/>
  <c r="Q9" i="6" s="1"/>
  <c r="G19" i="46"/>
  <c r="I97" i="3"/>
  <c r="CB51" i="3" s="1"/>
  <c r="H68" i="3"/>
  <c r="I20" i="3"/>
  <c r="I96" i="3"/>
  <c r="CB53" i="3" s="1"/>
  <c r="H29" i="3"/>
  <c r="H93" i="3"/>
  <c r="H6" i="3"/>
  <c r="H9" i="3"/>
  <c r="I5" i="3"/>
  <c r="I69" i="3"/>
  <c r="CA16" i="3"/>
  <c r="CB16" i="3"/>
  <c r="CA47" i="3"/>
  <c r="CB47" i="3"/>
  <c r="CA45" i="3"/>
  <c r="CB44" i="3"/>
  <c r="CB45" i="3"/>
  <c r="CB27" i="3"/>
  <c r="CB36" i="3"/>
  <c r="CA36" i="3"/>
  <c r="CA27" i="3"/>
  <c r="CB20" i="3" l="1"/>
  <c r="CA12" i="3"/>
  <c r="CB18" i="3"/>
  <c r="E24" i="48"/>
  <c r="F24" i="48" s="1" a="1"/>
  <c r="F24" i="48" s="1"/>
  <c r="CA53" i="3"/>
  <c r="CC53" i="3" s="1"/>
  <c r="CA46" i="3"/>
  <c r="CC46" i="3" s="1"/>
  <c r="CA50" i="3"/>
  <c r="CA31" i="3"/>
  <c r="CB49" i="3"/>
  <c r="CA11" i="3"/>
  <c r="CA43" i="3"/>
  <c r="CC43" i="3" s="1"/>
  <c r="CB42" i="3"/>
  <c r="CB12" i="3"/>
  <c r="CA42" i="3"/>
  <c r="CB31" i="3"/>
  <c r="CB9" i="3"/>
  <c r="CA14" i="3"/>
  <c r="CB14" i="3"/>
  <c r="CA15" i="3"/>
  <c r="CB17" i="3"/>
  <c r="CB15" i="3"/>
  <c r="CA17" i="3"/>
  <c r="CB6" i="3"/>
  <c r="CC6" i="3" s="1"/>
  <c r="CB39" i="3"/>
  <c r="CB50" i="3"/>
  <c r="CA48" i="3"/>
  <c r="CC48" i="3" s="1"/>
  <c r="CA49" i="3"/>
  <c r="CB35" i="3"/>
  <c r="CA30" i="3"/>
  <c r="CB11" i="3"/>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20" i="3"/>
  <c r="CC16" i="3"/>
  <c r="CC47" i="3"/>
  <c r="CC45" i="3"/>
  <c r="CC27" i="3"/>
  <c r="CC36" i="3"/>
  <c r="CC12" i="3" l="1"/>
  <c r="CC50" i="3"/>
  <c r="E25" i="48"/>
  <c r="F25" i="48" s="1" a="1"/>
  <c r="F25" i="48" s="1"/>
  <c r="CC31" i="3"/>
  <c r="CC49" i="3"/>
  <c r="CC11" i="3"/>
  <c r="CC42" i="3"/>
  <c r="CC9"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E26" i="48" l="1"/>
  <c r="F26" i="48" s="1" a="1"/>
  <c r="F26" i="48" s="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64" i="6" a="1"/>
  <c r="Q64" i="6" s="1"/>
  <c r="Q48" i="6" a="1"/>
  <c r="Q48" i="6" s="1"/>
  <c r="Q42" i="6" a="1"/>
  <c r="Q42" i="6" s="1"/>
  <c r="Q52" i="6" a="1"/>
  <c r="Q52" i="6" s="1"/>
  <c r="Q62" i="6" a="1"/>
  <c r="Q62" i="6" s="1"/>
  <c r="Q41" i="6" a="1"/>
  <c r="Q41" i="6" s="1"/>
  <c r="Q61" i="6" a="1"/>
  <c r="Q61" i="6"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E27" i="48" l="1"/>
  <c r="F27" i="48" s="1" a="1"/>
  <c r="F27" i="48" s="1"/>
  <c r="R40" i="6"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E28" i="48" l="1"/>
  <c r="F28" i="48" s="1" a="1"/>
  <c r="F28" i="48" s="1"/>
  <c r="K96" i="3"/>
  <c r="K60" i="3"/>
  <c r="K41" i="3"/>
  <c r="K39" i="3"/>
  <c r="K62" i="3"/>
  <c r="K89" i="3"/>
  <c r="K95" i="3"/>
  <c r="L84" i="3"/>
  <c r="K78" i="3"/>
  <c r="K76" i="3"/>
  <c r="L95" i="3"/>
  <c r="L92" i="3"/>
  <c r="CF50" i="3" s="1"/>
  <c r="K29" i="3"/>
  <c r="K94" i="3"/>
  <c r="CF52" i="3" s="1"/>
  <c r="L80" i="3"/>
  <c r="CF43" i="3" s="1"/>
  <c r="L78" i="3"/>
  <c r="CF42" i="3" s="1"/>
  <c r="L24" i="3"/>
  <c r="K80" i="3"/>
  <c r="L76" i="3"/>
  <c r="L88" i="3"/>
  <c r="K20" i="3"/>
  <c r="L40" i="3"/>
  <c r="K37" i="3"/>
  <c r="K48" i="3"/>
  <c r="L96" i="3"/>
  <c r="L30" i="3"/>
  <c r="K57" i="3"/>
  <c r="K5" i="3"/>
  <c r="K12" i="3"/>
  <c r="L16" i="3"/>
  <c r="CF13" i="3" s="1"/>
  <c r="K86" i="3"/>
  <c r="L17" i="3"/>
  <c r="L94" i="3"/>
  <c r="K93" i="3"/>
  <c r="CF53" i="3" s="1"/>
  <c r="K54" i="3"/>
  <c r="CF32" i="3" s="1"/>
  <c r="L57" i="3"/>
  <c r="K71" i="3"/>
  <c r="K72" i="3"/>
  <c r="L12" i="3"/>
  <c r="L49" i="3"/>
  <c r="K55" i="3"/>
  <c r="K81" i="3"/>
  <c r="K17" i="3"/>
  <c r="K85" i="3"/>
  <c r="L7" i="3"/>
  <c r="L77" i="3"/>
  <c r="L15" i="3"/>
  <c r="K47" i="3"/>
  <c r="CF27" i="3" s="1"/>
  <c r="L86" i="3"/>
  <c r="CF46" i="3" s="1"/>
  <c r="K65" i="3"/>
  <c r="K63" i="3"/>
  <c r="L45" i="3"/>
  <c r="K22" i="3"/>
  <c r="L60" i="3"/>
  <c r="K46" i="3"/>
  <c r="L23" i="3"/>
  <c r="CF14" i="3" s="1"/>
  <c r="L25" i="3"/>
  <c r="K24" i="3"/>
  <c r="L46" i="3"/>
  <c r="L48" i="3"/>
  <c r="K38" i="3"/>
  <c r="K69" i="3"/>
  <c r="L41" i="3"/>
  <c r="L70" i="3"/>
  <c r="K68" i="3"/>
  <c r="K56" i="3"/>
  <c r="L20" i="3"/>
  <c r="L32" i="3"/>
  <c r="L22" i="3"/>
  <c r="K8" i="3"/>
  <c r="K28" i="3"/>
  <c r="CF19" i="3" s="1"/>
  <c r="L28" i="3"/>
  <c r="CF18" i="3" s="1"/>
  <c r="L55" i="3"/>
  <c r="K33" i="3"/>
  <c r="K32" i="3"/>
  <c r="L72" i="3"/>
  <c r="K6" i="3"/>
  <c r="CF7" i="3" s="1"/>
  <c r="L13" i="3"/>
  <c r="CF12" i="3" s="1"/>
  <c r="K40" i="3"/>
  <c r="L8" i="3"/>
  <c r="K16" i="3"/>
  <c r="K7" i="3"/>
  <c r="K64" i="3"/>
  <c r="CF36" i="3" s="1"/>
  <c r="L39" i="3"/>
  <c r="L29" i="3"/>
  <c r="L71" i="3"/>
  <c r="K73" i="3"/>
  <c r="CF40" i="3" s="1"/>
  <c r="L6" i="3"/>
  <c r="CF31" i="3" s="1"/>
  <c r="K53" i="3"/>
  <c r="L4" i="3"/>
  <c r="L64" i="3"/>
  <c r="CF35" i="3" s="1"/>
  <c r="L54" i="3"/>
  <c r="CF30" i="3" s="1"/>
  <c r="K88" i="3"/>
  <c r="K87" i="3"/>
  <c r="CF47" i="3" s="1"/>
  <c r="K61" i="3"/>
  <c r="CF37" i="3" s="1"/>
  <c r="L47" i="3"/>
  <c r="CF29" i="3" s="1"/>
  <c r="CF49" i="3"/>
  <c r="CF33" i="3"/>
  <c r="CF45" i="3"/>
  <c r="CF16" i="3"/>
  <c r="E9" i="51"/>
  <c r="CF22" i="3"/>
  <c r="CF51" i="3"/>
  <c r="CF8" i="3"/>
  <c r="CF26" i="3"/>
  <c r="CF25" i="3"/>
  <c r="B46" i="51"/>
  <c r="B47" i="51" s="1"/>
  <c r="E10" i="51"/>
  <c r="E12" i="51"/>
  <c r="E11" i="51"/>
  <c r="CF21" i="3" l="1"/>
  <c r="CF11" i="3"/>
  <c r="E29" i="48"/>
  <c r="F29" i="48" s="1" a="1"/>
  <c r="F29" i="48" s="1"/>
  <c r="CF34" i="3"/>
  <c r="CF23" i="3"/>
  <c r="CF24" i="3"/>
  <c r="CF17" i="3"/>
  <c r="CF44" i="3"/>
  <c r="CF20" i="3"/>
  <c r="CF38" i="3"/>
  <c r="CF28" i="3"/>
  <c r="CF6" i="3"/>
  <c r="CF10" i="3"/>
  <c r="CF48" i="3"/>
  <c r="CF15" i="3"/>
  <c r="CF39" i="3"/>
  <c r="CF9" i="3"/>
  <c r="CF41" i="3"/>
  <c r="F12" i="51"/>
  <c r="F10" i="51"/>
  <c r="F11" i="51" s="1"/>
  <c r="F9" i="51"/>
  <c r="F8" i="51"/>
  <c r="E30" i="48" l="1"/>
  <c r="F30" i="48" s="1" a="1"/>
  <c r="F30" i="48" s="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E31" i="48" l="1"/>
  <c r="F31" i="48" s="1" a="1"/>
  <c r="F31" i="48" s="1"/>
  <c r="CH48" i="3"/>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E32" i="48" l="1"/>
  <c r="F32" i="48" s="1" a="1"/>
  <c r="F32" i="48" s="1"/>
  <c r="O88" i="3"/>
  <c r="O93" i="3"/>
  <c r="O78" i="3"/>
  <c r="O53" i="3"/>
  <c r="N96" i="3"/>
  <c r="O80" i="3"/>
  <c r="N47" i="3"/>
  <c r="O22" i="3"/>
  <c r="CJ17" i="3" s="1"/>
  <c r="N84" i="3"/>
  <c r="O97" i="3"/>
  <c r="O16" i="3"/>
  <c r="N15" i="3"/>
  <c r="O15" i="3"/>
  <c r="O61" i="3"/>
  <c r="CJ37" i="3"/>
  <c r="N13" i="3"/>
  <c r="N65" i="3"/>
  <c r="O69" i="3"/>
  <c r="O62" i="3"/>
  <c r="N55" i="3"/>
  <c r="O20" i="3"/>
  <c r="CI14" i="3" s="1"/>
  <c r="O64" i="3"/>
  <c r="N5" i="3"/>
  <c r="CK9" i="3" s="1"/>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CI8" i="3" s="1"/>
  <c r="O70" i="3"/>
  <c r="CJ38" i="3" s="1"/>
  <c r="N39" i="3"/>
  <c r="O40" i="3"/>
  <c r="O13" i="3"/>
  <c r="N22" i="3"/>
  <c r="N89" i="3"/>
  <c r="O4" i="3"/>
  <c r="CI6" i="3" s="1"/>
  <c r="N62" i="3"/>
  <c r="O92" i="3"/>
  <c r="N60" i="3"/>
  <c r="O41" i="3"/>
  <c r="N36" i="3"/>
  <c r="N4" i="3"/>
  <c r="CK7" i="3" s="1"/>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J48" i="3"/>
  <c r="CI50" i="3"/>
  <c r="CI39" i="3"/>
  <c r="CI37" i="3"/>
  <c r="CI42" i="3"/>
  <c r="CI30" i="3"/>
  <c r="CJ35" i="3"/>
  <c r="CK11" i="3"/>
  <c r="CI52" i="3"/>
  <c r="CK34" i="3"/>
  <c r="CK32" i="3"/>
  <c r="CI48" i="3"/>
  <c r="CI13" i="3"/>
  <c r="CK21" i="3"/>
  <c r="CJ6" i="3"/>
  <c r="CJ24" i="3"/>
  <c r="CJ8" i="3"/>
  <c r="CJ39" i="3"/>
  <c r="CJ23" i="3"/>
  <c r="CJ25" i="3"/>
  <c r="CJ36" i="3"/>
  <c r="CJ34" i="3"/>
  <c r="CJ27" i="3"/>
  <c r="CJ26" i="3"/>
  <c r="CJ41" i="3"/>
  <c r="CJ15" i="3" l="1"/>
  <c r="CL15" i="3" s="1"/>
  <c r="E33" i="48"/>
  <c r="F33" i="48" s="1" a="1"/>
  <c r="F33" i="48" s="1"/>
  <c r="CJ7" i="3"/>
  <c r="CL7" i="3" s="1"/>
  <c r="CL32" i="3"/>
  <c r="CL42" i="3"/>
  <c r="CL41" i="3"/>
  <c r="CL53" i="3"/>
  <c r="CJ14" i="3"/>
  <c r="CL14" i="3" s="1"/>
  <c r="CL30" i="3"/>
  <c r="CL28" i="3"/>
  <c r="CL13" i="3"/>
  <c r="CL11" i="3"/>
  <c r="CL35" i="3"/>
  <c r="CL19" i="3"/>
  <c r="CJ40" i="3"/>
  <c r="CL40" i="3" s="1"/>
  <c r="CL9" i="3"/>
  <c r="CL50" i="3"/>
  <c r="CL48" i="3"/>
  <c r="CL49" i="3"/>
  <c r="CL37" i="3"/>
  <c r="CL29" i="3"/>
  <c r="CL23" i="3"/>
  <c r="CL25" i="3"/>
  <c r="CL12" i="3"/>
  <c r="CL10" i="3"/>
  <c r="CL6" i="3"/>
  <c r="CL8" i="3"/>
  <c r="CL24" i="3"/>
  <c r="CL45" i="3"/>
  <c r="CL43" i="3"/>
  <c r="CL38" i="3"/>
  <c r="CL22" i="3"/>
  <c r="CL27" i="3"/>
  <c r="CL26" i="3"/>
  <c r="CL52" i="3"/>
  <c r="CL51" i="3"/>
  <c r="CL34" i="3"/>
  <c r="CL36" i="3"/>
  <c r="CL39" i="3"/>
  <c r="CL46" i="3"/>
  <c r="CL31" i="3"/>
  <c r="CL33" i="3"/>
  <c r="CL16" i="3"/>
  <c r="CL17" i="3"/>
  <c r="CL44" i="3"/>
  <c r="CL18" i="3"/>
  <c r="CL21" i="3"/>
  <c r="CL20" i="3"/>
  <c r="CL47" i="3"/>
  <c r="E34" i="48" l="1"/>
  <c r="F34" i="48" s="1" a="1"/>
  <c r="F34" i="48" s="1"/>
  <c r="CM36" i="3"/>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E35" i="48" l="1"/>
  <c r="F35" i="48" s="1" a="1"/>
  <c r="F35" i="48" s="1"/>
  <c r="CN16" i="3"/>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E36" i="48" l="1"/>
  <c r="F36" i="48" s="1" a="1"/>
  <c r="F36" i="48" s="1"/>
  <c r="R85" i="3"/>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O9" i="3" l="1"/>
  <c r="E37" i="48"/>
  <c r="F37" i="48" s="1" a="1"/>
  <c r="F37" i="48" s="1"/>
  <c r="CP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E38" i="48"/>
  <c r="F38" i="48" s="1" a="1"/>
  <c r="F38" i="48" s="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E39" i="48" l="1"/>
  <c r="F39" i="48" s="1" a="1"/>
  <c r="F39" i="48" s="1"/>
  <c r="CR12" i="3"/>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E40" i="48" l="1"/>
  <c r="F40" i="48" s="1" a="1"/>
  <c r="F40" i="48" s="1"/>
  <c r="CS14" i="3"/>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E41" i="48" l="1"/>
  <c r="F41" i="48" s="1" a="1"/>
  <c r="F41" i="48" s="1"/>
  <c r="T71" i="3"/>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E42" i="48" l="1"/>
  <c r="F42" i="48" s="1" a="1"/>
  <c r="F42" i="48" s="1"/>
  <c r="CT11" i="3"/>
  <c r="CT51" i="3"/>
  <c r="CT16" i="3"/>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E43" i="48" l="1"/>
  <c r="F43" i="48" s="1" a="1"/>
  <c r="F43" i="48" s="1"/>
  <c r="CU43" i="3"/>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E44" i="48" l="1"/>
  <c r="F44" i="48" s="1" a="1"/>
  <c r="F44" i="48" s="1"/>
  <c r="CV33" i="3"/>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E45" i="48" l="1"/>
  <c r="F45" i="48" s="1" a="1"/>
  <c r="F45" i="48" s="1"/>
  <c r="CX41" i="3"/>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E46" i="48" l="1"/>
  <c r="F46" i="48" s="1" a="1"/>
  <c r="F46" i="48" s="1"/>
  <c r="CY31" i="3"/>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E47" i="48" l="1"/>
  <c r="F47" i="48" s="1" a="1"/>
  <c r="F47" i="48" s="1"/>
  <c r="CZ11" i="3"/>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E48" i="48" l="1"/>
  <c r="F48" i="48" s="1" a="1"/>
  <c r="F48" i="48" s="1"/>
  <c r="DA34" i="3"/>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E49" i="48" l="1"/>
  <c r="F49" i="48" s="1" a="1"/>
  <c r="F49" i="48" s="1"/>
  <c r="DB37" i="3"/>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E50" i="48" l="1"/>
  <c r="F50" i="48" s="1" a="1"/>
  <c r="F50" i="48" s="1"/>
  <c r="DC53" i="3"/>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E51" i="48" l="1"/>
  <c r="F51" i="48" s="1" a="1"/>
  <c r="F51" i="48" s="1"/>
  <c r="DD50" i="3"/>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E52" i="48" l="1"/>
  <c r="F52" i="48" s="1" a="1"/>
  <c r="F52" i="48" s="1"/>
  <c r="DQ6" i="3"/>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E53" i="48" l="1"/>
  <c r="F53" i="48" s="1" a="1"/>
  <c r="F53" i="48" s="1"/>
  <c r="DL20" i="3"/>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E54" i="48" l="1"/>
  <c r="F54" i="48" s="1" a="1"/>
  <c r="F54" i="48" s="1"/>
  <c r="DN45" i="3"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E55" i="48" l="1"/>
  <c r="F55" i="48" s="1" a="1"/>
  <c r="F55" i="48" s="1"/>
  <c r="DF40" i="3"/>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E56" i="48" l="1"/>
  <c r="F56" i="48" s="1" a="1"/>
  <c r="F56" i="48" s="1"/>
  <c r="DG26" i="3"/>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E57" i="48" l="1"/>
  <c r="F57" i="48" s="1" a="1"/>
  <c r="F57" i="48" s="1"/>
  <c r="DH25" i="3"/>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E58" i="48" l="1"/>
  <c r="F58" i="48" s="1" a="1"/>
  <c r="F58" i="48" s="1"/>
  <c r="AL48" i="3"/>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E59" i="48" l="1"/>
  <c r="F59" i="48" s="1" a="1"/>
  <c r="F59" i="48" s="1"/>
  <c r="BG59" i="3"/>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E60" i="48" l="1"/>
  <c r="F60" i="48" s="1" a="1"/>
  <c r="F60" i="48" s="1"/>
  <c r="W20" i="45"/>
  <c r="W22" i="45"/>
  <c r="BF66" i="3"/>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T116" i="46" l="1"/>
  <c r="AC116" i="46"/>
  <c r="Z116" i="46"/>
  <c r="W116" i="46"/>
  <c r="T122" i="46"/>
  <c r="AC122" i="46"/>
  <c r="Z122" i="46"/>
  <c r="W122" i="46"/>
  <c r="T110" i="46"/>
  <c r="AC110" i="46"/>
  <c r="Z110" i="46"/>
  <c r="W110" i="46"/>
  <c r="T109" i="46"/>
  <c r="Z109" i="46"/>
  <c r="W109" i="46"/>
  <c r="AC109" i="46"/>
  <c r="T121" i="46"/>
  <c r="W121" i="46"/>
  <c r="AC121" i="46"/>
  <c r="Z121" i="46"/>
  <c r="T114" i="46"/>
  <c r="Z114" i="46"/>
  <c r="AC114" i="46"/>
  <c r="W114" i="46"/>
  <c r="T82" i="46"/>
  <c r="Z82" i="46"/>
  <c r="AC82" i="46"/>
  <c r="W82" i="46"/>
  <c r="T108" i="46"/>
  <c r="AC108" i="46"/>
  <c r="Z108" i="46"/>
  <c r="W108" i="46"/>
  <c r="T120" i="46"/>
  <c r="AC120" i="46"/>
  <c r="Z120" i="46"/>
  <c r="W120" i="46"/>
  <c r="T105" i="46"/>
  <c r="W105" i="46"/>
  <c r="AC105" i="46"/>
  <c r="Z105" i="46"/>
  <c r="T89" i="46"/>
  <c r="AC89" i="46"/>
  <c r="Z89" i="46"/>
  <c r="W89" i="46"/>
  <c r="T107" i="46"/>
  <c r="AC107" i="46"/>
  <c r="Z107" i="46"/>
  <c r="W107" i="46"/>
  <c r="T98" i="46"/>
  <c r="Z98" i="46"/>
  <c r="W98" i="46"/>
  <c r="AC98" i="46"/>
  <c r="T91" i="46"/>
  <c r="AC91" i="46"/>
  <c r="Z91" i="46"/>
  <c r="W91" i="46"/>
  <c r="T90" i="46"/>
  <c r="AC90" i="46"/>
  <c r="Z90" i="46"/>
  <c r="W90" i="46"/>
  <c r="T106" i="46"/>
  <c r="W106" i="46"/>
  <c r="AC106" i="46"/>
  <c r="Z106" i="46"/>
  <c r="T99" i="46"/>
  <c r="Z99" i="46"/>
  <c r="W99" i="46"/>
  <c r="AC99" i="46"/>
  <c r="T86" i="46"/>
  <c r="W86" i="46"/>
  <c r="AC86" i="46"/>
  <c r="Z86" i="46"/>
  <c r="T113" i="46"/>
  <c r="AC113" i="46"/>
  <c r="Z113" i="46"/>
  <c r="W113" i="46"/>
  <c r="T104" i="46"/>
  <c r="AC104" i="46"/>
  <c r="W104" i="46"/>
  <c r="Z104" i="46"/>
  <c r="T88" i="46"/>
  <c r="AC88" i="46"/>
  <c r="Z88" i="46"/>
  <c r="W88" i="46"/>
  <c r="T97" i="46"/>
  <c r="Z97" i="46"/>
  <c r="AC97" i="46"/>
  <c r="W97" i="46"/>
  <c r="T85" i="46"/>
  <c r="W85" i="46"/>
  <c r="AC85" i="46"/>
  <c r="Z85" i="46"/>
  <c r="T126" i="46"/>
  <c r="W126" i="46"/>
  <c r="AC126" i="46"/>
  <c r="Z126" i="46"/>
  <c r="T96" i="46"/>
  <c r="W96" i="46"/>
  <c r="AC96" i="46"/>
  <c r="Z96" i="46"/>
  <c r="T83" i="46"/>
  <c r="AC83" i="46"/>
  <c r="Z83" i="46"/>
  <c r="W83" i="46"/>
  <c r="T115" i="46"/>
  <c r="AC115" i="46"/>
  <c r="Z115" i="46"/>
  <c r="W115" i="46"/>
  <c r="T125" i="46"/>
  <c r="W125" i="46"/>
  <c r="AC125" i="46"/>
  <c r="Z125" i="46"/>
  <c r="T94" i="46"/>
  <c r="Z94" i="46"/>
  <c r="W94" i="46"/>
  <c r="AC94" i="46"/>
  <c r="T119" i="46"/>
  <c r="Z119" i="46"/>
  <c r="W119" i="46"/>
  <c r="AC119" i="46"/>
  <c r="T112" i="46"/>
  <c r="Z112" i="46"/>
  <c r="AC112" i="46"/>
  <c r="W112" i="46"/>
  <c r="T87" i="46"/>
  <c r="Z87" i="46"/>
  <c r="W87" i="46"/>
  <c r="AC87" i="46"/>
  <c r="T103" i="46"/>
  <c r="AC103" i="46"/>
  <c r="Z103" i="46"/>
  <c r="W103" i="46"/>
  <c r="T100" i="46"/>
  <c r="AC100" i="46"/>
  <c r="Z100" i="46"/>
  <c r="W100" i="46"/>
  <c r="T101" i="46"/>
  <c r="W101" i="46"/>
  <c r="AC101" i="46"/>
  <c r="Z101" i="46"/>
  <c r="T92" i="46"/>
  <c r="AC92" i="46"/>
  <c r="Z92" i="46"/>
  <c r="W92" i="46"/>
  <c r="T84" i="46"/>
  <c r="W84" i="46"/>
  <c r="AC84" i="46"/>
  <c r="Z84" i="46"/>
  <c r="T93" i="46"/>
  <c r="AC93" i="46"/>
  <c r="Z93" i="46"/>
  <c r="W93" i="46"/>
  <c r="T117" i="46"/>
  <c r="Z117" i="46"/>
  <c r="AC117" i="46"/>
  <c r="W117" i="46"/>
  <c r="T123" i="46"/>
  <c r="AC123" i="46"/>
  <c r="Z123" i="46"/>
  <c r="W123" i="46"/>
  <c r="T127" i="46"/>
  <c r="Z127" i="46"/>
  <c r="AC127" i="46"/>
  <c r="W127" i="46"/>
  <c r="T102" i="46"/>
  <c r="Z102" i="46"/>
  <c r="AC102" i="46"/>
  <c r="W102" i="46"/>
  <c r="T124" i="46"/>
  <c r="W124" i="46"/>
  <c r="AC124" i="46"/>
  <c r="Z124" i="46"/>
  <c r="T81" i="46"/>
  <c r="W81" i="46"/>
  <c r="AC81" i="46"/>
  <c r="Z81" i="46"/>
  <c r="T95" i="46"/>
  <c r="AC95" i="46"/>
  <c r="Z95" i="46"/>
  <c r="W95" i="46"/>
  <c r="T80" i="46"/>
  <c r="AC80" i="46"/>
  <c r="Z80" i="46"/>
  <c r="W80" i="46"/>
  <c r="T111" i="46"/>
  <c r="AC111" i="46"/>
  <c r="Z111" i="46"/>
  <c r="W111" i="46"/>
  <c r="T118" i="46"/>
  <c r="Z118" i="46"/>
  <c r="W118" i="46"/>
  <c r="AC118" i="46"/>
  <c r="E61" i="48"/>
  <c r="F61" i="48" s="1" a="1"/>
  <c r="F61" i="48" s="1"/>
  <c r="KD94" i="46"/>
  <c r="KY94" i="46"/>
  <c r="IN94" i="46"/>
  <c r="KG94" i="46"/>
  <c r="LE94" i="46"/>
  <c r="IQ94" i="46"/>
  <c r="IK94" i="46"/>
  <c r="LB94" i="46"/>
  <c r="KV94" i="46"/>
  <c r="KS94" i="46"/>
  <c r="KM94" i="46"/>
  <c r="JX94" i="46"/>
  <c r="JU94" i="46"/>
  <c r="JC94" i="46"/>
  <c r="IZ94" i="46"/>
  <c r="KA94" i="46"/>
  <c r="KP94" i="46"/>
  <c r="JR94" i="46"/>
  <c r="IW94" i="46"/>
  <c r="IT94" i="46"/>
  <c r="KJ94" i="46"/>
  <c r="JO94" i="46"/>
  <c r="JL94" i="46"/>
  <c r="JI94" i="46"/>
  <c r="JF94" i="46"/>
  <c r="JF110" i="46"/>
  <c r="IZ110" i="46"/>
  <c r="IW110" i="46"/>
  <c r="JO110" i="46"/>
  <c r="KG110" i="46"/>
  <c r="IK110" i="46"/>
  <c r="JR110" i="46"/>
  <c r="LE110" i="46"/>
  <c r="LB110" i="46"/>
  <c r="KY110" i="46"/>
  <c r="KS110" i="46"/>
  <c r="KJ110" i="46"/>
  <c r="KD110" i="46"/>
  <c r="JC110" i="46"/>
  <c r="IT110" i="46"/>
  <c r="JI110" i="46"/>
  <c r="IQ110" i="46"/>
  <c r="IN110" i="46"/>
  <c r="KV110" i="46"/>
  <c r="KP110" i="46"/>
  <c r="KM110" i="46"/>
  <c r="KA110" i="46"/>
  <c r="JX110" i="46"/>
  <c r="JU110" i="46"/>
  <c r="JL110" i="46"/>
  <c r="KJ115" i="46"/>
  <c r="LB115" i="46"/>
  <c r="IQ115" i="46"/>
  <c r="JF115" i="46"/>
  <c r="JC115" i="46"/>
  <c r="IK115" i="46"/>
  <c r="JO115" i="46"/>
  <c r="JL115" i="46"/>
  <c r="JI115" i="46"/>
  <c r="KM115" i="46"/>
  <c r="KY115" i="46"/>
  <c r="KV115" i="46"/>
  <c r="KS115" i="46"/>
  <c r="KP115" i="46"/>
  <c r="KG115" i="46"/>
  <c r="KA115" i="46"/>
  <c r="JR115" i="46"/>
  <c r="IZ115" i="46"/>
  <c r="LE115" i="46"/>
  <c r="KD115" i="46"/>
  <c r="JX115" i="46"/>
  <c r="JU115" i="46"/>
  <c r="IW115" i="46"/>
  <c r="IT115" i="46"/>
  <c r="IN115" i="46"/>
  <c r="KS85" i="46"/>
  <c r="IK85" i="46"/>
  <c r="KY85" i="46"/>
  <c r="IN85" i="46"/>
  <c r="JI85" i="46"/>
  <c r="JF85" i="46"/>
  <c r="JC85" i="46"/>
  <c r="IZ85" i="46"/>
  <c r="IW85" i="46"/>
  <c r="IT85" i="46"/>
  <c r="LE85" i="46"/>
  <c r="KP85" i="46"/>
  <c r="KM85" i="46"/>
  <c r="JU85" i="46"/>
  <c r="JR85" i="46"/>
  <c r="JX85" i="46"/>
  <c r="JO85" i="46"/>
  <c r="JL85" i="46"/>
  <c r="IQ85" i="46"/>
  <c r="LB85" i="46"/>
  <c r="KV85" i="46"/>
  <c r="KJ85" i="46"/>
  <c r="KG85" i="46"/>
  <c r="KD85" i="46"/>
  <c r="KA85" i="46"/>
  <c r="KP123" i="46"/>
  <c r="KJ123" i="46"/>
  <c r="LB123" i="46"/>
  <c r="IN123" i="46"/>
  <c r="KD123" i="46"/>
  <c r="KA123" i="46"/>
  <c r="JF123" i="46"/>
  <c r="KG123" i="46"/>
  <c r="JX123" i="46"/>
  <c r="KY123" i="46"/>
  <c r="IQ123" i="46"/>
  <c r="LE123" i="46"/>
  <c r="KV123" i="46"/>
  <c r="KM123" i="46"/>
  <c r="JO123" i="46"/>
  <c r="JL123" i="46"/>
  <c r="IK123" i="46"/>
  <c r="IT123" i="46"/>
  <c r="KS123" i="46"/>
  <c r="JU123" i="46"/>
  <c r="JR123" i="46"/>
  <c r="JI123" i="46"/>
  <c r="JC123" i="46"/>
  <c r="IZ123" i="46"/>
  <c r="IW123" i="46"/>
  <c r="JF114" i="46"/>
  <c r="JR114" i="46"/>
  <c r="JO114" i="46"/>
  <c r="IQ114" i="46"/>
  <c r="JU114" i="46"/>
  <c r="JL114" i="46"/>
  <c r="IW114" i="46"/>
  <c r="KG114" i="46"/>
  <c r="KM114" i="46"/>
  <c r="KJ114" i="46"/>
  <c r="KD114" i="46"/>
  <c r="KA114" i="46"/>
  <c r="JX114" i="46"/>
  <c r="JC114" i="46"/>
  <c r="IN114" i="46"/>
  <c r="IK114" i="46"/>
  <c r="KY114" i="46"/>
  <c r="KV114" i="46"/>
  <c r="LB114" i="46"/>
  <c r="KS114" i="46"/>
  <c r="KP114" i="46"/>
  <c r="JI114" i="46"/>
  <c r="IZ114" i="46"/>
  <c r="IT114" i="46"/>
  <c r="LE114" i="46"/>
  <c r="KJ108" i="46"/>
  <c r="JX108" i="46"/>
  <c r="JU108" i="46"/>
  <c r="JR108" i="46"/>
  <c r="KS108" i="46"/>
  <c r="IK108" i="46"/>
  <c r="JF108" i="46"/>
  <c r="KY108" i="46"/>
  <c r="KV108" i="46"/>
  <c r="KP108" i="46"/>
  <c r="KM108" i="46"/>
  <c r="KG108" i="46"/>
  <c r="KA108" i="46"/>
  <c r="JI108" i="46"/>
  <c r="JC108" i="46"/>
  <c r="IN108" i="46"/>
  <c r="LE108" i="46"/>
  <c r="LB108" i="46"/>
  <c r="KD108" i="46"/>
  <c r="JO108" i="46"/>
  <c r="JL108" i="46"/>
  <c r="IZ108" i="46"/>
  <c r="IW108" i="46"/>
  <c r="IT108" i="46"/>
  <c r="IQ108" i="46"/>
  <c r="KA120" i="46"/>
  <c r="JU120" i="46"/>
  <c r="JI120" i="46"/>
  <c r="KV120" i="46"/>
  <c r="KS120" i="46"/>
  <c r="IW120" i="46"/>
  <c r="JX120" i="46"/>
  <c r="JR120" i="46"/>
  <c r="IT120" i="46"/>
  <c r="KG120" i="46"/>
  <c r="IK120" i="46"/>
  <c r="LE120" i="46"/>
  <c r="KP120" i="46"/>
  <c r="KM120" i="46"/>
  <c r="JC120" i="46"/>
  <c r="IZ120" i="46"/>
  <c r="JF120" i="46"/>
  <c r="IQ120" i="46"/>
  <c r="IN120" i="46"/>
  <c r="LB120" i="46"/>
  <c r="KY120" i="46"/>
  <c r="KJ120" i="46"/>
  <c r="KD120" i="46"/>
  <c r="JO120" i="46"/>
  <c r="JL120" i="46"/>
  <c r="KJ112" i="46"/>
  <c r="KP112" i="46"/>
  <c r="KM112" i="46"/>
  <c r="JC112" i="46"/>
  <c r="JU112" i="46"/>
  <c r="IT112" i="46"/>
  <c r="JR112" i="46"/>
  <c r="JI112" i="46"/>
  <c r="JF112" i="46"/>
  <c r="IZ112" i="46"/>
  <c r="IW112" i="46"/>
  <c r="IQ112" i="46"/>
  <c r="IK112" i="46"/>
  <c r="LE112" i="46"/>
  <c r="LB112" i="46"/>
  <c r="KA112" i="46"/>
  <c r="JX112" i="46"/>
  <c r="KD112" i="46"/>
  <c r="JO112" i="46"/>
  <c r="JL112" i="46"/>
  <c r="IN112" i="46"/>
  <c r="KY112" i="46"/>
  <c r="KV112" i="46"/>
  <c r="KS112" i="46"/>
  <c r="KG112" i="46"/>
  <c r="LE122" i="46"/>
  <c r="IW122" i="46"/>
  <c r="KY122" i="46"/>
  <c r="IQ122" i="46"/>
  <c r="IT122" i="46"/>
  <c r="KJ122" i="46"/>
  <c r="KG122" i="46"/>
  <c r="JF122" i="46"/>
  <c r="KA122" i="46"/>
  <c r="JX122" i="46"/>
  <c r="KD122" i="46"/>
  <c r="KP122" i="46"/>
  <c r="KM122" i="46"/>
  <c r="JU122" i="46"/>
  <c r="JR122" i="46"/>
  <c r="JO122" i="46"/>
  <c r="JI122" i="46"/>
  <c r="IN122" i="46"/>
  <c r="IK122" i="46"/>
  <c r="LB122" i="46"/>
  <c r="KV122" i="46"/>
  <c r="KS122" i="46"/>
  <c r="JL122" i="46"/>
  <c r="JC122" i="46"/>
  <c r="IZ122" i="46"/>
  <c r="JL121" i="46"/>
  <c r="JF121" i="46"/>
  <c r="IZ121" i="46"/>
  <c r="KP121" i="46"/>
  <c r="KM121" i="46"/>
  <c r="IW121" i="46"/>
  <c r="KA121" i="46"/>
  <c r="JX121" i="46"/>
  <c r="JO121" i="46"/>
  <c r="KV121" i="46"/>
  <c r="JI121" i="46"/>
  <c r="JC121" i="46"/>
  <c r="IT121" i="46"/>
  <c r="IQ121" i="46"/>
  <c r="IN121" i="46"/>
  <c r="KG121" i="46"/>
  <c r="KD121" i="46"/>
  <c r="JU121" i="46"/>
  <c r="LE121" i="46"/>
  <c r="JR121" i="46"/>
  <c r="LB121" i="46"/>
  <c r="KY121" i="46"/>
  <c r="KS121" i="46"/>
  <c r="KJ121" i="46"/>
  <c r="IK121" i="46"/>
  <c r="JU113" i="46"/>
  <c r="KD113" i="46"/>
  <c r="KA113" i="46"/>
  <c r="IW113" i="46"/>
  <c r="JO113" i="46"/>
  <c r="IT113" i="46"/>
  <c r="JX113" i="46"/>
  <c r="JR113" i="46"/>
  <c r="JL113" i="46"/>
  <c r="JI113" i="46"/>
  <c r="JF113" i="46"/>
  <c r="JC113" i="46"/>
  <c r="IQ113" i="46"/>
  <c r="KP113" i="46"/>
  <c r="KM113" i="46"/>
  <c r="LE113" i="46"/>
  <c r="KJ113" i="46"/>
  <c r="KG113" i="46"/>
  <c r="LB113" i="46"/>
  <c r="KY113" i="46"/>
  <c r="KV113" i="46"/>
  <c r="KS113" i="46"/>
  <c r="IZ113" i="46"/>
  <c r="IN113" i="46"/>
  <c r="IK113" i="46"/>
  <c r="JU105" i="46"/>
  <c r="IW105" i="46"/>
  <c r="LE105" i="46"/>
  <c r="IT105" i="46"/>
  <c r="KJ105" i="46"/>
  <c r="IK105" i="46"/>
  <c r="JL105" i="46"/>
  <c r="KA105" i="46"/>
  <c r="JX105" i="46"/>
  <c r="JR105" i="46"/>
  <c r="JO105" i="46"/>
  <c r="JI105" i="46"/>
  <c r="JC105" i="46"/>
  <c r="IN105" i="46"/>
  <c r="KP105" i="46"/>
  <c r="KM105" i="46"/>
  <c r="KS105" i="46"/>
  <c r="KG105" i="46"/>
  <c r="KD105" i="46"/>
  <c r="JF105" i="46"/>
  <c r="IZ105" i="46"/>
  <c r="IQ105" i="46"/>
  <c r="LB105" i="46"/>
  <c r="KY105" i="46"/>
  <c r="KV105" i="46"/>
  <c r="JO87" i="46"/>
  <c r="KA87" i="46"/>
  <c r="KV87" i="46"/>
  <c r="IK87" i="46"/>
  <c r="IW87" i="46"/>
  <c r="IT87" i="46"/>
  <c r="IQ87" i="46"/>
  <c r="LE87" i="46"/>
  <c r="IN87" i="46"/>
  <c r="LB87" i="46"/>
  <c r="KS87" i="46"/>
  <c r="KJ87" i="46"/>
  <c r="KG87" i="46"/>
  <c r="JI87" i="46"/>
  <c r="JF87" i="46"/>
  <c r="JL87" i="46"/>
  <c r="JC87" i="46"/>
  <c r="IZ87" i="46"/>
  <c r="KY87" i="46"/>
  <c r="KP87" i="46"/>
  <c r="KM87" i="46"/>
  <c r="KD87" i="46"/>
  <c r="JX87" i="46"/>
  <c r="JU87" i="46"/>
  <c r="JR87" i="46"/>
  <c r="KJ104" i="46"/>
  <c r="JI104" i="46"/>
  <c r="JF104" i="46"/>
  <c r="KP104" i="46"/>
  <c r="IN104" i="46"/>
  <c r="JO104" i="46"/>
  <c r="JU104" i="46"/>
  <c r="JR104" i="46"/>
  <c r="JL104" i="46"/>
  <c r="JC104" i="46"/>
  <c r="IZ104" i="46"/>
  <c r="IT104" i="46"/>
  <c r="LE104" i="46"/>
  <c r="KG104" i="46"/>
  <c r="KD104" i="46"/>
  <c r="LB104" i="46"/>
  <c r="KA104" i="46"/>
  <c r="JX104" i="46"/>
  <c r="KY104" i="46"/>
  <c r="KV104" i="46"/>
  <c r="KS104" i="46"/>
  <c r="KM104" i="46"/>
  <c r="IW104" i="46"/>
  <c r="IQ104" i="46"/>
  <c r="IK104" i="46"/>
  <c r="KY107" i="46"/>
  <c r="IQ107" i="46"/>
  <c r="KJ107" i="46"/>
  <c r="KG107" i="46"/>
  <c r="JX107" i="46"/>
  <c r="IK107" i="46"/>
  <c r="JI107" i="46"/>
  <c r="KP107" i="46"/>
  <c r="KM107" i="46"/>
  <c r="KD107" i="46"/>
  <c r="KA107" i="46"/>
  <c r="JU107" i="46"/>
  <c r="JO107" i="46"/>
  <c r="JC107" i="46"/>
  <c r="IZ107" i="46"/>
  <c r="LE107" i="46"/>
  <c r="LB107" i="46"/>
  <c r="IW107" i="46"/>
  <c r="KV107" i="46"/>
  <c r="KS107" i="46"/>
  <c r="JR107" i="46"/>
  <c r="JL107" i="46"/>
  <c r="JF107" i="46"/>
  <c r="IT107" i="46"/>
  <c r="IN107" i="46"/>
  <c r="KD98" i="46"/>
  <c r="KA98" i="46"/>
  <c r="JL98" i="46"/>
  <c r="JF98" i="46"/>
  <c r="KJ98" i="46"/>
  <c r="IQ98" i="46"/>
  <c r="IN98" i="46"/>
  <c r="IK98" i="46"/>
  <c r="LE98" i="46"/>
  <c r="LB98" i="46"/>
  <c r="KV98" i="46"/>
  <c r="KM98" i="46"/>
  <c r="KG98" i="46"/>
  <c r="JC98" i="46"/>
  <c r="IZ98" i="46"/>
  <c r="JX98" i="46"/>
  <c r="KY98" i="46"/>
  <c r="IW98" i="46"/>
  <c r="IT98" i="46"/>
  <c r="KS98" i="46"/>
  <c r="KP98" i="46"/>
  <c r="JU98" i="46"/>
  <c r="JR98" i="46"/>
  <c r="JO98" i="46"/>
  <c r="JI98" i="46"/>
  <c r="JO91" i="46"/>
  <c r="JX91" i="46"/>
  <c r="LE91" i="46"/>
  <c r="IQ91" i="46"/>
  <c r="JL91" i="46"/>
  <c r="IN91" i="46"/>
  <c r="IK91" i="46"/>
  <c r="LB91" i="46"/>
  <c r="KY91" i="46"/>
  <c r="KV91" i="46"/>
  <c r="KP91" i="46"/>
  <c r="KG91" i="46"/>
  <c r="KD91" i="46"/>
  <c r="JC91" i="46"/>
  <c r="IZ91" i="46"/>
  <c r="JF91" i="46"/>
  <c r="IW91" i="46"/>
  <c r="IT91" i="46"/>
  <c r="KS91" i="46"/>
  <c r="KM91" i="46"/>
  <c r="KJ91" i="46"/>
  <c r="KA91" i="46"/>
  <c r="JU91" i="46"/>
  <c r="JR91" i="46"/>
  <c r="JI91" i="46"/>
  <c r="KS89" i="46"/>
  <c r="IK89" i="46"/>
  <c r="KV89" i="46"/>
  <c r="JI89" i="46"/>
  <c r="KD89" i="46"/>
  <c r="IT89" i="46"/>
  <c r="IQ89" i="46"/>
  <c r="IN89" i="46"/>
  <c r="LE89" i="46"/>
  <c r="LB89" i="46"/>
  <c r="KP89" i="46"/>
  <c r="KG89" i="46"/>
  <c r="KA89" i="46"/>
  <c r="JF89" i="46"/>
  <c r="JC89" i="46"/>
  <c r="JL89" i="46"/>
  <c r="IZ89" i="46"/>
  <c r="IW89" i="46"/>
  <c r="KY89" i="46"/>
  <c r="KM89" i="46"/>
  <c r="KJ89" i="46"/>
  <c r="JX89" i="46"/>
  <c r="JU89" i="46"/>
  <c r="JR89" i="46"/>
  <c r="JO89" i="46"/>
  <c r="KD90" i="46"/>
  <c r="KJ90" i="46"/>
  <c r="IZ90" i="46"/>
  <c r="JU90" i="46"/>
  <c r="IQ90" i="46"/>
  <c r="IN90" i="46"/>
  <c r="LE90" i="46"/>
  <c r="IK90" i="46"/>
  <c r="LB90" i="46"/>
  <c r="KY90" i="46"/>
  <c r="KS90" i="46"/>
  <c r="KG90" i="46"/>
  <c r="KA90" i="46"/>
  <c r="JF90" i="46"/>
  <c r="JC90" i="46"/>
  <c r="JX90" i="46"/>
  <c r="KV90" i="46"/>
  <c r="IW90" i="46"/>
  <c r="IT90" i="46"/>
  <c r="KP90" i="46"/>
  <c r="KM90" i="46"/>
  <c r="JR90" i="46"/>
  <c r="JO90" i="46"/>
  <c r="JL90" i="46"/>
  <c r="JI90" i="46"/>
  <c r="JF106" i="46"/>
  <c r="KV106" i="46"/>
  <c r="IK106" i="46"/>
  <c r="KS106" i="46"/>
  <c r="KD106" i="46"/>
  <c r="IN106" i="46"/>
  <c r="JL106" i="46"/>
  <c r="KG106" i="46"/>
  <c r="KA106" i="46"/>
  <c r="JX106" i="46"/>
  <c r="JU106" i="46"/>
  <c r="JR106" i="46"/>
  <c r="JI106" i="46"/>
  <c r="IW106" i="46"/>
  <c r="IT106" i="46"/>
  <c r="KY106" i="46"/>
  <c r="KP106" i="46"/>
  <c r="KM106" i="46"/>
  <c r="KJ106" i="46"/>
  <c r="LE106" i="46"/>
  <c r="LB106" i="46"/>
  <c r="JO106" i="46"/>
  <c r="JC106" i="46"/>
  <c r="IZ106" i="46"/>
  <c r="IQ106" i="46"/>
  <c r="JO99" i="46"/>
  <c r="JL99" i="46"/>
  <c r="JC99" i="46"/>
  <c r="IZ99" i="46"/>
  <c r="KD99" i="46"/>
  <c r="IQ99" i="46"/>
  <c r="IN99" i="46"/>
  <c r="IK99" i="46"/>
  <c r="LE99" i="46"/>
  <c r="LB99" i="46"/>
  <c r="KV99" i="46"/>
  <c r="KM99" i="46"/>
  <c r="KJ99" i="46"/>
  <c r="JI99" i="46"/>
  <c r="JF99" i="46"/>
  <c r="JR99" i="46"/>
  <c r="IW99" i="46"/>
  <c r="IT99" i="46"/>
  <c r="KY99" i="46"/>
  <c r="KS99" i="46"/>
  <c r="KP99" i="46"/>
  <c r="KG99" i="46"/>
  <c r="KA99" i="46"/>
  <c r="JX99" i="46"/>
  <c r="JU99" i="46"/>
  <c r="IZ88" i="46"/>
  <c r="LE88" i="46"/>
  <c r="IT88" i="46"/>
  <c r="JR88" i="46"/>
  <c r="KM88" i="46"/>
  <c r="IQ88" i="46"/>
  <c r="IN88" i="46"/>
  <c r="IK88" i="46"/>
  <c r="LB88" i="46"/>
  <c r="KY88" i="46"/>
  <c r="KS88" i="46"/>
  <c r="KG88" i="46"/>
  <c r="KD88" i="46"/>
  <c r="JI88" i="46"/>
  <c r="JF88" i="46"/>
  <c r="KV88" i="46"/>
  <c r="KA88" i="46"/>
  <c r="JC88" i="46"/>
  <c r="IW88" i="46"/>
  <c r="KP88" i="46"/>
  <c r="KJ88" i="46"/>
  <c r="JX88" i="46"/>
  <c r="JU88" i="46"/>
  <c r="JO88" i="46"/>
  <c r="JL88" i="46"/>
  <c r="KS97" i="46"/>
  <c r="IK97" i="46"/>
  <c r="KP97" i="46"/>
  <c r="JU97" i="46"/>
  <c r="JL97" i="46"/>
  <c r="KJ97" i="46"/>
  <c r="IQ97" i="46"/>
  <c r="IN97" i="46"/>
  <c r="LE97" i="46"/>
  <c r="LB97" i="46"/>
  <c r="KV97" i="46"/>
  <c r="KD97" i="46"/>
  <c r="KA97" i="46"/>
  <c r="JC97" i="46"/>
  <c r="IZ97" i="46"/>
  <c r="JF97" i="46"/>
  <c r="IW97" i="46"/>
  <c r="IT97" i="46"/>
  <c r="KY97" i="46"/>
  <c r="KM97" i="46"/>
  <c r="KG97" i="46"/>
  <c r="JX97" i="46"/>
  <c r="JR97" i="46"/>
  <c r="JO97" i="46"/>
  <c r="JI97" i="46"/>
  <c r="KD86" i="46"/>
  <c r="KM86" i="46"/>
  <c r="IW86" i="46"/>
  <c r="JC86" i="46"/>
  <c r="IZ86" i="46"/>
  <c r="IT86" i="46"/>
  <c r="IQ86" i="46"/>
  <c r="LE86" i="46"/>
  <c r="IN86" i="46"/>
  <c r="KY86" i="46"/>
  <c r="KP86" i="46"/>
  <c r="KJ86" i="46"/>
  <c r="JO86" i="46"/>
  <c r="JL86" i="46"/>
  <c r="JI86" i="46"/>
  <c r="KG86" i="46"/>
  <c r="LB86" i="46"/>
  <c r="JF86" i="46"/>
  <c r="KV86" i="46"/>
  <c r="KS86" i="46"/>
  <c r="KA86" i="46"/>
  <c r="JX86" i="46"/>
  <c r="JU86" i="46"/>
  <c r="JR86" i="46"/>
  <c r="IK86" i="46"/>
  <c r="LE126" i="46"/>
  <c r="IW126" i="46"/>
  <c r="KY126" i="46"/>
  <c r="IQ126" i="46"/>
  <c r="KA126" i="46"/>
  <c r="JR126" i="46"/>
  <c r="JO126" i="46"/>
  <c r="JL126" i="46"/>
  <c r="KP126" i="46"/>
  <c r="KM126" i="46"/>
  <c r="JC126" i="46"/>
  <c r="KJ126" i="46"/>
  <c r="KV126" i="46"/>
  <c r="KS126" i="46"/>
  <c r="KG126" i="46"/>
  <c r="KD126" i="46"/>
  <c r="JX126" i="46"/>
  <c r="JI126" i="46"/>
  <c r="IT126" i="46"/>
  <c r="IN126" i="46"/>
  <c r="LB126" i="46"/>
  <c r="JU126" i="46"/>
  <c r="JF126" i="46"/>
  <c r="IZ126" i="46"/>
  <c r="IK126" i="46"/>
  <c r="IZ96" i="46"/>
  <c r="LE96" i="46"/>
  <c r="IW96" i="46"/>
  <c r="KD96" i="46"/>
  <c r="JR96" i="46"/>
  <c r="KP96" i="46"/>
  <c r="IK96" i="46"/>
  <c r="LB96" i="46"/>
  <c r="KY96" i="46"/>
  <c r="KV96" i="46"/>
  <c r="KM96" i="46"/>
  <c r="KA96" i="46"/>
  <c r="JX96" i="46"/>
  <c r="JC96" i="46"/>
  <c r="IT96" i="46"/>
  <c r="IQ96" i="46"/>
  <c r="KS96" i="46"/>
  <c r="JU96" i="46"/>
  <c r="IN96" i="46"/>
  <c r="KJ96" i="46"/>
  <c r="KG96" i="46"/>
  <c r="JO96" i="46"/>
  <c r="JL96" i="46"/>
  <c r="JI96" i="46"/>
  <c r="JF96" i="46"/>
  <c r="JU109" i="46"/>
  <c r="JL109" i="46"/>
  <c r="JI109" i="46"/>
  <c r="JR109" i="46"/>
  <c r="KM109" i="46"/>
  <c r="IK109" i="46"/>
  <c r="JF109" i="46"/>
  <c r="LE109" i="46"/>
  <c r="LB109" i="46"/>
  <c r="KY109" i="46"/>
  <c r="KV109" i="46"/>
  <c r="KS109" i="46"/>
  <c r="KJ109" i="46"/>
  <c r="KA109" i="46"/>
  <c r="JX109" i="46"/>
  <c r="IQ109" i="46"/>
  <c r="IN109" i="46"/>
  <c r="KP109" i="46"/>
  <c r="JO109" i="46"/>
  <c r="KG109" i="46"/>
  <c r="KD109" i="46"/>
  <c r="JC109" i="46"/>
  <c r="IZ109" i="46"/>
  <c r="IW109" i="46"/>
  <c r="IT109" i="46"/>
  <c r="JL125" i="46"/>
  <c r="JF125" i="46"/>
  <c r="KJ125" i="46"/>
  <c r="JX125" i="46"/>
  <c r="JU125" i="46"/>
  <c r="JI125" i="46"/>
  <c r="KP125" i="46"/>
  <c r="KM125" i="46"/>
  <c r="IN125" i="46"/>
  <c r="JR125" i="46"/>
  <c r="JO125" i="46"/>
  <c r="JC125" i="46"/>
  <c r="IZ125" i="46"/>
  <c r="IW125" i="46"/>
  <c r="IT125" i="46"/>
  <c r="IK125" i="46"/>
  <c r="KS125" i="46"/>
  <c r="KG125" i="46"/>
  <c r="KV125" i="46"/>
  <c r="KD125" i="46"/>
  <c r="KA125" i="46"/>
  <c r="IQ125" i="46"/>
  <c r="LE125" i="46"/>
  <c r="LB125" i="46"/>
  <c r="KY125" i="46"/>
  <c r="KY103" i="46"/>
  <c r="IQ103" i="46"/>
  <c r="JU103" i="46"/>
  <c r="JR103" i="46"/>
  <c r="KS103" i="46"/>
  <c r="IN103" i="46"/>
  <c r="JL103" i="46"/>
  <c r="JI103" i="46"/>
  <c r="JF103" i="46"/>
  <c r="JC103" i="46"/>
  <c r="IZ103" i="46"/>
  <c r="IW103" i="46"/>
  <c r="IK103" i="46"/>
  <c r="LE103" i="46"/>
  <c r="LB103" i="46"/>
  <c r="KD103" i="46"/>
  <c r="KA103" i="46"/>
  <c r="KG103" i="46"/>
  <c r="JX103" i="46"/>
  <c r="JO103" i="46"/>
  <c r="IT103" i="46"/>
  <c r="KV103" i="46"/>
  <c r="KP103" i="46"/>
  <c r="KM103" i="46"/>
  <c r="KJ103" i="46"/>
  <c r="KD82" i="46"/>
  <c r="JU82" i="46"/>
  <c r="KS82" i="46"/>
  <c r="JR82" i="46"/>
  <c r="JO82" i="46"/>
  <c r="JL82" i="46"/>
  <c r="JI82" i="46"/>
  <c r="JF82" i="46"/>
  <c r="IZ82" i="46"/>
  <c r="IQ82" i="46"/>
  <c r="LE82" i="46"/>
  <c r="IN82" i="46"/>
  <c r="KJ82" i="46"/>
  <c r="KG82" i="46"/>
  <c r="LB82" i="46"/>
  <c r="KA82" i="46"/>
  <c r="JX82" i="46"/>
  <c r="KY82" i="46"/>
  <c r="KV82" i="46"/>
  <c r="KP82" i="46"/>
  <c r="KM82" i="46"/>
  <c r="JC82" i="46"/>
  <c r="IW82" i="46"/>
  <c r="IT82" i="46"/>
  <c r="IK82" i="46"/>
  <c r="JF102" i="46"/>
  <c r="KG102" i="46"/>
  <c r="KD102" i="46"/>
  <c r="KY102" i="46"/>
  <c r="IQ102" i="46"/>
  <c r="JO102" i="46"/>
  <c r="JC102" i="46"/>
  <c r="IZ102" i="46"/>
  <c r="IW102" i="46"/>
  <c r="IT102" i="46"/>
  <c r="IN102" i="46"/>
  <c r="KV102" i="46"/>
  <c r="KS102" i="46"/>
  <c r="JU102" i="46"/>
  <c r="JR102" i="46"/>
  <c r="KP102" i="46"/>
  <c r="JL102" i="46"/>
  <c r="JI102" i="46"/>
  <c r="LE102" i="46"/>
  <c r="LB102" i="46"/>
  <c r="KM102" i="46"/>
  <c r="KJ102" i="46"/>
  <c r="KA102" i="46"/>
  <c r="JX102" i="46"/>
  <c r="IK102" i="46"/>
  <c r="KA124" i="46"/>
  <c r="JU124" i="46"/>
  <c r="KS124" i="46"/>
  <c r="KD124" i="46"/>
  <c r="JX124" i="46"/>
  <c r="JF124" i="46"/>
  <c r="KM124" i="46"/>
  <c r="KJ124" i="46"/>
  <c r="IZ124" i="46"/>
  <c r="IQ124" i="46"/>
  <c r="IN124" i="46"/>
  <c r="IK124" i="46"/>
  <c r="KY124" i="46"/>
  <c r="KV124" i="46"/>
  <c r="JI124" i="46"/>
  <c r="JC124" i="46"/>
  <c r="KP124" i="46"/>
  <c r="IW124" i="46"/>
  <c r="IT124" i="46"/>
  <c r="LE124" i="46"/>
  <c r="LB124" i="46"/>
  <c r="KG124" i="46"/>
  <c r="JR124" i="46"/>
  <c r="JO124" i="46"/>
  <c r="JL124" i="46"/>
  <c r="IZ84" i="46"/>
  <c r="IW84" i="46"/>
  <c r="JU84" i="46"/>
  <c r="JL84" i="46"/>
  <c r="JI84" i="46"/>
  <c r="JF84" i="46"/>
  <c r="JC84" i="46"/>
  <c r="IT84" i="46"/>
  <c r="LE84" i="46"/>
  <c r="IN84" i="46"/>
  <c r="KV84" i="46"/>
  <c r="KS84" i="46"/>
  <c r="KA84" i="46"/>
  <c r="JX84" i="46"/>
  <c r="KP84" i="46"/>
  <c r="JR84" i="46"/>
  <c r="JO84" i="46"/>
  <c r="LB84" i="46"/>
  <c r="KY84" i="46"/>
  <c r="KM84" i="46"/>
  <c r="KJ84" i="46"/>
  <c r="KG84" i="46"/>
  <c r="KD84" i="46"/>
  <c r="IQ84" i="46"/>
  <c r="IK84" i="46"/>
  <c r="IZ100" i="46"/>
  <c r="LE100" i="46"/>
  <c r="IW100" i="46"/>
  <c r="IT100" i="46"/>
  <c r="JC100" i="46"/>
  <c r="JX100" i="46"/>
  <c r="IQ100" i="46"/>
  <c r="IN100" i="46"/>
  <c r="IK100" i="46"/>
  <c r="LB100" i="46"/>
  <c r="KV100" i="46"/>
  <c r="KM100" i="46"/>
  <c r="KJ100" i="46"/>
  <c r="JO100" i="46"/>
  <c r="JL100" i="46"/>
  <c r="KY100" i="46"/>
  <c r="KG100" i="46"/>
  <c r="JI100" i="46"/>
  <c r="JF100" i="46"/>
  <c r="KS100" i="46"/>
  <c r="KP100" i="46"/>
  <c r="KD100" i="46"/>
  <c r="KA100" i="46"/>
  <c r="JU100" i="46"/>
  <c r="JR100" i="46"/>
  <c r="KP127" i="46"/>
  <c r="KJ127" i="46"/>
  <c r="JR127" i="46"/>
  <c r="JL127" i="46"/>
  <c r="JI127" i="46"/>
  <c r="JU127" i="46"/>
  <c r="KV127" i="46"/>
  <c r="KS127" i="46"/>
  <c r="JX127" i="46"/>
  <c r="LE127" i="46"/>
  <c r="LB127" i="46"/>
  <c r="KM127" i="46"/>
  <c r="KA127" i="46"/>
  <c r="JO127" i="46"/>
  <c r="IQ127" i="46"/>
  <c r="IN127" i="46"/>
  <c r="KY127" i="46"/>
  <c r="JF127" i="46"/>
  <c r="IK127" i="46"/>
  <c r="KG127" i="46"/>
  <c r="KD127" i="46"/>
  <c r="JC127" i="46"/>
  <c r="IZ127" i="46"/>
  <c r="IW127" i="46"/>
  <c r="IT127" i="46"/>
  <c r="KS101" i="46"/>
  <c r="IK101" i="46"/>
  <c r="KP101" i="46"/>
  <c r="LE101" i="46"/>
  <c r="IQ101" i="46"/>
  <c r="IW101" i="46"/>
  <c r="JR101" i="46"/>
  <c r="JC101" i="46"/>
  <c r="IZ101" i="46"/>
  <c r="IT101" i="46"/>
  <c r="IN101" i="46"/>
  <c r="LB101" i="46"/>
  <c r="KM101" i="46"/>
  <c r="KJ101" i="46"/>
  <c r="JO101" i="46"/>
  <c r="JL101" i="46"/>
  <c r="JU101" i="46"/>
  <c r="JI101" i="46"/>
  <c r="JF101" i="46"/>
  <c r="KY101" i="46"/>
  <c r="KV101" i="46"/>
  <c r="KG101" i="46"/>
  <c r="KD101" i="46"/>
  <c r="KA101" i="46"/>
  <c r="JX101" i="46"/>
  <c r="KA116" i="46"/>
  <c r="JU116" i="46"/>
  <c r="KS116" i="46"/>
  <c r="IW116" i="46"/>
  <c r="IT116" i="46"/>
  <c r="IK116" i="46"/>
  <c r="JL116" i="46"/>
  <c r="JI116" i="46"/>
  <c r="JX116" i="46"/>
  <c r="KY116" i="46"/>
  <c r="LE116" i="46"/>
  <c r="KV116" i="46"/>
  <c r="KJ116" i="46"/>
  <c r="KG116" i="46"/>
  <c r="IZ116" i="46"/>
  <c r="IQ116" i="46"/>
  <c r="LB116" i="46"/>
  <c r="KD116" i="46"/>
  <c r="IN116" i="46"/>
  <c r="KP116" i="46"/>
  <c r="KM116" i="46"/>
  <c r="JR116" i="46"/>
  <c r="JO116" i="46"/>
  <c r="JF116" i="46"/>
  <c r="JC116" i="46"/>
  <c r="KS81" i="46"/>
  <c r="IK81" i="46"/>
  <c r="KG81" i="46"/>
  <c r="LE81" i="46"/>
  <c r="IT81" i="46"/>
  <c r="JX81" i="46"/>
  <c r="JU81" i="46"/>
  <c r="JR81" i="46"/>
  <c r="JO81" i="46"/>
  <c r="JL81" i="46"/>
  <c r="JF81" i="46"/>
  <c r="IW81" i="46"/>
  <c r="IQ81" i="46"/>
  <c r="KM81" i="46"/>
  <c r="KJ81" i="46"/>
  <c r="KP81" i="46"/>
  <c r="KD81" i="46"/>
  <c r="KA81" i="46"/>
  <c r="JI81" i="46"/>
  <c r="IN81" i="46"/>
  <c r="JC81" i="46"/>
  <c r="IZ81" i="46"/>
  <c r="LB81" i="46"/>
  <c r="KY81" i="46"/>
  <c r="KV81" i="46"/>
  <c r="JL117" i="46"/>
  <c r="JF117" i="46"/>
  <c r="KJ117" i="46"/>
  <c r="IQ117" i="46"/>
  <c r="LE117" i="46"/>
  <c r="IN117" i="46"/>
  <c r="IK117" i="46"/>
  <c r="JR117" i="46"/>
  <c r="JO117" i="46"/>
  <c r="KM117" i="46"/>
  <c r="JC117" i="46"/>
  <c r="IZ117" i="46"/>
  <c r="IW117" i="46"/>
  <c r="IT117" i="46"/>
  <c r="LB117" i="46"/>
  <c r="KY117" i="46"/>
  <c r="KA117" i="46"/>
  <c r="JX117" i="46"/>
  <c r="KD117" i="46"/>
  <c r="JU117" i="46"/>
  <c r="JI117" i="46"/>
  <c r="KV117" i="46"/>
  <c r="KS117" i="46"/>
  <c r="KP117" i="46"/>
  <c r="KG117" i="46"/>
  <c r="JO83" i="46"/>
  <c r="JI83" i="46"/>
  <c r="KG83" i="46"/>
  <c r="JR83" i="46"/>
  <c r="JL83" i="46"/>
  <c r="JF83" i="46"/>
  <c r="JC83" i="46"/>
  <c r="IZ83" i="46"/>
  <c r="IT83" i="46"/>
  <c r="LB83" i="46"/>
  <c r="IK83" i="46"/>
  <c r="KY83" i="46"/>
  <c r="KD83" i="46"/>
  <c r="KA83" i="46"/>
  <c r="KJ83" i="46"/>
  <c r="JX83" i="46"/>
  <c r="JU83" i="46"/>
  <c r="IW83" i="46"/>
  <c r="IQ83" i="46"/>
  <c r="IN83" i="46"/>
  <c r="LE83" i="46"/>
  <c r="KV83" i="46"/>
  <c r="KS83" i="46"/>
  <c r="KP83" i="46"/>
  <c r="KM83" i="46"/>
  <c r="KP119" i="46"/>
  <c r="KJ119" i="46"/>
  <c r="JR119" i="46"/>
  <c r="LB119" i="46"/>
  <c r="IK119" i="46"/>
  <c r="KY119" i="46"/>
  <c r="IW119" i="46"/>
  <c r="JU119" i="46"/>
  <c r="JO119" i="46"/>
  <c r="JI119" i="46"/>
  <c r="LE119" i="46"/>
  <c r="KV119" i="46"/>
  <c r="KS119" i="46"/>
  <c r="KM119" i="46"/>
  <c r="KD119" i="46"/>
  <c r="JL119" i="46"/>
  <c r="JF119" i="46"/>
  <c r="JC119" i="46"/>
  <c r="KG119" i="46"/>
  <c r="KA119" i="46"/>
  <c r="JX119" i="46"/>
  <c r="IZ119" i="46"/>
  <c r="IT119" i="46"/>
  <c r="IQ119" i="46"/>
  <c r="IN119" i="46"/>
  <c r="IZ92" i="46"/>
  <c r="JL92" i="46"/>
  <c r="KV92" i="46"/>
  <c r="JF92" i="46"/>
  <c r="IN92" i="46"/>
  <c r="LE92" i="46"/>
  <c r="IK92" i="46"/>
  <c r="LB92" i="46"/>
  <c r="KY92" i="46"/>
  <c r="KS92" i="46"/>
  <c r="KM92" i="46"/>
  <c r="KD92" i="46"/>
  <c r="KA92" i="46"/>
  <c r="JC92" i="46"/>
  <c r="IW92" i="46"/>
  <c r="KP92" i="46"/>
  <c r="JX92" i="46"/>
  <c r="IT92" i="46"/>
  <c r="IQ92" i="46"/>
  <c r="KJ92" i="46"/>
  <c r="KG92" i="46"/>
  <c r="JU92" i="46"/>
  <c r="JR92" i="46"/>
  <c r="JO92" i="46"/>
  <c r="JI92" i="46"/>
  <c r="KS93" i="46"/>
  <c r="IK93" i="46"/>
  <c r="IZ93" i="46"/>
  <c r="KM93" i="46"/>
  <c r="IW93" i="46"/>
  <c r="IN93" i="46"/>
  <c r="LE93" i="46"/>
  <c r="LB93" i="46"/>
  <c r="KY93" i="46"/>
  <c r="KV93" i="46"/>
  <c r="KJ93" i="46"/>
  <c r="KA93" i="46"/>
  <c r="JX93" i="46"/>
  <c r="JF93" i="46"/>
  <c r="JC93" i="46"/>
  <c r="JI93" i="46"/>
  <c r="IT93" i="46"/>
  <c r="IQ93" i="46"/>
  <c r="KP93" i="46"/>
  <c r="KG93" i="46"/>
  <c r="KD93" i="46"/>
  <c r="JU93" i="46"/>
  <c r="JR93" i="46"/>
  <c r="JO93" i="46"/>
  <c r="JL93" i="46"/>
  <c r="JO95" i="46"/>
  <c r="KM95" i="46"/>
  <c r="JX95" i="46"/>
  <c r="KV95" i="46"/>
  <c r="IN95" i="46"/>
  <c r="LE95" i="46"/>
  <c r="IK95" i="46"/>
  <c r="LB95" i="46"/>
  <c r="KY95" i="46"/>
  <c r="KS95" i="46"/>
  <c r="KJ95" i="46"/>
  <c r="KA95" i="46"/>
  <c r="JU95" i="46"/>
  <c r="IZ95" i="46"/>
  <c r="IW95" i="46"/>
  <c r="JC95" i="46"/>
  <c r="IT95" i="46"/>
  <c r="IQ95" i="46"/>
  <c r="KP95" i="46"/>
  <c r="KG95" i="46"/>
  <c r="KD95" i="46"/>
  <c r="JR95" i="46"/>
  <c r="JL95" i="46"/>
  <c r="JI95" i="46"/>
  <c r="JF95" i="46"/>
  <c r="IZ80" i="46"/>
  <c r="KS80" i="46"/>
  <c r="JF80" i="46"/>
  <c r="KD80" i="46"/>
  <c r="KA80" i="46"/>
  <c r="JX80" i="46"/>
  <c r="JU80" i="46"/>
  <c r="JR80" i="46"/>
  <c r="JL80" i="46"/>
  <c r="IW80" i="46"/>
  <c r="IT80" i="46"/>
  <c r="KP80" i="46"/>
  <c r="KM80" i="46"/>
  <c r="KJ80" i="46"/>
  <c r="KG80" i="46"/>
  <c r="LE80" i="46"/>
  <c r="LB80" i="46"/>
  <c r="KY80" i="46"/>
  <c r="KV80" i="46"/>
  <c r="JO80" i="46"/>
  <c r="JI80" i="46"/>
  <c r="JC80" i="46"/>
  <c r="IQ80" i="46"/>
  <c r="IN80" i="46"/>
  <c r="IK80" i="46"/>
  <c r="KY111" i="46"/>
  <c r="IQ111" i="46"/>
  <c r="LB111" i="46"/>
  <c r="IN111" i="46"/>
  <c r="KV111" i="46"/>
  <c r="IK111" i="46"/>
  <c r="JI111" i="46"/>
  <c r="KA111" i="46"/>
  <c r="IT111" i="46"/>
  <c r="JR111" i="46"/>
  <c r="IZ111" i="46"/>
  <c r="IW111" i="46"/>
  <c r="KP111" i="46"/>
  <c r="KM111" i="46"/>
  <c r="JO111" i="46"/>
  <c r="JL111" i="46"/>
  <c r="KJ111" i="46"/>
  <c r="JF111" i="46"/>
  <c r="JC111" i="46"/>
  <c r="LE111" i="46"/>
  <c r="KS111" i="46"/>
  <c r="KG111" i="46"/>
  <c r="KD111" i="46"/>
  <c r="JX111" i="46"/>
  <c r="JU111" i="46"/>
  <c r="LE118" i="46"/>
  <c r="IW118" i="46"/>
  <c r="KY118" i="46"/>
  <c r="IQ118" i="46"/>
  <c r="KA118" i="46"/>
  <c r="IK118" i="46"/>
  <c r="LB118" i="46"/>
  <c r="IT118" i="46"/>
  <c r="JR118" i="46"/>
  <c r="JO118" i="46"/>
  <c r="KV118" i="46"/>
  <c r="IZ118" i="46"/>
  <c r="KG118" i="46"/>
  <c r="KD118" i="46"/>
  <c r="JX118" i="46"/>
  <c r="JU118" i="46"/>
  <c r="JL118" i="46"/>
  <c r="JF118" i="46"/>
  <c r="KS118" i="46"/>
  <c r="KP118" i="46"/>
  <c r="KM118" i="46"/>
  <c r="KJ118" i="46"/>
  <c r="JI118" i="46"/>
  <c r="JC118" i="46"/>
  <c r="IN118" i="46"/>
  <c r="GX94" i="46"/>
  <c r="GF94" i="46"/>
  <c r="GC94" i="46"/>
  <c r="IB94" i="46"/>
  <c r="FQ94" i="46"/>
  <c r="GL94" i="46"/>
  <c r="HM94" i="46"/>
  <c r="HD94" i="46"/>
  <c r="HJ94" i="46"/>
  <c r="HG94" i="46"/>
  <c r="GO94" i="46"/>
  <c r="GI94" i="46"/>
  <c r="FZ94" i="46"/>
  <c r="IH94" i="46"/>
  <c r="IE94" i="46"/>
  <c r="HY94" i="46"/>
  <c r="HS94" i="46"/>
  <c r="HV94" i="46"/>
  <c r="HP94" i="46"/>
  <c r="HA94" i="46"/>
  <c r="GU94" i="46"/>
  <c r="FT94" i="46"/>
  <c r="GR94" i="46"/>
  <c r="FW94" i="46"/>
  <c r="FN94" i="46"/>
  <c r="HD119" i="46"/>
  <c r="HA119" i="46"/>
  <c r="HS119" i="46"/>
  <c r="HP119" i="46"/>
  <c r="HM119" i="46"/>
  <c r="GU119" i="46"/>
  <c r="GO119" i="46"/>
  <c r="GL119" i="46"/>
  <c r="FZ119" i="46"/>
  <c r="GX119" i="46"/>
  <c r="IB119" i="46"/>
  <c r="IH119" i="46"/>
  <c r="IE119" i="46"/>
  <c r="HG119" i="46"/>
  <c r="GR119" i="46"/>
  <c r="GI119" i="46"/>
  <c r="FT119" i="46"/>
  <c r="FQ119" i="46"/>
  <c r="FN119" i="46"/>
  <c r="GC119" i="46"/>
  <c r="HY119" i="46"/>
  <c r="HV119" i="46"/>
  <c r="GF119" i="46"/>
  <c r="HJ119" i="46"/>
  <c r="FW119" i="46"/>
  <c r="HD115" i="46"/>
  <c r="GL115" i="46"/>
  <c r="GI115" i="46"/>
  <c r="IH115" i="46"/>
  <c r="FQ115" i="46"/>
  <c r="IE115" i="46"/>
  <c r="FN115" i="46"/>
  <c r="HS115" i="46"/>
  <c r="FT115" i="46"/>
  <c r="HY115" i="46"/>
  <c r="FZ115" i="46"/>
  <c r="HV115" i="46"/>
  <c r="HJ115" i="46"/>
  <c r="HP115" i="46"/>
  <c r="HM115" i="46"/>
  <c r="GU115" i="46"/>
  <c r="GR115" i="46"/>
  <c r="GO115" i="46"/>
  <c r="HG115" i="46"/>
  <c r="GF115" i="46"/>
  <c r="IB115" i="46"/>
  <c r="HA115" i="46"/>
  <c r="GX115" i="46"/>
  <c r="GC115" i="46"/>
  <c r="FW115" i="46"/>
  <c r="HS114" i="46"/>
  <c r="GX114" i="46"/>
  <c r="GR114" i="46"/>
  <c r="FW114" i="46"/>
  <c r="FT114" i="46"/>
  <c r="HY114" i="46"/>
  <c r="IH114" i="46"/>
  <c r="HP114" i="46"/>
  <c r="FQ114" i="46"/>
  <c r="HA114" i="46"/>
  <c r="GL114" i="46"/>
  <c r="GU114" i="46"/>
  <c r="GO114" i="46"/>
  <c r="FZ114" i="46"/>
  <c r="FN114" i="46"/>
  <c r="IE114" i="46"/>
  <c r="IB114" i="46"/>
  <c r="HV114" i="46"/>
  <c r="HM114" i="46"/>
  <c r="HG114" i="46"/>
  <c r="GF114" i="46"/>
  <c r="GC114" i="46"/>
  <c r="HJ114" i="46"/>
  <c r="HD114" i="46"/>
  <c r="GI114" i="46"/>
  <c r="GU110" i="46"/>
  <c r="FZ110" i="46"/>
  <c r="HD110" i="46"/>
  <c r="HA110" i="46"/>
  <c r="GL110" i="46"/>
  <c r="HV110" i="46"/>
  <c r="HS110" i="46"/>
  <c r="HG110" i="46"/>
  <c r="IB110" i="46"/>
  <c r="GX110" i="46"/>
  <c r="GI110" i="46"/>
  <c r="GR110" i="46"/>
  <c r="GO110" i="46"/>
  <c r="FT110" i="46"/>
  <c r="FQ110" i="46"/>
  <c r="FN110" i="46"/>
  <c r="IH110" i="46"/>
  <c r="IE110" i="46"/>
  <c r="HY110" i="46"/>
  <c r="HM110" i="46"/>
  <c r="GC110" i="46"/>
  <c r="HP110" i="46"/>
  <c r="HJ110" i="46"/>
  <c r="GF110" i="46"/>
  <c r="FW110" i="46"/>
  <c r="HY112" i="46"/>
  <c r="FQ112" i="46"/>
  <c r="HM112" i="46"/>
  <c r="GL112" i="46"/>
  <c r="GI112" i="46"/>
  <c r="FW112" i="46"/>
  <c r="IB112" i="46"/>
  <c r="HV112" i="46"/>
  <c r="HG112" i="46"/>
  <c r="IH112" i="46"/>
  <c r="HJ112" i="46"/>
  <c r="HD112" i="46"/>
  <c r="HA112" i="46"/>
  <c r="GO112" i="46"/>
  <c r="GF112" i="46"/>
  <c r="GC112" i="46"/>
  <c r="FZ112" i="46"/>
  <c r="FN112" i="46"/>
  <c r="IE112" i="46"/>
  <c r="HS112" i="46"/>
  <c r="GU112" i="46"/>
  <c r="HP112" i="46"/>
  <c r="GX112" i="46"/>
  <c r="GR112" i="46"/>
  <c r="FT112" i="46"/>
  <c r="HM89" i="46"/>
  <c r="GC89" i="46"/>
  <c r="FZ89" i="46"/>
  <c r="HY89" i="46"/>
  <c r="FN89" i="46"/>
  <c r="GI89" i="46"/>
  <c r="GU89" i="46"/>
  <c r="GL89" i="46"/>
  <c r="GR89" i="46"/>
  <c r="GO89" i="46"/>
  <c r="FQ89" i="46"/>
  <c r="IH89" i="46"/>
  <c r="HS89" i="46"/>
  <c r="HP89" i="46"/>
  <c r="HJ89" i="46"/>
  <c r="HG89" i="46"/>
  <c r="HA89" i="46"/>
  <c r="HV89" i="46"/>
  <c r="IE89" i="46"/>
  <c r="GX89" i="46"/>
  <c r="IB89" i="46"/>
  <c r="HD89" i="46"/>
  <c r="GF89" i="46"/>
  <c r="FW89" i="46"/>
  <c r="FT89" i="46"/>
  <c r="GF107" i="46"/>
  <c r="HJ107" i="46"/>
  <c r="IB107" i="46"/>
  <c r="FN107" i="46"/>
  <c r="HY107" i="46"/>
  <c r="HM107" i="46"/>
  <c r="HG107" i="46"/>
  <c r="HD107" i="46"/>
  <c r="GR107" i="46"/>
  <c r="HS107" i="46"/>
  <c r="HV107" i="46"/>
  <c r="IH107" i="46"/>
  <c r="IE107" i="46"/>
  <c r="GU107" i="46"/>
  <c r="GO107" i="46"/>
  <c r="GL107" i="46"/>
  <c r="FW107" i="46"/>
  <c r="FT107" i="46"/>
  <c r="FQ107" i="46"/>
  <c r="HA107" i="46"/>
  <c r="FZ107" i="46"/>
  <c r="GX107" i="46"/>
  <c r="GI107" i="46"/>
  <c r="GC107" i="46"/>
  <c r="HP107" i="46"/>
  <c r="GX98" i="46"/>
  <c r="GU98" i="46"/>
  <c r="GI98" i="46"/>
  <c r="HJ98" i="46"/>
  <c r="HG98" i="46"/>
  <c r="GO98" i="46"/>
  <c r="HP98" i="46"/>
  <c r="IE98" i="46"/>
  <c r="IH98" i="46"/>
  <c r="HS98" i="46"/>
  <c r="HM98" i="46"/>
  <c r="HD98" i="46"/>
  <c r="GF98" i="46"/>
  <c r="GC98" i="46"/>
  <c r="FZ98" i="46"/>
  <c r="FW98" i="46"/>
  <c r="FQ98" i="46"/>
  <c r="GL98" i="46"/>
  <c r="FT98" i="46"/>
  <c r="FN98" i="46"/>
  <c r="IB98" i="46"/>
  <c r="HY98" i="46"/>
  <c r="HV98" i="46"/>
  <c r="HA98" i="46"/>
  <c r="GR98" i="46"/>
  <c r="GX90" i="46"/>
  <c r="IB90" i="46"/>
  <c r="FQ90" i="46"/>
  <c r="HY90" i="46"/>
  <c r="FN90" i="46"/>
  <c r="HM90" i="46"/>
  <c r="IH90" i="46"/>
  <c r="FW90" i="46"/>
  <c r="GU90" i="46"/>
  <c r="GL90" i="46"/>
  <c r="GR90" i="46"/>
  <c r="GO90" i="46"/>
  <c r="FZ90" i="46"/>
  <c r="FT90" i="46"/>
  <c r="HV90" i="46"/>
  <c r="HS90" i="46"/>
  <c r="HP90" i="46"/>
  <c r="HJ90" i="46"/>
  <c r="HD90" i="46"/>
  <c r="GF90" i="46"/>
  <c r="GC90" i="46"/>
  <c r="IE90" i="46"/>
  <c r="HG90" i="46"/>
  <c r="HA90" i="46"/>
  <c r="GI90" i="46"/>
  <c r="GU106" i="46"/>
  <c r="HV106" i="46"/>
  <c r="FW106" i="46"/>
  <c r="IH106" i="46"/>
  <c r="FT106" i="46"/>
  <c r="HS106" i="46"/>
  <c r="HG106" i="46"/>
  <c r="HD106" i="46"/>
  <c r="GO106" i="46"/>
  <c r="HM106" i="46"/>
  <c r="HJ106" i="46"/>
  <c r="GR106" i="46"/>
  <c r="HA106" i="46"/>
  <c r="GX106" i="46"/>
  <c r="GC106" i="46"/>
  <c r="FZ106" i="46"/>
  <c r="FQ106" i="46"/>
  <c r="IE106" i="46"/>
  <c r="HY106" i="46"/>
  <c r="IB106" i="46"/>
  <c r="HP106" i="46"/>
  <c r="GL106" i="46"/>
  <c r="GI106" i="46"/>
  <c r="FN106" i="46"/>
  <c r="GF106" i="46"/>
  <c r="GI99" i="46"/>
  <c r="GF99" i="46"/>
  <c r="IB99" i="46"/>
  <c r="FT99" i="46"/>
  <c r="HD99" i="46"/>
  <c r="HA99" i="46"/>
  <c r="GO99" i="46"/>
  <c r="HJ99" i="46"/>
  <c r="FQ99" i="46"/>
  <c r="FN99" i="46"/>
  <c r="HY99" i="46"/>
  <c r="HV99" i="46"/>
  <c r="HS99" i="46"/>
  <c r="GX99" i="46"/>
  <c r="GU99" i="46"/>
  <c r="GR99" i="46"/>
  <c r="GL99" i="46"/>
  <c r="FZ99" i="46"/>
  <c r="IH99" i="46"/>
  <c r="HP99" i="46"/>
  <c r="HM99" i="46"/>
  <c r="FW99" i="46"/>
  <c r="IE99" i="46"/>
  <c r="HG99" i="46"/>
  <c r="GC99" i="46"/>
  <c r="IB88" i="46"/>
  <c r="FT88" i="46"/>
  <c r="GO88" i="46"/>
  <c r="GL88" i="46"/>
  <c r="FZ88" i="46"/>
  <c r="GU88" i="46"/>
  <c r="GR88" i="46"/>
  <c r="GC88" i="46"/>
  <c r="GI88" i="46"/>
  <c r="GF88" i="46"/>
  <c r="IH88" i="46"/>
  <c r="IE88" i="46"/>
  <c r="HP88" i="46"/>
  <c r="HM88" i="46"/>
  <c r="HJ88" i="46"/>
  <c r="HG88" i="46"/>
  <c r="HA88" i="46"/>
  <c r="HV88" i="46"/>
  <c r="GX88" i="46"/>
  <c r="HY88" i="46"/>
  <c r="HS88" i="46"/>
  <c r="HD88" i="46"/>
  <c r="FW88" i="46"/>
  <c r="FQ88" i="46"/>
  <c r="FN88" i="46"/>
  <c r="HD123" i="46"/>
  <c r="HS123" i="46"/>
  <c r="GI123" i="46"/>
  <c r="GU123" i="46"/>
  <c r="GR123" i="46"/>
  <c r="GC123" i="46"/>
  <c r="HY123" i="46"/>
  <c r="HV123" i="46"/>
  <c r="HG123" i="46"/>
  <c r="IE123" i="46"/>
  <c r="IH123" i="46"/>
  <c r="HJ123" i="46"/>
  <c r="HA123" i="46"/>
  <c r="GX123" i="46"/>
  <c r="FZ123" i="46"/>
  <c r="FW123" i="46"/>
  <c r="FT123" i="46"/>
  <c r="FQ123" i="46"/>
  <c r="HP123" i="46"/>
  <c r="GO123" i="46"/>
  <c r="IB123" i="46"/>
  <c r="HM123" i="46"/>
  <c r="GL123" i="46"/>
  <c r="GF123" i="46"/>
  <c r="FN123" i="46"/>
  <c r="IH121" i="46"/>
  <c r="FZ121" i="46"/>
  <c r="GF121" i="46"/>
  <c r="HA121" i="46"/>
  <c r="HG121" i="46"/>
  <c r="HD121" i="46"/>
  <c r="GO121" i="46"/>
  <c r="HM121" i="46"/>
  <c r="HJ121" i="46"/>
  <c r="GL121" i="46"/>
  <c r="HS121" i="46"/>
  <c r="GI121" i="46"/>
  <c r="FT121" i="46"/>
  <c r="GC121" i="46"/>
  <c r="FW121" i="46"/>
  <c r="IB121" i="46"/>
  <c r="HY121" i="46"/>
  <c r="HV121" i="46"/>
  <c r="HP121" i="46"/>
  <c r="GU121" i="46"/>
  <c r="FN121" i="46"/>
  <c r="IE121" i="46"/>
  <c r="GX121" i="46"/>
  <c r="GR121" i="46"/>
  <c r="FQ121" i="46"/>
  <c r="HM85" i="46"/>
  <c r="HY85" i="46"/>
  <c r="FN85" i="46"/>
  <c r="HV85" i="46"/>
  <c r="HG85" i="46"/>
  <c r="IE85" i="46"/>
  <c r="FT85" i="46"/>
  <c r="GF85" i="46"/>
  <c r="FW85" i="46"/>
  <c r="GC85" i="46"/>
  <c r="FZ85" i="46"/>
  <c r="IH85" i="46"/>
  <c r="IB85" i="46"/>
  <c r="HS85" i="46"/>
  <c r="HA85" i="46"/>
  <c r="GX85" i="46"/>
  <c r="GU85" i="46"/>
  <c r="GR85" i="46"/>
  <c r="GL85" i="46"/>
  <c r="HP85" i="46"/>
  <c r="HJ85" i="46"/>
  <c r="HD85" i="46"/>
  <c r="GO85" i="46"/>
  <c r="GI85" i="46"/>
  <c r="FQ85" i="46"/>
  <c r="HJ105" i="46"/>
  <c r="IH105" i="46"/>
  <c r="FW105" i="46"/>
  <c r="GF105" i="46"/>
  <c r="GC105" i="46"/>
  <c r="IB105" i="46"/>
  <c r="FN105" i="46"/>
  <c r="HD105" i="46"/>
  <c r="HA105" i="46"/>
  <c r="GO105" i="46"/>
  <c r="HM105" i="46"/>
  <c r="GL105" i="46"/>
  <c r="FT105" i="46"/>
  <c r="GI105" i="46"/>
  <c r="FZ105" i="46"/>
  <c r="HV105" i="46"/>
  <c r="HS105" i="46"/>
  <c r="HP105" i="46"/>
  <c r="HG105" i="46"/>
  <c r="GU105" i="46"/>
  <c r="GR105" i="46"/>
  <c r="IE105" i="46"/>
  <c r="HY105" i="46"/>
  <c r="GX105" i="46"/>
  <c r="FQ105" i="46"/>
  <c r="GI83" i="46"/>
  <c r="GL83" i="46"/>
  <c r="GF83" i="46"/>
  <c r="IE83" i="46"/>
  <c r="FT83" i="46"/>
  <c r="FW83" i="46"/>
  <c r="IH83" i="46"/>
  <c r="FQ83" i="46"/>
  <c r="FN83" i="46"/>
  <c r="HS83" i="46"/>
  <c r="HP83" i="46"/>
  <c r="HM83" i="46"/>
  <c r="HA83" i="46"/>
  <c r="GX83" i="46"/>
  <c r="GU83" i="46"/>
  <c r="GR83" i="46"/>
  <c r="GC83" i="46"/>
  <c r="HG83" i="46"/>
  <c r="IB83" i="46"/>
  <c r="HY83" i="46"/>
  <c r="HJ83" i="46"/>
  <c r="FZ83" i="46"/>
  <c r="HV83" i="46"/>
  <c r="HD83" i="46"/>
  <c r="GO83" i="46"/>
  <c r="GO116" i="46"/>
  <c r="FZ116" i="46"/>
  <c r="GC116" i="46"/>
  <c r="IB116" i="46"/>
  <c r="HY116" i="46"/>
  <c r="HM116" i="46"/>
  <c r="FW116" i="46"/>
  <c r="FT116" i="46"/>
  <c r="IH116" i="46"/>
  <c r="GI116" i="46"/>
  <c r="HP116" i="46"/>
  <c r="HJ116" i="46"/>
  <c r="HG116" i="46"/>
  <c r="GU116" i="46"/>
  <c r="GR116" i="46"/>
  <c r="GL116" i="46"/>
  <c r="GF116" i="46"/>
  <c r="FN116" i="46"/>
  <c r="HV116" i="46"/>
  <c r="IE116" i="46"/>
  <c r="HS116" i="46"/>
  <c r="HD116" i="46"/>
  <c r="HA116" i="46"/>
  <c r="GX116" i="46"/>
  <c r="FQ116" i="46"/>
  <c r="HS122" i="46"/>
  <c r="IE122" i="46"/>
  <c r="FT122" i="46"/>
  <c r="GR122" i="46"/>
  <c r="HA122" i="46"/>
  <c r="GX122" i="46"/>
  <c r="GI122" i="46"/>
  <c r="HP122" i="46"/>
  <c r="HM122" i="46"/>
  <c r="GU122" i="46"/>
  <c r="HY122" i="46"/>
  <c r="HV122" i="46"/>
  <c r="HD122" i="46"/>
  <c r="HJ122" i="46"/>
  <c r="HG122" i="46"/>
  <c r="GC122" i="46"/>
  <c r="FZ122" i="46"/>
  <c r="FW122" i="46"/>
  <c r="IH122" i="46"/>
  <c r="FQ122" i="46"/>
  <c r="GO122" i="46"/>
  <c r="IB122" i="46"/>
  <c r="GL122" i="46"/>
  <c r="GF122" i="46"/>
  <c r="FN122" i="46"/>
  <c r="HJ109" i="46"/>
  <c r="GL109" i="46"/>
  <c r="HM109" i="46"/>
  <c r="HG109" i="46"/>
  <c r="GU109" i="46"/>
  <c r="HV109" i="46"/>
  <c r="HS109" i="46"/>
  <c r="GX109" i="46"/>
  <c r="IB109" i="46"/>
  <c r="GC109" i="46"/>
  <c r="FT109" i="46"/>
  <c r="FZ109" i="46"/>
  <c r="FW109" i="46"/>
  <c r="HP109" i="46"/>
  <c r="HD109" i="46"/>
  <c r="HA109" i="46"/>
  <c r="GR109" i="46"/>
  <c r="GI109" i="46"/>
  <c r="FQ109" i="46"/>
  <c r="IH109" i="46"/>
  <c r="IE109" i="46"/>
  <c r="HY109" i="46"/>
  <c r="GF109" i="46"/>
  <c r="GO109" i="46"/>
  <c r="FN109" i="46"/>
  <c r="IH113" i="46"/>
  <c r="HJ113" i="46"/>
  <c r="HA113" i="46"/>
  <c r="GC113" i="46"/>
  <c r="FZ113" i="46"/>
  <c r="IB113" i="46"/>
  <c r="FN113" i="46"/>
  <c r="IE113" i="46"/>
  <c r="HY113" i="46"/>
  <c r="HM113" i="46"/>
  <c r="GF113" i="46"/>
  <c r="FQ113" i="46"/>
  <c r="FW113" i="46"/>
  <c r="FT113" i="46"/>
  <c r="HV113" i="46"/>
  <c r="HD113" i="46"/>
  <c r="GX113" i="46"/>
  <c r="GU113" i="46"/>
  <c r="GR113" i="46"/>
  <c r="GL113" i="46"/>
  <c r="HG113" i="46"/>
  <c r="HS113" i="46"/>
  <c r="HP113" i="46"/>
  <c r="GO113" i="46"/>
  <c r="GI113" i="46"/>
  <c r="HY104" i="46"/>
  <c r="FQ104" i="46"/>
  <c r="GI104" i="46"/>
  <c r="GO104" i="46"/>
  <c r="GL104" i="46"/>
  <c r="FW104" i="46"/>
  <c r="HD104" i="46"/>
  <c r="HA104" i="46"/>
  <c r="GF104" i="46"/>
  <c r="HJ104" i="46"/>
  <c r="IB104" i="46"/>
  <c r="HV104" i="46"/>
  <c r="HS104" i="46"/>
  <c r="GX104" i="46"/>
  <c r="GU104" i="46"/>
  <c r="GR104" i="46"/>
  <c r="GC104" i="46"/>
  <c r="FT104" i="46"/>
  <c r="HG104" i="46"/>
  <c r="FZ104" i="46"/>
  <c r="FN104" i="46"/>
  <c r="IH104" i="46"/>
  <c r="IE104" i="46"/>
  <c r="HP104" i="46"/>
  <c r="HM104" i="46"/>
  <c r="GO120" i="46"/>
  <c r="GR120" i="46"/>
  <c r="HJ120" i="46"/>
  <c r="HM120" i="46"/>
  <c r="HG120" i="46"/>
  <c r="GU120" i="46"/>
  <c r="HA120" i="46"/>
  <c r="GX120" i="46"/>
  <c r="GC120" i="46"/>
  <c r="HP120" i="46"/>
  <c r="FN120" i="46"/>
  <c r="IE120" i="46"/>
  <c r="IB120" i="46"/>
  <c r="HY120" i="46"/>
  <c r="GL120" i="46"/>
  <c r="GI120" i="46"/>
  <c r="GF120" i="46"/>
  <c r="FZ120" i="46"/>
  <c r="FT120" i="46"/>
  <c r="HD120" i="46"/>
  <c r="IH120" i="46"/>
  <c r="HV120" i="46"/>
  <c r="HS120" i="46"/>
  <c r="FW120" i="46"/>
  <c r="FQ120" i="46"/>
  <c r="HJ102" i="46"/>
  <c r="HG102" i="46"/>
  <c r="HD102" i="46"/>
  <c r="GR102" i="46"/>
  <c r="GX102" i="46"/>
  <c r="GU102" i="46"/>
  <c r="GF102" i="46"/>
  <c r="HM102" i="46"/>
  <c r="HY102" i="46"/>
  <c r="HP102" i="46"/>
  <c r="HV102" i="46"/>
  <c r="HS102" i="46"/>
  <c r="GI102" i="46"/>
  <c r="GC102" i="46"/>
  <c r="FZ102" i="46"/>
  <c r="FN102" i="46"/>
  <c r="IE102" i="46"/>
  <c r="FW102" i="46"/>
  <c r="HA102" i="46"/>
  <c r="IH102" i="46"/>
  <c r="IB102" i="46"/>
  <c r="GO102" i="46"/>
  <c r="GL102" i="46"/>
  <c r="FT102" i="46"/>
  <c r="FQ102" i="46"/>
  <c r="GX82" i="46"/>
  <c r="GU82" i="46"/>
  <c r="GR82" i="46"/>
  <c r="GF82" i="46"/>
  <c r="FW82" i="46"/>
  <c r="IH82" i="46"/>
  <c r="FN82" i="46"/>
  <c r="FT82" i="46"/>
  <c r="FQ82" i="46"/>
  <c r="HV82" i="46"/>
  <c r="HS82" i="46"/>
  <c r="HP82" i="46"/>
  <c r="HD82" i="46"/>
  <c r="HA82" i="46"/>
  <c r="GO82" i="46"/>
  <c r="GL82" i="46"/>
  <c r="GC82" i="46"/>
  <c r="HG82" i="46"/>
  <c r="GI82" i="46"/>
  <c r="FZ82" i="46"/>
  <c r="IE82" i="46"/>
  <c r="IB82" i="46"/>
  <c r="HY82" i="46"/>
  <c r="HM82" i="46"/>
  <c r="HJ82" i="46"/>
  <c r="GO124" i="46"/>
  <c r="HG124" i="46"/>
  <c r="FZ124" i="46"/>
  <c r="GR124" i="46"/>
  <c r="GL124" i="46"/>
  <c r="FW124" i="46"/>
  <c r="IB124" i="46"/>
  <c r="HY124" i="46"/>
  <c r="HM124" i="46"/>
  <c r="IH124" i="46"/>
  <c r="FT124" i="46"/>
  <c r="FQ124" i="46"/>
  <c r="FN124" i="46"/>
  <c r="IE124" i="46"/>
  <c r="HV124" i="46"/>
  <c r="HD124" i="46"/>
  <c r="HA124" i="46"/>
  <c r="GX124" i="46"/>
  <c r="GU124" i="46"/>
  <c r="GF124" i="46"/>
  <c r="HJ124" i="46"/>
  <c r="GI124" i="46"/>
  <c r="GC124" i="46"/>
  <c r="HS124" i="46"/>
  <c r="HP124" i="46"/>
  <c r="IB84" i="46"/>
  <c r="FT84" i="46"/>
  <c r="FZ84" i="46"/>
  <c r="IH84" i="46"/>
  <c r="FW84" i="46"/>
  <c r="HS84" i="46"/>
  <c r="GF84" i="46"/>
  <c r="GC84" i="46"/>
  <c r="FQ84" i="46"/>
  <c r="FN84" i="46"/>
  <c r="HV84" i="46"/>
  <c r="HP84" i="46"/>
  <c r="HM84" i="46"/>
  <c r="HA84" i="46"/>
  <c r="GX84" i="46"/>
  <c r="GU84" i="46"/>
  <c r="GR84" i="46"/>
  <c r="GL84" i="46"/>
  <c r="IE84" i="46"/>
  <c r="HD84" i="46"/>
  <c r="HY84" i="46"/>
  <c r="HJ84" i="46"/>
  <c r="HG84" i="46"/>
  <c r="GO84" i="46"/>
  <c r="GI84" i="46"/>
  <c r="GX86" i="46"/>
  <c r="HM86" i="46"/>
  <c r="HJ86" i="46"/>
  <c r="GU86" i="46"/>
  <c r="HS86" i="46"/>
  <c r="GF86" i="46"/>
  <c r="FW86" i="46"/>
  <c r="GC86" i="46"/>
  <c r="FZ86" i="46"/>
  <c r="IH86" i="46"/>
  <c r="IE86" i="46"/>
  <c r="IB86" i="46"/>
  <c r="HG86" i="46"/>
  <c r="HD86" i="46"/>
  <c r="HA86" i="46"/>
  <c r="GR86" i="46"/>
  <c r="GL86" i="46"/>
  <c r="HY86" i="46"/>
  <c r="HV86" i="46"/>
  <c r="HP86" i="46"/>
  <c r="GI86" i="46"/>
  <c r="FT86" i="46"/>
  <c r="GO86" i="46"/>
  <c r="FQ86" i="46"/>
  <c r="FN86" i="46"/>
  <c r="HY108" i="46"/>
  <c r="FQ108" i="46"/>
  <c r="GX108" i="46"/>
  <c r="HS108" i="46"/>
  <c r="HP108" i="46"/>
  <c r="HD108" i="46"/>
  <c r="HM108" i="46"/>
  <c r="HJ108" i="46"/>
  <c r="GR108" i="46"/>
  <c r="IB108" i="46"/>
  <c r="FN108" i="46"/>
  <c r="IE108" i="46"/>
  <c r="HV108" i="46"/>
  <c r="HG108" i="46"/>
  <c r="GL108" i="46"/>
  <c r="GI108" i="46"/>
  <c r="GF108" i="46"/>
  <c r="GC108" i="46"/>
  <c r="FW108" i="46"/>
  <c r="HA108" i="46"/>
  <c r="IH108" i="46"/>
  <c r="GU108" i="46"/>
  <c r="GO108" i="46"/>
  <c r="FZ108" i="46"/>
  <c r="FT108" i="46"/>
  <c r="IB96" i="46"/>
  <c r="FT96" i="46"/>
  <c r="HM96" i="46"/>
  <c r="HV96" i="46"/>
  <c r="HS96" i="46"/>
  <c r="HD96" i="46"/>
  <c r="IE96" i="46"/>
  <c r="FN96" i="46"/>
  <c r="HY96" i="46"/>
  <c r="HG96" i="46"/>
  <c r="HP96" i="46"/>
  <c r="HJ96" i="46"/>
  <c r="GR96" i="46"/>
  <c r="GO96" i="46"/>
  <c r="GL96" i="46"/>
  <c r="FZ96" i="46"/>
  <c r="FW96" i="46"/>
  <c r="FQ96" i="46"/>
  <c r="HA96" i="46"/>
  <c r="GI96" i="46"/>
  <c r="IH96" i="46"/>
  <c r="GX96" i="46"/>
  <c r="GU96" i="46"/>
  <c r="GF96" i="46"/>
  <c r="GC96" i="46"/>
  <c r="GF100" i="46"/>
  <c r="IE100" i="46"/>
  <c r="FT100" i="46"/>
  <c r="IB100" i="46"/>
  <c r="FQ100" i="46"/>
  <c r="HP100" i="46"/>
  <c r="HA100" i="46"/>
  <c r="GX100" i="46"/>
  <c r="GL100" i="46"/>
  <c r="HG100" i="46"/>
  <c r="GI100" i="46"/>
  <c r="FW100" i="46"/>
  <c r="GC100" i="46"/>
  <c r="FZ100" i="46"/>
  <c r="HS100" i="46"/>
  <c r="HM100" i="46"/>
  <c r="HJ100" i="46"/>
  <c r="HD100" i="46"/>
  <c r="GR100" i="46"/>
  <c r="HV100" i="46"/>
  <c r="IH100" i="46"/>
  <c r="HY100" i="46"/>
  <c r="GU100" i="46"/>
  <c r="GO100" i="46"/>
  <c r="FN100" i="46"/>
  <c r="IH125" i="46"/>
  <c r="FZ125" i="46"/>
  <c r="GU125" i="46"/>
  <c r="IE125" i="46"/>
  <c r="FQ125" i="46"/>
  <c r="GL125" i="46"/>
  <c r="GI125" i="46"/>
  <c r="FT125" i="46"/>
  <c r="IB125" i="46"/>
  <c r="HP125" i="46"/>
  <c r="HA125" i="46"/>
  <c r="GO125" i="46"/>
  <c r="GX125" i="46"/>
  <c r="GR125" i="46"/>
  <c r="FN125" i="46"/>
  <c r="HY125" i="46"/>
  <c r="HV125" i="46"/>
  <c r="HS125" i="46"/>
  <c r="HM125" i="46"/>
  <c r="HG125" i="46"/>
  <c r="HD125" i="46"/>
  <c r="HJ125" i="46"/>
  <c r="GF125" i="46"/>
  <c r="GC125" i="46"/>
  <c r="FW125" i="46"/>
  <c r="GU103" i="46"/>
  <c r="GX103" i="46"/>
  <c r="GR103" i="46"/>
  <c r="GF103" i="46"/>
  <c r="HD103" i="46"/>
  <c r="HA103" i="46"/>
  <c r="GC103" i="46"/>
  <c r="HJ103" i="46"/>
  <c r="IH103" i="46"/>
  <c r="HY103" i="46"/>
  <c r="IE103" i="46"/>
  <c r="IB103" i="46"/>
  <c r="HM103" i="46"/>
  <c r="HG103" i="46"/>
  <c r="GO103" i="46"/>
  <c r="FW103" i="46"/>
  <c r="FT103" i="46"/>
  <c r="FQ103" i="46"/>
  <c r="FN103" i="46"/>
  <c r="HS103" i="46"/>
  <c r="HV103" i="46"/>
  <c r="HP103" i="46"/>
  <c r="GL103" i="46"/>
  <c r="GI103" i="46"/>
  <c r="FZ103" i="46"/>
  <c r="HD127" i="46"/>
  <c r="IH127" i="46"/>
  <c r="FW127" i="46"/>
  <c r="HP127" i="46"/>
  <c r="GC127" i="46"/>
  <c r="FZ127" i="46"/>
  <c r="IB127" i="46"/>
  <c r="FT127" i="46"/>
  <c r="FQ127" i="46"/>
  <c r="IE127" i="46"/>
  <c r="GI127" i="46"/>
  <c r="HM127" i="46"/>
  <c r="HJ127" i="46"/>
  <c r="HG127" i="46"/>
  <c r="GR127" i="46"/>
  <c r="GO127" i="46"/>
  <c r="GL127" i="46"/>
  <c r="GF127" i="46"/>
  <c r="HV127" i="46"/>
  <c r="HS127" i="46"/>
  <c r="HA127" i="46"/>
  <c r="GX127" i="46"/>
  <c r="FN127" i="46"/>
  <c r="HY127" i="46"/>
  <c r="GU127" i="46"/>
  <c r="HM93" i="46"/>
  <c r="GR93" i="46"/>
  <c r="GO93" i="46"/>
  <c r="GC93" i="46"/>
  <c r="GX93" i="46"/>
  <c r="HJ93" i="46"/>
  <c r="HA93" i="46"/>
  <c r="HG93" i="46"/>
  <c r="HD93" i="46"/>
  <c r="GF93" i="46"/>
  <c r="FZ93" i="46"/>
  <c r="FW93" i="46"/>
  <c r="IH93" i="46"/>
  <c r="IE93" i="46"/>
  <c r="IB93" i="46"/>
  <c r="HY93" i="46"/>
  <c r="HS93" i="46"/>
  <c r="FN93" i="46"/>
  <c r="HP93" i="46"/>
  <c r="HV93" i="46"/>
  <c r="GU93" i="46"/>
  <c r="GL93" i="46"/>
  <c r="GI93" i="46"/>
  <c r="FT93" i="46"/>
  <c r="FQ93" i="46"/>
  <c r="IH117" i="46"/>
  <c r="FZ117" i="46"/>
  <c r="HY117" i="46"/>
  <c r="FN117" i="46"/>
  <c r="FT117" i="46"/>
  <c r="HV117" i="46"/>
  <c r="HS117" i="46"/>
  <c r="HG117" i="46"/>
  <c r="GI117" i="46"/>
  <c r="GF117" i="46"/>
  <c r="GO117" i="46"/>
  <c r="GL117" i="46"/>
  <c r="FQ117" i="46"/>
  <c r="GC117" i="46"/>
  <c r="FW117" i="46"/>
  <c r="HM117" i="46"/>
  <c r="HJ117" i="46"/>
  <c r="HD117" i="46"/>
  <c r="HA117" i="46"/>
  <c r="GU117" i="46"/>
  <c r="HP117" i="46"/>
  <c r="GX117" i="46"/>
  <c r="GR117" i="46"/>
  <c r="IE117" i="46"/>
  <c r="IB117" i="46"/>
  <c r="GI87" i="46"/>
  <c r="HA87" i="46"/>
  <c r="GX87" i="46"/>
  <c r="GL87" i="46"/>
  <c r="HG87" i="46"/>
  <c r="GF87" i="46"/>
  <c r="FW87" i="46"/>
  <c r="GC87" i="46"/>
  <c r="FZ87" i="46"/>
  <c r="IH87" i="46"/>
  <c r="IE87" i="46"/>
  <c r="IB87" i="46"/>
  <c r="HP87" i="46"/>
  <c r="HM87" i="46"/>
  <c r="HJ87" i="46"/>
  <c r="HD87" i="46"/>
  <c r="GR87" i="46"/>
  <c r="HS87" i="46"/>
  <c r="FQ87" i="46"/>
  <c r="GU87" i="46"/>
  <c r="GO87" i="46"/>
  <c r="FT87" i="46"/>
  <c r="FN87" i="46"/>
  <c r="HY87" i="46"/>
  <c r="HV87" i="46"/>
  <c r="GI91" i="46"/>
  <c r="HP91" i="46"/>
  <c r="HM91" i="46"/>
  <c r="HA91" i="46"/>
  <c r="HV91" i="46"/>
  <c r="GX91" i="46"/>
  <c r="GO91" i="46"/>
  <c r="GU91" i="46"/>
  <c r="GR91" i="46"/>
  <c r="FZ91" i="46"/>
  <c r="FW91" i="46"/>
  <c r="FT91" i="46"/>
  <c r="IE91" i="46"/>
  <c r="IB91" i="46"/>
  <c r="HY91" i="46"/>
  <c r="HS91" i="46"/>
  <c r="HG91" i="46"/>
  <c r="GL91" i="46"/>
  <c r="IH91" i="46"/>
  <c r="HD91" i="46"/>
  <c r="FQ91" i="46"/>
  <c r="HJ91" i="46"/>
  <c r="GF91" i="46"/>
  <c r="GC91" i="46"/>
  <c r="FN91" i="46"/>
  <c r="HM97" i="46"/>
  <c r="GX97" i="46"/>
  <c r="HP97" i="46"/>
  <c r="HJ97" i="46"/>
  <c r="GU97" i="46"/>
  <c r="HV97" i="46"/>
  <c r="IH97" i="46"/>
  <c r="HY97" i="46"/>
  <c r="IE97" i="46"/>
  <c r="IB97" i="46"/>
  <c r="HA97" i="46"/>
  <c r="GR97" i="46"/>
  <c r="GO97" i="46"/>
  <c r="GC97" i="46"/>
  <c r="FZ97" i="46"/>
  <c r="FW97" i="46"/>
  <c r="FT97" i="46"/>
  <c r="FN97" i="46"/>
  <c r="HG97" i="46"/>
  <c r="HS97" i="46"/>
  <c r="HD97" i="46"/>
  <c r="GL97" i="46"/>
  <c r="GI97" i="46"/>
  <c r="GF97" i="46"/>
  <c r="FQ97" i="46"/>
  <c r="HS126" i="46"/>
  <c r="GI126" i="46"/>
  <c r="HY126" i="46"/>
  <c r="GF126" i="46"/>
  <c r="GC126" i="46"/>
  <c r="IH126" i="46"/>
  <c r="FQ126" i="46"/>
  <c r="FN126" i="46"/>
  <c r="HV126" i="46"/>
  <c r="FW126" i="46"/>
  <c r="HP126" i="46"/>
  <c r="HG126" i="46"/>
  <c r="HM126" i="46"/>
  <c r="HJ126" i="46"/>
  <c r="GU126" i="46"/>
  <c r="GR126" i="46"/>
  <c r="GO126" i="46"/>
  <c r="IE126" i="46"/>
  <c r="IB126" i="46"/>
  <c r="HD126" i="46"/>
  <c r="HA126" i="46"/>
  <c r="GL126" i="46"/>
  <c r="FZ126" i="46"/>
  <c r="GX126" i="46"/>
  <c r="FT126" i="46"/>
  <c r="HY101" i="46"/>
  <c r="FQ101" i="46"/>
  <c r="HS101" i="46"/>
  <c r="HP101" i="46"/>
  <c r="HD101" i="46"/>
  <c r="GX101" i="46"/>
  <c r="GU101" i="46"/>
  <c r="GI101" i="46"/>
  <c r="HG101" i="46"/>
  <c r="HA101" i="46"/>
  <c r="GL101" i="46"/>
  <c r="GR101" i="46"/>
  <c r="GO101" i="46"/>
  <c r="FW101" i="46"/>
  <c r="FT101" i="46"/>
  <c r="FN101" i="46"/>
  <c r="IH101" i="46"/>
  <c r="IE101" i="46"/>
  <c r="IB101" i="46"/>
  <c r="HM101" i="46"/>
  <c r="GC101" i="46"/>
  <c r="FZ101" i="46"/>
  <c r="HV101" i="46"/>
  <c r="HJ101" i="46"/>
  <c r="GF101" i="46"/>
  <c r="IB92" i="46"/>
  <c r="FT92" i="46"/>
  <c r="HD92" i="46"/>
  <c r="HA92" i="46"/>
  <c r="GO92" i="46"/>
  <c r="HJ92" i="46"/>
  <c r="HG92" i="46"/>
  <c r="GR92" i="46"/>
  <c r="GX92" i="46"/>
  <c r="GU92" i="46"/>
  <c r="GC92" i="46"/>
  <c r="FZ92" i="46"/>
  <c r="FW92" i="46"/>
  <c r="IH92" i="46"/>
  <c r="IE92" i="46"/>
  <c r="HY92" i="46"/>
  <c r="HV92" i="46"/>
  <c r="HP92" i="46"/>
  <c r="GI92" i="46"/>
  <c r="HS92" i="46"/>
  <c r="HM92" i="46"/>
  <c r="GL92" i="46"/>
  <c r="GF92" i="46"/>
  <c r="FQ92" i="46"/>
  <c r="FN92" i="46"/>
  <c r="HM81" i="46"/>
  <c r="HG81" i="46"/>
  <c r="HD81" i="46"/>
  <c r="GR81" i="46"/>
  <c r="FZ81" i="46"/>
  <c r="FQ81" i="46"/>
  <c r="FW81" i="46"/>
  <c r="FT81" i="46"/>
  <c r="HY81" i="46"/>
  <c r="HV81" i="46"/>
  <c r="HS81" i="46"/>
  <c r="GX81" i="46"/>
  <c r="GU81" i="46"/>
  <c r="GO81" i="46"/>
  <c r="GL81" i="46"/>
  <c r="GF81" i="46"/>
  <c r="IE81" i="46"/>
  <c r="FN81" i="46"/>
  <c r="IH81" i="46"/>
  <c r="IB81" i="46"/>
  <c r="HP81" i="46"/>
  <c r="HJ81" i="46"/>
  <c r="HA81" i="46"/>
  <c r="GI81" i="46"/>
  <c r="GC81" i="46"/>
  <c r="GI95" i="46"/>
  <c r="IE95" i="46"/>
  <c r="FT95" i="46"/>
  <c r="IB95" i="46"/>
  <c r="FQ95" i="46"/>
  <c r="HP95" i="46"/>
  <c r="FZ95" i="46"/>
  <c r="HM95" i="46"/>
  <c r="HD95" i="46"/>
  <c r="HJ95" i="46"/>
  <c r="HG95" i="46"/>
  <c r="GR95" i="46"/>
  <c r="GO95" i="46"/>
  <c r="GL95" i="46"/>
  <c r="FN95" i="46"/>
  <c r="IH95" i="46"/>
  <c r="HV95" i="46"/>
  <c r="GX95" i="46"/>
  <c r="FW95" i="46"/>
  <c r="GU95" i="46"/>
  <c r="GF95" i="46"/>
  <c r="GC95" i="46"/>
  <c r="HY95" i="46"/>
  <c r="HS95" i="46"/>
  <c r="HA95" i="46"/>
  <c r="IB80" i="46"/>
  <c r="FT80" i="46"/>
  <c r="HS80" i="46"/>
  <c r="HP80" i="46"/>
  <c r="HD80" i="46"/>
  <c r="GC80" i="46"/>
  <c r="FQ80" i="46"/>
  <c r="FZ80" i="46"/>
  <c r="FW80" i="46"/>
  <c r="HY80" i="46"/>
  <c r="HV80" i="46"/>
  <c r="HM80" i="46"/>
  <c r="GX80" i="46"/>
  <c r="GU80" i="46"/>
  <c r="GR80" i="46"/>
  <c r="GO80" i="46"/>
  <c r="GI80" i="46"/>
  <c r="HJ80" i="46"/>
  <c r="IH80" i="46"/>
  <c r="IE80" i="46"/>
  <c r="HG80" i="46"/>
  <c r="HA80" i="46"/>
  <c r="GL80" i="46"/>
  <c r="GF80" i="46"/>
  <c r="FN80" i="46"/>
  <c r="GF111" i="46"/>
  <c r="HY111" i="46"/>
  <c r="FN111" i="46"/>
  <c r="GU111" i="46"/>
  <c r="GR111" i="46"/>
  <c r="GC111" i="46"/>
  <c r="HV111" i="46"/>
  <c r="HS111" i="46"/>
  <c r="HG111" i="46"/>
  <c r="IE111" i="46"/>
  <c r="IB111" i="46"/>
  <c r="HJ111" i="46"/>
  <c r="HP111" i="46"/>
  <c r="HM111" i="46"/>
  <c r="GO111" i="46"/>
  <c r="GL111" i="46"/>
  <c r="GI111" i="46"/>
  <c r="FQ111" i="46"/>
  <c r="FT111" i="46"/>
  <c r="IH111" i="46"/>
  <c r="HD111" i="46"/>
  <c r="HA111" i="46"/>
  <c r="GX111" i="46"/>
  <c r="FZ111" i="46"/>
  <c r="FW111" i="46"/>
  <c r="HS118" i="46"/>
  <c r="HM118" i="46"/>
  <c r="IB118" i="46"/>
  <c r="FN118" i="46"/>
  <c r="HV118" i="46"/>
  <c r="HP118" i="46"/>
  <c r="HA118" i="46"/>
  <c r="GL118" i="46"/>
  <c r="GI118" i="46"/>
  <c r="FW118" i="46"/>
  <c r="GR118" i="46"/>
  <c r="HG118" i="46"/>
  <c r="GU118" i="46"/>
  <c r="HD118" i="46"/>
  <c r="GX118" i="46"/>
  <c r="FZ118" i="46"/>
  <c r="FT118" i="46"/>
  <c r="FQ118" i="46"/>
  <c r="IH118" i="46"/>
  <c r="HY118" i="46"/>
  <c r="HJ118" i="46"/>
  <c r="IE118" i="46"/>
  <c r="GO118" i="46"/>
  <c r="GF118" i="46"/>
  <c r="GC118" i="46"/>
  <c r="EA115" i="46"/>
  <c r="EV115" i="46"/>
  <c r="DI115" i="46"/>
  <c r="FB115" i="46"/>
  <c r="ES115" i="46"/>
  <c r="EM115" i="46"/>
  <c r="EJ115" i="46"/>
  <c r="EG115" i="46"/>
  <c r="FK115" i="46"/>
  <c r="EP115" i="46"/>
  <c r="ED115" i="46"/>
  <c r="DX115" i="46"/>
  <c r="DU115" i="46"/>
  <c r="DO115" i="46"/>
  <c r="DL115" i="46"/>
  <c r="DF115" i="46"/>
  <c r="DC115" i="46"/>
  <c r="CZ115" i="46"/>
  <c r="CQ115" i="46"/>
  <c r="FE115" i="46"/>
  <c r="CW115" i="46"/>
  <c r="FH115" i="46"/>
  <c r="EY115" i="46"/>
  <c r="DR115" i="46"/>
  <c r="CT115" i="46"/>
  <c r="EA123" i="46"/>
  <c r="DO123" i="46"/>
  <c r="DF123" i="46"/>
  <c r="EY123" i="46"/>
  <c r="EM123" i="46"/>
  <c r="FK123" i="46"/>
  <c r="FH123" i="46"/>
  <c r="FE123" i="46"/>
  <c r="DC123" i="46"/>
  <c r="DX123" i="46"/>
  <c r="DU123" i="46"/>
  <c r="DR123" i="46"/>
  <c r="DL123" i="46"/>
  <c r="CZ123" i="46"/>
  <c r="CW123" i="46"/>
  <c r="CT123" i="46"/>
  <c r="CQ123" i="46"/>
  <c r="EP123" i="46"/>
  <c r="EG123" i="46"/>
  <c r="EV123" i="46"/>
  <c r="FB123" i="46"/>
  <c r="ES123" i="46"/>
  <c r="ED123" i="46"/>
  <c r="DI123" i="46"/>
  <c r="EJ123" i="46"/>
  <c r="FE110" i="46"/>
  <c r="CW110" i="46"/>
  <c r="DC110" i="46"/>
  <c r="EP110" i="46"/>
  <c r="CT110" i="46"/>
  <c r="EM110" i="46"/>
  <c r="EJ110" i="46"/>
  <c r="FH110" i="46"/>
  <c r="EY110" i="46"/>
  <c r="EV110" i="46"/>
  <c r="ES110" i="46"/>
  <c r="EG110" i="46"/>
  <c r="EA110" i="46"/>
  <c r="DX110" i="46"/>
  <c r="DU110" i="46"/>
  <c r="DR110" i="46"/>
  <c r="DO110" i="46"/>
  <c r="DF110" i="46"/>
  <c r="FK110" i="46"/>
  <c r="CZ110" i="46"/>
  <c r="CQ110" i="46"/>
  <c r="FB110" i="46"/>
  <c r="ED110" i="46"/>
  <c r="DL110" i="46"/>
  <c r="DI110" i="46"/>
  <c r="EP114" i="46"/>
  <c r="FH114" i="46"/>
  <c r="CW114" i="46"/>
  <c r="DR114" i="46"/>
  <c r="FK114" i="46"/>
  <c r="CT114" i="46"/>
  <c r="EV114" i="46"/>
  <c r="EJ114" i="46"/>
  <c r="EG114" i="46"/>
  <c r="ED114" i="46"/>
  <c r="FE114" i="46"/>
  <c r="DO114" i="46"/>
  <c r="DL114" i="46"/>
  <c r="DI114" i="46"/>
  <c r="DF114" i="46"/>
  <c r="CZ114" i="46"/>
  <c r="CQ114" i="46"/>
  <c r="EM114" i="46"/>
  <c r="DX114" i="46"/>
  <c r="DC114" i="46"/>
  <c r="FB114" i="46"/>
  <c r="EY114" i="46"/>
  <c r="ES114" i="46"/>
  <c r="EA114" i="46"/>
  <c r="DU114" i="46"/>
  <c r="DL120" i="46"/>
  <c r="EY120" i="46"/>
  <c r="EG120" i="46"/>
  <c r="DI120" i="46"/>
  <c r="EP120" i="46"/>
  <c r="FE120" i="46"/>
  <c r="FB120" i="46"/>
  <c r="EV120" i="46"/>
  <c r="CW120" i="46"/>
  <c r="FH120" i="46"/>
  <c r="ES120" i="46"/>
  <c r="EM120" i="46"/>
  <c r="EJ120" i="46"/>
  <c r="EA120" i="46"/>
  <c r="DX120" i="46"/>
  <c r="DU120" i="46"/>
  <c r="DR120" i="46"/>
  <c r="DO120" i="46"/>
  <c r="CZ120" i="46"/>
  <c r="ED120" i="46"/>
  <c r="FK120" i="46"/>
  <c r="CT120" i="46"/>
  <c r="CQ120" i="46"/>
  <c r="DF120" i="46"/>
  <c r="DC120" i="46"/>
  <c r="EY94" i="46"/>
  <c r="CQ94" i="46"/>
  <c r="DO94" i="46"/>
  <c r="FK94" i="46"/>
  <c r="CW94" i="46"/>
  <c r="FH94" i="46"/>
  <c r="CT94" i="46"/>
  <c r="DL94" i="46"/>
  <c r="ED94" i="46"/>
  <c r="EA94" i="46"/>
  <c r="DX94" i="46"/>
  <c r="DU94" i="46"/>
  <c r="DI94" i="46"/>
  <c r="DF94" i="46"/>
  <c r="DC94" i="46"/>
  <c r="CZ94" i="46"/>
  <c r="FE94" i="46"/>
  <c r="EP94" i="46"/>
  <c r="EJ94" i="46"/>
  <c r="EV94" i="46"/>
  <c r="FB94" i="46"/>
  <c r="EG94" i="46"/>
  <c r="DR94" i="46"/>
  <c r="ES94" i="46"/>
  <c r="EM94" i="46"/>
  <c r="EP122" i="46"/>
  <c r="EA122" i="46"/>
  <c r="DO122" i="46"/>
  <c r="FH122" i="46"/>
  <c r="CT122" i="46"/>
  <c r="EM122" i="46"/>
  <c r="FK122" i="46"/>
  <c r="FE122" i="46"/>
  <c r="FB122" i="46"/>
  <c r="DC122" i="46"/>
  <c r="DF122" i="46"/>
  <c r="CZ122" i="46"/>
  <c r="CW122" i="46"/>
  <c r="CQ122" i="46"/>
  <c r="EY122" i="46"/>
  <c r="EJ122" i="46"/>
  <c r="DU122" i="46"/>
  <c r="DL122" i="46"/>
  <c r="EG122" i="46"/>
  <c r="ED122" i="46"/>
  <c r="DX122" i="46"/>
  <c r="DR122" i="46"/>
  <c r="DI122" i="46"/>
  <c r="EV122" i="46"/>
  <c r="ES122" i="46"/>
  <c r="DU104" i="46"/>
  <c r="FH104" i="46"/>
  <c r="CZ104" i="46"/>
  <c r="EJ104" i="46"/>
  <c r="FE104" i="46"/>
  <c r="FB104" i="46"/>
  <c r="DF104" i="46"/>
  <c r="CT104" i="46"/>
  <c r="CQ104" i="46"/>
  <c r="EY104" i="46"/>
  <c r="EV104" i="46"/>
  <c r="ES104" i="46"/>
  <c r="EP104" i="46"/>
  <c r="EM104" i="46"/>
  <c r="EA104" i="46"/>
  <c r="DL104" i="46"/>
  <c r="DC104" i="46"/>
  <c r="DX104" i="46"/>
  <c r="DR104" i="46"/>
  <c r="DO104" i="46"/>
  <c r="DI104" i="46"/>
  <c r="CW104" i="46"/>
  <c r="FK104" i="46"/>
  <c r="EG104" i="46"/>
  <c r="ED104" i="46"/>
  <c r="FE89" i="46"/>
  <c r="CW89" i="46"/>
  <c r="FB89" i="46"/>
  <c r="CT89" i="46"/>
  <c r="DL89" i="46"/>
  <c r="EG89" i="46"/>
  <c r="ED89" i="46"/>
  <c r="EA89" i="46"/>
  <c r="DX89" i="46"/>
  <c r="DR89" i="46"/>
  <c r="DO89" i="46"/>
  <c r="DI89" i="46"/>
  <c r="DF89" i="46"/>
  <c r="DC89" i="46"/>
  <c r="FK89" i="46"/>
  <c r="ES89" i="46"/>
  <c r="EM89" i="46"/>
  <c r="EJ89" i="46"/>
  <c r="DU89" i="46"/>
  <c r="CZ89" i="46"/>
  <c r="CQ89" i="46"/>
  <c r="FH89" i="46"/>
  <c r="EY89" i="46"/>
  <c r="EV89" i="46"/>
  <c r="EP89" i="46"/>
  <c r="EP107" i="46"/>
  <c r="EJ107" i="46"/>
  <c r="DO107" i="46"/>
  <c r="DI107" i="46"/>
  <c r="EV107" i="46"/>
  <c r="ES107" i="46"/>
  <c r="FK107" i="46"/>
  <c r="CQ107" i="46"/>
  <c r="DR107" i="46"/>
  <c r="DL107" i="46"/>
  <c r="DF107" i="46"/>
  <c r="DC107" i="46"/>
  <c r="CW107" i="46"/>
  <c r="CT107" i="46"/>
  <c r="FB107" i="46"/>
  <c r="ED107" i="46"/>
  <c r="DX107" i="46"/>
  <c r="DU107" i="46"/>
  <c r="CZ107" i="46"/>
  <c r="FH107" i="46"/>
  <c r="EY107" i="46"/>
  <c r="EM107" i="46"/>
  <c r="EG107" i="46"/>
  <c r="EA107" i="46"/>
  <c r="FE107" i="46"/>
  <c r="EY98" i="46"/>
  <c r="CQ98" i="46"/>
  <c r="ED98" i="46"/>
  <c r="EA98" i="46"/>
  <c r="DX98" i="46"/>
  <c r="ES98" i="46"/>
  <c r="EP98" i="46"/>
  <c r="EM98" i="46"/>
  <c r="EJ98" i="46"/>
  <c r="EG98" i="46"/>
  <c r="DR98" i="46"/>
  <c r="DO98" i="46"/>
  <c r="DL98" i="46"/>
  <c r="DI98" i="46"/>
  <c r="DF98" i="46"/>
  <c r="CW98" i="46"/>
  <c r="FH98" i="46"/>
  <c r="FB98" i="46"/>
  <c r="FK98" i="46"/>
  <c r="DC98" i="46"/>
  <c r="FE98" i="46"/>
  <c r="EV98" i="46"/>
  <c r="DU98" i="46"/>
  <c r="CZ98" i="46"/>
  <c r="CT98" i="46"/>
  <c r="EP90" i="46"/>
  <c r="EM90" i="46"/>
  <c r="FE90" i="46"/>
  <c r="CW90" i="46"/>
  <c r="EA90" i="46"/>
  <c r="DX90" i="46"/>
  <c r="DU90" i="46"/>
  <c r="DR90" i="46"/>
  <c r="DL90" i="46"/>
  <c r="DI90" i="46"/>
  <c r="DF90" i="46"/>
  <c r="DC90" i="46"/>
  <c r="CZ90" i="46"/>
  <c r="FH90" i="46"/>
  <c r="ES90" i="46"/>
  <c r="FK90" i="46"/>
  <c r="DO90" i="46"/>
  <c r="FB90" i="46"/>
  <c r="EY90" i="46"/>
  <c r="EV90" i="46"/>
  <c r="EJ90" i="46"/>
  <c r="EG90" i="46"/>
  <c r="ED90" i="46"/>
  <c r="CT90" i="46"/>
  <c r="CQ90" i="46"/>
  <c r="EY106" i="46"/>
  <c r="CQ106" i="46"/>
  <c r="ED106" i="46"/>
  <c r="DR106" i="46"/>
  <c r="EV106" i="46"/>
  <c r="ES106" i="46"/>
  <c r="CW106" i="46"/>
  <c r="DI106" i="46"/>
  <c r="DF106" i="46"/>
  <c r="DC106" i="46"/>
  <c r="CZ106" i="46"/>
  <c r="FK106" i="46"/>
  <c r="FH106" i="46"/>
  <c r="FE106" i="46"/>
  <c r="EM106" i="46"/>
  <c r="DX106" i="46"/>
  <c r="DO106" i="46"/>
  <c r="FB106" i="46"/>
  <c r="EA106" i="46"/>
  <c r="EP106" i="46"/>
  <c r="EJ106" i="46"/>
  <c r="EG106" i="46"/>
  <c r="DU106" i="46"/>
  <c r="DL106" i="46"/>
  <c r="CT106" i="46"/>
  <c r="EJ99" i="46"/>
  <c r="DR99" i="46"/>
  <c r="DU99" i="46"/>
  <c r="DO99" i="46"/>
  <c r="EM99" i="46"/>
  <c r="EV99" i="46"/>
  <c r="ES99" i="46"/>
  <c r="EP99" i="46"/>
  <c r="EG99" i="46"/>
  <c r="EA99" i="46"/>
  <c r="DX99" i="46"/>
  <c r="DL99" i="46"/>
  <c r="DI99" i="46"/>
  <c r="DF99" i="46"/>
  <c r="CW99" i="46"/>
  <c r="FH99" i="46"/>
  <c r="FB99" i="46"/>
  <c r="CT99" i="46"/>
  <c r="CQ99" i="46"/>
  <c r="FK99" i="46"/>
  <c r="EY99" i="46"/>
  <c r="ED99" i="46"/>
  <c r="DC99" i="46"/>
  <c r="CZ99" i="46"/>
  <c r="FE99" i="46"/>
  <c r="EA83" i="46"/>
  <c r="DX83" i="46"/>
  <c r="DL83" i="46"/>
  <c r="DI83" i="46"/>
  <c r="DF83" i="46"/>
  <c r="DC83" i="46"/>
  <c r="FK83" i="46"/>
  <c r="CW83" i="46"/>
  <c r="FH83" i="46"/>
  <c r="CT83" i="46"/>
  <c r="FE83" i="46"/>
  <c r="CQ83" i="46"/>
  <c r="EY83" i="46"/>
  <c r="EP83" i="46"/>
  <c r="ED83" i="46"/>
  <c r="EV83" i="46"/>
  <c r="ES83" i="46"/>
  <c r="DR83" i="46"/>
  <c r="EM83" i="46"/>
  <c r="EJ83" i="46"/>
  <c r="EG83" i="46"/>
  <c r="DU83" i="46"/>
  <c r="DO83" i="46"/>
  <c r="CZ83" i="46"/>
  <c r="FB83" i="46"/>
  <c r="DL84" i="46"/>
  <c r="DI84" i="46"/>
  <c r="DC84" i="46"/>
  <c r="CZ84" i="46"/>
  <c r="FK84" i="46"/>
  <c r="CW84" i="46"/>
  <c r="FH84" i="46"/>
  <c r="CT84" i="46"/>
  <c r="FB84" i="46"/>
  <c r="EY84" i="46"/>
  <c r="EV84" i="46"/>
  <c r="EP84" i="46"/>
  <c r="EG84" i="46"/>
  <c r="DU84" i="46"/>
  <c r="DX84" i="46"/>
  <c r="EA84" i="46"/>
  <c r="FE84" i="46"/>
  <c r="ES84" i="46"/>
  <c r="EM84" i="46"/>
  <c r="EJ84" i="46"/>
  <c r="ED84" i="46"/>
  <c r="DO84" i="46"/>
  <c r="DF84" i="46"/>
  <c r="CQ84" i="46"/>
  <c r="DR84" i="46"/>
  <c r="DL109" i="46"/>
  <c r="DO109" i="46"/>
  <c r="FB109" i="46"/>
  <c r="CQ109" i="46"/>
  <c r="CZ109" i="46"/>
  <c r="EP109" i="46"/>
  <c r="EM109" i="46"/>
  <c r="FH109" i="46"/>
  <c r="EJ109" i="46"/>
  <c r="EG109" i="46"/>
  <c r="ED109" i="46"/>
  <c r="EA109" i="46"/>
  <c r="DU109" i="46"/>
  <c r="DR109" i="46"/>
  <c r="DI109" i="46"/>
  <c r="DF109" i="46"/>
  <c r="DC109" i="46"/>
  <c r="FE109" i="46"/>
  <c r="EV109" i="46"/>
  <c r="CW109" i="46"/>
  <c r="FK109" i="46"/>
  <c r="EY109" i="46"/>
  <c r="ES109" i="46"/>
  <c r="DX109" i="46"/>
  <c r="CT109" i="46"/>
  <c r="FE121" i="46"/>
  <c r="CW121" i="46"/>
  <c r="EM121" i="46"/>
  <c r="DX121" i="46"/>
  <c r="DC121" i="46"/>
  <c r="EP121" i="46"/>
  <c r="FH121" i="46"/>
  <c r="FB121" i="46"/>
  <c r="EY121" i="46"/>
  <c r="CZ121" i="46"/>
  <c r="EV121" i="46"/>
  <c r="ES121" i="46"/>
  <c r="EJ121" i="46"/>
  <c r="EG121" i="46"/>
  <c r="ED121" i="46"/>
  <c r="DR121" i="46"/>
  <c r="DF121" i="46"/>
  <c r="CQ121" i="46"/>
  <c r="EA121" i="46"/>
  <c r="FK121" i="46"/>
  <c r="DU121" i="46"/>
  <c r="DO121" i="46"/>
  <c r="DL121" i="46"/>
  <c r="DI121" i="46"/>
  <c r="CT121" i="46"/>
  <c r="DF97" i="46"/>
  <c r="EP97" i="46"/>
  <c r="EJ97" i="46"/>
  <c r="EG97" i="46"/>
  <c r="FB97" i="46"/>
  <c r="EM97" i="46"/>
  <c r="ED97" i="46"/>
  <c r="EA97" i="46"/>
  <c r="DX97" i="46"/>
  <c r="DR97" i="46"/>
  <c r="DO97" i="46"/>
  <c r="DL97" i="46"/>
  <c r="DI97" i="46"/>
  <c r="DC97" i="46"/>
  <c r="CT97" i="46"/>
  <c r="FE97" i="46"/>
  <c r="EV97" i="46"/>
  <c r="DU97" i="46"/>
  <c r="FK97" i="46"/>
  <c r="FH97" i="46"/>
  <c r="EY97" i="46"/>
  <c r="ES97" i="46"/>
  <c r="CQ97" i="46"/>
  <c r="CZ97" i="46"/>
  <c r="CW97" i="46"/>
  <c r="EA87" i="46"/>
  <c r="DX87" i="46"/>
  <c r="EV87" i="46"/>
  <c r="ES87" i="46"/>
  <c r="EP87" i="46"/>
  <c r="EM87" i="46"/>
  <c r="EG87" i="46"/>
  <c r="ED87" i="46"/>
  <c r="DU87" i="46"/>
  <c r="DR87" i="46"/>
  <c r="DO87" i="46"/>
  <c r="DF87" i="46"/>
  <c r="FH87" i="46"/>
  <c r="CT87" i="46"/>
  <c r="EJ87" i="46"/>
  <c r="DL87" i="46"/>
  <c r="DI87" i="46"/>
  <c r="CQ87" i="46"/>
  <c r="DC87" i="46"/>
  <c r="CZ87" i="46"/>
  <c r="CW87" i="46"/>
  <c r="FK87" i="46"/>
  <c r="FE87" i="46"/>
  <c r="FB87" i="46"/>
  <c r="EY87" i="46"/>
  <c r="DU96" i="46"/>
  <c r="FB96" i="46"/>
  <c r="CQ96" i="46"/>
  <c r="ES96" i="46"/>
  <c r="EP96" i="46"/>
  <c r="FK96" i="46"/>
  <c r="CW96" i="46"/>
  <c r="EG96" i="46"/>
  <c r="ED96" i="46"/>
  <c r="EA96" i="46"/>
  <c r="DX96" i="46"/>
  <c r="DO96" i="46"/>
  <c r="DL96" i="46"/>
  <c r="DI96" i="46"/>
  <c r="DF96" i="46"/>
  <c r="DC96" i="46"/>
  <c r="EY96" i="46"/>
  <c r="EM96" i="46"/>
  <c r="EJ96" i="46"/>
  <c r="DR96" i="46"/>
  <c r="CZ96" i="46"/>
  <c r="CT96" i="46"/>
  <c r="FH96" i="46"/>
  <c r="FE96" i="46"/>
  <c r="EV96" i="46"/>
  <c r="EP82" i="46"/>
  <c r="EM82" i="46"/>
  <c r="DU82" i="46"/>
  <c r="DR82" i="46"/>
  <c r="DO82" i="46"/>
  <c r="DL82" i="46"/>
  <c r="DF82" i="46"/>
  <c r="DC82" i="46"/>
  <c r="CZ82" i="46"/>
  <c r="FH82" i="46"/>
  <c r="CT82" i="46"/>
  <c r="EY82" i="46"/>
  <c r="EG82" i="46"/>
  <c r="CQ82" i="46"/>
  <c r="ES82" i="46"/>
  <c r="FK82" i="46"/>
  <c r="FE82" i="46"/>
  <c r="FB82" i="46"/>
  <c r="EV82" i="46"/>
  <c r="EJ82" i="46"/>
  <c r="EA82" i="46"/>
  <c r="DX82" i="46"/>
  <c r="DI82" i="46"/>
  <c r="CW82" i="46"/>
  <c r="ED82" i="46"/>
  <c r="EA119" i="46"/>
  <c r="FK119" i="46"/>
  <c r="CZ119" i="46"/>
  <c r="EP119" i="46"/>
  <c r="DR119" i="46"/>
  <c r="ES119" i="46"/>
  <c r="FB119" i="46"/>
  <c r="EY119" i="46"/>
  <c r="EV119" i="46"/>
  <c r="CT119" i="46"/>
  <c r="ED119" i="46"/>
  <c r="DX119" i="46"/>
  <c r="DU119" i="46"/>
  <c r="DO119" i="46"/>
  <c r="DI119" i="46"/>
  <c r="DF119" i="46"/>
  <c r="DC119" i="46"/>
  <c r="CW119" i="46"/>
  <c r="CQ119" i="46"/>
  <c r="FE119" i="46"/>
  <c r="EJ119" i="46"/>
  <c r="EG119" i="46"/>
  <c r="DL119" i="46"/>
  <c r="FH119" i="46"/>
  <c r="EM119" i="46"/>
  <c r="EP86" i="46"/>
  <c r="EM86" i="46"/>
  <c r="FE86" i="46"/>
  <c r="CQ86" i="46"/>
  <c r="FB86" i="46"/>
  <c r="EY86" i="46"/>
  <c r="EV86" i="46"/>
  <c r="EJ86" i="46"/>
  <c r="EG86" i="46"/>
  <c r="ED86" i="46"/>
  <c r="EA86" i="46"/>
  <c r="DX86" i="46"/>
  <c r="DO86" i="46"/>
  <c r="DC86" i="46"/>
  <c r="DI86" i="46"/>
  <c r="DF86" i="46"/>
  <c r="FK86" i="46"/>
  <c r="FH86" i="46"/>
  <c r="ES86" i="46"/>
  <c r="DU86" i="46"/>
  <c r="DR86" i="46"/>
  <c r="DL86" i="46"/>
  <c r="CW86" i="46"/>
  <c r="CT86" i="46"/>
  <c r="CZ86" i="46"/>
  <c r="EA112" i="46"/>
  <c r="EP112" i="46"/>
  <c r="DR112" i="46"/>
  <c r="FE112" i="46"/>
  <c r="EM112" i="46"/>
  <c r="EJ112" i="46"/>
  <c r="FH112" i="46"/>
  <c r="CT112" i="46"/>
  <c r="CQ112" i="46"/>
  <c r="FB112" i="46"/>
  <c r="EY112" i="46"/>
  <c r="EV112" i="46"/>
  <c r="ES112" i="46"/>
  <c r="EG112" i="46"/>
  <c r="DU112" i="46"/>
  <c r="DF112" i="46"/>
  <c r="CZ112" i="46"/>
  <c r="FK112" i="46"/>
  <c r="ED112" i="46"/>
  <c r="DX112" i="46"/>
  <c r="DO112" i="46"/>
  <c r="DL112" i="46"/>
  <c r="DC112" i="46"/>
  <c r="CW112" i="46"/>
  <c r="DI112" i="46"/>
  <c r="DL116" i="46"/>
  <c r="EJ116" i="46"/>
  <c r="CZ116" i="46"/>
  <c r="ES116" i="46"/>
  <c r="EV116" i="46"/>
  <c r="EP116" i="46"/>
  <c r="EM116" i="46"/>
  <c r="EG116" i="46"/>
  <c r="FK116" i="46"/>
  <c r="FH116" i="46"/>
  <c r="FE116" i="46"/>
  <c r="FB116" i="46"/>
  <c r="ED116" i="46"/>
  <c r="EA116" i="46"/>
  <c r="DX116" i="46"/>
  <c r="DU116" i="46"/>
  <c r="DR116" i="46"/>
  <c r="DF116" i="46"/>
  <c r="CQ116" i="46"/>
  <c r="DC116" i="46"/>
  <c r="CW116" i="46"/>
  <c r="CT116" i="46"/>
  <c r="EY116" i="46"/>
  <c r="DO116" i="46"/>
  <c r="DI116" i="46"/>
  <c r="EA108" i="46"/>
  <c r="DX108" i="46"/>
  <c r="DC108" i="46"/>
  <c r="DF108" i="46"/>
  <c r="ES108" i="46"/>
  <c r="EP108" i="46"/>
  <c r="FH108" i="46"/>
  <c r="ED108" i="46"/>
  <c r="DU108" i="46"/>
  <c r="DR108" i="46"/>
  <c r="DO108" i="46"/>
  <c r="DI108" i="46"/>
  <c r="CZ108" i="46"/>
  <c r="CW108" i="46"/>
  <c r="CT108" i="46"/>
  <c r="CQ108" i="46"/>
  <c r="FK108" i="46"/>
  <c r="EV108" i="46"/>
  <c r="EJ108" i="46"/>
  <c r="FE108" i="46"/>
  <c r="FB108" i="46"/>
  <c r="EY108" i="46"/>
  <c r="EM108" i="46"/>
  <c r="EG108" i="46"/>
  <c r="DL108" i="46"/>
  <c r="EP126" i="46"/>
  <c r="ES126" i="46"/>
  <c r="EY126" i="46"/>
  <c r="DX126" i="46"/>
  <c r="EG126" i="46"/>
  <c r="CW126" i="46"/>
  <c r="CT126" i="46"/>
  <c r="CQ126" i="46"/>
  <c r="DL126" i="46"/>
  <c r="CZ126" i="46"/>
  <c r="FK126" i="46"/>
  <c r="FH126" i="46"/>
  <c r="FE126" i="46"/>
  <c r="FB126" i="46"/>
  <c r="EV126" i="46"/>
  <c r="ED126" i="46"/>
  <c r="DO126" i="46"/>
  <c r="DF126" i="46"/>
  <c r="DC126" i="46"/>
  <c r="EM126" i="46"/>
  <c r="EA126" i="46"/>
  <c r="DU126" i="46"/>
  <c r="DR126" i="46"/>
  <c r="DI126" i="46"/>
  <c r="EJ126" i="46"/>
  <c r="DU100" i="46"/>
  <c r="DF100" i="46"/>
  <c r="DL100" i="46"/>
  <c r="DI100" i="46"/>
  <c r="ED100" i="46"/>
  <c r="EV100" i="46"/>
  <c r="ES100" i="46"/>
  <c r="EP100" i="46"/>
  <c r="EM100" i="46"/>
  <c r="EG100" i="46"/>
  <c r="EA100" i="46"/>
  <c r="DX100" i="46"/>
  <c r="DR100" i="46"/>
  <c r="DO100" i="46"/>
  <c r="CW100" i="46"/>
  <c r="FH100" i="46"/>
  <c r="FB100" i="46"/>
  <c r="FK100" i="46"/>
  <c r="FE100" i="46"/>
  <c r="EY100" i="46"/>
  <c r="EJ100" i="46"/>
  <c r="DC100" i="46"/>
  <c r="CZ100" i="46"/>
  <c r="CT100" i="46"/>
  <c r="CQ100" i="46"/>
  <c r="EY102" i="46"/>
  <c r="CQ102" i="46"/>
  <c r="ED102" i="46"/>
  <c r="FB102" i="46"/>
  <c r="CZ102" i="46"/>
  <c r="CW102" i="46"/>
  <c r="DO102" i="46"/>
  <c r="FH102" i="46"/>
  <c r="FE102" i="46"/>
  <c r="EV102" i="46"/>
  <c r="ES102" i="46"/>
  <c r="EM102" i="46"/>
  <c r="EJ102" i="46"/>
  <c r="EG102" i="46"/>
  <c r="EA102" i="46"/>
  <c r="DX102" i="46"/>
  <c r="DL102" i="46"/>
  <c r="CT102" i="46"/>
  <c r="EP102" i="46"/>
  <c r="FK102" i="46"/>
  <c r="DU102" i="46"/>
  <c r="DI102" i="46"/>
  <c r="DF102" i="46"/>
  <c r="DC102" i="46"/>
  <c r="DR102" i="46"/>
  <c r="DL124" i="46"/>
  <c r="DC124" i="46"/>
  <c r="FK124" i="46"/>
  <c r="CW124" i="46"/>
  <c r="EP124" i="46"/>
  <c r="EJ124" i="46"/>
  <c r="FH124" i="46"/>
  <c r="FE124" i="46"/>
  <c r="DI124" i="46"/>
  <c r="ES124" i="46"/>
  <c r="EM124" i="46"/>
  <c r="EG124" i="46"/>
  <c r="ED124" i="46"/>
  <c r="DX124" i="46"/>
  <c r="DU124" i="46"/>
  <c r="DR124" i="46"/>
  <c r="DO124" i="46"/>
  <c r="DF124" i="46"/>
  <c r="CQ124" i="46"/>
  <c r="EY124" i="46"/>
  <c r="FB124" i="46"/>
  <c r="EV124" i="46"/>
  <c r="EA124" i="46"/>
  <c r="CZ124" i="46"/>
  <c r="CT124" i="46"/>
  <c r="DF105" i="46"/>
  <c r="ES105" i="46"/>
  <c r="EA105" i="46"/>
  <c r="FB105" i="46"/>
  <c r="EY105" i="46"/>
  <c r="CZ105" i="46"/>
  <c r="DC105" i="46"/>
  <c r="CW105" i="46"/>
  <c r="CT105" i="46"/>
  <c r="CQ105" i="46"/>
  <c r="FK105" i="46"/>
  <c r="FH105" i="46"/>
  <c r="FE105" i="46"/>
  <c r="EV105" i="46"/>
  <c r="EP105" i="46"/>
  <c r="EG105" i="46"/>
  <c r="DR105" i="46"/>
  <c r="DL105" i="46"/>
  <c r="DX105" i="46"/>
  <c r="EM105" i="46"/>
  <c r="EJ105" i="46"/>
  <c r="ED105" i="46"/>
  <c r="DI105" i="46"/>
  <c r="DU105" i="46"/>
  <c r="DO105" i="46"/>
  <c r="EJ91" i="46"/>
  <c r="EA91" i="46"/>
  <c r="DX91" i="46"/>
  <c r="ES91" i="46"/>
  <c r="DU91" i="46"/>
  <c r="DR91" i="46"/>
  <c r="DO91" i="46"/>
  <c r="DL91" i="46"/>
  <c r="DF91" i="46"/>
  <c r="DC91" i="46"/>
  <c r="CZ91" i="46"/>
  <c r="CW91" i="46"/>
  <c r="CT91" i="46"/>
  <c r="FE91" i="46"/>
  <c r="EP91" i="46"/>
  <c r="EV91" i="46"/>
  <c r="EM91" i="46"/>
  <c r="EG91" i="46"/>
  <c r="ED91" i="46"/>
  <c r="DI91" i="46"/>
  <c r="CQ91" i="46"/>
  <c r="FK91" i="46"/>
  <c r="FH91" i="46"/>
  <c r="FB91" i="46"/>
  <c r="EY91" i="46"/>
  <c r="DL88" i="46"/>
  <c r="DI88" i="46"/>
  <c r="EM88" i="46"/>
  <c r="EJ88" i="46"/>
  <c r="EG88" i="46"/>
  <c r="ED88" i="46"/>
  <c r="DX88" i="46"/>
  <c r="DU88" i="46"/>
  <c r="DR88" i="46"/>
  <c r="DO88" i="46"/>
  <c r="DF88" i="46"/>
  <c r="FK88" i="46"/>
  <c r="CW88" i="46"/>
  <c r="EY88" i="46"/>
  <c r="FH88" i="46"/>
  <c r="FE88" i="46"/>
  <c r="FB88" i="46"/>
  <c r="EV88" i="46"/>
  <c r="ES88" i="46"/>
  <c r="EP88" i="46"/>
  <c r="EA88" i="46"/>
  <c r="DC88" i="46"/>
  <c r="CZ88" i="46"/>
  <c r="CT88" i="46"/>
  <c r="CQ88" i="46"/>
  <c r="FE125" i="46"/>
  <c r="CW125" i="46"/>
  <c r="FB125" i="46"/>
  <c r="CQ125" i="46"/>
  <c r="FH125" i="46"/>
  <c r="EG125" i="46"/>
  <c r="EJ125" i="46"/>
  <c r="CT125" i="46"/>
  <c r="DL125" i="46"/>
  <c r="FK125" i="46"/>
  <c r="EY125" i="46"/>
  <c r="EV125" i="46"/>
  <c r="EP125" i="46"/>
  <c r="EM125" i="46"/>
  <c r="ED125" i="46"/>
  <c r="EA125" i="46"/>
  <c r="DX125" i="46"/>
  <c r="DO125" i="46"/>
  <c r="CZ125" i="46"/>
  <c r="ES125" i="46"/>
  <c r="DU125" i="46"/>
  <c r="DC125" i="46"/>
  <c r="DR125" i="46"/>
  <c r="DI125" i="46"/>
  <c r="DF125" i="46"/>
  <c r="EA127" i="46"/>
  <c r="EG127" i="46"/>
  <c r="EP127" i="46"/>
  <c r="DO127" i="46"/>
  <c r="EJ127" i="46"/>
  <c r="CW127" i="46"/>
  <c r="CT127" i="46"/>
  <c r="CQ127" i="46"/>
  <c r="DL127" i="46"/>
  <c r="DR127" i="46"/>
  <c r="DI127" i="46"/>
  <c r="DF127" i="46"/>
  <c r="DC127" i="46"/>
  <c r="FK127" i="46"/>
  <c r="FB127" i="46"/>
  <c r="EM127" i="46"/>
  <c r="DX127" i="46"/>
  <c r="FH127" i="46"/>
  <c r="FE127" i="46"/>
  <c r="CZ127" i="46"/>
  <c r="EY127" i="46"/>
  <c r="EV127" i="46"/>
  <c r="ES127" i="46"/>
  <c r="ED127" i="46"/>
  <c r="DU127" i="46"/>
  <c r="EJ103" i="46"/>
  <c r="DO103" i="46"/>
  <c r="ES103" i="46"/>
  <c r="FK103" i="46"/>
  <c r="CT103" i="46"/>
  <c r="FH103" i="46"/>
  <c r="CQ103" i="46"/>
  <c r="DI103" i="46"/>
  <c r="FE103" i="46"/>
  <c r="FB103" i="46"/>
  <c r="EV103" i="46"/>
  <c r="EP103" i="46"/>
  <c r="EM103" i="46"/>
  <c r="EG103" i="46"/>
  <c r="ED103" i="46"/>
  <c r="DU103" i="46"/>
  <c r="DC103" i="46"/>
  <c r="CW103" i="46"/>
  <c r="EA103" i="46"/>
  <c r="EY103" i="46"/>
  <c r="DX103" i="46"/>
  <c r="DR103" i="46"/>
  <c r="DL103" i="46"/>
  <c r="DF103" i="46"/>
  <c r="CZ103" i="46"/>
  <c r="DF101" i="46"/>
  <c r="ES101" i="46"/>
  <c r="FH101" i="46"/>
  <c r="CT101" i="46"/>
  <c r="DC101" i="46"/>
  <c r="CZ101" i="46"/>
  <c r="DU101" i="46"/>
  <c r="EY101" i="46"/>
  <c r="EV101" i="46"/>
  <c r="EP101" i="46"/>
  <c r="EM101" i="46"/>
  <c r="EG101" i="46"/>
  <c r="ED101" i="46"/>
  <c r="EA101" i="46"/>
  <c r="DX101" i="46"/>
  <c r="DR101" i="46"/>
  <c r="DI101" i="46"/>
  <c r="FE101" i="46"/>
  <c r="FB101" i="46"/>
  <c r="EJ101" i="46"/>
  <c r="DO101" i="46"/>
  <c r="DL101" i="46"/>
  <c r="CW101" i="46"/>
  <c r="CQ101" i="46"/>
  <c r="FK101" i="46"/>
  <c r="FE85" i="46"/>
  <c r="CW85" i="46"/>
  <c r="FB85" i="46"/>
  <c r="CT85" i="46"/>
  <c r="CZ85" i="46"/>
  <c r="FK85" i="46"/>
  <c r="CQ85" i="46"/>
  <c r="FH85" i="46"/>
  <c r="EY85" i="46"/>
  <c r="ES85" i="46"/>
  <c r="EP85" i="46"/>
  <c r="EM85" i="46"/>
  <c r="EG85" i="46"/>
  <c r="DX85" i="46"/>
  <c r="DL85" i="46"/>
  <c r="ED85" i="46"/>
  <c r="EA85" i="46"/>
  <c r="DU85" i="46"/>
  <c r="DR85" i="46"/>
  <c r="DO85" i="46"/>
  <c r="DI85" i="46"/>
  <c r="DC85" i="46"/>
  <c r="EV85" i="46"/>
  <c r="DF85" i="46"/>
  <c r="EJ85" i="46"/>
  <c r="DL113" i="46"/>
  <c r="ED113" i="46"/>
  <c r="DF113" i="46"/>
  <c r="EY113" i="46"/>
  <c r="EM113" i="46"/>
  <c r="EJ113" i="46"/>
  <c r="EG113" i="46"/>
  <c r="FE113" i="46"/>
  <c r="CZ113" i="46"/>
  <c r="CW113" i="46"/>
  <c r="CT113" i="46"/>
  <c r="CQ113" i="46"/>
  <c r="FK113" i="46"/>
  <c r="FH113" i="46"/>
  <c r="FB113" i="46"/>
  <c r="EP113" i="46"/>
  <c r="DR113" i="46"/>
  <c r="DI113" i="46"/>
  <c r="DC113" i="46"/>
  <c r="EV113" i="46"/>
  <c r="EA113" i="46"/>
  <c r="DX113" i="46"/>
  <c r="DU113" i="46"/>
  <c r="DO113" i="46"/>
  <c r="ES113" i="46"/>
  <c r="DU92" i="46"/>
  <c r="DO92" i="46"/>
  <c r="DL92" i="46"/>
  <c r="EG92" i="46"/>
  <c r="EA92" i="46"/>
  <c r="DX92" i="46"/>
  <c r="DR92" i="46"/>
  <c r="DI92" i="46"/>
  <c r="DC92" i="46"/>
  <c r="CZ92" i="46"/>
  <c r="CW92" i="46"/>
  <c r="CT92" i="46"/>
  <c r="FK92" i="46"/>
  <c r="CQ92" i="46"/>
  <c r="FB92" i="46"/>
  <c r="EP92" i="46"/>
  <c r="ED92" i="46"/>
  <c r="EJ92" i="46"/>
  <c r="FH92" i="46"/>
  <c r="FE92" i="46"/>
  <c r="EY92" i="46"/>
  <c r="EV92" i="46"/>
  <c r="ES92" i="46"/>
  <c r="EM92" i="46"/>
  <c r="DF92" i="46"/>
  <c r="DF93" i="46"/>
  <c r="EA93" i="46"/>
  <c r="DC93" i="46"/>
  <c r="CZ93" i="46"/>
  <c r="DU93" i="46"/>
  <c r="ED93" i="46"/>
  <c r="DX93" i="46"/>
  <c r="DR93" i="46"/>
  <c r="DO93" i="46"/>
  <c r="DI93" i="46"/>
  <c r="CW93" i="46"/>
  <c r="CT93" i="46"/>
  <c r="CQ93" i="46"/>
  <c r="FK93" i="46"/>
  <c r="FB93" i="46"/>
  <c r="EP93" i="46"/>
  <c r="EY93" i="46"/>
  <c r="EV93" i="46"/>
  <c r="ES93" i="46"/>
  <c r="DL93" i="46"/>
  <c r="EM93" i="46"/>
  <c r="EJ93" i="46"/>
  <c r="EG93" i="46"/>
  <c r="FH93" i="46"/>
  <c r="FE93" i="46"/>
  <c r="FE81" i="46"/>
  <c r="FB81" i="46"/>
  <c r="CT81" i="46"/>
  <c r="ED81" i="46"/>
  <c r="EA81" i="46"/>
  <c r="DX81" i="46"/>
  <c r="DU81" i="46"/>
  <c r="DO81" i="46"/>
  <c r="DL81" i="46"/>
  <c r="DI81" i="46"/>
  <c r="DC81" i="46"/>
  <c r="FH81" i="46"/>
  <c r="CQ81" i="46"/>
  <c r="EP81" i="46"/>
  <c r="FK81" i="46"/>
  <c r="EY81" i="46"/>
  <c r="EV81" i="46"/>
  <c r="ES81" i="46"/>
  <c r="EM81" i="46"/>
  <c r="EG81" i="46"/>
  <c r="DR81" i="46"/>
  <c r="DF81" i="46"/>
  <c r="CZ81" i="46"/>
  <c r="CW81" i="46"/>
  <c r="EJ81" i="46"/>
  <c r="FE117" i="46"/>
  <c r="CW117" i="46"/>
  <c r="DX117" i="46"/>
  <c r="FH117" i="46"/>
  <c r="CQ117" i="46"/>
  <c r="EJ117" i="46"/>
  <c r="ES117" i="46"/>
  <c r="EV117" i="46"/>
  <c r="EP117" i="46"/>
  <c r="EM117" i="46"/>
  <c r="CT117" i="46"/>
  <c r="FK117" i="46"/>
  <c r="FB117" i="46"/>
  <c r="EY117" i="46"/>
  <c r="EG117" i="46"/>
  <c r="DU117" i="46"/>
  <c r="DI117" i="46"/>
  <c r="DC117" i="46"/>
  <c r="ED117" i="46"/>
  <c r="EA117" i="46"/>
  <c r="DR117" i="46"/>
  <c r="DO117" i="46"/>
  <c r="CZ117" i="46"/>
  <c r="DL117" i="46"/>
  <c r="DF117" i="46"/>
  <c r="EJ95" i="46"/>
  <c r="DC95" i="46"/>
  <c r="FB95" i="46"/>
  <c r="EY95" i="46"/>
  <c r="DF95" i="46"/>
  <c r="ED95" i="46"/>
  <c r="EA95" i="46"/>
  <c r="DX95" i="46"/>
  <c r="DU95" i="46"/>
  <c r="DO95" i="46"/>
  <c r="DL95" i="46"/>
  <c r="DI95" i="46"/>
  <c r="CZ95" i="46"/>
  <c r="CW95" i="46"/>
  <c r="FK95" i="46"/>
  <c r="ES95" i="46"/>
  <c r="EM95" i="46"/>
  <c r="EV95" i="46"/>
  <c r="FH95" i="46"/>
  <c r="FE95" i="46"/>
  <c r="EP95" i="46"/>
  <c r="EG95" i="46"/>
  <c r="DR95" i="46"/>
  <c r="CT95" i="46"/>
  <c r="CQ95" i="46"/>
  <c r="DI80" i="46"/>
  <c r="EP80" i="46"/>
  <c r="EM80" i="46"/>
  <c r="EJ80" i="46"/>
  <c r="EG80" i="46"/>
  <c r="EA80" i="46"/>
  <c r="DX80" i="46"/>
  <c r="DU80" i="46"/>
  <c r="DO80" i="46"/>
  <c r="DC80" i="46"/>
  <c r="FB80" i="46"/>
  <c r="CQ80" i="46"/>
  <c r="DL80" i="46"/>
  <c r="DF80" i="46"/>
  <c r="CZ80" i="46"/>
  <c r="CW80" i="46"/>
  <c r="CT80" i="46"/>
  <c r="FH80" i="46"/>
  <c r="FE80" i="46"/>
  <c r="FK80" i="46"/>
  <c r="EV80" i="46"/>
  <c r="ES80" i="46"/>
  <c r="ED80" i="46"/>
  <c r="DR80" i="46"/>
  <c r="EY80" i="46"/>
  <c r="EP111" i="46"/>
  <c r="FB111" i="46"/>
  <c r="CQ111" i="46"/>
  <c r="ED111" i="46"/>
  <c r="FK111" i="46"/>
  <c r="CT111" i="46"/>
  <c r="EM111" i="46"/>
  <c r="EJ111" i="46"/>
  <c r="FH111" i="46"/>
  <c r="FE111" i="46"/>
  <c r="EY111" i="46"/>
  <c r="ES111" i="46"/>
  <c r="EG111" i="46"/>
  <c r="EA111" i="46"/>
  <c r="DX111" i="46"/>
  <c r="DU111" i="46"/>
  <c r="DL111" i="46"/>
  <c r="CZ111" i="46"/>
  <c r="DC111" i="46"/>
  <c r="DF111" i="46"/>
  <c r="EV111" i="46"/>
  <c r="DR111" i="46"/>
  <c r="DO111" i="46"/>
  <c r="DI111" i="46"/>
  <c r="CW111" i="46"/>
  <c r="EP118" i="46"/>
  <c r="DL118" i="46"/>
  <c r="EY118" i="46"/>
  <c r="EA118" i="46"/>
  <c r="ES118" i="46"/>
  <c r="FB118" i="46"/>
  <c r="EV118" i="46"/>
  <c r="EM118" i="46"/>
  <c r="CT118" i="46"/>
  <c r="DI118" i="46"/>
  <c r="DF118" i="46"/>
  <c r="DC118" i="46"/>
  <c r="CZ118" i="46"/>
  <c r="CQ118" i="46"/>
  <c r="FE118" i="46"/>
  <c r="DX118" i="46"/>
  <c r="DR118" i="46"/>
  <c r="FK118" i="46"/>
  <c r="ED118" i="46"/>
  <c r="FH118" i="46"/>
  <c r="EJ118" i="46"/>
  <c r="EG118" i="46"/>
  <c r="DU118" i="46"/>
  <c r="DO118" i="46"/>
  <c r="CW118" i="46"/>
  <c r="CN109" i="46"/>
  <c r="CK109" i="46"/>
  <c r="CH109" i="46"/>
  <c r="CE109" i="46"/>
  <c r="CB109" i="46"/>
  <c r="CK110" i="46"/>
  <c r="CH110" i="46"/>
  <c r="CE110" i="46"/>
  <c r="CB110" i="46"/>
  <c r="CN110" i="46"/>
  <c r="CN113" i="46"/>
  <c r="CK113" i="46"/>
  <c r="CH113" i="46"/>
  <c r="CE113" i="46"/>
  <c r="CB113" i="46"/>
  <c r="CK94" i="46"/>
  <c r="CH94" i="46"/>
  <c r="CE94" i="46"/>
  <c r="CB94" i="46"/>
  <c r="CN94" i="46"/>
  <c r="CB91" i="46"/>
  <c r="CN91" i="46"/>
  <c r="CK91" i="46"/>
  <c r="CH91" i="46"/>
  <c r="CE91" i="46"/>
  <c r="CN89" i="46"/>
  <c r="CK89" i="46"/>
  <c r="CH89" i="46"/>
  <c r="CE89" i="46"/>
  <c r="CB89" i="46"/>
  <c r="CN107" i="46"/>
  <c r="CH107" i="46"/>
  <c r="CB107" i="46"/>
  <c r="CK107" i="46"/>
  <c r="CE107" i="46"/>
  <c r="CK98" i="46"/>
  <c r="CH98" i="46"/>
  <c r="CE98" i="46"/>
  <c r="CB98" i="46"/>
  <c r="CN98" i="46"/>
  <c r="CK119" i="46"/>
  <c r="CN119" i="46"/>
  <c r="CH119" i="46"/>
  <c r="CE119" i="46"/>
  <c r="CB119" i="46"/>
  <c r="CH123" i="46"/>
  <c r="CN123" i="46"/>
  <c r="CK123" i="46"/>
  <c r="CE123" i="46"/>
  <c r="CB123" i="46"/>
  <c r="CK108" i="46"/>
  <c r="CN108" i="46"/>
  <c r="CH108" i="46"/>
  <c r="CE108" i="46"/>
  <c r="CB108" i="46"/>
  <c r="CN87" i="46"/>
  <c r="CK87" i="46"/>
  <c r="CE87" i="46"/>
  <c r="CB87" i="46"/>
  <c r="CH87" i="46"/>
  <c r="CN115" i="46"/>
  <c r="CK115" i="46"/>
  <c r="CB115" i="46"/>
  <c r="CE115" i="46"/>
  <c r="CH115" i="46"/>
  <c r="CK90" i="46"/>
  <c r="CH90" i="46"/>
  <c r="CE90" i="46"/>
  <c r="CB90" i="46"/>
  <c r="CN90" i="46"/>
  <c r="CK106" i="46"/>
  <c r="CH106" i="46"/>
  <c r="CE106" i="46"/>
  <c r="CB106" i="46"/>
  <c r="CN106" i="46"/>
  <c r="CN99" i="46"/>
  <c r="CK99" i="46"/>
  <c r="CE99" i="46"/>
  <c r="CB99" i="46"/>
  <c r="CH99" i="46"/>
  <c r="CN121" i="46"/>
  <c r="CK121" i="46"/>
  <c r="CH121" i="46"/>
  <c r="CE121" i="46"/>
  <c r="CB121" i="46"/>
  <c r="CK120" i="46"/>
  <c r="CN120" i="46"/>
  <c r="CH120" i="46"/>
  <c r="CE120" i="46"/>
  <c r="CB120" i="46"/>
  <c r="CN105" i="46"/>
  <c r="CK105" i="46"/>
  <c r="CH105" i="46"/>
  <c r="CE105" i="46"/>
  <c r="CB105" i="46"/>
  <c r="CK83" i="46"/>
  <c r="CH83" i="46"/>
  <c r="CB83" i="46"/>
  <c r="CN83" i="46"/>
  <c r="CE83" i="46"/>
  <c r="CN84" i="46"/>
  <c r="CK84" i="46"/>
  <c r="CH84" i="46"/>
  <c r="CE84" i="46"/>
  <c r="CB84" i="46"/>
  <c r="CK104" i="46"/>
  <c r="CN104" i="46"/>
  <c r="CH104" i="46"/>
  <c r="CE104" i="46"/>
  <c r="CB104" i="46"/>
  <c r="CK116" i="46"/>
  <c r="CN116" i="46"/>
  <c r="CH116" i="46"/>
  <c r="CE116" i="46"/>
  <c r="CB116" i="46"/>
  <c r="CN85" i="46"/>
  <c r="CK85" i="46"/>
  <c r="CH85" i="46"/>
  <c r="CE85" i="46"/>
  <c r="CB85" i="46"/>
  <c r="CK88" i="46"/>
  <c r="CN88" i="46"/>
  <c r="CH88" i="46"/>
  <c r="CE88" i="46"/>
  <c r="CB88" i="46"/>
  <c r="CN97" i="46"/>
  <c r="CK97" i="46"/>
  <c r="CH97" i="46"/>
  <c r="CE97" i="46"/>
  <c r="CB97" i="46"/>
  <c r="CK96" i="46"/>
  <c r="CN96" i="46"/>
  <c r="CH96" i="46"/>
  <c r="CE96" i="46"/>
  <c r="CB96" i="46"/>
  <c r="CK82" i="46"/>
  <c r="CH82" i="46"/>
  <c r="CE82" i="46"/>
  <c r="CB82" i="46"/>
  <c r="CN82" i="46"/>
  <c r="CN112" i="46"/>
  <c r="CK112" i="46"/>
  <c r="CH112" i="46"/>
  <c r="CE112" i="46"/>
  <c r="CB112" i="46"/>
  <c r="CK114" i="46"/>
  <c r="CH114" i="46"/>
  <c r="CE114" i="46"/>
  <c r="CB114" i="46"/>
  <c r="CN114" i="46"/>
  <c r="CK126" i="46"/>
  <c r="CH126" i="46"/>
  <c r="CE126" i="46"/>
  <c r="CB126" i="46"/>
  <c r="CN126" i="46"/>
  <c r="CN100" i="46"/>
  <c r="CK100" i="46"/>
  <c r="CH100" i="46"/>
  <c r="CE100" i="46"/>
  <c r="CB100" i="46"/>
  <c r="CN125" i="46"/>
  <c r="CK125" i="46"/>
  <c r="CH125" i="46"/>
  <c r="CE125" i="46"/>
  <c r="CB125" i="46"/>
  <c r="CH103" i="46"/>
  <c r="CN103" i="46"/>
  <c r="CK103" i="46"/>
  <c r="CE103" i="46"/>
  <c r="CB103" i="46"/>
  <c r="CN101" i="46"/>
  <c r="CK101" i="46"/>
  <c r="CH101" i="46"/>
  <c r="CE101" i="46"/>
  <c r="CB101" i="46"/>
  <c r="CK122" i="46"/>
  <c r="CH122" i="46"/>
  <c r="CE122" i="46"/>
  <c r="CB122" i="46"/>
  <c r="CN122" i="46"/>
  <c r="CK86" i="46"/>
  <c r="CH86" i="46"/>
  <c r="CE86" i="46"/>
  <c r="CB86" i="46"/>
  <c r="CN86" i="46"/>
  <c r="CK127" i="46"/>
  <c r="CN127" i="46"/>
  <c r="CE127" i="46"/>
  <c r="CB127" i="46"/>
  <c r="CH127" i="46"/>
  <c r="CK102" i="46"/>
  <c r="CH102" i="46"/>
  <c r="CE102" i="46"/>
  <c r="CB102" i="46"/>
  <c r="CN102" i="46"/>
  <c r="CK124" i="46"/>
  <c r="CN124" i="46"/>
  <c r="CH124" i="46"/>
  <c r="CE124" i="46"/>
  <c r="CB124" i="46"/>
  <c r="CN92" i="46"/>
  <c r="CK92" i="46"/>
  <c r="CH92" i="46"/>
  <c r="CE92" i="46"/>
  <c r="CB92" i="46"/>
  <c r="CN93" i="46"/>
  <c r="CK93" i="46"/>
  <c r="CH93" i="46"/>
  <c r="CE93" i="46"/>
  <c r="CB93" i="46"/>
  <c r="CN81" i="46"/>
  <c r="CK81" i="46"/>
  <c r="CH81" i="46"/>
  <c r="CE81" i="46"/>
  <c r="CB81" i="46"/>
  <c r="CN117" i="46"/>
  <c r="CK117" i="46"/>
  <c r="CH117" i="46"/>
  <c r="CE117" i="46"/>
  <c r="CB117" i="46"/>
  <c r="CK95" i="46"/>
  <c r="CH95" i="46"/>
  <c r="CN95" i="46"/>
  <c r="CB95" i="46"/>
  <c r="CE95" i="46"/>
  <c r="CK80" i="46"/>
  <c r="CN80" i="46"/>
  <c r="CH80" i="46"/>
  <c r="CE80" i="46"/>
  <c r="CB80" i="46"/>
  <c r="CN111" i="46"/>
  <c r="CH111" i="46"/>
  <c r="CK111" i="46"/>
  <c r="CE111" i="46"/>
  <c r="CB111" i="46"/>
  <c r="CK118" i="46"/>
  <c r="CH118" i="46"/>
  <c r="CE118" i="46"/>
  <c r="CB118" i="46"/>
  <c r="CN118" i="46"/>
  <c r="BP115" i="46"/>
  <c r="BM115" i="46"/>
  <c r="BY115" i="46"/>
  <c r="BV115" i="46"/>
  <c r="BS115" i="46"/>
  <c r="BY112" i="46"/>
  <c r="BV112" i="46"/>
  <c r="BM112" i="46"/>
  <c r="BS112" i="46"/>
  <c r="BP112" i="46"/>
  <c r="BV122" i="46"/>
  <c r="BY122" i="46"/>
  <c r="BM122" i="46"/>
  <c r="BS122" i="46"/>
  <c r="BP122" i="46"/>
  <c r="BS86" i="46"/>
  <c r="BY86" i="46"/>
  <c r="BV86" i="46"/>
  <c r="BM86" i="46"/>
  <c r="BP86" i="46"/>
  <c r="BY113" i="46"/>
  <c r="BP113" i="46"/>
  <c r="BV113" i="46"/>
  <c r="BS113" i="46"/>
  <c r="BM113" i="46"/>
  <c r="BP91" i="46"/>
  <c r="BM91" i="46"/>
  <c r="BV91" i="46"/>
  <c r="BY91" i="46"/>
  <c r="BS91" i="46"/>
  <c r="BS98" i="46"/>
  <c r="BY98" i="46"/>
  <c r="BM98" i="46"/>
  <c r="BV98" i="46"/>
  <c r="BP98" i="46"/>
  <c r="BM83" i="46"/>
  <c r="BY83" i="46"/>
  <c r="BV83" i="46"/>
  <c r="BS83" i="46"/>
  <c r="BP83" i="46"/>
  <c r="BY109" i="46"/>
  <c r="BM109" i="46"/>
  <c r="BV109" i="46"/>
  <c r="BS109" i="46"/>
  <c r="BP109" i="46"/>
  <c r="BY104" i="46"/>
  <c r="BV104" i="46"/>
  <c r="BM104" i="46"/>
  <c r="BS104" i="46"/>
  <c r="BP104" i="46"/>
  <c r="BY90" i="46"/>
  <c r="BV90" i="46"/>
  <c r="BS90" i="46"/>
  <c r="BM90" i="46"/>
  <c r="BP90" i="46"/>
  <c r="BS106" i="46"/>
  <c r="BV106" i="46"/>
  <c r="BY106" i="46"/>
  <c r="BM106" i="46"/>
  <c r="BP106" i="46"/>
  <c r="BM99" i="46"/>
  <c r="BP99" i="46"/>
  <c r="BY99" i="46"/>
  <c r="BV99" i="46"/>
  <c r="BS99" i="46"/>
  <c r="BV123" i="46"/>
  <c r="BP123" i="46"/>
  <c r="BY123" i="46"/>
  <c r="BM123" i="46"/>
  <c r="BS123" i="46"/>
  <c r="BY85" i="46"/>
  <c r="BV85" i="46"/>
  <c r="BS85" i="46"/>
  <c r="BP85" i="46"/>
  <c r="BM85" i="46"/>
  <c r="BY97" i="46"/>
  <c r="BV97" i="46"/>
  <c r="BS97" i="46"/>
  <c r="BP97" i="46"/>
  <c r="BM97" i="46"/>
  <c r="BM119" i="46"/>
  <c r="BV119" i="46"/>
  <c r="BY119" i="46"/>
  <c r="BS119" i="46"/>
  <c r="BP119" i="46"/>
  <c r="BY120" i="46"/>
  <c r="BV120" i="46"/>
  <c r="BS120" i="46"/>
  <c r="BM120" i="46"/>
  <c r="BP120" i="46"/>
  <c r="BV110" i="46"/>
  <c r="BS110" i="46"/>
  <c r="BY110" i="46"/>
  <c r="BP110" i="46"/>
  <c r="BM110" i="46"/>
  <c r="BY87" i="46"/>
  <c r="BV87" i="46"/>
  <c r="BP87" i="46"/>
  <c r="BM87" i="46"/>
  <c r="BS87" i="46"/>
  <c r="BP107" i="46"/>
  <c r="BV107" i="46"/>
  <c r="BY107" i="46"/>
  <c r="BM107" i="46"/>
  <c r="BS107" i="46"/>
  <c r="BP127" i="46"/>
  <c r="BV127" i="46"/>
  <c r="BY127" i="46"/>
  <c r="BS127" i="46"/>
  <c r="BM127" i="46"/>
  <c r="BM82" i="46"/>
  <c r="BY82" i="46"/>
  <c r="BV82" i="46"/>
  <c r="BS82" i="46"/>
  <c r="BP82" i="46"/>
  <c r="BY121" i="46"/>
  <c r="BM121" i="46"/>
  <c r="BV121" i="46"/>
  <c r="BS121" i="46"/>
  <c r="BP121" i="46"/>
  <c r="BY105" i="46"/>
  <c r="BM105" i="46"/>
  <c r="BV105" i="46"/>
  <c r="BP105" i="46"/>
  <c r="BS105" i="46"/>
  <c r="BY89" i="46"/>
  <c r="BP89" i="46"/>
  <c r="BM89" i="46"/>
  <c r="BV89" i="46"/>
  <c r="BS89" i="46"/>
  <c r="BS126" i="46"/>
  <c r="BY126" i="46"/>
  <c r="BV126" i="46"/>
  <c r="BM126" i="46"/>
  <c r="BP126" i="46"/>
  <c r="BY100" i="46"/>
  <c r="BV100" i="46"/>
  <c r="BS100" i="46"/>
  <c r="BM100" i="46"/>
  <c r="BP100" i="46"/>
  <c r="BY125" i="46"/>
  <c r="BM125" i="46"/>
  <c r="BV125" i="46"/>
  <c r="BS125" i="46"/>
  <c r="BP125" i="46"/>
  <c r="BY108" i="46"/>
  <c r="BV108" i="46"/>
  <c r="BS108" i="46"/>
  <c r="BM108" i="46"/>
  <c r="BP108" i="46"/>
  <c r="BV103" i="46"/>
  <c r="BP103" i="46"/>
  <c r="BY103" i="46"/>
  <c r="BS103" i="46"/>
  <c r="BM103" i="46"/>
  <c r="BY102" i="46"/>
  <c r="BM102" i="46"/>
  <c r="BV102" i="46"/>
  <c r="BS102" i="46"/>
  <c r="BP102" i="46"/>
  <c r="BY88" i="46"/>
  <c r="BV88" i="46"/>
  <c r="BS88" i="46"/>
  <c r="BM88" i="46"/>
  <c r="BP88" i="46"/>
  <c r="BS94" i="46"/>
  <c r="BV94" i="46"/>
  <c r="BM94" i="46"/>
  <c r="BY94" i="46"/>
  <c r="BP94" i="46"/>
  <c r="BY84" i="46"/>
  <c r="BV84" i="46"/>
  <c r="BM84" i="46"/>
  <c r="BS84" i="46"/>
  <c r="BP84" i="46"/>
  <c r="BY116" i="46"/>
  <c r="BV116" i="46"/>
  <c r="BS116" i="46"/>
  <c r="BP116" i="46"/>
  <c r="BM116" i="46"/>
  <c r="BY114" i="46"/>
  <c r="BS114" i="46"/>
  <c r="BM114" i="46"/>
  <c r="BV114" i="46"/>
  <c r="BP114" i="46"/>
  <c r="BY96" i="46"/>
  <c r="BV96" i="46"/>
  <c r="BS96" i="46"/>
  <c r="BP96" i="46"/>
  <c r="BM96" i="46"/>
  <c r="BY124" i="46"/>
  <c r="BV124" i="46"/>
  <c r="BS124" i="46"/>
  <c r="BP124" i="46"/>
  <c r="BM124" i="46"/>
  <c r="BY101" i="46"/>
  <c r="BM101" i="46"/>
  <c r="BV101" i="46"/>
  <c r="BS101" i="46"/>
  <c r="BP101" i="46"/>
  <c r="BY92" i="46"/>
  <c r="BV92" i="46"/>
  <c r="BM92" i="46"/>
  <c r="BS92" i="46"/>
  <c r="BP92" i="46"/>
  <c r="BY93" i="46"/>
  <c r="BP93" i="46"/>
  <c r="BM93" i="46"/>
  <c r="BV93" i="46"/>
  <c r="BS93" i="46"/>
  <c r="BY81" i="46"/>
  <c r="BM81" i="46"/>
  <c r="BV81" i="46"/>
  <c r="BP81" i="46"/>
  <c r="BS81" i="46"/>
  <c r="BY117" i="46"/>
  <c r="BM117" i="46"/>
  <c r="BV117" i="46"/>
  <c r="BS117" i="46"/>
  <c r="BP117" i="46"/>
  <c r="BP95" i="46"/>
  <c r="BY95" i="46"/>
  <c r="BV95" i="46"/>
  <c r="BM95" i="46"/>
  <c r="BS95" i="46"/>
  <c r="BY80" i="46"/>
  <c r="BV80" i="46"/>
  <c r="BS80" i="46"/>
  <c r="BP80" i="46"/>
  <c r="BM80" i="46"/>
  <c r="BV111" i="46"/>
  <c r="BM111" i="46"/>
  <c r="BY111" i="46"/>
  <c r="BP111" i="46"/>
  <c r="BS111" i="46"/>
  <c r="BS118" i="46"/>
  <c r="BY118" i="46"/>
  <c r="BM118" i="46"/>
  <c r="BV118" i="46"/>
  <c r="BP118" i="46"/>
  <c r="AX110" i="46"/>
  <c r="BJ110" i="46"/>
  <c r="BG110" i="46"/>
  <c r="BA110" i="46"/>
  <c r="BD110" i="46"/>
  <c r="BJ84" i="46"/>
  <c r="BG84" i="46"/>
  <c r="BD84" i="46"/>
  <c r="BA84" i="46"/>
  <c r="AX84" i="46"/>
  <c r="BJ86" i="46"/>
  <c r="AX86" i="46"/>
  <c r="BG86" i="46"/>
  <c r="BD86" i="46"/>
  <c r="BA86" i="46"/>
  <c r="BJ116" i="46"/>
  <c r="BG116" i="46"/>
  <c r="BD116" i="46"/>
  <c r="BA116" i="46"/>
  <c r="AX116" i="46"/>
  <c r="BD83" i="46"/>
  <c r="BG83" i="46"/>
  <c r="BJ83" i="46"/>
  <c r="BA83" i="46"/>
  <c r="AX83" i="46"/>
  <c r="BJ109" i="46"/>
  <c r="BG109" i="46"/>
  <c r="BD109" i="46"/>
  <c r="BA109" i="46"/>
  <c r="AX109" i="46"/>
  <c r="BJ122" i="46"/>
  <c r="BG122" i="46"/>
  <c r="AX122" i="46"/>
  <c r="BD122" i="46"/>
  <c r="BA122" i="46"/>
  <c r="BG119" i="46"/>
  <c r="BJ119" i="46"/>
  <c r="BD119" i="46"/>
  <c r="BA119" i="46"/>
  <c r="AX119" i="46"/>
  <c r="BJ108" i="46"/>
  <c r="BG108" i="46"/>
  <c r="BD108" i="46"/>
  <c r="BA108" i="46"/>
  <c r="AX108" i="46"/>
  <c r="BJ113" i="46"/>
  <c r="BG113" i="46"/>
  <c r="BD113" i="46"/>
  <c r="AX113" i="46"/>
  <c r="BA113" i="46"/>
  <c r="BG112" i="46"/>
  <c r="BJ112" i="46"/>
  <c r="BD112" i="46"/>
  <c r="BA112" i="46"/>
  <c r="AX112" i="46"/>
  <c r="BJ105" i="46"/>
  <c r="BG105" i="46"/>
  <c r="AX105" i="46"/>
  <c r="BD105" i="46"/>
  <c r="BA105" i="46"/>
  <c r="BD91" i="46"/>
  <c r="BG91" i="46"/>
  <c r="BJ91" i="46"/>
  <c r="BA91" i="46"/>
  <c r="AX91" i="46"/>
  <c r="BG104" i="46"/>
  <c r="BJ104" i="46"/>
  <c r="BD104" i="46"/>
  <c r="BA104" i="46"/>
  <c r="AX104" i="46"/>
  <c r="BD107" i="46"/>
  <c r="BG107" i="46"/>
  <c r="BJ107" i="46"/>
  <c r="BA107" i="46"/>
  <c r="AX107" i="46"/>
  <c r="BJ98" i="46"/>
  <c r="BG98" i="46"/>
  <c r="BA98" i="46"/>
  <c r="AX98" i="46"/>
  <c r="BD98" i="46"/>
  <c r="BJ89" i="46"/>
  <c r="BG89" i="46"/>
  <c r="AX89" i="46"/>
  <c r="BD89" i="46"/>
  <c r="BA89" i="46"/>
  <c r="AX90" i="46"/>
  <c r="BJ90" i="46"/>
  <c r="BG90" i="46"/>
  <c r="BA90" i="46"/>
  <c r="BD90" i="46"/>
  <c r="AX106" i="46"/>
  <c r="BJ106" i="46"/>
  <c r="BG106" i="46"/>
  <c r="BD106" i="46"/>
  <c r="BA106" i="46"/>
  <c r="BG99" i="46"/>
  <c r="BJ99" i="46"/>
  <c r="BD99" i="46"/>
  <c r="BA99" i="46"/>
  <c r="AX99" i="46"/>
  <c r="BG123" i="46"/>
  <c r="BD123" i="46"/>
  <c r="BJ123" i="46"/>
  <c r="BA123" i="46"/>
  <c r="AX123" i="46"/>
  <c r="BJ97" i="46"/>
  <c r="BG97" i="46"/>
  <c r="AX97" i="46"/>
  <c r="BD97" i="46"/>
  <c r="BA97" i="46"/>
  <c r="BG87" i="46"/>
  <c r="BJ87" i="46"/>
  <c r="BD87" i="46"/>
  <c r="BA87" i="46"/>
  <c r="AX87" i="46"/>
  <c r="BJ85" i="46"/>
  <c r="BG85" i="46"/>
  <c r="AX85" i="46"/>
  <c r="BD85" i="46"/>
  <c r="BA85" i="46"/>
  <c r="AX114" i="46"/>
  <c r="BJ114" i="46"/>
  <c r="BG114" i="46"/>
  <c r="BD114" i="46"/>
  <c r="BA114" i="46"/>
  <c r="AX126" i="46"/>
  <c r="BJ126" i="46"/>
  <c r="BG126" i="46"/>
  <c r="BA126" i="46"/>
  <c r="BD126" i="46"/>
  <c r="BG96" i="46"/>
  <c r="BJ96" i="46"/>
  <c r="BD96" i="46"/>
  <c r="BA96" i="46"/>
  <c r="AX96" i="46"/>
  <c r="BJ82" i="46"/>
  <c r="BG82" i="46"/>
  <c r="BA82" i="46"/>
  <c r="AX82" i="46"/>
  <c r="BD82" i="46"/>
  <c r="AX94" i="46"/>
  <c r="BJ94" i="46"/>
  <c r="BG94" i="46"/>
  <c r="BD94" i="46"/>
  <c r="BA94" i="46"/>
  <c r="BD103" i="46"/>
  <c r="BG103" i="46"/>
  <c r="BJ103" i="46"/>
  <c r="BA103" i="46"/>
  <c r="AX103" i="46"/>
  <c r="BG127" i="46"/>
  <c r="BD127" i="46"/>
  <c r="BJ127" i="46"/>
  <c r="BA127" i="46"/>
  <c r="AX127" i="46"/>
  <c r="BJ102" i="46"/>
  <c r="AX102" i="46"/>
  <c r="BG102" i="46"/>
  <c r="BD102" i="46"/>
  <c r="BA102" i="46"/>
  <c r="BG124" i="46"/>
  <c r="BJ124" i="46"/>
  <c r="BD124" i="46"/>
  <c r="BA124" i="46"/>
  <c r="AX124" i="46"/>
  <c r="BJ101" i="46"/>
  <c r="BG101" i="46"/>
  <c r="BD101" i="46"/>
  <c r="AX101" i="46"/>
  <c r="BA101" i="46"/>
  <c r="BJ92" i="46"/>
  <c r="BG92" i="46"/>
  <c r="BD92" i="46"/>
  <c r="BA92" i="46"/>
  <c r="AX92" i="46"/>
  <c r="BJ88" i="46"/>
  <c r="BG88" i="46"/>
  <c r="BD88" i="46"/>
  <c r="BA88" i="46"/>
  <c r="AX88" i="46"/>
  <c r="BG100" i="46"/>
  <c r="BJ100" i="46"/>
  <c r="BD100" i="46"/>
  <c r="BA100" i="46"/>
  <c r="AX100" i="46"/>
  <c r="BJ125" i="46"/>
  <c r="BG125" i="46"/>
  <c r="BD125" i="46"/>
  <c r="AX125" i="46"/>
  <c r="BA125" i="46"/>
  <c r="BJ117" i="46"/>
  <c r="BG117" i="46"/>
  <c r="AX117" i="46"/>
  <c r="BD117" i="46"/>
  <c r="BA117" i="46"/>
  <c r="BJ121" i="46"/>
  <c r="AX121" i="46"/>
  <c r="BG121" i="46"/>
  <c r="BD121" i="46"/>
  <c r="BA121" i="46"/>
  <c r="BG115" i="46"/>
  <c r="BD115" i="46"/>
  <c r="BJ115" i="46"/>
  <c r="BA115" i="46"/>
  <c r="AX115" i="46"/>
  <c r="BG120" i="46"/>
  <c r="BJ120" i="46"/>
  <c r="BD120" i="46"/>
  <c r="BA120" i="46"/>
  <c r="AX120" i="46"/>
  <c r="BJ93" i="46"/>
  <c r="BG93" i="46"/>
  <c r="BD93" i="46"/>
  <c r="AX93" i="46"/>
  <c r="BA93" i="46"/>
  <c r="BJ81" i="46"/>
  <c r="AX81" i="46"/>
  <c r="BG81" i="46"/>
  <c r="BD81" i="46"/>
  <c r="BA81" i="46"/>
  <c r="BG95" i="46"/>
  <c r="BD95" i="46"/>
  <c r="BJ95" i="46"/>
  <c r="BA95" i="46"/>
  <c r="AX95" i="46"/>
  <c r="BG80" i="46"/>
  <c r="BJ80" i="46"/>
  <c r="BD80" i="46"/>
  <c r="BA80" i="46"/>
  <c r="AX80" i="46"/>
  <c r="BD111" i="46"/>
  <c r="BG111" i="46"/>
  <c r="BJ111" i="46"/>
  <c r="BA111" i="46"/>
  <c r="AX111" i="46"/>
  <c r="AX118" i="46"/>
  <c r="BJ118" i="46"/>
  <c r="BG118" i="46"/>
  <c r="BA118" i="46"/>
  <c r="BD118" i="46"/>
  <c r="AI94" i="46"/>
  <c r="AL94" i="46"/>
  <c r="AO94" i="46"/>
  <c r="AU94" i="46"/>
  <c r="AR94" i="46"/>
  <c r="AL110" i="46"/>
  <c r="AI110" i="46"/>
  <c r="AO110" i="46"/>
  <c r="AU110" i="46"/>
  <c r="AR110" i="46"/>
  <c r="AU119" i="46"/>
  <c r="AR119" i="46"/>
  <c r="AO119" i="46"/>
  <c r="AL119" i="46"/>
  <c r="AI119" i="46"/>
  <c r="AU115" i="46"/>
  <c r="AR115" i="46"/>
  <c r="AO115" i="46"/>
  <c r="AL115" i="46"/>
  <c r="AI115" i="46"/>
  <c r="AU116" i="46"/>
  <c r="AR116" i="46"/>
  <c r="AO116" i="46"/>
  <c r="AL116" i="46"/>
  <c r="AI116" i="46"/>
  <c r="AL82" i="46"/>
  <c r="AO82" i="46"/>
  <c r="AI82" i="46"/>
  <c r="AU82" i="46"/>
  <c r="AR82" i="46"/>
  <c r="AL86" i="46"/>
  <c r="AU86" i="46"/>
  <c r="AO86" i="46"/>
  <c r="AR86" i="46"/>
  <c r="AI86" i="46"/>
  <c r="AU120" i="46"/>
  <c r="AR120" i="46"/>
  <c r="AO120" i="46"/>
  <c r="AL120" i="46"/>
  <c r="AI120" i="46"/>
  <c r="AU113" i="46"/>
  <c r="AL113" i="46"/>
  <c r="AR113" i="46"/>
  <c r="AI113" i="46"/>
  <c r="AO113" i="46"/>
  <c r="AR87" i="46"/>
  <c r="AU87" i="46"/>
  <c r="AO87" i="46"/>
  <c r="AL87" i="46"/>
  <c r="AI87" i="46"/>
  <c r="AU85" i="46"/>
  <c r="AL85" i="46"/>
  <c r="AI85" i="46"/>
  <c r="AR85" i="46"/>
  <c r="AO85" i="46"/>
  <c r="AL114" i="46"/>
  <c r="AI114" i="46"/>
  <c r="AO114" i="46"/>
  <c r="AU114" i="46"/>
  <c r="AR114" i="46"/>
  <c r="AU121" i="46"/>
  <c r="AL121" i="46"/>
  <c r="AR121" i="46"/>
  <c r="AI121" i="46"/>
  <c r="AO121" i="46"/>
  <c r="AU109" i="46"/>
  <c r="AR109" i="46"/>
  <c r="AL109" i="46"/>
  <c r="AI109" i="46"/>
  <c r="AO109" i="46"/>
  <c r="AU112" i="46"/>
  <c r="AR112" i="46"/>
  <c r="AO112" i="46"/>
  <c r="AL112" i="46"/>
  <c r="AI112" i="46"/>
  <c r="AU84" i="46"/>
  <c r="AR84" i="46"/>
  <c r="AO84" i="46"/>
  <c r="AL84" i="46"/>
  <c r="AI84" i="46"/>
  <c r="AU91" i="46"/>
  <c r="AR91" i="46"/>
  <c r="AO91" i="46"/>
  <c r="AL91" i="46"/>
  <c r="AI91" i="46"/>
  <c r="AU89" i="46"/>
  <c r="AR89" i="46"/>
  <c r="AO89" i="46"/>
  <c r="AL89" i="46"/>
  <c r="AI89" i="46"/>
  <c r="AR107" i="46"/>
  <c r="AU107" i="46"/>
  <c r="AO107" i="46"/>
  <c r="AL107" i="46"/>
  <c r="AI107" i="46"/>
  <c r="AI98" i="46"/>
  <c r="AU98" i="46"/>
  <c r="AL98" i="46"/>
  <c r="AR98" i="46"/>
  <c r="AO98" i="46"/>
  <c r="AU104" i="46"/>
  <c r="AR104" i="46"/>
  <c r="AO104" i="46"/>
  <c r="AL104" i="46"/>
  <c r="AI104" i="46"/>
  <c r="AI90" i="46"/>
  <c r="AO90" i="46"/>
  <c r="AL90" i="46"/>
  <c r="AU90" i="46"/>
  <c r="AR90" i="46"/>
  <c r="AO106" i="46"/>
  <c r="AL106" i="46"/>
  <c r="AI106" i="46"/>
  <c r="AU106" i="46"/>
  <c r="AR106" i="46"/>
  <c r="AU99" i="46"/>
  <c r="AR99" i="46"/>
  <c r="AO99" i="46"/>
  <c r="AL99" i="46"/>
  <c r="AI99" i="46"/>
  <c r="AU88" i="46"/>
  <c r="AR88" i="46"/>
  <c r="AO88" i="46"/>
  <c r="AL88" i="46"/>
  <c r="AI88" i="46"/>
  <c r="AU97" i="46"/>
  <c r="AL97" i="46"/>
  <c r="AR97" i="46"/>
  <c r="AI97" i="46"/>
  <c r="AO97" i="46"/>
  <c r="AU105" i="46"/>
  <c r="AR105" i="46"/>
  <c r="AO105" i="46"/>
  <c r="AL105" i="46"/>
  <c r="AI105" i="46"/>
  <c r="AL126" i="46"/>
  <c r="AI126" i="46"/>
  <c r="AO126" i="46"/>
  <c r="AU126" i="46"/>
  <c r="AR126" i="46"/>
  <c r="AU96" i="46"/>
  <c r="AR96" i="46"/>
  <c r="AO96" i="46"/>
  <c r="AL96" i="46"/>
  <c r="AI96" i="46"/>
  <c r="AU83" i="46"/>
  <c r="AR83" i="46"/>
  <c r="AO83" i="46"/>
  <c r="AL83" i="46"/>
  <c r="AI83" i="46"/>
  <c r="AL122" i="46"/>
  <c r="AO122" i="46"/>
  <c r="AI122" i="46"/>
  <c r="AU122" i="46"/>
  <c r="AR122" i="46"/>
  <c r="AR123" i="46"/>
  <c r="AU123" i="46"/>
  <c r="AO123" i="46"/>
  <c r="AL123" i="46"/>
  <c r="AI123" i="46"/>
  <c r="AU108" i="46"/>
  <c r="AR108" i="46"/>
  <c r="AO108" i="46"/>
  <c r="AL108" i="46"/>
  <c r="AI108" i="46"/>
  <c r="AU100" i="46"/>
  <c r="AR100" i="46"/>
  <c r="AO100" i="46"/>
  <c r="AL100" i="46"/>
  <c r="AI100" i="46"/>
  <c r="AU125" i="46"/>
  <c r="AR125" i="46"/>
  <c r="AO125" i="46"/>
  <c r="AL125" i="46"/>
  <c r="AI125" i="46"/>
  <c r="AR103" i="46"/>
  <c r="AU103" i="46"/>
  <c r="AO103" i="46"/>
  <c r="AL103" i="46"/>
  <c r="AI103" i="46"/>
  <c r="AR127" i="46"/>
  <c r="AU127" i="46"/>
  <c r="AO127" i="46"/>
  <c r="AL127" i="46"/>
  <c r="AI127" i="46"/>
  <c r="AL102" i="46"/>
  <c r="AI102" i="46"/>
  <c r="AU102" i="46"/>
  <c r="AO102" i="46"/>
  <c r="AR102" i="46"/>
  <c r="AU124" i="46"/>
  <c r="AR124" i="46"/>
  <c r="AO124" i="46"/>
  <c r="AL124" i="46"/>
  <c r="AI124" i="46"/>
  <c r="AU101" i="46"/>
  <c r="AR101" i="46"/>
  <c r="AO101" i="46"/>
  <c r="AI101" i="46"/>
  <c r="AL101" i="46"/>
  <c r="AU93" i="46"/>
  <c r="AR93" i="46"/>
  <c r="AL93" i="46"/>
  <c r="AI93" i="46"/>
  <c r="AO93" i="46"/>
  <c r="AU81" i="46"/>
  <c r="AR81" i="46"/>
  <c r="AL81" i="46"/>
  <c r="AI81" i="46"/>
  <c r="AO81" i="46"/>
  <c r="AU117" i="46"/>
  <c r="AL117" i="46"/>
  <c r="AR117" i="46"/>
  <c r="AO117" i="46"/>
  <c r="AI117" i="46"/>
  <c r="AU92" i="46"/>
  <c r="AR92" i="46"/>
  <c r="AO92" i="46"/>
  <c r="AL92" i="46"/>
  <c r="AI92" i="46"/>
  <c r="AU95" i="46"/>
  <c r="AR95" i="46"/>
  <c r="AO95" i="46"/>
  <c r="AL95" i="46"/>
  <c r="AI95" i="46"/>
  <c r="AU80" i="46"/>
  <c r="AR80" i="46"/>
  <c r="AO80" i="46"/>
  <c r="AL80" i="46"/>
  <c r="AI80" i="46"/>
  <c r="AR111" i="46"/>
  <c r="AU111" i="46"/>
  <c r="AO111" i="46"/>
  <c r="AL111" i="46"/>
  <c r="AI111" i="46"/>
  <c r="AI118" i="46"/>
  <c r="AL118" i="46"/>
  <c r="AU118" i="46"/>
  <c r="AO118" i="46"/>
  <c r="AR118" i="46"/>
  <c r="BJ69" i="3"/>
  <c r="BK69" i="3"/>
  <c r="BK68" i="3"/>
  <c r="BL68" i="3" s="1"/>
  <c r="BL66" i="3"/>
  <c r="AF85" i="46"/>
  <c r="AF126" i="46"/>
  <c r="AF98" i="46"/>
  <c r="AF122" i="46"/>
  <c r="AF121" i="46"/>
  <c r="AF95" i="46"/>
  <c r="AF115" i="46"/>
  <c r="AF118" i="46"/>
  <c r="AF124" i="46"/>
  <c r="AF97" i="46"/>
  <c r="AF120" i="46"/>
  <c r="AF94" i="46"/>
  <c r="AF91" i="46"/>
  <c r="AF112" i="46"/>
  <c r="AF116" i="46"/>
  <c r="AF96" i="46"/>
  <c r="AF104" i="46"/>
  <c r="AF123" i="46"/>
  <c r="AF93" i="46"/>
  <c r="AF108" i="46"/>
  <c r="AF117" i="46"/>
  <c r="AF84" i="46"/>
  <c r="AF101" i="46"/>
  <c r="AF83" i="46"/>
  <c r="AF110" i="46"/>
  <c r="AF92" i="46"/>
  <c r="AF125" i="46"/>
  <c r="AF106" i="46"/>
  <c r="AF89" i="46"/>
  <c r="AF113" i="46"/>
  <c r="AF119" i="46"/>
  <c r="AF103" i="46"/>
  <c r="AF86" i="46"/>
  <c r="AF81" i="46"/>
  <c r="AF90" i="46"/>
  <c r="AF114" i="46"/>
  <c r="AF82" i="46"/>
  <c r="AF109" i="46"/>
  <c r="AF107" i="46"/>
  <c r="AF127" i="46"/>
  <c r="AF99" i="46"/>
  <c r="AF100" i="46"/>
  <c r="AF102" i="46"/>
  <c r="AF87" i="46"/>
  <c r="AF80" i="46"/>
  <c r="AF88" i="46"/>
  <c r="AF111" i="46"/>
  <c r="AF105"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7" i="3"/>
  <c r="BL59" i="3"/>
  <c r="BL58"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T128" i="46" l="1"/>
  <c r="W128" i="46"/>
  <c r="Z128" i="46"/>
  <c r="AC128" i="46"/>
  <c r="E62" i="48"/>
  <c r="F62" i="48" s="1" a="1"/>
  <c r="F62" i="48" s="1"/>
  <c r="KJ128" i="46"/>
  <c r="KP128" i="46"/>
  <c r="IT128" i="46"/>
  <c r="IW128" i="46"/>
  <c r="JL128" i="46"/>
  <c r="JR128" i="46"/>
  <c r="JU128" i="46"/>
  <c r="JX128" i="46"/>
  <c r="IK128" i="46"/>
  <c r="KA128" i="46"/>
  <c r="IN128" i="46"/>
  <c r="KD128" i="46"/>
  <c r="IQ128" i="46"/>
  <c r="JF128" i="46"/>
  <c r="KG128" i="46"/>
  <c r="JC128" i="46"/>
  <c r="KS128" i="46"/>
  <c r="JI128" i="46"/>
  <c r="IZ128" i="46"/>
  <c r="KM128" i="46"/>
  <c r="JO128" i="46"/>
  <c r="KV128" i="46"/>
  <c r="KY128" i="46"/>
  <c r="LB128" i="46"/>
  <c r="LE128" i="46"/>
  <c r="GF128" i="46"/>
  <c r="HP128" i="46"/>
  <c r="GC128" i="46"/>
  <c r="HY128" i="46"/>
  <c r="FW128" i="46"/>
  <c r="GR128" i="46"/>
  <c r="FQ128" i="46"/>
  <c r="GU128" i="46"/>
  <c r="GX128" i="46"/>
  <c r="HM128" i="46"/>
  <c r="HV128" i="46"/>
  <c r="FZ128" i="46"/>
  <c r="FN128" i="46"/>
  <c r="HD128" i="46"/>
  <c r="HG128" i="46"/>
  <c r="IB128" i="46"/>
  <c r="HS128" i="46"/>
  <c r="HA128" i="46"/>
  <c r="IE128" i="46"/>
  <c r="GL128" i="46"/>
  <c r="IH128" i="46"/>
  <c r="FT128" i="46"/>
  <c r="HJ128" i="46"/>
  <c r="GI128" i="46"/>
  <c r="GO128" i="46"/>
  <c r="DF128" i="46"/>
  <c r="CQ128" i="46"/>
  <c r="FB128" i="46"/>
  <c r="DC128" i="46"/>
  <c r="DO128" i="46"/>
  <c r="DU128" i="46"/>
  <c r="EA128" i="46"/>
  <c r="CZ128" i="46"/>
  <c r="DX128" i="46"/>
  <c r="EY128" i="46"/>
  <c r="EG128" i="46"/>
  <c r="DR128" i="46"/>
  <c r="EJ128" i="46"/>
  <c r="DL128" i="46"/>
  <c r="ED128" i="46"/>
  <c r="EM128" i="46"/>
  <c r="ES128" i="46"/>
  <c r="EP128" i="46"/>
  <c r="EV128" i="46"/>
  <c r="DI128" i="46"/>
  <c r="FK128" i="46"/>
  <c r="FE128" i="46"/>
  <c r="FH128" i="46"/>
  <c r="CT128" i="46"/>
  <c r="CW128" i="46"/>
  <c r="CB128" i="46"/>
  <c r="CH128" i="46"/>
  <c r="CN128" i="46"/>
  <c r="CK128" i="46"/>
  <c r="CE128" i="46"/>
  <c r="BM128" i="46"/>
  <c r="BP128" i="46"/>
  <c r="BV128" i="46"/>
  <c r="BY128" i="46"/>
  <c r="BS128" i="46"/>
  <c r="AX128" i="46"/>
  <c r="BA128" i="46"/>
  <c r="BD128" i="46"/>
  <c r="BJ128" i="46"/>
  <c r="BG128" i="46"/>
  <c r="AI128" i="46"/>
  <c r="AL128" i="46"/>
  <c r="AO128" i="46"/>
  <c r="AR128" i="46"/>
  <c r="AU128" i="46"/>
  <c r="BL69" i="3"/>
  <c r="AF128" i="46"/>
  <c r="B17" i="48"/>
  <c r="B8" i="48"/>
  <c r="B5" i="48"/>
  <c r="B7" i="48"/>
  <c r="B15" i="48"/>
  <c r="B18" i="48"/>
  <c r="B4" i="48"/>
  <c r="BS65" i="3"/>
  <c r="BS67" i="3"/>
  <c r="BS69" i="3"/>
  <c r="BS61" i="3"/>
  <c r="BS62" i="3"/>
  <c r="BS64" i="3"/>
  <c r="BS66" i="3"/>
  <c r="BS58" i="3"/>
  <c r="BS59" i="3"/>
  <c r="BS63" i="3"/>
  <c r="BS68" i="3"/>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E63" i="48" l="1"/>
  <c r="F63" i="48" s="1" a="1"/>
  <c r="F63" i="48" s="1"/>
  <c r="C30" i="48"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E64" i="48" l="1"/>
  <c r="F64" i="48" s="1" a="1"/>
  <c r="F64" i="48" s="1"/>
  <c r="BV59" i="3"/>
  <c r="BV60" i="3"/>
  <c r="BV64" i="3"/>
  <c r="BV67" i="3"/>
  <c r="BV65" i="3"/>
  <c r="BV66" i="3"/>
  <c r="BV58" i="3"/>
  <c r="BV68" i="3"/>
  <c r="BV61" i="3"/>
  <c r="BV62" i="3"/>
  <c r="BV63" i="3"/>
  <c r="BV69" i="3"/>
  <c r="AI43" i="45"/>
  <c r="M213" i="46"/>
  <c r="D134" i="3"/>
  <c r="AI31" i="45"/>
  <c r="M212" i="46"/>
  <c r="AI19" i="45"/>
  <c r="M211" i="46"/>
  <c r="AI8" i="45"/>
  <c r="M214" i="46"/>
  <c r="E65" i="48" l="1"/>
  <c r="F65" i="48" s="1" a="1"/>
  <c r="F65" i="48" s="1"/>
  <c r="B14" i="50"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E66" i="48" l="1"/>
  <c r="F66" i="48" s="1" a="1"/>
  <c r="F66" i="48" s="1"/>
  <c r="BY69" i="3"/>
  <c r="BY65" i="3"/>
  <c r="BY58" i="3"/>
  <c r="BY61" i="3"/>
  <c r="BY59" i="3"/>
  <c r="BY64" i="3"/>
  <c r="BY62" i="3"/>
  <c r="BY60" i="3"/>
  <c r="BY68" i="3"/>
  <c r="BY66" i="3"/>
  <c r="AF143" i="3"/>
  <c r="AM38" i="45" a="1"/>
  <c r="AM38" i="45" s="1"/>
  <c r="M229" i="46"/>
  <c r="H139" i="3"/>
  <c r="BY67" i="3"/>
  <c r="BY63" i="3"/>
  <c r="E67" i="48" l="1"/>
  <c r="F67" i="48" s="1" a="1"/>
  <c r="F67" i="48" s="1"/>
  <c r="BZ67" i="3"/>
  <c r="CA67" i="3" s="1"/>
  <c r="AQ32" i="45"/>
  <c r="M237" i="46"/>
  <c r="BZ60" i="3"/>
  <c r="BZ63" i="3"/>
  <c r="BZ64" i="3"/>
  <c r="BZ65" i="3"/>
  <c r="BZ59" i="3"/>
  <c r="BZ68" i="3"/>
  <c r="BZ61" i="3"/>
  <c r="BZ62" i="3"/>
  <c r="CA62" i="3" s="1"/>
  <c r="BZ69" i="3"/>
  <c r="BZ66" i="3"/>
  <c r="BZ58" i="3"/>
  <c r="E68" i="48" l="1"/>
  <c r="F68" i="48" s="1" a="1"/>
  <c r="F68" i="48" s="1"/>
  <c r="CA60" i="3"/>
  <c r="CA61" i="3"/>
  <c r="CA58" i="3"/>
  <c r="CA68" i="3"/>
  <c r="CA66" i="3"/>
  <c r="CA59" i="3"/>
  <c r="CA69" i="3"/>
  <c r="CA65" i="3"/>
  <c r="CA64" i="3"/>
  <c r="CA63" i="3"/>
  <c r="E69" i="48" l="1"/>
  <c r="F69" i="48" s="1" a="1"/>
  <c r="F69" i="48" s="1"/>
  <c r="CB63" i="3"/>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E70" i="48" l="1"/>
  <c r="F70" i="48" s="1" a="1"/>
  <c r="F70" i="48" s="1"/>
  <c r="DQ68" i="3"/>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E71" i="48" l="1"/>
  <c r="F71" i="48" s="1" a="1"/>
  <c r="F71" i="48" s="1"/>
  <c r="CD69" i="3"/>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E72" i="48" l="1"/>
  <c r="F72" i="48" s="1" a="1"/>
  <c r="F72" i="48" s="1"/>
  <c r="CE63" i="3"/>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E73" i="48" l="1"/>
  <c r="F73" i="48" s="1" a="1"/>
  <c r="F73" i="48" s="1"/>
  <c r="CF64" i="3"/>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E74" i="48" l="1"/>
  <c r="F74" i="48" s="1" a="1"/>
  <c r="F74" i="48" s="1"/>
  <c r="AL113" i="3"/>
  <c r="AP113" i="3" s="1"/>
  <c r="AL108" i="3"/>
  <c r="AL103" i="3"/>
  <c r="AQ103" i="3" s="1"/>
  <c r="AL109" i="3"/>
  <c r="AS109" i="3" s="1"/>
  <c r="AL110" i="3"/>
  <c r="AO110" i="3" s="1"/>
  <c r="AL111" i="3"/>
  <c r="AL105" i="3"/>
  <c r="AL106" i="3"/>
  <c r="AL107" i="3"/>
  <c r="AL112" i="3"/>
  <c r="AL102" i="3"/>
  <c r="AL104" i="3"/>
  <c r="E75" i="48" l="1"/>
  <c r="F75" i="48" s="1" a="1"/>
  <c r="F75" i="48" s="1"/>
  <c r="AP110" i="3"/>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E76" i="48" l="1"/>
  <c r="F76" i="48" s="1" a="1"/>
  <c r="F76" i="48" s="1"/>
  <c r="BG106" i="3"/>
  <c r="BG110" i="3"/>
  <c r="BG107" i="3"/>
  <c r="BG109" i="3"/>
  <c r="BG103" i="3"/>
  <c r="BG108" i="3"/>
  <c r="BG104" i="3"/>
  <c r="BG105" i="3"/>
  <c r="E77" i="48" l="1"/>
  <c r="F77" i="48" s="1" a="1"/>
  <c r="F77" i="48" s="1"/>
  <c r="BJ106" i="3"/>
  <c r="BJ104" i="3"/>
  <c r="BJ105" i="3"/>
  <c r="BJ107" i="3"/>
  <c r="BJ108" i="3"/>
  <c r="BJ109" i="3"/>
  <c r="BJ110" i="3"/>
  <c r="BJ103" i="3"/>
  <c r="E78" i="48" l="1"/>
  <c r="F78" i="48" s="1" a="1"/>
  <c r="F78" i="48" s="1"/>
  <c r="BI112" i="3"/>
  <c r="B428" i="40" s="1"/>
  <c r="E79" i="48" l="1"/>
  <c r="F79" i="48" s="1" a="1"/>
  <c r="F79" i="48" s="1"/>
  <c r="B86" i="40"/>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E80" i="48" l="1"/>
  <c r="F80" i="48" s="1" a="1"/>
  <c r="F80" i="48" s="1"/>
  <c r="N108" i="3"/>
  <c r="AF108" i="3" s="1"/>
  <c r="N113" i="3"/>
  <c r="AF113" i="3" s="1"/>
  <c r="N107" i="3"/>
  <c r="AF107" i="3" s="1"/>
  <c r="B497" i="40"/>
  <c r="BG124" i="3" s="1"/>
  <c r="AZ110" i="3" s="1"/>
  <c r="N109" i="3"/>
  <c r="AF110" i="3" s="1"/>
  <c r="N110" i="3"/>
  <c r="AF109" i="3" s="1"/>
  <c r="DT109" i="3" s="1"/>
  <c r="N115" i="3"/>
  <c r="AF116" i="3" s="1"/>
  <c r="N105" i="3"/>
  <c r="AF106" i="3" s="1"/>
  <c r="N102" i="3"/>
  <c r="AF103" i="3" s="1"/>
  <c r="E81" i="48" l="1"/>
  <c r="F81" i="48" s="1" a="1"/>
  <c r="F81" i="48" s="1"/>
  <c r="BG117" i="3"/>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AC146" i="46" l="1"/>
  <c r="Z153" i="46"/>
  <c r="Z137" i="46"/>
  <c r="W149" i="46"/>
  <c r="W159" i="46"/>
  <c r="W158" i="46"/>
  <c r="AC130" i="46"/>
  <c r="Z142" i="46"/>
  <c r="Z152" i="46"/>
  <c r="AC144" i="46"/>
  <c r="Z150" i="46"/>
  <c r="AC135" i="46"/>
  <c r="AC145" i="46"/>
  <c r="Z131" i="46"/>
  <c r="Z130" i="46"/>
  <c r="Z141" i="46"/>
  <c r="AC150" i="46"/>
  <c r="Z159" i="46"/>
  <c r="W139" i="46"/>
  <c r="Z135" i="46"/>
  <c r="W140" i="46"/>
  <c r="W155" i="46"/>
  <c r="AC152" i="46"/>
  <c r="Z132" i="46"/>
  <c r="AC141" i="46"/>
  <c r="Z143" i="46"/>
  <c r="W161" i="46"/>
  <c r="W146" i="46"/>
  <c r="AC151" i="46"/>
  <c r="AC154" i="46"/>
  <c r="W148" i="46"/>
  <c r="Z154" i="46"/>
  <c r="Z139" i="46"/>
  <c r="Z138" i="46"/>
  <c r="AC134" i="46"/>
  <c r="AC133" i="46"/>
  <c r="AC147" i="46"/>
  <c r="AC132" i="46"/>
  <c r="AC143" i="46"/>
  <c r="AC153" i="46"/>
  <c r="Z156" i="46"/>
  <c r="W141" i="46"/>
  <c r="Z158" i="46"/>
  <c r="W150" i="46"/>
  <c r="W157" i="46"/>
  <c r="AC149" i="46"/>
  <c r="Z134" i="46"/>
  <c r="W145" i="46"/>
  <c r="AC136" i="46"/>
  <c r="W142" i="46"/>
  <c r="W143" i="46"/>
  <c r="AC160" i="46"/>
  <c r="W138" i="46"/>
  <c r="AC131" i="46"/>
  <c r="Z133" i="46"/>
  <c r="Z161" i="46"/>
  <c r="Z136" i="46"/>
  <c r="W154" i="46"/>
  <c r="W133" i="46"/>
  <c r="AC156" i="46"/>
  <c r="AC158" i="46"/>
  <c r="AC157" i="46"/>
  <c r="AC148" i="46"/>
  <c r="Z147" i="46"/>
  <c r="W136" i="46"/>
  <c r="W130" i="46"/>
  <c r="W152" i="46"/>
  <c r="W151" i="46"/>
  <c r="Z160" i="46"/>
  <c r="AC140" i="46"/>
  <c r="Z155" i="46"/>
  <c r="Z145" i="46"/>
  <c r="Z144" i="46"/>
  <c r="W147" i="46"/>
  <c r="W134" i="46"/>
  <c r="AC155" i="46"/>
  <c r="AC161" i="46"/>
  <c r="AC138" i="46"/>
  <c r="AC137" i="46"/>
  <c r="W156" i="46"/>
  <c r="AC159" i="46"/>
  <c r="AC139" i="46"/>
  <c r="Z148" i="46"/>
  <c r="W132" i="46"/>
  <c r="W131" i="46"/>
  <c r="Z149" i="46"/>
  <c r="W153" i="46"/>
  <c r="Z140" i="46"/>
  <c r="W135" i="46"/>
  <c r="Z151" i="46"/>
  <c r="Z157" i="46"/>
  <c r="AC142" i="46"/>
  <c r="Z146" i="46"/>
  <c r="W160" i="46"/>
  <c r="W137" i="46"/>
  <c r="W144" i="46"/>
  <c r="AC166" i="46"/>
  <c r="AC177" i="46"/>
  <c r="AC179" i="46"/>
  <c r="W179" i="46"/>
  <c r="W171" i="46"/>
  <c r="W173" i="46"/>
  <c r="W166" i="46"/>
  <c r="Z172" i="46"/>
  <c r="Z177" i="46"/>
  <c r="Z166" i="46"/>
  <c r="AC165" i="46"/>
  <c r="AC170" i="46"/>
  <c r="Z164" i="46"/>
  <c r="AC171" i="46"/>
  <c r="W168" i="46"/>
  <c r="W165" i="46"/>
  <c r="W170" i="46"/>
  <c r="W177" i="46"/>
  <c r="Z168" i="46"/>
  <c r="AC176" i="46"/>
  <c r="Z176" i="46"/>
  <c r="AC173" i="46"/>
  <c r="AC169" i="46"/>
  <c r="AC178" i="46"/>
  <c r="Z175" i="46"/>
  <c r="Z178" i="46"/>
  <c r="W172" i="46"/>
  <c r="AC168" i="46"/>
  <c r="Z165" i="46"/>
  <c r="W176" i="46"/>
  <c r="W178" i="46"/>
  <c r="Z169" i="46"/>
  <c r="Z171" i="46"/>
  <c r="AC175" i="46"/>
  <c r="AC164" i="46"/>
  <c r="W169" i="46"/>
  <c r="W174" i="46"/>
  <c r="Z170" i="46"/>
  <c r="AC174" i="46"/>
  <c r="Z179" i="46"/>
  <c r="W167" i="46"/>
  <c r="Z174" i="46"/>
  <c r="AC172" i="46"/>
  <c r="Z173" i="46"/>
  <c r="AC167" i="46"/>
  <c r="W175" i="46"/>
  <c r="W164" i="46"/>
  <c r="Z167" i="46"/>
  <c r="T172" i="46"/>
  <c r="T170" i="46"/>
  <c r="T164" i="46"/>
  <c r="T169" i="46"/>
  <c r="T174" i="46"/>
  <c r="T173" i="46"/>
  <c r="T171" i="46"/>
  <c r="T167" i="46"/>
  <c r="T168" i="46"/>
  <c r="T166" i="46"/>
  <c r="T165" i="46"/>
  <c r="T178" i="46"/>
  <c r="T179" i="46"/>
  <c r="T177" i="46"/>
  <c r="T176" i="46"/>
  <c r="T175" i="46"/>
  <c r="T149" i="46"/>
  <c r="T137" i="46"/>
  <c r="T147" i="46"/>
  <c r="T159" i="46"/>
  <c r="T155" i="46"/>
  <c r="T157" i="46"/>
  <c r="T151" i="46"/>
  <c r="T156" i="46"/>
  <c r="T131" i="46"/>
  <c r="T161" i="46"/>
  <c r="T145" i="46"/>
  <c r="T141" i="46"/>
  <c r="T146" i="46"/>
  <c r="T139" i="46"/>
  <c r="T134" i="46"/>
  <c r="T136" i="46"/>
  <c r="T153" i="46"/>
  <c r="T144" i="46"/>
  <c r="T135" i="46"/>
  <c r="T142" i="46"/>
  <c r="T140" i="46"/>
  <c r="T138" i="46"/>
  <c r="T160" i="46"/>
  <c r="T148" i="46"/>
  <c r="T152" i="46"/>
  <c r="T158" i="46"/>
  <c r="T132" i="46"/>
  <c r="T154" i="46"/>
  <c r="T150" i="46"/>
  <c r="T133" i="46"/>
  <c r="T130" i="46"/>
  <c r="T143" i="46"/>
  <c r="E82" i="48"/>
  <c r="F82" i="48" s="1" a="1"/>
  <c r="F82" i="48" s="1"/>
  <c r="JL153" i="46"/>
  <c r="JL137" i="46"/>
  <c r="JU151" i="46"/>
  <c r="IQ160" i="46"/>
  <c r="JI142" i="46"/>
  <c r="JI157" i="46"/>
  <c r="KA139" i="46"/>
  <c r="JX154" i="46"/>
  <c r="KG156" i="46"/>
  <c r="IT155" i="46"/>
  <c r="KS134" i="46"/>
  <c r="JO144" i="46"/>
  <c r="JU154" i="46"/>
  <c r="IQ133" i="46"/>
  <c r="JO140" i="46"/>
  <c r="IQ148" i="46"/>
  <c r="KJ155" i="46"/>
  <c r="KS131" i="46"/>
  <c r="KJ134" i="46"/>
  <c r="KM137" i="46"/>
  <c r="IN139" i="46"/>
  <c r="IK139" i="46"/>
  <c r="LB138" i="46"/>
  <c r="KY138" i="46"/>
  <c r="KV138" i="46"/>
  <c r="IW140" i="46"/>
  <c r="JU141" i="46"/>
  <c r="JF141" i="46"/>
  <c r="LB140" i="46"/>
  <c r="KY140" i="46"/>
  <c r="JO133" i="46"/>
  <c r="LB131" i="46"/>
  <c r="KY158" i="46"/>
  <c r="KS152" i="46"/>
  <c r="JU152" i="46"/>
  <c r="JO152" i="46"/>
  <c r="KV154" i="46"/>
  <c r="KA161" i="46"/>
  <c r="JI161" i="46"/>
  <c r="IW161" i="46"/>
  <c r="KV139" i="46"/>
  <c r="KG141" i="46"/>
  <c r="JC140" i="46"/>
  <c r="KA152" i="46"/>
  <c r="KA136" i="46"/>
  <c r="KJ150" i="46"/>
  <c r="IZ159" i="46"/>
  <c r="JR141" i="46"/>
  <c r="JR156" i="46"/>
  <c r="KG138" i="46"/>
  <c r="KG153" i="46"/>
  <c r="KM155" i="46"/>
  <c r="IQ154" i="46"/>
  <c r="KY133" i="46"/>
  <c r="JI143" i="46"/>
  <c r="JO153" i="46"/>
  <c r="IT132" i="46"/>
  <c r="JF139" i="46"/>
  <c r="LB146" i="46"/>
  <c r="JL154" i="46"/>
  <c r="KS130" i="46"/>
  <c r="JR133" i="46"/>
  <c r="JU136" i="46"/>
  <c r="KA137" i="46"/>
  <c r="JX137" i="46"/>
  <c r="JU137" i="46"/>
  <c r="JR137" i="46"/>
  <c r="JC137" i="46"/>
  <c r="KD138" i="46"/>
  <c r="LB139" i="46"/>
  <c r="KY139" i="46"/>
  <c r="JL139" i="46"/>
  <c r="JI139" i="46"/>
  <c r="JX160" i="46"/>
  <c r="KP136" i="46"/>
  <c r="JI155" i="46"/>
  <c r="KA149" i="46"/>
  <c r="IT149" i="46"/>
  <c r="LE148" i="46"/>
  <c r="JL151" i="46"/>
  <c r="LB157" i="46"/>
  <c r="KJ157" i="46"/>
  <c r="KD157" i="46"/>
  <c r="JR143" i="46"/>
  <c r="IN134" i="46"/>
  <c r="JI140" i="46"/>
  <c r="KP151" i="46"/>
  <c r="KP135" i="46"/>
  <c r="KY149" i="46"/>
  <c r="JI158" i="46"/>
  <c r="JX140" i="46"/>
  <c r="KA155" i="46"/>
  <c r="KP137" i="46"/>
  <c r="KP152" i="46"/>
  <c r="KS161" i="46"/>
  <c r="IN153" i="46"/>
  <c r="LE132" i="46"/>
  <c r="IZ142" i="46"/>
  <c r="JC152" i="46"/>
  <c r="IZ131" i="46"/>
  <c r="IZ138" i="46"/>
  <c r="KD145" i="46"/>
  <c r="IW153" i="46"/>
  <c r="IK161" i="46"/>
  <c r="JC132" i="46"/>
  <c r="JF135" i="46"/>
  <c r="IZ136" i="46"/>
  <c r="IT136" i="46"/>
  <c r="LB135" i="46"/>
  <c r="KV135" i="46"/>
  <c r="KS135" i="46"/>
  <c r="IW137" i="46"/>
  <c r="JL138" i="46"/>
  <c r="JI138" i="46"/>
  <c r="LB137" i="46"/>
  <c r="KS137" i="46"/>
  <c r="IW157" i="46"/>
  <c r="IZ160" i="46"/>
  <c r="LB151" i="46"/>
  <c r="JF146" i="46"/>
  <c r="IK146" i="46"/>
  <c r="LB145" i="46"/>
  <c r="IT148" i="46"/>
  <c r="JR154" i="46"/>
  <c r="IZ154" i="46"/>
  <c r="LE153" i="46"/>
  <c r="JC142" i="46"/>
  <c r="JL131" i="46"/>
  <c r="IZ143" i="46"/>
  <c r="KJ141" i="46"/>
  <c r="LE150" i="46"/>
  <c r="LE134" i="46"/>
  <c r="IQ149" i="46"/>
  <c r="JR157" i="46"/>
  <c r="KG139" i="46"/>
  <c r="KG154" i="46"/>
  <c r="LB136" i="46"/>
  <c r="KY151" i="46"/>
  <c r="KJ160" i="46"/>
  <c r="LE151" i="46"/>
  <c r="IN132" i="46"/>
  <c r="IW141" i="46"/>
  <c r="IQ151" i="46"/>
  <c r="IW130" i="46"/>
  <c r="LE136" i="46"/>
  <c r="JR144" i="46"/>
  <c r="KM151" i="46"/>
  <c r="JC159" i="46"/>
  <c r="LB130" i="46"/>
  <c r="KV133" i="46"/>
  <c r="KG134" i="46"/>
  <c r="KD134" i="46"/>
  <c r="KA134" i="46"/>
  <c r="JX134" i="46"/>
  <c r="JR134" i="46"/>
  <c r="KG135" i="46"/>
  <c r="KV136" i="46"/>
  <c r="KS136" i="46"/>
  <c r="JR136" i="46"/>
  <c r="JO136" i="46"/>
  <c r="KJ153" i="46"/>
  <c r="JU156" i="46"/>
  <c r="JI145" i="46"/>
  <c r="IN143" i="46"/>
  <c r="KG142" i="46"/>
  <c r="JX142" i="46"/>
  <c r="LB144" i="46"/>
  <c r="JC151" i="46"/>
  <c r="KP150" i="46"/>
  <c r="KG150" i="46"/>
  <c r="LB147" i="46"/>
  <c r="KP155" i="46"/>
  <c r="KD137" i="46"/>
  <c r="IK136" i="46"/>
  <c r="KG143" i="46"/>
  <c r="JX143" i="46"/>
  <c r="LE130" i="46"/>
  <c r="LB132" i="46"/>
  <c r="IK130" i="46"/>
  <c r="IW150" i="46"/>
  <c r="IW134" i="46"/>
  <c r="JF148" i="46"/>
  <c r="JX156" i="46"/>
  <c r="KP138" i="46"/>
  <c r="KP153" i="46"/>
  <c r="IQ136" i="46"/>
  <c r="IK151" i="46"/>
  <c r="KD159" i="46"/>
  <c r="KY150" i="46"/>
  <c r="IT131" i="46"/>
  <c r="IT140" i="46"/>
  <c r="KS149" i="46"/>
  <c r="KV160" i="46"/>
  <c r="KY135" i="46"/>
  <c r="IW143" i="46"/>
  <c r="JX150" i="46"/>
  <c r="KM157" i="46"/>
  <c r="JU161" i="46"/>
  <c r="JX132" i="46"/>
  <c r="JF133" i="46"/>
  <c r="JC133" i="46"/>
  <c r="IZ133" i="46"/>
  <c r="IW133" i="46"/>
  <c r="IN133" i="46"/>
  <c r="JI134" i="46"/>
  <c r="JX135" i="46"/>
  <c r="JU135" i="46"/>
  <c r="LB134" i="46"/>
  <c r="KY134" i="46"/>
  <c r="JL150" i="46"/>
  <c r="IK153" i="46"/>
  <c r="JL142" i="46"/>
  <c r="IN140" i="46"/>
  <c r="KS139" i="46"/>
  <c r="JR139" i="46"/>
  <c r="KM141" i="46"/>
  <c r="JL147" i="46"/>
  <c r="JF147" i="46"/>
  <c r="KY137" i="46"/>
  <c r="KM138" i="46"/>
  <c r="JX145" i="46"/>
  <c r="IW156" i="46"/>
  <c r="JL156" i="46"/>
  <c r="JL149" i="46"/>
  <c r="JL133" i="46"/>
  <c r="JU147" i="46"/>
  <c r="KG155" i="46"/>
  <c r="KV137" i="46"/>
  <c r="KY152" i="46"/>
  <c r="JC135" i="46"/>
  <c r="IQ150" i="46"/>
  <c r="JX158" i="46"/>
  <c r="KV149" i="46"/>
  <c r="IZ130" i="46"/>
  <c r="IT139" i="46"/>
  <c r="KP148" i="46"/>
  <c r="JL159" i="46"/>
  <c r="KP134" i="46"/>
  <c r="LE141" i="46"/>
  <c r="JC149" i="46"/>
  <c r="IQ156" i="46"/>
  <c r="LE159" i="46"/>
  <c r="JO131" i="46"/>
  <c r="KP131" i="46"/>
  <c r="KM131" i="46"/>
  <c r="KJ131" i="46"/>
  <c r="KG131" i="46"/>
  <c r="KD131" i="46"/>
  <c r="KV132" i="46"/>
  <c r="IZ134" i="46"/>
  <c r="LE133" i="46"/>
  <c r="JX133" i="46"/>
  <c r="JU133" i="46"/>
  <c r="IQ147" i="46"/>
  <c r="KG149" i="46"/>
  <c r="JC139" i="46"/>
  <c r="IT137" i="46"/>
  <c r="KM136" i="46"/>
  <c r="KD136" i="46"/>
  <c r="KS138" i="46"/>
  <c r="KJ144" i="46"/>
  <c r="JC144" i="46"/>
  <c r="IT144" i="46"/>
  <c r="KY153" i="46"/>
  <c r="KS141" i="46"/>
  <c r="IQ146" i="46"/>
  <c r="KS155" i="46"/>
  <c r="IN131" i="46"/>
  <c r="KA148" i="46"/>
  <c r="KA132" i="46"/>
  <c r="KJ146" i="46"/>
  <c r="KP154" i="46"/>
  <c r="IK137" i="46"/>
  <c r="IK152" i="46"/>
  <c r="JO134" i="46"/>
  <c r="IZ149" i="46"/>
  <c r="JO157" i="46"/>
  <c r="KV148" i="46"/>
  <c r="KM160" i="46"/>
  <c r="IQ138" i="46"/>
  <c r="KJ147" i="46"/>
  <c r="LE157" i="46"/>
  <c r="KM133" i="46"/>
  <c r="KV140" i="46"/>
  <c r="IN148" i="46"/>
  <c r="KD154" i="46"/>
  <c r="JF158" i="46"/>
  <c r="IQ130" i="46"/>
  <c r="JX130" i="46"/>
  <c r="JU130" i="46"/>
  <c r="JR130" i="46"/>
  <c r="JO130" i="46"/>
  <c r="JI130" i="46"/>
  <c r="JU131" i="46"/>
  <c r="KG132" i="46"/>
  <c r="JU132" i="46"/>
  <c r="IZ132" i="46"/>
  <c r="IQ132" i="46"/>
  <c r="KS143" i="46"/>
  <c r="JO146" i="46"/>
  <c r="JL136" i="46"/>
  <c r="JF134" i="46"/>
  <c r="KS133" i="46"/>
  <c r="KJ133" i="46"/>
  <c r="KJ135" i="46"/>
  <c r="JX141" i="46"/>
  <c r="IZ141" i="46"/>
  <c r="IK141" i="46"/>
  <c r="IK160" i="46"/>
  <c r="IW135" i="46"/>
  <c r="KV144" i="46"/>
  <c r="KM135" i="46"/>
  <c r="JR142" i="46"/>
  <c r="KP147" i="46"/>
  <c r="KY161" i="46"/>
  <c r="KY145" i="46"/>
  <c r="KV153" i="46"/>
  <c r="IW136" i="46"/>
  <c r="IT151" i="46"/>
  <c r="KA133" i="46"/>
  <c r="JI148" i="46"/>
  <c r="IZ156" i="46"/>
  <c r="KV147" i="46"/>
  <c r="JR159" i="46"/>
  <c r="IQ137" i="46"/>
  <c r="JU146" i="46"/>
  <c r="KM156" i="46"/>
  <c r="KD132" i="46"/>
  <c r="KM139" i="46"/>
  <c r="KY146" i="46"/>
  <c r="LB152" i="46"/>
  <c r="KJ156" i="46"/>
  <c r="JR160" i="46"/>
  <c r="JO160" i="46"/>
  <c r="JL160" i="46"/>
  <c r="JI160" i="46"/>
  <c r="JC160" i="46"/>
  <c r="KJ161" i="46"/>
  <c r="IN130" i="46"/>
  <c r="JI131" i="46"/>
  <c r="JF131" i="46"/>
  <c r="KM130" i="46"/>
  <c r="KJ130" i="46"/>
  <c r="KP140" i="46"/>
  <c r="JO143" i="46"/>
  <c r="KG130" i="46"/>
  <c r="JR131" i="46"/>
  <c r="IK131" i="46"/>
  <c r="KY130" i="46"/>
  <c r="KY132" i="46"/>
  <c r="JO138" i="46"/>
  <c r="JC138" i="46"/>
  <c r="IK138" i="46"/>
  <c r="IT158" i="46"/>
  <c r="JX157" i="46"/>
  <c r="JO142" i="46"/>
  <c r="LE146" i="46"/>
  <c r="IQ161" i="46"/>
  <c r="IQ145" i="46"/>
  <c r="LE152" i="46"/>
  <c r="JI135" i="46"/>
  <c r="JC150" i="46"/>
  <c r="KM132" i="46"/>
  <c r="JO147" i="46"/>
  <c r="IW155" i="46"/>
  <c r="KS146" i="46"/>
  <c r="IZ158" i="46"/>
  <c r="IN136" i="46"/>
  <c r="JR145" i="46"/>
  <c r="JF155" i="46"/>
  <c r="KA131" i="46"/>
  <c r="JU138" i="46"/>
  <c r="KA145" i="46"/>
  <c r="JX151" i="46"/>
  <c r="IN155" i="46"/>
  <c r="KS158" i="46"/>
  <c r="KP158" i="46"/>
  <c r="KM158" i="46"/>
  <c r="KG158" i="46"/>
  <c r="JR158" i="46"/>
  <c r="IT160" i="46"/>
  <c r="JX161" i="46"/>
  <c r="JR161" i="46"/>
  <c r="LB160" i="46"/>
  <c r="KS160" i="46"/>
  <c r="IT161" i="46"/>
  <c r="KJ137" i="46"/>
  <c r="IZ140" i="46"/>
  <c r="KV158" i="46"/>
  <c r="KS159" i="46"/>
  <c r="JI159" i="46"/>
  <c r="IQ159" i="46"/>
  <c r="IT130" i="46"/>
  <c r="KA135" i="46"/>
  <c r="JO135" i="46"/>
  <c r="IT135" i="46"/>
  <c r="KJ143" i="46"/>
  <c r="KD130" i="46"/>
  <c r="JU145" i="46"/>
  <c r="KM134" i="46"/>
  <c r="IW146" i="46"/>
  <c r="JF160" i="46"/>
  <c r="JF144" i="46"/>
  <c r="IQ152" i="46"/>
  <c r="JU134" i="46"/>
  <c r="JI149" i="46"/>
  <c r="KY131" i="46"/>
  <c r="JX146" i="46"/>
  <c r="IT154" i="46"/>
  <c r="KJ145" i="46"/>
  <c r="LE156" i="46"/>
  <c r="IQ135" i="46"/>
  <c r="JL144" i="46"/>
  <c r="IK154" i="46"/>
  <c r="KA130" i="46"/>
  <c r="JO137" i="46"/>
  <c r="JI144" i="46"/>
  <c r="IK150" i="46"/>
  <c r="KA153" i="46"/>
  <c r="KY156" i="46"/>
  <c r="KV156" i="46"/>
  <c r="KS156" i="46"/>
  <c r="KP156" i="46"/>
  <c r="KD156" i="46"/>
  <c r="IN158" i="46"/>
  <c r="KM159" i="46"/>
  <c r="KJ159" i="46"/>
  <c r="IN159" i="46"/>
  <c r="LB158" i="46"/>
  <c r="KA157" i="46"/>
  <c r="KV134" i="46"/>
  <c r="IZ137" i="46"/>
  <c r="JC155" i="46"/>
  <c r="JC156" i="46"/>
  <c r="LB155" i="46"/>
  <c r="JX155" i="46"/>
  <c r="KD161" i="46"/>
  <c r="KJ132" i="46"/>
  <c r="JO132" i="46"/>
  <c r="JI132" i="46"/>
  <c r="JR152" i="46"/>
  <c r="JO161" i="46"/>
  <c r="JF159" i="46"/>
  <c r="JO145" i="46"/>
  <c r="JF138" i="46"/>
  <c r="LE160" i="46"/>
  <c r="IW139" i="46"/>
  <c r="KV142" i="46"/>
  <c r="JL158" i="46"/>
  <c r="JL161" i="46"/>
  <c r="JL145" i="46"/>
  <c r="JU159" i="46"/>
  <c r="JU143" i="46"/>
  <c r="IZ151" i="46"/>
  <c r="KG133" i="46"/>
  <c r="JR148" i="46"/>
  <c r="IQ131" i="46"/>
  <c r="KG145" i="46"/>
  <c r="IT153" i="46"/>
  <c r="KG144" i="46"/>
  <c r="KV155" i="46"/>
  <c r="IQ134" i="46"/>
  <c r="JF143" i="46"/>
  <c r="KJ152" i="46"/>
  <c r="JF161" i="46"/>
  <c r="JI136" i="46"/>
  <c r="IQ143" i="46"/>
  <c r="JU148" i="46"/>
  <c r="IT152" i="46"/>
  <c r="IZ155" i="46"/>
  <c r="IQ155" i="46"/>
  <c r="IK155" i="46"/>
  <c r="LB154" i="46"/>
  <c r="KY154" i="46"/>
  <c r="JO156" i="46"/>
  <c r="KV157" i="46"/>
  <c r="KS157" i="46"/>
  <c r="JU157" i="46"/>
  <c r="JC157" i="46"/>
  <c r="LB153" i="46"/>
  <c r="IK132" i="46"/>
  <c r="JL134" i="46"/>
  <c r="KV151" i="46"/>
  <c r="KM152" i="46"/>
  <c r="JL152" i="46"/>
  <c r="IK158" i="46"/>
  <c r="IZ161" i="46"/>
  <c r="LE144" i="46"/>
  <c r="KS151" i="46"/>
  <c r="KA143" i="46"/>
  <c r="IT138" i="46"/>
  <c r="JF149" i="46"/>
  <c r="LE155" i="46"/>
  <c r="KA160" i="46"/>
  <c r="KA144" i="46"/>
  <c r="KJ158" i="46"/>
  <c r="KJ142" i="46"/>
  <c r="JI150" i="46"/>
  <c r="KS132" i="46"/>
  <c r="KA147" i="46"/>
  <c r="JF130" i="46"/>
  <c r="KP144" i="46"/>
  <c r="IN152" i="46"/>
  <c r="KD143" i="46"/>
  <c r="KA154" i="46"/>
  <c r="IT133" i="46"/>
  <c r="IT142" i="46"/>
  <c r="JR151" i="46"/>
  <c r="LB159" i="46"/>
  <c r="IZ135" i="46"/>
  <c r="LB141" i="46"/>
  <c r="IT147" i="46"/>
  <c r="JU150" i="46"/>
  <c r="JX153" i="46"/>
  <c r="JU153" i="46"/>
  <c r="JI153" i="46"/>
  <c r="JF153" i="46"/>
  <c r="JC153" i="46"/>
  <c r="KS154" i="46"/>
  <c r="IT156" i="46"/>
  <c r="IN156" i="46"/>
  <c r="JR155" i="46"/>
  <c r="JL155" i="46"/>
  <c r="KD150" i="46"/>
  <c r="JU160" i="46"/>
  <c r="JX131" i="46"/>
  <c r="KD148" i="46"/>
  <c r="JX149" i="46"/>
  <c r="IN149" i="46"/>
  <c r="KY148" i="46"/>
  <c r="KM154" i="46"/>
  <c r="KP157" i="46"/>
  <c r="KG157" i="46"/>
  <c r="KP139" i="46"/>
  <c r="KV159" i="46"/>
  <c r="IZ146" i="46"/>
  <c r="JO155" i="46"/>
  <c r="KG148" i="46"/>
  <c r="KP159" i="46"/>
  <c r="KP143" i="46"/>
  <c r="KY157" i="46"/>
  <c r="KY141" i="46"/>
  <c r="JR149" i="46"/>
  <c r="LE131" i="46"/>
  <c r="KG146" i="46"/>
  <c r="KG161" i="46"/>
  <c r="KY143" i="46"/>
  <c r="LB150" i="46"/>
  <c r="KA142" i="46"/>
  <c r="JR153" i="46"/>
  <c r="IW132" i="46"/>
  <c r="IT141" i="46"/>
  <c r="IZ150" i="46"/>
  <c r="KD158" i="46"/>
  <c r="IT134" i="46"/>
  <c r="KS140" i="46"/>
  <c r="KM145" i="46"/>
  <c r="IK149" i="46"/>
  <c r="KJ151" i="46"/>
  <c r="KG151" i="46"/>
  <c r="KD151" i="46"/>
  <c r="KA151" i="46"/>
  <c r="JO151" i="46"/>
  <c r="KV152" i="46"/>
  <c r="JI154" i="46"/>
  <c r="JF154" i="46"/>
  <c r="KS153" i="46"/>
  <c r="KM153" i="46"/>
  <c r="JC147" i="46"/>
  <c r="IK157" i="46"/>
  <c r="KG159" i="46"/>
  <c r="JF145" i="46"/>
  <c r="JC146" i="46"/>
  <c r="LE145" i="46"/>
  <c r="KS145" i="46"/>
  <c r="JF151" i="46"/>
  <c r="JC154" i="46"/>
  <c r="IN154" i="46"/>
  <c r="LE135" i="46"/>
  <c r="LE158" i="46"/>
  <c r="LE142" i="46"/>
  <c r="IQ157" i="46"/>
  <c r="IQ141" i="46"/>
  <c r="JX148" i="46"/>
  <c r="IW131" i="46"/>
  <c r="KP145" i="46"/>
  <c r="KP160" i="46"/>
  <c r="IK143" i="46"/>
  <c r="LB149" i="46"/>
  <c r="KD141" i="46"/>
  <c r="JI152" i="46"/>
  <c r="JC131" i="46"/>
  <c r="IQ140" i="46"/>
  <c r="LB148" i="46"/>
  <c r="IT157" i="46"/>
  <c r="IK133" i="46"/>
  <c r="KJ139" i="46"/>
  <c r="IW144" i="46"/>
  <c r="JR147" i="46"/>
  <c r="IT150" i="46"/>
  <c r="IN150" i="46"/>
  <c r="KP149" i="46"/>
  <c r="KM149" i="46"/>
  <c r="KJ149" i="46"/>
  <c r="JI151" i="46"/>
  <c r="KG152" i="46"/>
  <c r="KD152" i="46"/>
  <c r="IZ152" i="46"/>
  <c r="IW152" i="46"/>
  <c r="IN144" i="46"/>
  <c r="KD153" i="46"/>
  <c r="IK156" i="46"/>
  <c r="JF142" i="46"/>
  <c r="LB142" i="46"/>
  <c r="KD142" i="46"/>
  <c r="JU142" i="46"/>
  <c r="LE147" i="46"/>
  <c r="KS150" i="46"/>
  <c r="KM150" i="46"/>
  <c r="LE143" i="46"/>
  <c r="JF132" i="46"/>
  <c r="IW158" i="46"/>
  <c r="IW142" i="46"/>
  <c r="JF156" i="46"/>
  <c r="JF140" i="46"/>
  <c r="KG147" i="46"/>
  <c r="JL130" i="46"/>
  <c r="KY144" i="46"/>
  <c r="KY159" i="46"/>
  <c r="LE161" i="46"/>
  <c r="KM161" i="46"/>
  <c r="KG140" i="46"/>
  <c r="IW151" i="46"/>
  <c r="JC130" i="46"/>
  <c r="IQ139" i="46"/>
  <c r="KD147" i="46"/>
  <c r="KY155" i="46"/>
  <c r="KV131" i="46"/>
  <c r="JR138" i="46"/>
  <c r="KM142" i="46"/>
  <c r="IT146" i="46"/>
  <c r="JO148" i="46"/>
  <c r="JL148" i="46"/>
  <c r="JC148" i="46"/>
  <c r="IZ148" i="46"/>
  <c r="IW148" i="46"/>
  <c r="KD149" i="46"/>
  <c r="IN151" i="46"/>
  <c r="KV150" i="46"/>
  <c r="JR150" i="46"/>
  <c r="JO150" i="46"/>
  <c r="LE140" i="46"/>
  <c r="JF150" i="46"/>
  <c r="JX152" i="46"/>
  <c r="IZ139" i="46"/>
  <c r="LE139" i="46"/>
  <c r="JX139" i="46"/>
  <c r="JO139" i="46"/>
  <c r="KS144" i="46"/>
  <c r="JX147" i="46"/>
  <c r="JI147" i="46"/>
  <c r="KM147" i="46"/>
  <c r="KD135" i="46"/>
  <c r="JR140" i="46"/>
  <c r="JL140" i="46"/>
  <c r="JR132" i="46"/>
  <c r="JL157" i="46"/>
  <c r="JL141" i="46"/>
  <c r="JU155" i="46"/>
  <c r="JU139" i="46"/>
  <c r="KP146" i="46"/>
  <c r="KP161" i="46"/>
  <c r="IK144" i="46"/>
  <c r="IK159" i="46"/>
  <c r="IN161" i="46"/>
  <c r="KG160" i="46"/>
  <c r="KD139" i="46"/>
  <c r="LE149" i="46"/>
  <c r="KD160" i="46"/>
  <c r="IN138" i="46"/>
  <c r="JL146" i="46"/>
  <c r="JO154" i="46"/>
  <c r="KV130" i="46"/>
  <c r="JI137" i="46"/>
  <c r="JO141" i="46"/>
  <c r="KM144" i="46"/>
  <c r="IK147" i="46"/>
  <c r="KV146" i="46"/>
  <c r="KM146" i="46"/>
  <c r="KD146" i="46"/>
  <c r="JR146" i="46"/>
  <c r="IK148" i="46"/>
  <c r="JU149" i="46"/>
  <c r="JO149" i="46"/>
  <c r="KM148" i="46"/>
  <c r="KJ148" i="46"/>
  <c r="LE137" i="46"/>
  <c r="IN147" i="46"/>
  <c r="IW149" i="46"/>
  <c r="JC136" i="46"/>
  <c r="KY136" i="46"/>
  <c r="KG136" i="46"/>
  <c r="JX136" i="46"/>
  <c r="KA141" i="46"/>
  <c r="JU144" i="46"/>
  <c r="IZ144" i="46"/>
  <c r="JU158" i="46"/>
  <c r="KP130" i="46"/>
  <c r="JC158" i="46"/>
  <c r="KD140" i="46"/>
  <c r="JL132" i="46"/>
  <c r="KA156" i="46"/>
  <c r="KA140" i="46"/>
  <c r="KJ154" i="46"/>
  <c r="KJ138" i="46"/>
  <c r="KV145" i="46"/>
  <c r="KY160" i="46"/>
  <c r="IT143" i="46"/>
  <c r="IQ158" i="46"/>
  <c r="IW160" i="46"/>
  <c r="KA159" i="46"/>
  <c r="KA138" i="46"/>
  <c r="KS148" i="46"/>
  <c r="JO159" i="46"/>
  <c r="IN137" i="46"/>
  <c r="IZ145" i="46"/>
  <c r="IZ153" i="46"/>
  <c r="JC161" i="46"/>
  <c r="JF136" i="46"/>
  <c r="IK140" i="46"/>
  <c r="JL143" i="46"/>
  <c r="JC145" i="46"/>
  <c r="IW145" i="46"/>
  <c r="IT145" i="46"/>
  <c r="IN145" i="46"/>
  <c r="IK145" i="46"/>
  <c r="JI146" i="46"/>
  <c r="KY147" i="46"/>
  <c r="KS147" i="46"/>
  <c r="IZ147" i="46"/>
  <c r="IW147" i="46"/>
  <c r="IK135" i="46"/>
  <c r="KM143" i="46"/>
  <c r="IN146" i="46"/>
  <c r="JI133" i="46"/>
  <c r="JC134" i="46"/>
  <c r="KP133" i="46"/>
  <c r="KD133" i="46"/>
  <c r="JX138" i="46"/>
  <c r="JC141" i="46"/>
  <c r="IN141" i="46"/>
  <c r="IZ157" i="46"/>
  <c r="KM140" i="46"/>
  <c r="JF152" i="46"/>
  <c r="KY142" i="46"/>
  <c r="LE154" i="46"/>
  <c r="LE138" i="46"/>
  <c r="IQ153" i="46"/>
  <c r="KV161" i="46"/>
  <c r="IQ144" i="46"/>
  <c r="IT159" i="46"/>
  <c r="JI141" i="46"/>
  <c r="JI156" i="46"/>
  <c r="JO158" i="46"/>
  <c r="JF157" i="46"/>
  <c r="KJ136" i="46"/>
  <c r="KA146" i="46"/>
  <c r="LB156" i="46"/>
  <c r="IN135" i="46"/>
  <c r="KP142" i="46"/>
  <c r="KA150" i="46"/>
  <c r="KA158" i="46"/>
  <c r="IK134" i="46"/>
  <c r="JF137" i="46"/>
  <c r="JU140" i="46"/>
  <c r="IQ142" i="46"/>
  <c r="IN142" i="46"/>
  <c r="IK142" i="46"/>
  <c r="KV141" i="46"/>
  <c r="KP141" i="46"/>
  <c r="JC143" i="46"/>
  <c r="KD144" i="46"/>
  <c r="JX144" i="46"/>
  <c r="LB143" i="46"/>
  <c r="KV143" i="46"/>
  <c r="KS142" i="46"/>
  <c r="KG137" i="46"/>
  <c r="LB133" i="46"/>
  <c r="IN160" i="46"/>
  <c r="JX159" i="46"/>
  <c r="IW159" i="46"/>
  <c r="LB161" i="46"/>
  <c r="KP132" i="46"/>
  <c r="JR135" i="46"/>
  <c r="JL135" i="46"/>
  <c r="IW154" i="46"/>
  <c r="IW138" i="46"/>
  <c r="IN157" i="46"/>
  <c r="KJ140" i="46"/>
  <c r="KD155" i="46"/>
  <c r="KP167" i="46"/>
  <c r="KJ166" i="46"/>
  <c r="JR179" i="46"/>
  <c r="KA177" i="46"/>
  <c r="IZ175" i="46"/>
  <c r="JL170" i="46"/>
  <c r="JU177" i="46"/>
  <c r="KP168" i="46"/>
  <c r="LE172" i="46"/>
  <c r="JX174" i="46"/>
  <c r="KG173" i="46"/>
  <c r="JU166" i="46"/>
  <c r="LB174" i="46"/>
  <c r="IK171" i="46"/>
  <c r="KG168" i="46"/>
  <c r="JO176" i="46"/>
  <c r="IT176" i="46"/>
  <c r="JX178" i="46"/>
  <c r="JO177" i="46"/>
  <c r="KP164" i="46"/>
  <c r="JI165" i="46"/>
  <c r="IN170" i="46"/>
  <c r="KV172" i="46"/>
  <c r="LE166" i="46"/>
  <c r="KY165" i="46"/>
  <c r="KA178" i="46"/>
  <c r="KJ176" i="46"/>
  <c r="JI174" i="46"/>
  <c r="JF169" i="46"/>
  <c r="JI176" i="46"/>
  <c r="KA167" i="46"/>
  <c r="KM171" i="46"/>
  <c r="KY172" i="46"/>
  <c r="IK172" i="46"/>
  <c r="LB178" i="46"/>
  <c r="IZ173" i="46"/>
  <c r="JI169" i="46"/>
  <c r="KS166" i="46"/>
  <c r="KM172" i="46"/>
  <c r="IN172" i="46"/>
  <c r="KA174" i="46"/>
  <c r="IW173" i="46"/>
  <c r="JR164" i="46"/>
  <c r="JR178" i="46"/>
  <c r="IW176" i="46"/>
  <c r="KA165" i="46"/>
  <c r="IW166" i="46"/>
  <c r="IQ165" i="46"/>
  <c r="KJ177" i="46"/>
  <c r="KS175" i="46"/>
  <c r="JR173" i="46"/>
  <c r="IZ168" i="46"/>
  <c r="IQ175" i="46"/>
  <c r="JO166" i="46"/>
  <c r="JC170" i="46"/>
  <c r="IW171" i="46"/>
  <c r="IT170" i="46"/>
  <c r="IZ177" i="46"/>
  <c r="JL171" i="46"/>
  <c r="JX167" i="46"/>
  <c r="IZ165" i="46"/>
  <c r="JU168" i="46"/>
  <c r="KM167" i="46"/>
  <c r="KV170" i="46"/>
  <c r="IZ169" i="46"/>
  <c r="IN164" i="46"/>
  <c r="JU167" i="46"/>
  <c r="KD170" i="46"/>
  <c r="JL165" i="46"/>
  <c r="KA179" i="46"/>
  <c r="KS176" i="46"/>
  <c r="KY174" i="46"/>
  <c r="JX172" i="46"/>
  <c r="IQ167" i="46"/>
  <c r="KS173" i="46"/>
  <c r="IN165" i="46"/>
  <c r="LB168" i="46"/>
  <c r="KD169" i="46"/>
  <c r="JL168" i="46"/>
  <c r="JL175" i="46"/>
  <c r="JX169" i="46"/>
  <c r="KJ165" i="46"/>
  <c r="JU164" i="46"/>
  <c r="IQ178" i="46"/>
  <c r="KJ175" i="46"/>
  <c r="KM166" i="46"/>
  <c r="JX165" i="46"/>
  <c r="IT164" i="46"/>
  <c r="JU179" i="46"/>
  <c r="KG178" i="46"/>
  <c r="LB175" i="46"/>
  <c r="IK174" i="46"/>
  <c r="KG171" i="46"/>
  <c r="LB165" i="46"/>
  <c r="KD172" i="46"/>
  <c r="JL179" i="46"/>
  <c r="JR167" i="46"/>
  <c r="IN168" i="46"/>
  <c r="KD166" i="46"/>
  <c r="JX173" i="46"/>
  <c r="KV167" i="46"/>
  <c r="KG164" i="46"/>
  <c r="JO179" i="46"/>
  <c r="JL176" i="46"/>
  <c r="KD171" i="46"/>
  <c r="IN178" i="46"/>
  <c r="KV176" i="46"/>
  <c r="IW170" i="46"/>
  <c r="KM173" i="46"/>
  <c r="IW177" i="46"/>
  <c r="IQ174" i="46"/>
  <c r="JF173" i="46"/>
  <c r="IW164" i="46"/>
  <c r="JX171" i="46"/>
  <c r="KS170" i="46"/>
  <c r="JI164" i="46"/>
  <c r="JF170" i="46"/>
  <c r="KV177" i="46"/>
  <c r="IZ166" i="46"/>
  <c r="KV164" i="46"/>
  <c r="KP179" i="46"/>
  <c r="KJ178" i="46"/>
  <c r="KP177" i="46"/>
  <c r="IN175" i="46"/>
  <c r="IT173" i="46"/>
  <c r="KP170" i="46"/>
  <c r="IZ179" i="46"/>
  <c r="JC171" i="46"/>
  <c r="IK178" i="46"/>
  <c r="IQ166" i="46"/>
  <c r="JX166" i="46"/>
  <c r="IN179" i="46"/>
  <c r="KV171" i="46"/>
  <c r="LE165" i="46"/>
  <c r="KD179" i="46"/>
  <c r="KD177" i="46"/>
  <c r="JI172" i="46"/>
  <c r="KJ167" i="46"/>
  <c r="JF174" i="46"/>
  <c r="IN173" i="46"/>
  <c r="JC164" i="46"/>
  <c r="KM174" i="46"/>
  <c r="JC167" i="46"/>
  <c r="LE178" i="46"/>
  <c r="KY177" i="46"/>
  <c r="KY176" i="46"/>
  <c r="IT174" i="46"/>
  <c r="IZ172" i="46"/>
  <c r="KV169" i="46"/>
  <c r="IT178" i="46"/>
  <c r="IQ170" i="46"/>
  <c r="KD176" i="46"/>
  <c r="KS179" i="46"/>
  <c r="LB164" i="46"/>
  <c r="JF177" i="46"/>
  <c r="LB169" i="46"/>
  <c r="KM164" i="46"/>
  <c r="KS177" i="46"/>
  <c r="KM175" i="46"/>
  <c r="JR168" i="46"/>
  <c r="IW179" i="46"/>
  <c r="JO170" i="46"/>
  <c r="IW169" i="46"/>
  <c r="KV173" i="46"/>
  <c r="IQ169" i="46"/>
  <c r="JU172" i="46"/>
  <c r="KA175" i="46"/>
  <c r="KS178" i="46"/>
  <c r="IW178" i="46"/>
  <c r="IQ177" i="46"/>
  <c r="IK176" i="46"/>
  <c r="JC173" i="46"/>
  <c r="JI171" i="46"/>
  <c r="LE168" i="46"/>
  <c r="IN177" i="46"/>
  <c r="KV168" i="46"/>
  <c r="JI175" i="46"/>
  <c r="JL178" i="46"/>
  <c r="JO164" i="46"/>
  <c r="JR175" i="46"/>
  <c r="IT168" i="46"/>
  <c r="JI178" i="46"/>
  <c r="IN176" i="46"/>
  <c r="IN174" i="46"/>
  <c r="IZ176" i="46"/>
  <c r="JC175" i="46"/>
  <c r="KS165" i="46"/>
  <c r="JO165" i="46"/>
  <c r="KV165" i="46"/>
  <c r="JO174" i="46"/>
  <c r="JL177" i="46"/>
  <c r="JF176" i="46"/>
  <c r="IT175" i="46"/>
  <c r="JL172" i="46"/>
  <c r="JR170" i="46"/>
  <c r="IQ168" i="46"/>
  <c r="KY175" i="46"/>
  <c r="KD167" i="46"/>
  <c r="LB173" i="46"/>
  <c r="IK177" i="46"/>
  <c r="JF178" i="46"/>
  <c r="KD173" i="46"/>
  <c r="JL166" i="46"/>
  <c r="JU176" i="46"/>
  <c r="IZ174" i="46"/>
  <c r="IT172" i="46"/>
  <c r="IQ172" i="46"/>
  <c r="IT171" i="46"/>
  <c r="LE177" i="46"/>
  <c r="KM176" i="46"/>
  <c r="IZ178" i="46"/>
  <c r="JF179" i="46"/>
  <c r="KY179" i="46"/>
  <c r="KA176" i="46"/>
  <c r="JU175" i="46"/>
  <c r="JC174" i="46"/>
  <c r="JR171" i="46"/>
  <c r="KA169" i="46"/>
  <c r="IZ167" i="46"/>
  <c r="KP174" i="46"/>
  <c r="JR166" i="46"/>
  <c r="JO172" i="46"/>
  <c r="KD175" i="46"/>
  <c r="KG176" i="46"/>
  <c r="LE171" i="46"/>
  <c r="KY178" i="46"/>
  <c r="KG174" i="46"/>
  <c r="JC172" i="46"/>
  <c r="JX170" i="46"/>
  <c r="KY167" i="46"/>
  <c r="JI167" i="46"/>
  <c r="LE173" i="46"/>
  <c r="KS172" i="46"/>
  <c r="KP175" i="46"/>
  <c r="KJ174" i="46"/>
  <c r="JI173" i="46"/>
  <c r="KA170" i="46"/>
  <c r="KJ168" i="46"/>
  <c r="JI166" i="46"/>
  <c r="KJ173" i="46"/>
  <c r="IW165" i="46"/>
  <c r="IQ171" i="46"/>
  <c r="JL174" i="46"/>
  <c r="IW175" i="46"/>
  <c r="IK170" i="46"/>
  <c r="LB176" i="46"/>
  <c r="KM170" i="46"/>
  <c r="KD168" i="46"/>
  <c r="KJ179" i="46"/>
  <c r="KJ164" i="46"/>
  <c r="KG169" i="46"/>
  <c r="IT169" i="46"/>
  <c r="KY171" i="46"/>
  <c r="IQ176" i="46"/>
  <c r="KP176" i="46"/>
  <c r="IK173" i="46"/>
  <c r="LB167" i="46"/>
  <c r="LE174" i="46"/>
  <c r="KY173" i="46"/>
  <c r="JR172" i="46"/>
  <c r="KJ169" i="46"/>
  <c r="KS167" i="46"/>
  <c r="JR165" i="46"/>
  <c r="KG172" i="46"/>
  <c r="LB179" i="46"/>
  <c r="KM169" i="46"/>
  <c r="LB172" i="46"/>
  <c r="JU173" i="46"/>
  <c r="JI168" i="46"/>
  <c r="JF175" i="46"/>
  <c r="IN171" i="46"/>
  <c r="IK169" i="46"/>
  <c r="KP166" i="46"/>
  <c r="JF171" i="46"/>
  <c r="IK164" i="46"/>
  <c r="KP165" i="46"/>
  <c r="LE164" i="46"/>
  <c r="JX176" i="46"/>
  <c r="IT167" i="46"/>
  <c r="IZ164" i="46"/>
  <c r="JX175" i="46"/>
  <c r="IW174" i="46"/>
  <c r="IQ173" i="46"/>
  <c r="KA171" i="46"/>
  <c r="KS168" i="46"/>
  <c r="KY166" i="46"/>
  <c r="JC179" i="46"/>
  <c r="JO171" i="46"/>
  <c r="KM178" i="46"/>
  <c r="JO168" i="46"/>
  <c r="KJ171" i="46"/>
  <c r="LB171" i="46"/>
  <c r="KA166" i="46"/>
  <c r="JO173" i="46"/>
  <c r="JO169" i="46"/>
  <c r="IW167" i="46"/>
  <c r="IK165" i="46"/>
  <c r="JL167" i="46"/>
  <c r="IT179" i="46"/>
  <c r="LB177" i="46"/>
  <c r="KD164" i="46"/>
  <c r="JL173" i="46"/>
  <c r="JF172" i="46"/>
  <c r="KG170" i="46"/>
  <c r="IK166" i="46"/>
  <c r="JI170" i="46"/>
  <c r="JR177" i="46"/>
  <c r="LB166" i="46"/>
  <c r="IZ170" i="46"/>
  <c r="IK179" i="46"/>
  <c r="KS171" i="46"/>
  <c r="KG167" i="46"/>
  <c r="JF165" i="46"/>
  <c r="JU178" i="46"/>
  <c r="KV174" i="46"/>
  <c r="JL164" i="46"/>
  <c r="IQ179" i="46"/>
  <c r="KA172" i="46"/>
  <c r="JU171" i="46"/>
  <c r="KP169" i="46"/>
  <c r="IN167" i="46"/>
  <c r="IT165" i="46"/>
  <c r="IT177" i="46"/>
  <c r="JC169" i="46"/>
  <c r="JC176" i="46"/>
  <c r="KG165" i="46"/>
  <c r="KM168" i="46"/>
  <c r="JX168" i="46"/>
  <c r="JC177" i="46"/>
  <c r="KS169" i="46"/>
  <c r="KM165" i="46"/>
  <c r="JX179" i="46"/>
  <c r="KP172" i="46"/>
  <c r="KG166" i="46"/>
  <c r="LB170" i="46"/>
  <c r="JU169" i="46"/>
  <c r="KS164" i="46"/>
  <c r="KP171" i="46"/>
  <c r="KJ170" i="46"/>
  <c r="KY168" i="46"/>
  <c r="IT166" i="46"/>
  <c r="KG179" i="46"/>
  <c r="LE175" i="46"/>
  <c r="IW168" i="46"/>
  <c r="IK175" i="46"/>
  <c r="KV179" i="46"/>
  <c r="JO167" i="46"/>
  <c r="KV166" i="46"/>
  <c r="JO175" i="46"/>
  <c r="LE167" i="46"/>
  <c r="IQ164" i="46"/>
  <c r="KG177" i="46"/>
  <c r="IN169" i="46"/>
  <c r="JR174" i="46"/>
  <c r="JF167" i="46"/>
  <c r="KD165" i="46"/>
  <c r="KY164" i="46"/>
  <c r="LE170" i="46"/>
  <c r="KY169" i="46"/>
  <c r="IK168" i="46"/>
  <c r="JC165" i="46"/>
  <c r="KP178" i="46"/>
  <c r="KS174" i="46"/>
  <c r="IK167" i="46"/>
  <c r="KP173" i="46"/>
  <c r="JO178" i="46"/>
  <c r="IN166" i="46"/>
  <c r="JU165" i="46"/>
  <c r="KA173" i="46"/>
  <c r="JF166" i="46"/>
  <c r="JC178" i="46"/>
  <c r="KV175" i="46"/>
  <c r="KM179" i="46"/>
  <c r="JU170" i="46"/>
  <c r="KV178" i="46"/>
  <c r="JX177" i="46"/>
  <c r="KA164" i="46"/>
  <c r="JR176" i="46"/>
  <c r="KA168" i="46"/>
  <c r="JC168" i="46"/>
  <c r="JL169" i="46"/>
  <c r="JF168" i="46"/>
  <c r="JC166" i="46"/>
  <c r="JI179" i="46"/>
  <c r="LE176" i="46"/>
  <c r="KJ172" i="46"/>
  <c r="LE179" i="46"/>
  <c r="IZ171" i="46"/>
  <c r="KG175" i="46"/>
  <c r="KM177" i="46"/>
  <c r="JI177" i="46"/>
  <c r="LE169" i="46"/>
  <c r="KD178" i="46"/>
  <c r="KD174" i="46"/>
  <c r="IW172" i="46"/>
  <c r="JU174" i="46"/>
  <c r="JX164" i="46"/>
  <c r="KY170" i="46"/>
  <c r="JR169" i="46"/>
  <c r="JF164" i="46"/>
  <c r="GI153" i="46"/>
  <c r="GI137" i="46"/>
  <c r="GF151" i="46"/>
  <c r="GF135" i="46"/>
  <c r="HS146" i="46"/>
  <c r="HY161" i="46"/>
  <c r="FN155" i="46"/>
  <c r="FN136" i="46"/>
  <c r="IH147" i="46"/>
  <c r="GO160" i="46"/>
  <c r="FT139" i="46"/>
  <c r="GX150" i="46"/>
  <c r="FN130" i="46"/>
  <c r="IE140" i="46"/>
  <c r="HG149" i="46"/>
  <c r="GC157" i="46"/>
  <c r="GU132" i="46"/>
  <c r="GX139" i="46"/>
  <c r="GC147" i="46"/>
  <c r="GR153" i="46"/>
  <c r="IE154" i="46"/>
  <c r="FQ155" i="46"/>
  <c r="GR156" i="46"/>
  <c r="HV157" i="46"/>
  <c r="HJ143" i="46"/>
  <c r="IH144" i="46"/>
  <c r="IE144" i="46"/>
  <c r="GC146" i="46"/>
  <c r="HG147" i="46"/>
  <c r="FN149" i="46"/>
  <c r="GR150" i="46"/>
  <c r="HY151" i="46"/>
  <c r="GF140" i="46"/>
  <c r="IH135" i="46"/>
  <c r="GX147" i="46"/>
  <c r="GI155" i="46"/>
  <c r="GC154" i="46"/>
  <c r="HG137" i="46"/>
  <c r="HS148" i="46"/>
  <c r="HP138" i="46"/>
  <c r="HA160" i="46"/>
  <c r="GC148" i="46"/>
  <c r="HM133" i="46"/>
  <c r="IE143" i="46"/>
  <c r="GO138" i="46"/>
  <c r="GU159" i="46"/>
  <c r="GU157" i="46"/>
  <c r="FW140" i="46"/>
  <c r="GX152" i="46"/>
  <c r="GX136" i="46"/>
  <c r="GU150" i="46"/>
  <c r="GU134" i="46"/>
  <c r="IB145" i="46"/>
  <c r="IH160" i="46"/>
  <c r="FN154" i="46"/>
  <c r="FT135" i="46"/>
  <c r="FN147" i="46"/>
  <c r="GI159" i="46"/>
  <c r="FQ138" i="46"/>
  <c r="GR149" i="46"/>
  <c r="FZ161" i="46"/>
  <c r="IB139" i="46"/>
  <c r="GL148" i="46"/>
  <c r="HY155" i="46"/>
  <c r="GL131" i="46"/>
  <c r="GL138" i="46"/>
  <c r="IH145" i="46"/>
  <c r="HP151" i="46"/>
  <c r="FZ153" i="46"/>
  <c r="GF153" i="46"/>
  <c r="IH154" i="46"/>
  <c r="GL156" i="46"/>
  <c r="IH141" i="46"/>
  <c r="HD143" i="46"/>
  <c r="GR143" i="46"/>
  <c r="HG144" i="46"/>
  <c r="FZ146" i="46"/>
  <c r="HD147" i="46"/>
  <c r="IE148" i="46"/>
  <c r="GI150" i="46"/>
  <c r="FT136" i="46"/>
  <c r="FW132" i="46"/>
  <c r="GL143" i="46"/>
  <c r="HV150" i="46"/>
  <c r="HM145" i="46"/>
  <c r="FQ134" i="46"/>
  <c r="HP144" i="46"/>
  <c r="HM161" i="46"/>
  <c r="GO158" i="46"/>
  <c r="HM147" i="46"/>
  <c r="GO161" i="46"/>
  <c r="GI148" i="46"/>
  <c r="GX145" i="46"/>
  <c r="HY139" i="46"/>
  <c r="GC150" i="46"/>
  <c r="HY144" i="46"/>
  <c r="FN131" i="46"/>
  <c r="HM151" i="46"/>
  <c r="HM135" i="46"/>
  <c r="HJ149" i="46"/>
  <c r="HJ133" i="46"/>
  <c r="FN145" i="46"/>
  <c r="FT160" i="46"/>
  <c r="FQ153" i="46"/>
  <c r="FZ134" i="46"/>
  <c r="FN146" i="46"/>
  <c r="FW158" i="46"/>
  <c r="FQ137" i="46"/>
  <c r="GO148" i="46"/>
  <c r="FN160" i="46"/>
  <c r="HV138" i="46"/>
  <c r="FT147" i="46"/>
  <c r="HA154" i="46"/>
  <c r="GI130" i="46"/>
  <c r="FW137" i="46"/>
  <c r="HS144" i="46"/>
  <c r="FZ150" i="46"/>
  <c r="GX151" i="46"/>
  <c r="HJ151" i="46"/>
  <c r="GC153" i="46"/>
  <c r="HJ154" i="46"/>
  <c r="GU140" i="46"/>
  <c r="HY141" i="46"/>
  <c r="HV141" i="46"/>
  <c r="FN143" i="46"/>
  <c r="HD144" i="46"/>
  <c r="FQ146" i="46"/>
  <c r="HA147" i="46"/>
  <c r="HV148" i="46"/>
  <c r="HD132" i="46"/>
  <c r="HY158" i="46"/>
  <c r="GI139" i="46"/>
  <c r="GX146" i="46"/>
  <c r="HM137" i="46"/>
  <c r="GF130" i="46"/>
  <c r="HG140" i="46"/>
  <c r="GL157" i="46"/>
  <c r="HP142" i="46"/>
  <c r="HV152" i="46"/>
  <c r="HJ145" i="46"/>
  <c r="FT141" i="46"/>
  <c r="FN141" i="46"/>
  <c r="HJ142" i="46"/>
  <c r="GO134" i="46"/>
  <c r="GL141" i="46"/>
  <c r="HG148" i="46"/>
  <c r="IB146" i="46"/>
  <c r="GI147" i="46"/>
  <c r="IB150" i="46"/>
  <c r="IB134" i="46"/>
  <c r="HY148" i="46"/>
  <c r="IB161" i="46"/>
  <c r="FW144" i="46"/>
  <c r="FZ159" i="46"/>
  <c r="IH151" i="46"/>
  <c r="GC133" i="46"/>
  <c r="FQ145" i="46"/>
  <c r="FQ157" i="46"/>
  <c r="IE135" i="46"/>
  <c r="GO147" i="46"/>
  <c r="IH158" i="46"/>
  <c r="HS137" i="46"/>
  <c r="HY145" i="46"/>
  <c r="GL153" i="46"/>
  <c r="HP160" i="46"/>
  <c r="HV135" i="46"/>
  <c r="HG143" i="46"/>
  <c r="HP148" i="46"/>
  <c r="IH149" i="46"/>
  <c r="FW150" i="46"/>
  <c r="HG151" i="46"/>
  <c r="IE152" i="46"/>
  <c r="FN139" i="46"/>
  <c r="GR140" i="46"/>
  <c r="GO140" i="46"/>
  <c r="HD141" i="46"/>
  <c r="IE142" i="46"/>
  <c r="HA144" i="46"/>
  <c r="IE145" i="46"/>
  <c r="GU147" i="46"/>
  <c r="HD160" i="46"/>
  <c r="HV149" i="46"/>
  <c r="HD135" i="46"/>
  <c r="GO142" i="46"/>
  <c r="HG153" i="46"/>
  <c r="GX158" i="46"/>
  <c r="FT137" i="46"/>
  <c r="HA152" i="46"/>
  <c r="FZ145" i="46"/>
  <c r="HG155" i="46"/>
  <c r="HD154" i="46"/>
  <c r="HJ138" i="46"/>
  <c r="GI134" i="46"/>
  <c r="IB144" i="46"/>
  <c r="HY160" i="46"/>
  <c r="HD151" i="46"/>
  <c r="FT150" i="46"/>
  <c r="FT134" i="46"/>
  <c r="FQ148" i="46"/>
  <c r="FN161" i="46"/>
  <c r="GC143" i="46"/>
  <c r="GI158" i="46"/>
  <c r="FN151" i="46"/>
  <c r="GL132" i="46"/>
  <c r="FN144" i="46"/>
  <c r="IE155" i="46"/>
  <c r="IE134" i="46"/>
  <c r="GI146" i="46"/>
  <c r="HY157" i="46"/>
  <c r="HP136" i="46"/>
  <c r="HM144" i="46"/>
  <c r="FN152" i="46"/>
  <c r="HA159" i="46"/>
  <c r="HG134" i="46"/>
  <c r="GR142" i="46"/>
  <c r="FZ147" i="46"/>
  <c r="HY146" i="46"/>
  <c r="HM148" i="46"/>
  <c r="FN150" i="46"/>
  <c r="GU151" i="46"/>
  <c r="HA137" i="46"/>
  <c r="IH138" i="46"/>
  <c r="IE138" i="46"/>
  <c r="GC140" i="46"/>
  <c r="HA141" i="46"/>
  <c r="HY142" i="46"/>
  <c r="GO144" i="46"/>
  <c r="HP145" i="46"/>
  <c r="HS155" i="46"/>
  <c r="HP141" i="46"/>
  <c r="HP131" i="46"/>
  <c r="HM138" i="46"/>
  <c r="GF141" i="46"/>
  <c r="FQ154" i="46"/>
  <c r="FQ133" i="46"/>
  <c r="FW148" i="46"/>
  <c r="GR141" i="46"/>
  <c r="GX154" i="46"/>
  <c r="HJ161" i="46"/>
  <c r="IE131" i="46"/>
  <c r="FZ131" i="46"/>
  <c r="HP146" i="46"/>
  <c r="HV136" i="46"/>
  <c r="HD155" i="46"/>
  <c r="GL160" i="46"/>
  <c r="GI149" i="46"/>
  <c r="GI133" i="46"/>
  <c r="GF147" i="46"/>
  <c r="FW160" i="46"/>
  <c r="GL142" i="46"/>
  <c r="GR157" i="46"/>
  <c r="FQ150" i="46"/>
  <c r="GX131" i="46"/>
  <c r="FQ143" i="46"/>
  <c r="HY154" i="46"/>
  <c r="IB133" i="46"/>
  <c r="GF145" i="46"/>
  <c r="HS156" i="46"/>
  <c r="HP135" i="46"/>
  <c r="GX143" i="46"/>
  <c r="HP150" i="46"/>
  <c r="GF158" i="46"/>
  <c r="GR133" i="46"/>
  <c r="GC141" i="46"/>
  <c r="HD145" i="46"/>
  <c r="GU145" i="46"/>
  <c r="IH146" i="46"/>
  <c r="HJ148" i="46"/>
  <c r="IB149" i="46"/>
  <c r="HY135" i="46"/>
  <c r="GU137" i="46"/>
  <c r="GL137" i="46"/>
  <c r="GX138" i="46"/>
  <c r="FN140" i="46"/>
  <c r="GX141" i="46"/>
  <c r="HV142" i="46"/>
  <c r="GC144" i="46"/>
  <c r="GL151" i="46"/>
  <c r="GO130" i="46"/>
  <c r="HS145" i="46"/>
  <c r="HD134" i="46"/>
  <c r="GR159" i="46"/>
  <c r="GL149" i="46"/>
  <c r="HA157" i="46"/>
  <c r="HV143" i="46"/>
  <c r="GI140" i="46"/>
  <c r="GL158" i="46"/>
  <c r="HJ152" i="46"/>
  <c r="HA155" i="46"/>
  <c r="GX142" i="46"/>
  <c r="GX135" i="46"/>
  <c r="FT143" i="46"/>
  <c r="GI136" i="46"/>
  <c r="HP154" i="46"/>
  <c r="GX148" i="46"/>
  <c r="GX132" i="46"/>
  <c r="GU146" i="46"/>
  <c r="GC159" i="46"/>
  <c r="GU141" i="46"/>
  <c r="HA156" i="46"/>
  <c r="FW149" i="46"/>
  <c r="HJ130" i="46"/>
  <c r="FQ142" i="46"/>
  <c r="HP153" i="46"/>
  <c r="IB132" i="46"/>
  <c r="GF144" i="46"/>
  <c r="HP155" i="46"/>
  <c r="HM134" i="46"/>
  <c r="GI142" i="46"/>
  <c r="HD149" i="46"/>
  <c r="IB156" i="46"/>
  <c r="GC132" i="46"/>
  <c r="IE139" i="46"/>
  <c r="FT144" i="46"/>
  <c r="HY143" i="46"/>
  <c r="HA145" i="46"/>
  <c r="IE146" i="46"/>
  <c r="GU148" i="46"/>
  <c r="GR134" i="46"/>
  <c r="HS135" i="46"/>
  <c r="HJ135" i="46"/>
  <c r="IB136" i="46"/>
  <c r="GR138" i="46"/>
  <c r="IH139" i="46"/>
  <c r="GL147" i="46"/>
  <c r="GC131" i="46"/>
  <c r="HD140" i="46"/>
  <c r="FZ143" i="46"/>
  <c r="IH132" i="46"/>
  <c r="GO141" i="46"/>
  <c r="HJ139" i="46"/>
  <c r="FT146" i="46"/>
  <c r="FQ160" i="46"/>
  <c r="FQ144" i="46"/>
  <c r="HD156" i="46"/>
  <c r="HS138" i="46"/>
  <c r="HY153" i="46"/>
  <c r="GL146" i="46"/>
  <c r="GL159" i="46"/>
  <c r="FW139" i="46"/>
  <c r="HA150" i="46"/>
  <c r="FQ130" i="46"/>
  <c r="FW141" i="46"/>
  <c r="GR152" i="46"/>
  <c r="HM131" i="46"/>
  <c r="HD138" i="46"/>
  <c r="HV145" i="46"/>
  <c r="FW153" i="46"/>
  <c r="GC161" i="46"/>
  <c r="GL136" i="46"/>
  <c r="GU139" i="46"/>
  <c r="GL139" i="46"/>
  <c r="IB140" i="46"/>
  <c r="HA142" i="46"/>
  <c r="HS160" i="46"/>
  <c r="FW130" i="46"/>
  <c r="GU131" i="46"/>
  <c r="GI131" i="46"/>
  <c r="GR132" i="46"/>
  <c r="IH133" i="46"/>
  <c r="GR135" i="46"/>
  <c r="HM136" i="46"/>
  <c r="GC138" i="46"/>
  <c r="HA135" i="46"/>
  <c r="HV160" i="46"/>
  <c r="HM146" i="46"/>
  <c r="GO150" i="46"/>
  <c r="FN142" i="46"/>
  <c r="HD133" i="46"/>
  <c r="HA140" i="46"/>
  <c r="FW135" i="46"/>
  <c r="HM159" i="46"/>
  <c r="HM143" i="46"/>
  <c r="HJ157" i="46"/>
  <c r="HJ141" i="46"/>
  <c r="IB153" i="46"/>
  <c r="FW136" i="46"/>
  <c r="FZ151" i="46"/>
  <c r="HA143" i="46"/>
  <c r="FZ156" i="46"/>
  <c r="GC136" i="46"/>
  <c r="GR147" i="46"/>
  <c r="FW159" i="46"/>
  <c r="FN138" i="46"/>
  <c r="GC149" i="46"/>
  <c r="HS159" i="46"/>
  <c r="IH134" i="46"/>
  <c r="GF142" i="46"/>
  <c r="GF149" i="46"/>
  <c r="GO157" i="46"/>
  <c r="HJ132" i="46"/>
  <c r="FN135" i="46"/>
  <c r="HJ134" i="46"/>
  <c r="GU136" i="46"/>
  <c r="HV137" i="46"/>
  <c r="GC156" i="46"/>
  <c r="HG157" i="46"/>
  <c r="HD157" i="46"/>
  <c r="HS158" i="46"/>
  <c r="GR160" i="46"/>
  <c r="HS161" i="46"/>
  <c r="IB130" i="46"/>
  <c r="FZ132" i="46"/>
  <c r="HA133" i="46"/>
  <c r="FZ149" i="46"/>
  <c r="HS147" i="46"/>
  <c r="GL135" i="46"/>
  <c r="HG138" i="46"/>
  <c r="HV130" i="46"/>
  <c r="HA153" i="46"/>
  <c r="HM142" i="46"/>
  <c r="GI157" i="46"/>
  <c r="GI141" i="46"/>
  <c r="GF155" i="46"/>
  <c r="GF139" i="46"/>
  <c r="GC151" i="46"/>
  <c r="GU133" i="46"/>
  <c r="IB159" i="46"/>
  <c r="HP140" i="46"/>
  <c r="FT153" i="46"/>
  <c r="FZ133" i="46"/>
  <c r="GI144" i="46"/>
  <c r="IB155" i="46"/>
  <c r="HY134" i="46"/>
  <c r="FW146" i="46"/>
  <c r="FN156" i="46"/>
  <c r="GR131" i="46"/>
  <c r="HA138" i="46"/>
  <c r="HG145" i="46"/>
  <c r="GU153" i="46"/>
  <c r="HA161" i="46"/>
  <c r="HG130" i="46"/>
  <c r="GU130" i="46"/>
  <c r="IH131" i="46"/>
  <c r="GF133" i="46"/>
  <c r="GI151" i="46"/>
  <c r="HP152" i="46"/>
  <c r="HM152" i="46"/>
  <c r="IH153" i="46"/>
  <c r="GR155" i="46"/>
  <c r="IE156" i="46"/>
  <c r="HG158" i="46"/>
  <c r="IH159" i="46"/>
  <c r="HD161" i="46"/>
  <c r="HJ156" i="46"/>
  <c r="HG135" i="46"/>
  <c r="GX155" i="46"/>
  <c r="FN159" i="46"/>
  <c r="HV158" i="46"/>
  <c r="HJ140" i="46"/>
  <c r="GF148" i="46"/>
  <c r="GX156" i="46"/>
  <c r="GX140" i="46"/>
  <c r="GU154" i="46"/>
  <c r="GU138" i="46"/>
  <c r="GL150" i="46"/>
  <c r="HG132" i="46"/>
  <c r="IE158" i="46"/>
  <c r="HV139" i="46"/>
  <c r="IE151" i="46"/>
  <c r="GF132" i="46"/>
  <c r="GI143" i="46"/>
  <c r="HV154" i="46"/>
  <c r="HY133" i="46"/>
  <c r="FT145" i="46"/>
  <c r="HG154" i="46"/>
  <c r="GL130" i="46"/>
  <c r="GO137" i="46"/>
  <c r="GR144" i="46"/>
  <c r="GF152" i="46"/>
  <c r="HV159" i="46"/>
  <c r="GF161" i="46"/>
  <c r="GX161" i="46"/>
  <c r="HD130" i="46"/>
  <c r="HY131" i="46"/>
  <c r="HS149" i="46"/>
  <c r="FW151" i="46"/>
  <c r="FT151" i="46"/>
  <c r="GO152" i="46"/>
  <c r="IE153" i="46"/>
  <c r="GO155" i="46"/>
  <c r="HV156" i="46"/>
  <c r="GR158" i="46"/>
  <c r="HP156" i="46"/>
  <c r="IB151" i="46"/>
  <c r="FQ132" i="46"/>
  <c r="IH150" i="46"/>
  <c r="HY149" i="46"/>
  <c r="FZ154" i="46"/>
  <c r="GC137" i="46"/>
  <c r="FZ144" i="46"/>
  <c r="HM155" i="46"/>
  <c r="HM139" i="46"/>
  <c r="HJ153" i="46"/>
  <c r="HJ137" i="46"/>
  <c r="GU149" i="46"/>
  <c r="HS131" i="46"/>
  <c r="IE157" i="46"/>
  <c r="HY138" i="46"/>
  <c r="IE150" i="46"/>
  <c r="GO131" i="46"/>
  <c r="GC142" i="46"/>
  <c r="HM153" i="46"/>
  <c r="HY132" i="46"/>
  <c r="IH143" i="46"/>
  <c r="GO153" i="46"/>
  <c r="FQ161" i="46"/>
  <c r="FZ136" i="46"/>
  <c r="FW143" i="46"/>
  <c r="HY150" i="46"/>
  <c r="FZ158" i="46"/>
  <c r="HD159" i="46"/>
  <c r="HJ159" i="46"/>
  <c r="GL161" i="46"/>
  <c r="HA130" i="46"/>
  <c r="FT148" i="46"/>
  <c r="HM149" i="46"/>
  <c r="HA149" i="46"/>
  <c r="HM150" i="46"/>
  <c r="GL152" i="46"/>
  <c r="HV153" i="46"/>
  <c r="GL155" i="46"/>
  <c r="HM156" i="46"/>
  <c r="GU152" i="46"/>
  <c r="HV147" i="46"/>
  <c r="HG160" i="46"/>
  <c r="HJ146" i="46"/>
  <c r="HS141" i="46"/>
  <c r="GO149" i="46"/>
  <c r="FT133" i="46"/>
  <c r="GL140" i="46"/>
  <c r="IB154" i="46"/>
  <c r="IB138" i="46"/>
  <c r="HY152" i="46"/>
  <c r="HY136" i="46"/>
  <c r="HD148" i="46"/>
  <c r="IH130" i="46"/>
  <c r="IH156" i="46"/>
  <c r="IE137" i="46"/>
  <c r="IE149" i="46"/>
  <c r="GX130" i="46"/>
  <c r="FZ141" i="46"/>
  <c r="HG152" i="46"/>
  <c r="IB131" i="46"/>
  <c r="IH142" i="46"/>
  <c r="FZ152" i="46"/>
  <c r="HP159" i="46"/>
  <c r="HV134" i="46"/>
  <c r="IB141" i="46"/>
  <c r="HP149" i="46"/>
  <c r="HG156" i="46"/>
  <c r="IB157" i="46"/>
  <c r="FN158" i="46"/>
  <c r="HG159" i="46"/>
  <c r="FW161" i="46"/>
  <c r="HG146" i="46"/>
  <c r="IE147" i="46"/>
  <c r="IB147" i="46"/>
  <c r="FT149" i="46"/>
  <c r="HJ150" i="46"/>
  <c r="GI152" i="46"/>
  <c r="HS153" i="46"/>
  <c r="GC155" i="46"/>
  <c r="HY147" i="46"/>
  <c r="HP143" i="46"/>
  <c r="GF156" i="46"/>
  <c r="GF131" i="46"/>
  <c r="GF134" i="46"/>
  <c r="GC145" i="46"/>
  <c r="HP157" i="46"/>
  <c r="HD136" i="46"/>
  <c r="GF159" i="46"/>
  <c r="IH152" i="46"/>
  <c r="GX149" i="46"/>
  <c r="FW147" i="46"/>
  <c r="GL154" i="46"/>
  <c r="HA136" i="46"/>
  <c r="HP134" i="46"/>
  <c r="HV132" i="46"/>
  <c r="GI132" i="46"/>
  <c r="IE160" i="46"/>
  <c r="GF146" i="46"/>
  <c r="FW133" i="46"/>
  <c r="HJ158" i="46"/>
  <c r="GR139" i="46"/>
  <c r="FT132" i="46"/>
  <c r="FQ147" i="46"/>
  <c r="GU158" i="46"/>
  <c r="FT152" i="46"/>
  <c r="GR148" i="46"/>
  <c r="IE141" i="46"/>
  <c r="HS151" i="46"/>
  <c r="GO133" i="46"/>
  <c r="GX159" i="46"/>
  <c r="IH161" i="46"/>
  <c r="HP161" i="46"/>
  <c r="HG139" i="46"/>
  <c r="GF138" i="46"/>
  <c r="FW145" i="46"/>
  <c r="HV131" i="46"/>
  <c r="HD142" i="46"/>
  <c r="HV144" i="46"/>
  <c r="FT140" i="46"/>
  <c r="GO132" i="46"/>
  <c r="HJ147" i="46"/>
  <c r="FN133" i="46"/>
  <c r="HY156" i="46"/>
  <c r="IE161" i="46"/>
  <c r="GO146" i="46"/>
  <c r="HM132" i="46"/>
  <c r="HD150" i="46"/>
  <c r="FN132" i="46"/>
  <c r="GO145" i="46"/>
  <c r="GU160" i="46"/>
  <c r="GC160" i="46"/>
  <c r="GX133" i="46"/>
  <c r="GX134" i="46"/>
  <c r="HY140" i="46"/>
  <c r="HS150" i="46"/>
  <c r="HY130" i="46"/>
  <c r="FN157" i="46"/>
  <c r="HG161" i="46"/>
  <c r="GF136" i="46"/>
  <c r="HS154" i="46"/>
  <c r="FT156" i="46"/>
  <c r="IE159" i="46"/>
  <c r="IH148" i="46"/>
  <c r="FQ156" i="46"/>
  <c r="IB160" i="46"/>
  <c r="GL145" i="46"/>
  <c r="HS130" i="46"/>
  <c r="FN148" i="46"/>
  <c r="GO156" i="46"/>
  <c r="GO159" i="46"/>
  <c r="FW157" i="46"/>
  <c r="GC152" i="46"/>
  <c r="GI156" i="46"/>
  <c r="GR154" i="46"/>
  <c r="FT131" i="46"/>
  <c r="HS139" i="46"/>
  <c r="FQ151" i="46"/>
  <c r="HM154" i="46"/>
  <c r="FZ139" i="46"/>
  <c r="HP133" i="46"/>
  <c r="IB152" i="46"/>
  <c r="IB135" i="46"/>
  <c r="FQ152" i="46"/>
  <c r="IH155" i="46"/>
  <c r="FZ140" i="46"/>
  <c r="FT161" i="46"/>
  <c r="HV146" i="46"/>
  <c r="HS140" i="46"/>
  <c r="HM157" i="46"/>
  <c r="GU155" i="46"/>
  <c r="GI138" i="46"/>
  <c r="HV151" i="46"/>
  <c r="FW138" i="46"/>
  <c r="HD137" i="46"/>
  <c r="HG142" i="46"/>
  <c r="HY159" i="46"/>
  <c r="GR151" i="46"/>
  <c r="FQ140" i="46"/>
  <c r="HV161" i="46"/>
  <c r="FT159" i="46"/>
  <c r="FZ157" i="46"/>
  <c r="FQ149" i="46"/>
  <c r="HJ136" i="46"/>
  <c r="HV133" i="46"/>
  <c r="GF143" i="46"/>
  <c r="GR145" i="46"/>
  <c r="GR161" i="46"/>
  <c r="HD158" i="46"/>
  <c r="HM140" i="46"/>
  <c r="HP137" i="46"/>
  <c r="GO154" i="46"/>
  <c r="HP147" i="46"/>
  <c r="GO135" i="46"/>
  <c r="GO143" i="46"/>
  <c r="HG141" i="46"/>
  <c r="FQ158" i="46"/>
  <c r="GC130" i="46"/>
  <c r="HM141" i="46"/>
  <c r="HD131" i="46"/>
  <c r="HS157" i="46"/>
  <c r="GX160" i="46"/>
  <c r="HG131" i="46"/>
  <c r="FT154" i="46"/>
  <c r="FZ155" i="46"/>
  <c r="GU142" i="46"/>
  <c r="GU144" i="46"/>
  <c r="GI160" i="46"/>
  <c r="GF157" i="46"/>
  <c r="FT130" i="46"/>
  <c r="GO136" i="46"/>
  <c r="HS152" i="46"/>
  <c r="FN134" i="46"/>
  <c r="HS133" i="46"/>
  <c r="HA139" i="46"/>
  <c r="FT157" i="46"/>
  <c r="HG136" i="46"/>
  <c r="GL133" i="46"/>
  <c r="FQ136" i="46"/>
  <c r="IH136" i="46"/>
  <c r="HA151" i="46"/>
  <c r="GR137" i="46"/>
  <c r="FW156" i="46"/>
  <c r="GU156" i="46"/>
  <c r="HM160" i="46"/>
  <c r="HP158" i="46"/>
  <c r="HD153" i="46"/>
  <c r="HS142" i="46"/>
  <c r="IB148" i="46"/>
  <c r="GI161" i="46"/>
  <c r="HJ155" i="46"/>
  <c r="GC158" i="46"/>
  <c r="FZ142" i="46"/>
  <c r="HD139" i="46"/>
  <c r="HA148" i="46"/>
  <c r="IE132" i="46"/>
  <c r="IB158" i="46"/>
  <c r="FN153" i="46"/>
  <c r="FW155" i="46"/>
  <c r="FQ139" i="46"/>
  <c r="HA132" i="46"/>
  <c r="GX137" i="46"/>
  <c r="HY137" i="46"/>
  <c r="GI154" i="46"/>
  <c r="GU135" i="46"/>
  <c r="GI135" i="46"/>
  <c r="FZ160" i="46"/>
  <c r="GL144" i="46"/>
  <c r="FT158" i="46"/>
  <c r="FW152" i="46"/>
  <c r="FW154" i="46"/>
  <c r="IE136" i="46"/>
  <c r="HA158" i="46"/>
  <c r="FQ135" i="46"/>
  <c r="HS134" i="46"/>
  <c r="HD146" i="46"/>
  <c r="FQ131" i="46"/>
  <c r="GI145" i="46"/>
  <c r="IB137" i="46"/>
  <c r="FZ138" i="46"/>
  <c r="IE130" i="46"/>
  <c r="HJ144" i="46"/>
  <c r="HA131" i="46"/>
  <c r="IH157" i="46"/>
  <c r="HJ160" i="46"/>
  <c r="GF160" i="46"/>
  <c r="HS143" i="46"/>
  <c r="GR146" i="46"/>
  <c r="GX157" i="46"/>
  <c r="GU161" i="46"/>
  <c r="IH137" i="46"/>
  <c r="GF137" i="46"/>
  <c r="GX144" i="46"/>
  <c r="FN137" i="46"/>
  <c r="FZ137" i="46"/>
  <c r="GX153" i="46"/>
  <c r="GU143" i="46"/>
  <c r="GR130" i="46"/>
  <c r="IB143" i="46"/>
  <c r="FQ159" i="46"/>
  <c r="HM158" i="46"/>
  <c r="GC139" i="46"/>
  <c r="FW142" i="46"/>
  <c r="HD152" i="46"/>
  <c r="GR136" i="46"/>
  <c r="HP130" i="46"/>
  <c r="IB142" i="46"/>
  <c r="GC135" i="46"/>
  <c r="FZ135" i="46"/>
  <c r="GO151" i="46"/>
  <c r="IH140" i="46"/>
  <c r="FT155" i="46"/>
  <c r="HV140" i="46"/>
  <c r="HV155" i="46"/>
  <c r="HG150" i="46"/>
  <c r="HJ131" i="46"/>
  <c r="HA134" i="46"/>
  <c r="HS132" i="46"/>
  <c r="FZ130" i="46"/>
  <c r="HG133" i="46"/>
  <c r="IE133" i="46"/>
  <c r="FT142" i="46"/>
  <c r="GL134" i="46"/>
  <c r="GC134" i="46"/>
  <c r="GF150" i="46"/>
  <c r="HP139" i="46"/>
  <c r="FQ141" i="46"/>
  <c r="GO139" i="46"/>
  <c r="GF154" i="46"/>
  <c r="HS136" i="46"/>
  <c r="FW134" i="46"/>
  <c r="FW131" i="46"/>
  <c r="HP132" i="46"/>
  <c r="FT138" i="46"/>
  <c r="FZ148" i="46"/>
  <c r="HA146" i="46"/>
  <c r="HM130" i="46"/>
  <c r="HP171" i="46"/>
  <c r="IB170" i="46"/>
  <c r="HJ169" i="46"/>
  <c r="GU179" i="46"/>
  <c r="HG175" i="46"/>
  <c r="FZ171" i="46"/>
  <c r="IH178" i="46"/>
  <c r="FN169" i="46"/>
  <c r="HY175" i="46"/>
  <c r="GL178" i="46"/>
  <c r="GC170" i="46"/>
  <c r="HD166" i="46"/>
  <c r="HD175" i="46"/>
  <c r="HJ171" i="46"/>
  <c r="IB165" i="46"/>
  <c r="HD174" i="46"/>
  <c r="IH165" i="46"/>
  <c r="GX169" i="46"/>
  <c r="GL172" i="46"/>
  <c r="GU164" i="46"/>
  <c r="HM177" i="46"/>
  <c r="FW169" i="46"/>
  <c r="GI172" i="46"/>
  <c r="GR173" i="46"/>
  <c r="FT168" i="46"/>
  <c r="IE170" i="46"/>
  <c r="FT170" i="46"/>
  <c r="HY168" i="46"/>
  <c r="HA178" i="46"/>
  <c r="HM174" i="46"/>
  <c r="IE169" i="46"/>
  <c r="HP177" i="46"/>
  <c r="HY167" i="46"/>
  <c r="GI174" i="46"/>
  <c r="FN177" i="46"/>
  <c r="HJ168" i="46"/>
  <c r="HJ179" i="46"/>
  <c r="HG173" i="46"/>
  <c r="HM169" i="46"/>
  <c r="GO178" i="46"/>
  <c r="HG172" i="46"/>
  <c r="GR175" i="46"/>
  <c r="IB164" i="46"/>
  <c r="GI167" i="46"/>
  <c r="GX164" i="46"/>
  <c r="GI165" i="46"/>
  <c r="FQ169" i="46"/>
  <c r="HS165" i="46"/>
  <c r="GI179" i="46"/>
  <c r="GF176" i="46"/>
  <c r="GI164" i="46"/>
  <c r="IE171" i="46"/>
  <c r="FN175" i="46"/>
  <c r="HV166" i="46"/>
  <c r="HV165" i="46"/>
  <c r="GX166" i="46"/>
  <c r="FW170" i="46"/>
  <c r="GI169" i="46"/>
  <c r="FQ168" i="46"/>
  <c r="HD177" i="46"/>
  <c r="HS173" i="46"/>
  <c r="IB168" i="46"/>
  <c r="GO176" i="46"/>
  <c r="HG166" i="46"/>
  <c r="IE172" i="46"/>
  <c r="GU175" i="46"/>
  <c r="FW167" i="46"/>
  <c r="IB177" i="46"/>
  <c r="IH171" i="46"/>
  <c r="IH167" i="46"/>
  <c r="GU176" i="46"/>
  <c r="HP170" i="46"/>
  <c r="IB169" i="46"/>
  <c r="IH174" i="46"/>
  <c r="HD164" i="46"/>
  <c r="HV164" i="46"/>
  <c r="FW166" i="46"/>
  <c r="FT179" i="46"/>
  <c r="IE173" i="46"/>
  <c r="FT175" i="46"/>
  <c r="GI168" i="46"/>
  <c r="GL165" i="46"/>
  <c r="GF179" i="46"/>
  <c r="FW168" i="46"/>
  <c r="IE177" i="46"/>
  <c r="GR172" i="46"/>
  <c r="GF177" i="46"/>
  <c r="GR164" i="46"/>
  <c r="HG164" i="46"/>
  <c r="GL169" i="46"/>
  <c r="GX168" i="46"/>
  <c r="GF167" i="46"/>
  <c r="HJ176" i="46"/>
  <c r="HV172" i="46"/>
  <c r="HV167" i="46"/>
  <c r="GC175" i="46"/>
  <c r="GX165" i="46"/>
  <c r="GR171" i="46"/>
  <c r="HS179" i="46"/>
  <c r="HY165" i="46"/>
  <c r="FN176" i="46"/>
  <c r="GI170" i="46"/>
  <c r="FZ166" i="46"/>
  <c r="HJ174" i="46"/>
  <c r="GC169" i="46"/>
  <c r="IE179" i="46"/>
  <c r="GU169" i="46"/>
  <c r="HS178" i="46"/>
  <c r="FZ164" i="46"/>
  <c r="HS164" i="46"/>
  <c r="HA174" i="46"/>
  <c r="HA168" i="46"/>
  <c r="HM167" i="46"/>
  <c r="GU166" i="46"/>
  <c r="HJ175" i="46"/>
  <c r="IB171" i="46"/>
  <c r="HM166" i="46"/>
  <c r="FN174" i="46"/>
  <c r="IB179" i="46"/>
  <c r="HY169" i="46"/>
  <c r="GF178" i="46"/>
  <c r="HV179" i="46"/>
  <c r="FQ174" i="46"/>
  <c r="GL168" i="46"/>
  <c r="HY164" i="46"/>
  <c r="FN173" i="46"/>
  <c r="GO167" i="46"/>
  <c r="HG167" i="46"/>
  <c r="GC164" i="46"/>
  <c r="HY171" i="46"/>
  <c r="HM164" i="46"/>
  <c r="IB172" i="46"/>
  <c r="FZ176" i="46"/>
  <c r="HM168" i="46"/>
  <c r="IE165" i="46"/>
  <c r="HP167" i="46"/>
  <c r="IB166" i="46"/>
  <c r="HJ165" i="46"/>
  <c r="HP174" i="46"/>
  <c r="IH170" i="46"/>
  <c r="HM165" i="46"/>
  <c r="HP172" i="46"/>
  <c r="HJ178" i="46"/>
  <c r="GU168" i="46"/>
  <c r="IE176" i="46"/>
  <c r="IH177" i="46"/>
  <c r="GC172" i="46"/>
  <c r="HA166" i="46"/>
  <c r="FW179" i="46"/>
  <c r="HY170" i="46"/>
  <c r="HD165" i="46"/>
  <c r="IB176" i="46"/>
  <c r="HY174" i="46"/>
  <c r="IH166" i="46"/>
  <c r="GL164" i="46"/>
  <c r="HG178" i="46"/>
  <c r="GO170" i="46"/>
  <c r="FZ174" i="46"/>
  <c r="GX167" i="46"/>
  <c r="HV171" i="46"/>
  <c r="IE166" i="46"/>
  <c r="FT166" i="46"/>
  <c r="HA179" i="46"/>
  <c r="HV173" i="46"/>
  <c r="IH169" i="46"/>
  <c r="FZ179" i="46"/>
  <c r="HA171" i="46"/>
  <c r="GO177" i="46"/>
  <c r="FQ167" i="46"/>
  <c r="GO175" i="46"/>
  <c r="FT176" i="46"/>
  <c r="HA170" i="46"/>
  <c r="IE164" i="46"/>
  <c r="FQ177" i="46"/>
  <c r="GO169" i="46"/>
  <c r="FZ178" i="46"/>
  <c r="HM170" i="46"/>
  <c r="IH168" i="46"/>
  <c r="FN178" i="46"/>
  <c r="FN164" i="46"/>
  <c r="HM179" i="46"/>
  <c r="GU178" i="46"/>
  <c r="HP176" i="46"/>
  <c r="FN171" i="46"/>
  <c r="FZ167" i="46"/>
  <c r="HV176" i="46"/>
  <c r="IB167" i="46"/>
  <c r="HM173" i="46"/>
  <c r="GR178" i="46"/>
  <c r="FQ171" i="46"/>
  <c r="HD170" i="46"/>
  <c r="FN165" i="46"/>
  <c r="GI175" i="46"/>
  <c r="HG171" i="46"/>
  <c r="HJ164" i="46"/>
  <c r="HD172" i="46"/>
  <c r="HA173" i="46"/>
  <c r="FQ179" i="46"/>
  <c r="HA164" i="46"/>
  <c r="FQ164" i="46"/>
  <c r="FW178" i="46"/>
  <c r="GI177" i="46"/>
  <c r="FQ176" i="46"/>
  <c r="IB173" i="46"/>
  <c r="FZ168" i="46"/>
  <c r="IH179" i="46"/>
  <c r="GC173" i="46"/>
  <c r="HV178" i="46"/>
  <c r="FQ170" i="46"/>
  <c r="GF174" i="46"/>
  <c r="HS166" i="46"/>
  <c r="FQ165" i="46"/>
  <c r="IH175" i="46"/>
  <c r="HS169" i="46"/>
  <c r="FQ166" i="46"/>
  <c r="HG174" i="46"/>
  <c r="GL174" i="46"/>
  <c r="HG170" i="46"/>
  <c r="HD173" i="46"/>
  <c r="GO166" i="46"/>
  <c r="HP175" i="46"/>
  <c r="IB174" i="46"/>
  <c r="HJ173" i="46"/>
  <c r="FT171" i="46"/>
  <c r="GO165" i="46"/>
  <c r="HM176" i="46"/>
  <c r="HP169" i="46"/>
  <c r="FZ175" i="46"/>
  <c r="GR166" i="46"/>
  <c r="HV169" i="46"/>
  <c r="GC177" i="46"/>
  <c r="IB175" i="46"/>
  <c r="GX170" i="46"/>
  <c r="GO164" i="46"/>
  <c r="HS174" i="46"/>
  <c r="GF169" i="46"/>
  <c r="IE168" i="46"/>
  <c r="GF170" i="46"/>
  <c r="HS167" i="46"/>
  <c r="FN166" i="46"/>
  <c r="IE174" i="46"/>
  <c r="FT174" i="46"/>
  <c r="HY172" i="46"/>
  <c r="FZ170" i="46"/>
  <c r="GR179" i="46"/>
  <c r="GX175" i="46"/>
  <c r="HG168" i="46"/>
  <c r="IH173" i="46"/>
  <c r="FZ165" i="46"/>
  <c r="GR168" i="46"/>
  <c r="IE175" i="46"/>
  <c r="HP173" i="46"/>
  <c r="HD168" i="46"/>
  <c r="GC179" i="46"/>
  <c r="FT173" i="46"/>
  <c r="GR167" i="46"/>
  <c r="FT167" i="46"/>
  <c r="FT165" i="46"/>
  <c r="GL179" i="46"/>
  <c r="FT164" i="46"/>
  <c r="FW174" i="46"/>
  <c r="GI173" i="46"/>
  <c r="FQ172" i="46"/>
  <c r="FZ169" i="46"/>
  <c r="GX178" i="46"/>
  <c r="GR174" i="46"/>
  <c r="GU167" i="46"/>
  <c r="HM172" i="46"/>
  <c r="FW164" i="46"/>
  <c r="FN167" i="46"/>
  <c r="GX174" i="46"/>
  <c r="FT172" i="46"/>
  <c r="HP166" i="46"/>
  <c r="FZ177" i="46"/>
  <c r="FW171" i="46"/>
  <c r="HG165" i="46"/>
  <c r="GC165" i="46"/>
  <c r="GL175" i="46"/>
  <c r="FZ173" i="46"/>
  <c r="IH164" i="46"/>
  <c r="GL173" i="46"/>
  <c r="GX172" i="46"/>
  <c r="GF171" i="46"/>
  <c r="GF168" i="46"/>
  <c r="HA177" i="46"/>
  <c r="GO173" i="46"/>
  <c r="GL166" i="46"/>
  <c r="GX171" i="46"/>
  <c r="HD178" i="46"/>
  <c r="HP165" i="46"/>
  <c r="FQ173" i="46"/>
  <c r="GR170" i="46"/>
  <c r="GX179" i="46"/>
  <c r="FW175" i="46"/>
  <c r="GR169" i="46"/>
  <c r="GC178" i="46"/>
  <c r="IH176" i="46"/>
  <c r="HA169" i="46"/>
  <c r="HJ167" i="46"/>
  <c r="GF164" i="46"/>
  <c r="HJ177" i="46"/>
  <c r="HA175" i="46"/>
  <c r="HD169" i="46"/>
  <c r="HG169" i="46"/>
  <c r="GC174" i="46"/>
  <c r="HA172" i="46"/>
  <c r="HY176" i="46"/>
  <c r="GO174" i="46"/>
  <c r="GC168" i="46"/>
  <c r="IE167" i="46"/>
  <c r="HV168" i="46"/>
  <c r="GF175" i="46"/>
  <c r="FW172" i="46"/>
  <c r="GR165" i="46"/>
  <c r="HM178" i="46"/>
  <c r="GO179" i="46"/>
  <c r="IH172" i="46"/>
  <c r="HG177" i="46"/>
  <c r="HD179" i="46"/>
  <c r="HJ172" i="46"/>
  <c r="GR177" i="46"/>
  <c r="GL176" i="46"/>
  <c r="GI171" i="46"/>
  <c r="FT169" i="46"/>
  <c r="HY177" i="46"/>
  <c r="GU174" i="46"/>
  <c r="HV170" i="46"/>
  <c r="HP178" i="46"/>
  <c r="HD176" i="46"/>
  <c r="GF173" i="46"/>
  <c r="GU170" i="46"/>
  <c r="FW165" i="46"/>
  <c r="HD171" i="46"/>
  <c r="HA167" i="46"/>
  <c r="FN179" i="46"/>
  <c r="FN172" i="46"/>
  <c r="HS170" i="46"/>
  <c r="IE178" i="46"/>
  <c r="GL171" i="46"/>
  <c r="GC176" i="46"/>
  <c r="HG176" i="46"/>
  <c r="HV175" i="46"/>
  <c r="HJ166" i="46"/>
  <c r="HP168" i="46"/>
  <c r="GI178" i="46"/>
  <c r="GU177" i="46"/>
  <c r="HS177" i="46"/>
  <c r="FW177" i="46"/>
  <c r="GX177" i="46"/>
  <c r="GC171" i="46"/>
  <c r="HV174" i="46"/>
  <c r="HA165" i="46"/>
  <c r="HY166" i="46"/>
  <c r="GR176" i="46"/>
  <c r="GU171" i="46"/>
  <c r="GL167" i="46"/>
  <c r="GL170" i="46"/>
  <c r="GO168" i="46"/>
  <c r="GI176" i="46"/>
  <c r="HP164" i="46"/>
  <c r="HP179" i="46"/>
  <c r="FN170" i="46"/>
  <c r="GU172" i="46"/>
  <c r="HG179" i="46"/>
  <c r="FQ178" i="46"/>
  <c r="GL177" i="46"/>
  <c r="GC167" i="46"/>
  <c r="HS168" i="46"/>
  <c r="HY173" i="46"/>
  <c r="GO172" i="46"/>
  <c r="HA176" i="46"/>
  <c r="GI166" i="46"/>
  <c r="HD167" i="46"/>
  <c r="FZ172" i="46"/>
  <c r="HJ170" i="46"/>
  <c r="IB178" i="46"/>
  <c r="GF166" i="46"/>
  <c r="FT177" i="46"/>
  <c r="GX173" i="46"/>
  <c r="FW173" i="46"/>
  <c r="FT178" i="46"/>
  <c r="GF165" i="46"/>
  <c r="HS175" i="46"/>
  <c r="HS171" i="46"/>
  <c r="HS176" i="46"/>
  <c r="GX176" i="46"/>
  <c r="HY178" i="46"/>
  <c r="HS172" i="46"/>
  <c r="FN168" i="46"/>
  <c r="GU165" i="46"/>
  <c r="HM175" i="46"/>
  <c r="HV177" i="46"/>
  <c r="GO171" i="46"/>
  <c r="GC166" i="46"/>
  <c r="FW176" i="46"/>
  <c r="HM171" i="46"/>
  <c r="GF172" i="46"/>
  <c r="HY179" i="46"/>
  <c r="GU173" i="46"/>
  <c r="FQ175" i="46"/>
  <c r="DR161" i="46"/>
  <c r="DR145" i="46"/>
  <c r="FH154" i="46"/>
  <c r="FH138" i="46"/>
  <c r="DL148" i="46"/>
  <c r="DC156" i="46"/>
  <c r="DU137" i="46"/>
  <c r="FE151" i="46"/>
  <c r="EV132" i="46"/>
  <c r="FK144" i="46"/>
  <c r="CT157" i="46"/>
  <c r="DO136" i="46"/>
  <c r="CQ148" i="46"/>
  <c r="DL158" i="46"/>
  <c r="DL134" i="46"/>
  <c r="EG143" i="46"/>
  <c r="DF153" i="46"/>
  <c r="CQ130" i="46"/>
  <c r="EY137" i="46"/>
  <c r="CQ142" i="46"/>
  <c r="CZ145" i="46"/>
  <c r="CT148" i="46"/>
  <c r="CW151" i="46"/>
  <c r="FH153" i="46"/>
  <c r="EV156" i="46"/>
  <c r="FH159" i="46"/>
  <c r="ED130" i="46"/>
  <c r="FK132" i="46"/>
  <c r="EG135" i="46"/>
  <c r="CW138" i="46"/>
  <c r="EY140" i="46"/>
  <c r="DF142" i="46"/>
  <c r="EM151" i="46"/>
  <c r="CT147" i="46"/>
  <c r="CZ153" i="46"/>
  <c r="EY157" i="46"/>
  <c r="EG153" i="46"/>
  <c r="DC153" i="46"/>
  <c r="DO156" i="46"/>
  <c r="DL131" i="46"/>
  <c r="FE136" i="46"/>
  <c r="EG160" i="46"/>
  <c r="EG144" i="46"/>
  <c r="CZ154" i="46"/>
  <c r="CZ138" i="46"/>
  <c r="EA147" i="46"/>
  <c r="DI155" i="46"/>
  <c r="EA136" i="46"/>
  <c r="FB150" i="46"/>
  <c r="FH131" i="46"/>
  <c r="FE143" i="46"/>
  <c r="CT156" i="46"/>
  <c r="DX135" i="46"/>
  <c r="EY146" i="46"/>
  <c r="FK156" i="46"/>
  <c r="DI133" i="46"/>
  <c r="DR142" i="46"/>
  <c r="CT152" i="46"/>
  <c r="CQ161" i="46"/>
  <c r="ES136" i="46"/>
  <c r="EJ140" i="46"/>
  <c r="DU143" i="46"/>
  <c r="EA146" i="46"/>
  <c r="DX149" i="46"/>
  <c r="DR152" i="46"/>
  <c r="DO155" i="46"/>
  <c r="DR158" i="46"/>
  <c r="DL161" i="46"/>
  <c r="ES131" i="46"/>
  <c r="DC134" i="46"/>
  <c r="EV136" i="46"/>
  <c r="DO139" i="46"/>
  <c r="EP140" i="46"/>
  <c r="FE147" i="46"/>
  <c r="DU139" i="46"/>
  <c r="DU149" i="46"/>
  <c r="DL154" i="46"/>
  <c r="CW150" i="46"/>
  <c r="EY149" i="46"/>
  <c r="EA152" i="46"/>
  <c r="EJ159" i="46"/>
  <c r="DO140" i="46"/>
  <c r="ED142" i="46"/>
  <c r="FB151" i="46"/>
  <c r="DL137" i="46"/>
  <c r="DO146" i="46"/>
  <c r="CT161" i="46"/>
  <c r="DO133" i="46"/>
  <c r="FH134" i="46"/>
  <c r="DO130" i="46"/>
  <c r="DC161" i="46"/>
  <c r="EM154" i="46"/>
  <c r="EV159" i="46"/>
  <c r="EV143" i="46"/>
  <c r="DO153" i="46"/>
  <c r="DO137" i="46"/>
  <c r="EP146" i="46"/>
  <c r="DO154" i="46"/>
  <c r="EP135" i="46"/>
  <c r="FB149" i="46"/>
  <c r="CW131" i="46"/>
  <c r="EY142" i="46"/>
  <c r="CT155" i="46"/>
  <c r="EG134" i="46"/>
  <c r="EM145" i="46"/>
  <c r="EY155" i="46"/>
  <c r="DI132" i="46"/>
  <c r="DC141" i="46"/>
  <c r="EV150" i="46"/>
  <c r="FB159" i="46"/>
  <c r="EJ135" i="46"/>
  <c r="CZ139" i="46"/>
  <c r="FK141" i="46"/>
  <c r="CT145" i="46"/>
  <c r="FK147" i="46"/>
  <c r="ES150" i="46"/>
  <c r="FB153" i="46"/>
  <c r="ES156" i="46"/>
  <c r="FE159" i="46"/>
  <c r="EA130" i="46"/>
  <c r="FH132" i="46"/>
  <c r="DR135" i="46"/>
  <c r="FB137" i="46"/>
  <c r="DF139" i="46"/>
  <c r="CZ144" i="46"/>
  <c r="EJ132" i="46"/>
  <c r="EM134" i="46"/>
  <c r="DL150" i="46"/>
  <c r="EV145" i="46"/>
  <c r="EG145" i="46"/>
  <c r="EM148" i="46"/>
  <c r="CQ156" i="46"/>
  <c r="EM131" i="46"/>
  <c r="DU136" i="46"/>
  <c r="CQ157" i="46"/>
  <c r="EM146" i="46"/>
  <c r="FB144" i="46"/>
  <c r="DF155" i="46"/>
  <c r="FK134" i="46"/>
  <c r="CW135" i="46"/>
  <c r="DX158" i="46"/>
  <c r="CT131" i="46"/>
  <c r="FK158" i="46"/>
  <c r="FK142" i="46"/>
  <c r="ED152" i="46"/>
  <c r="FE161" i="46"/>
  <c r="FE145" i="46"/>
  <c r="DU153" i="46"/>
  <c r="FE134" i="46"/>
  <c r="FE148" i="46"/>
  <c r="DI130" i="46"/>
  <c r="EV141" i="46"/>
  <c r="FK153" i="46"/>
  <c r="EP133" i="46"/>
  <c r="DX144" i="46"/>
  <c r="EG154" i="46"/>
  <c r="DF131" i="46"/>
  <c r="FH139" i="46"/>
  <c r="EG149" i="46"/>
  <c r="EG158" i="46"/>
  <c r="EJ134" i="46"/>
  <c r="EJ137" i="46"/>
  <c r="EA140" i="46"/>
  <c r="DR143" i="46"/>
  <c r="DX146" i="46"/>
  <c r="DL149" i="46"/>
  <c r="DO152" i="46"/>
  <c r="DL155" i="46"/>
  <c r="DO158" i="46"/>
  <c r="DF161" i="46"/>
  <c r="CQ134" i="46"/>
  <c r="ES137" i="46"/>
  <c r="EJ158" i="46"/>
  <c r="CW142" i="46"/>
  <c r="CW155" i="46"/>
  <c r="DI144" i="46"/>
  <c r="DL138" i="46"/>
  <c r="EV131" i="46"/>
  <c r="DR131" i="46"/>
  <c r="DC158" i="46"/>
  <c r="DC142" i="46"/>
  <c r="ES151" i="46"/>
  <c r="CW161" i="46"/>
  <c r="CW145" i="46"/>
  <c r="DU152" i="46"/>
  <c r="CW134" i="46"/>
  <c r="FH147" i="46"/>
  <c r="EJ161" i="46"/>
  <c r="EV140" i="46"/>
  <c r="FH152" i="46"/>
  <c r="EY132" i="46"/>
  <c r="DO143" i="46"/>
  <c r="DX153" i="46"/>
  <c r="DC130" i="46"/>
  <c r="EJ138" i="46"/>
  <c r="DR148" i="46"/>
  <c r="DU157" i="46"/>
  <c r="ED133" i="46"/>
  <c r="CT136" i="46"/>
  <c r="CT139" i="46"/>
  <c r="FB141" i="46"/>
  <c r="CQ145" i="46"/>
  <c r="FB147" i="46"/>
  <c r="EM150" i="46"/>
  <c r="EV153" i="46"/>
  <c r="EP156" i="46"/>
  <c r="EP159" i="46"/>
  <c r="DR130" i="46"/>
  <c r="ES132" i="46"/>
  <c r="CT135" i="46"/>
  <c r="DC136" i="46"/>
  <c r="EJ136" i="46"/>
  <c r="CW159" i="46"/>
  <c r="ES154" i="46"/>
  <c r="EJ142" i="46"/>
  <c r="DI138" i="46"/>
  <c r="CT138" i="46"/>
  <c r="FE140" i="46"/>
  <c r="DO148" i="46"/>
  <c r="DX140" i="46"/>
  <c r="DI149" i="46"/>
  <c r="CQ158" i="46"/>
  <c r="EY133" i="46"/>
  <c r="DC139" i="46"/>
  <c r="FH160" i="46"/>
  <c r="DU141" i="46"/>
  <c r="DR157" i="46"/>
  <c r="DR141" i="46"/>
  <c r="FH150" i="46"/>
  <c r="DL160" i="46"/>
  <c r="DL144" i="46"/>
  <c r="DX151" i="46"/>
  <c r="DL133" i="46"/>
  <c r="FE146" i="46"/>
  <c r="EJ160" i="46"/>
  <c r="EP139" i="46"/>
  <c r="FH151" i="46"/>
  <c r="FE131" i="46"/>
  <c r="DI142" i="46"/>
  <c r="CZ152" i="46"/>
  <c r="FB161" i="46"/>
  <c r="EA137" i="46"/>
  <c r="DF147" i="46"/>
  <c r="CZ156" i="46"/>
  <c r="DX132" i="46"/>
  <c r="EY134" i="46"/>
  <c r="DL143" i="46"/>
  <c r="DI152" i="46"/>
  <c r="EA131" i="46"/>
  <c r="CT151" i="46"/>
  <c r="CZ137" i="46"/>
  <c r="CT134" i="46"/>
  <c r="ED157" i="46"/>
  <c r="EG156" i="46"/>
  <c r="EG140" i="46"/>
  <c r="CZ150" i="46"/>
  <c r="EA159" i="46"/>
  <c r="EA143" i="46"/>
  <c r="ED150" i="46"/>
  <c r="EA132" i="46"/>
  <c r="FH145" i="46"/>
  <c r="ED159" i="46"/>
  <c r="EM138" i="46"/>
  <c r="EY150" i="46"/>
  <c r="CQ131" i="46"/>
  <c r="CQ141" i="46"/>
  <c r="CQ151" i="46"/>
  <c r="EM160" i="46"/>
  <c r="DL136" i="46"/>
  <c r="FK145" i="46"/>
  <c r="FB154" i="46"/>
  <c r="DX131" i="46"/>
  <c r="EG133" i="46"/>
  <c r="CQ136" i="46"/>
  <c r="FE138" i="46"/>
  <c r="EY141" i="46"/>
  <c r="EP144" i="46"/>
  <c r="EY147" i="46"/>
  <c r="EJ150" i="46"/>
  <c r="EP153" i="46"/>
  <c r="EM156" i="46"/>
  <c r="DX159" i="46"/>
  <c r="DF130" i="46"/>
  <c r="EG132" i="46"/>
  <c r="ES133" i="46"/>
  <c r="FK157" i="46"/>
  <c r="ED151" i="46"/>
  <c r="CZ147" i="46"/>
  <c r="DC135" i="46"/>
  <c r="EJ131" i="46"/>
  <c r="DU131" i="46"/>
  <c r="FE133" i="46"/>
  <c r="ES140" i="46"/>
  <c r="DX155" i="46"/>
  <c r="EV155" i="46"/>
  <c r="EV139" i="46"/>
  <c r="DO149" i="46"/>
  <c r="EP158" i="46"/>
  <c r="EP142" i="46"/>
  <c r="EJ149" i="46"/>
  <c r="EP131" i="46"/>
  <c r="FH144" i="46"/>
  <c r="EA158" i="46"/>
  <c r="EM137" i="46"/>
  <c r="EV149" i="46"/>
  <c r="CZ130" i="46"/>
  <c r="FE139" i="46"/>
  <c r="EP149" i="46"/>
  <c r="DR159" i="46"/>
  <c r="DI135" i="46"/>
  <c r="ES144" i="46"/>
  <c r="EM153" i="46"/>
  <c r="DU130" i="46"/>
  <c r="DL132" i="46"/>
  <c r="EV134" i="46"/>
  <c r="DF137" i="46"/>
  <c r="DR140" i="46"/>
  <c r="DF143" i="46"/>
  <c r="DL146" i="46"/>
  <c r="DF149" i="46"/>
  <c r="DC152" i="46"/>
  <c r="DC155" i="46"/>
  <c r="FB157" i="46"/>
  <c r="EY160" i="46"/>
  <c r="DI131" i="46"/>
  <c r="DR132" i="46"/>
  <c r="DX150" i="46"/>
  <c r="DR147" i="46"/>
  <c r="DI143" i="46"/>
  <c r="DO132" i="46"/>
  <c r="CQ138" i="46"/>
  <c r="ED145" i="46"/>
  <c r="EP130" i="46"/>
  <c r="EY136" i="46"/>
  <c r="CT144" i="46"/>
  <c r="FK154" i="46"/>
  <c r="FK138" i="46"/>
  <c r="ED148" i="46"/>
  <c r="FE157" i="46"/>
  <c r="FE141" i="46"/>
  <c r="EP148" i="46"/>
  <c r="FE130" i="46"/>
  <c r="FH143" i="46"/>
  <c r="EA157" i="46"/>
  <c r="EP136" i="46"/>
  <c r="EV148" i="46"/>
  <c r="FH161" i="46"/>
  <c r="ES138" i="46"/>
  <c r="DX148" i="46"/>
  <c r="DI158" i="46"/>
  <c r="DI134" i="46"/>
  <c r="DX143" i="46"/>
  <c r="DX152" i="46"/>
  <c r="DO160" i="46"/>
  <c r="FB130" i="46"/>
  <c r="DX133" i="46"/>
  <c r="FK135" i="46"/>
  <c r="FB138" i="46"/>
  <c r="EP141" i="46"/>
  <c r="EM144" i="46"/>
  <c r="EJ147" i="46"/>
  <c r="EG150" i="46"/>
  <c r="EJ153" i="46"/>
  <c r="DX156" i="46"/>
  <c r="CZ159" i="46"/>
  <c r="DU160" i="46"/>
  <c r="FK130" i="46"/>
  <c r="FB142" i="46"/>
  <c r="FB143" i="46"/>
  <c r="DX139" i="46"/>
  <c r="FB160" i="46"/>
  <c r="FH137" i="46"/>
  <c r="EA145" i="46"/>
  <c r="EJ156" i="46"/>
  <c r="EV133" i="46"/>
  <c r="DI141" i="46"/>
  <c r="DO134" i="46"/>
  <c r="DC154" i="46"/>
  <c r="DC138" i="46"/>
  <c r="ES147" i="46"/>
  <c r="CW157" i="46"/>
  <c r="CW141" i="46"/>
  <c r="EP147" i="46"/>
  <c r="CW130" i="46"/>
  <c r="FE142" i="46"/>
  <c r="DU156" i="46"/>
  <c r="EV135" i="46"/>
  <c r="EM147" i="46"/>
  <c r="ES160" i="46"/>
  <c r="EG137" i="46"/>
  <c r="DL147" i="46"/>
  <c r="FH156" i="46"/>
  <c r="DF133" i="46"/>
  <c r="DO142" i="46"/>
  <c r="DI151" i="46"/>
  <c r="FB158" i="46"/>
  <c r="EP161" i="46"/>
  <c r="CW132" i="46"/>
  <c r="ES134" i="46"/>
  <c r="DC137" i="46"/>
  <c r="DF140" i="46"/>
  <c r="DC143" i="46"/>
  <c r="DI146" i="46"/>
  <c r="CT149" i="46"/>
  <c r="CQ152" i="46"/>
  <c r="CQ155" i="46"/>
  <c r="EM157" i="46"/>
  <c r="CQ159" i="46"/>
  <c r="DL159" i="46"/>
  <c r="ED135" i="46"/>
  <c r="EJ139" i="46"/>
  <c r="FE135" i="46"/>
  <c r="ED161" i="46"/>
  <c r="CZ161" i="46"/>
  <c r="DR160" i="46"/>
  <c r="EM159" i="46"/>
  <c r="DL130" i="46"/>
  <c r="EV137" i="46"/>
  <c r="FK160" i="46"/>
  <c r="EY143" i="46"/>
  <c r="DR153" i="46"/>
  <c r="DR137" i="46"/>
  <c r="FH146" i="46"/>
  <c r="DL156" i="46"/>
  <c r="DL140" i="46"/>
  <c r="EV146" i="46"/>
  <c r="ES161" i="46"/>
  <c r="FH141" i="46"/>
  <c r="DR155" i="46"/>
  <c r="FB134" i="46"/>
  <c r="EJ146" i="46"/>
  <c r="EG159" i="46"/>
  <c r="DX136" i="46"/>
  <c r="CW146" i="46"/>
  <c r="EP155" i="46"/>
  <c r="DC132" i="46"/>
  <c r="CT141" i="46"/>
  <c r="CQ150" i="46"/>
  <c r="DX157" i="46"/>
  <c r="DI160" i="46"/>
  <c r="EY130" i="46"/>
  <c r="DU133" i="46"/>
  <c r="FH135" i="46"/>
  <c r="ED138" i="46"/>
  <c r="EM141" i="46"/>
  <c r="EA144" i="46"/>
  <c r="EG147" i="46"/>
  <c r="EA150" i="46"/>
  <c r="EA153" i="46"/>
  <c r="DF156" i="46"/>
  <c r="EG157" i="46"/>
  <c r="FH155" i="46"/>
  <c r="ES141" i="46"/>
  <c r="DF136" i="46"/>
  <c r="EM132" i="46"/>
  <c r="ES157" i="46"/>
  <c r="EJ157" i="46"/>
  <c r="DR156" i="46"/>
  <c r="DI156" i="46"/>
  <c r="CZ134" i="46"/>
  <c r="DU132" i="46"/>
  <c r="EG152" i="46"/>
  <c r="EG136" i="46"/>
  <c r="CZ146" i="46"/>
  <c r="EA155" i="46"/>
  <c r="EA139" i="46"/>
  <c r="EY145" i="46"/>
  <c r="EV160" i="46"/>
  <c r="FH140" i="46"/>
  <c r="DR154" i="46"/>
  <c r="FK133" i="46"/>
  <c r="EJ145" i="46"/>
  <c r="DU158" i="46"/>
  <c r="EA135" i="46"/>
  <c r="EY144" i="46"/>
  <c r="ED154" i="46"/>
  <c r="DC131" i="46"/>
  <c r="FB139" i="46"/>
  <c r="EY148" i="46"/>
  <c r="FE155" i="46"/>
  <c r="EY158" i="46"/>
  <c r="EM161" i="46"/>
  <c r="CT132" i="46"/>
  <c r="EP134" i="46"/>
  <c r="CW137" i="46"/>
  <c r="CZ140" i="46"/>
  <c r="CZ143" i="46"/>
  <c r="DF146" i="46"/>
  <c r="CQ149" i="46"/>
  <c r="EY151" i="46"/>
  <c r="EJ154" i="46"/>
  <c r="FK155" i="46"/>
  <c r="EP151" i="46"/>
  <c r="DC159" i="46"/>
  <c r="FB132" i="46"/>
  <c r="FH157" i="46"/>
  <c r="CQ154" i="46"/>
  <c r="ED153" i="46"/>
  <c r="EY152" i="46"/>
  <c r="FK151" i="46"/>
  <c r="DX160" i="46"/>
  <c r="CW136" i="46"/>
  <c r="DX142" i="46"/>
  <c r="EV151" i="46"/>
  <c r="DO161" i="46"/>
  <c r="DO145" i="46"/>
  <c r="EP154" i="46"/>
  <c r="EP138" i="46"/>
  <c r="FE144" i="46"/>
  <c r="EY159" i="46"/>
  <c r="FK139" i="46"/>
  <c r="DI153" i="46"/>
  <c r="CW133" i="46"/>
  <c r="EJ144" i="46"/>
  <c r="DI157" i="46"/>
  <c r="EA134" i="46"/>
  <c r="EJ143" i="46"/>
  <c r="DL153" i="46"/>
  <c r="CT130" i="46"/>
  <c r="EG138" i="46"/>
  <c r="ED147" i="46"/>
  <c r="DI154" i="46"/>
  <c r="DL157" i="46"/>
  <c r="DC160" i="46"/>
  <c r="EV130" i="46"/>
  <c r="DR133" i="46"/>
  <c r="FB135" i="46"/>
  <c r="EA138" i="46"/>
  <c r="EJ141" i="46"/>
  <c r="DU144" i="46"/>
  <c r="DX147" i="46"/>
  <c r="DR150" i="46"/>
  <c r="CQ153" i="46"/>
  <c r="DU154" i="46"/>
  <c r="DF148" i="46"/>
  <c r="CZ155" i="46"/>
  <c r="FE158" i="46"/>
  <c r="DX154" i="46"/>
  <c r="DI150" i="46"/>
  <c r="FK149" i="46"/>
  <c r="ES148" i="46"/>
  <c r="EJ148" i="46"/>
  <c r="EA156" i="46"/>
  <c r="CW160" i="46"/>
  <c r="FK150" i="46"/>
  <c r="ED160" i="46"/>
  <c r="ED144" i="46"/>
  <c r="FE153" i="46"/>
  <c r="FE137" i="46"/>
  <c r="FK143" i="46"/>
  <c r="EV158" i="46"/>
  <c r="CQ139" i="46"/>
  <c r="DF152" i="46"/>
  <c r="DF132" i="46"/>
  <c r="ED143" i="46"/>
  <c r="CW156" i="46"/>
  <c r="EA133" i="46"/>
  <c r="DU142" i="46"/>
  <c r="CW152" i="46"/>
  <c r="EV161" i="46"/>
  <c r="DX137" i="46"/>
  <c r="DR146" i="46"/>
  <c r="EV152" i="46"/>
  <c r="EJ155" i="46"/>
  <c r="ES158" i="46"/>
  <c r="EG161" i="46"/>
  <c r="CQ132" i="46"/>
  <c r="ED134" i="46"/>
  <c r="CT137" i="46"/>
  <c r="CW140" i="46"/>
  <c r="CW143" i="46"/>
  <c r="FB145" i="46"/>
  <c r="FB148" i="46"/>
  <c r="EG151" i="46"/>
  <c r="FE152" i="46"/>
  <c r="DC144" i="46"/>
  <c r="EJ151" i="46"/>
  <c r="EV154" i="46"/>
  <c r="DU150" i="46"/>
  <c r="DU146" i="46"/>
  <c r="ES145" i="46"/>
  <c r="DI145" i="46"/>
  <c r="DO144" i="46"/>
  <c r="FH148" i="46"/>
  <c r="DC150" i="46"/>
  <c r="ES159" i="46"/>
  <c r="ES143" i="46"/>
  <c r="CW153" i="46"/>
  <c r="EY161" i="46"/>
  <c r="CT143" i="46"/>
  <c r="EV157" i="46"/>
  <c r="FK137" i="46"/>
  <c r="DF151" i="46"/>
  <c r="DO131" i="46"/>
  <c r="EA142" i="46"/>
  <c r="FE154" i="46"/>
  <c r="ED132" i="46"/>
  <c r="DF141" i="46"/>
  <c r="FE150" i="46"/>
  <c r="EA160" i="46"/>
  <c r="DI136" i="46"/>
  <c r="DC145" i="46"/>
  <c r="DL151" i="46"/>
  <c r="DF154" i="46"/>
  <c r="DF157" i="46"/>
  <c r="CZ160" i="46"/>
  <c r="ES130" i="46"/>
  <c r="CZ133" i="46"/>
  <c r="EY135" i="46"/>
  <c r="DX138" i="46"/>
  <c r="EG141" i="46"/>
  <c r="DR144" i="46"/>
  <c r="DO147" i="46"/>
  <c r="CT150" i="46"/>
  <c r="DR151" i="46"/>
  <c r="EM140" i="46"/>
  <c r="DU147" i="46"/>
  <c r="DO151" i="46"/>
  <c r="FB146" i="46"/>
  <c r="EG142" i="46"/>
  <c r="DL142" i="46"/>
  <c r="FK140" i="46"/>
  <c r="FB140" i="46"/>
  <c r="DU145" i="46"/>
  <c r="DI159" i="46"/>
  <c r="DR149" i="46"/>
  <c r="FH158" i="46"/>
  <c r="FH142" i="46"/>
  <c r="DL152" i="46"/>
  <c r="FE160" i="46"/>
  <c r="CT142" i="46"/>
  <c r="EY156" i="46"/>
  <c r="CQ137" i="46"/>
  <c r="DF150" i="46"/>
  <c r="DX130" i="46"/>
  <c r="EA141" i="46"/>
  <c r="ES153" i="46"/>
  <c r="ED131" i="46"/>
  <c r="CQ140" i="46"/>
  <c r="EM149" i="46"/>
  <c r="DO159" i="46"/>
  <c r="DF135" i="46"/>
  <c r="CQ144" i="46"/>
  <c r="ES149" i="46"/>
  <c r="ES152" i="46"/>
  <c r="EG155" i="46"/>
  <c r="EM158" i="46"/>
  <c r="EA161" i="46"/>
  <c r="FB131" i="46"/>
  <c r="DU134" i="46"/>
  <c r="FK136" i="46"/>
  <c r="CT140" i="46"/>
  <c r="CQ143" i="46"/>
  <c r="EP145" i="46"/>
  <c r="EA148" i="46"/>
  <c r="FH149" i="46"/>
  <c r="EM136" i="46"/>
  <c r="CW144" i="46"/>
  <c r="DC147" i="46"/>
  <c r="EV142" i="46"/>
  <c r="EY138" i="46"/>
  <c r="DF138" i="46"/>
  <c r="EP137" i="46"/>
  <c r="FB136" i="46"/>
  <c r="FK152" i="46"/>
  <c r="CT153" i="46"/>
  <c r="EP132" i="46"/>
  <c r="EG148" i="46"/>
  <c r="CZ158" i="46"/>
  <c r="CZ142" i="46"/>
  <c r="EA151" i="46"/>
  <c r="FK159" i="46"/>
  <c r="CZ141" i="46"/>
  <c r="FB155" i="46"/>
  <c r="CZ136" i="46"/>
  <c r="CZ149" i="46"/>
  <c r="DI161" i="46"/>
  <c r="DU140" i="46"/>
  <c r="EM152" i="46"/>
  <c r="EG130" i="46"/>
  <c r="EV138" i="46"/>
  <c r="DU148" i="46"/>
  <c r="CW158" i="46"/>
  <c r="DF134" i="46"/>
  <c r="EM142" i="46"/>
  <c r="DC148" i="46"/>
  <c r="DC151" i="46"/>
  <c r="CW154" i="46"/>
  <c r="DC157" i="46"/>
  <c r="CT160" i="46"/>
  <c r="EM130" i="46"/>
  <c r="CT133" i="46"/>
  <c r="ES135" i="46"/>
  <c r="DU138" i="46"/>
  <c r="DX141" i="46"/>
  <c r="DF144" i="46"/>
  <c r="CQ147" i="46"/>
  <c r="DI148" i="46"/>
  <c r="EM133" i="46"/>
  <c r="EM139" i="46"/>
  <c r="EP143" i="46"/>
  <c r="DL139" i="46"/>
  <c r="CZ135" i="46"/>
  <c r="CQ135" i="46"/>
  <c r="FH133" i="46"/>
  <c r="FB133" i="46"/>
  <c r="DL141" i="46"/>
  <c r="FE132" i="46"/>
  <c r="EG139" i="46"/>
  <c r="EV147" i="46"/>
  <c r="DO157" i="46"/>
  <c r="DO141" i="46"/>
  <c r="EP150" i="46"/>
  <c r="CT159" i="46"/>
  <c r="DC140" i="46"/>
  <c r="EY154" i="46"/>
  <c r="DL135" i="46"/>
  <c r="CW148" i="46"/>
  <c r="DF160" i="46"/>
  <c r="DR139" i="46"/>
  <c r="DU151" i="46"/>
  <c r="FK161" i="46"/>
  <c r="ED137" i="46"/>
  <c r="DI147" i="46"/>
  <c r="FE156" i="46"/>
  <c r="DC133" i="46"/>
  <c r="ED141" i="46"/>
  <c r="EG146" i="46"/>
  <c r="ED149" i="46"/>
  <c r="EP152" i="46"/>
  <c r="ED155" i="46"/>
  <c r="ED158" i="46"/>
  <c r="DX161" i="46"/>
  <c r="EY131" i="46"/>
  <c r="DR134" i="46"/>
  <c r="FH136" i="46"/>
  <c r="EY139" i="46"/>
  <c r="ES142" i="46"/>
  <c r="DX145" i="46"/>
  <c r="ES146" i="46"/>
  <c r="FK148" i="46"/>
  <c r="ED136" i="46"/>
  <c r="ED139" i="46"/>
  <c r="DU135" i="46"/>
  <c r="FK131" i="46"/>
  <c r="EG131" i="46"/>
  <c r="FH130" i="46"/>
  <c r="FK146" i="46"/>
  <c r="ED156" i="46"/>
  <c r="ED140" i="46"/>
  <c r="FE149" i="46"/>
  <c r="CT158" i="46"/>
  <c r="DI139" i="46"/>
  <c r="EY153" i="46"/>
  <c r="DX134" i="46"/>
  <c r="CW147" i="46"/>
  <c r="DF159" i="46"/>
  <c r="DR138" i="46"/>
  <c r="DO150" i="46"/>
  <c r="EP160" i="46"/>
  <c r="DR136" i="46"/>
  <c r="CT146" i="46"/>
  <c r="EM155" i="46"/>
  <c r="CZ132" i="46"/>
  <c r="DI140" i="46"/>
  <c r="DF145" i="46"/>
  <c r="CZ148" i="46"/>
  <c r="CZ151" i="46"/>
  <c r="CT154" i="46"/>
  <c r="FB156" i="46"/>
  <c r="CQ160" i="46"/>
  <c r="EJ130" i="46"/>
  <c r="CQ133" i="46"/>
  <c r="EM135" i="46"/>
  <c r="DL145" i="46"/>
  <c r="DU161" i="46"/>
  <c r="DC146" i="46"/>
  <c r="ES155" i="46"/>
  <c r="ES139" i="46"/>
  <c r="CW149" i="46"/>
  <c r="CZ157" i="46"/>
  <c r="DO138" i="46"/>
  <c r="FB152" i="46"/>
  <c r="EJ133" i="46"/>
  <c r="CQ146" i="46"/>
  <c r="DF158" i="46"/>
  <c r="DI137" i="46"/>
  <c r="DC149" i="46"/>
  <c r="DU159" i="46"/>
  <c r="DO135" i="46"/>
  <c r="EV144" i="46"/>
  <c r="EA154" i="46"/>
  <c r="CZ131" i="46"/>
  <c r="CW139" i="46"/>
  <c r="EM143" i="46"/>
  <c r="ED146" i="46"/>
  <c r="EA149" i="46"/>
  <c r="EJ152" i="46"/>
  <c r="DU155" i="46"/>
  <c r="EP157" i="46"/>
  <c r="EV175" i="46"/>
  <c r="FH174" i="46"/>
  <c r="FE173" i="46"/>
  <c r="DU172" i="46"/>
  <c r="DR166" i="46"/>
  <c r="CT175" i="46"/>
  <c r="DC168" i="46"/>
  <c r="EM173" i="46"/>
  <c r="DF166" i="46"/>
  <c r="DF170" i="46"/>
  <c r="EV173" i="46"/>
  <c r="FH171" i="46"/>
  <c r="CQ170" i="46"/>
  <c r="ES166" i="46"/>
  <c r="DI178" i="46"/>
  <c r="CT174" i="46"/>
  <c r="EY179" i="46"/>
  <c r="EJ169" i="46"/>
  <c r="CT169" i="46"/>
  <c r="EJ164" i="46"/>
  <c r="FK174" i="46"/>
  <c r="CZ174" i="46"/>
  <c r="CW173" i="46"/>
  <c r="FB179" i="46"/>
  <c r="DX165" i="46"/>
  <c r="FH173" i="46"/>
  <c r="DC167" i="46"/>
  <c r="DI172" i="46"/>
  <c r="EV178" i="46"/>
  <c r="FH168" i="46"/>
  <c r="CT172" i="46"/>
  <c r="DR170" i="46"/>
  <c r="DO168" i="46"/>
  <c r="CQ165" i="46"/>
  <c r="DO176" i="46"/>
  <c r="CZ172" i="46"/>
  <c r="DL175" i="46"/>
  <c r="FB165" i="46"/>
  <c r="DU176" i="46"/>
  <c r="EP164" i="46"/>
  <c r="DC174" i="46"/>
  <c r="DO173" i="46"/>
  <c r="DL172" i="46"/>
  <c r="FB178" i="46"/>
  <c r="FE178" i="46"/>
  <c r="EY172" i="46"/>
  <c r="CW166" i="46"/>
  <c r="CZ171" i="46"/>
  <c r="EA177" i="46"/>
  <c r="EY167" i="46"/>
  <c r="EA170" i="46"/>
  <c r="EV168" i="46"/>
  <c r="EY166" i="46"/>
  <c r="DU178" i="46"/>
  <c r="DX174" i="46"/>
  <c r="EG170" i="46"/>
  <c r="FB170" i="46"/>
  <c r="DL178" i="46"/>
  <c r="EJ172" i="46"/>
  <c r="CZ164" i="46"/>
  <c r="DR173" i="46"/>
  <c r="ED172" i="46"/>
  <c r="EA171" i="46"/>
  <c r="FH177" i="46"/>
  <c r="EV177" i="46"/>
  <c r="EP171" i="46"/>
  <c r="CT165" i="46"/>
  <c r="FB169" i="46"/>
  <c r="CW176" i="46"/>
  <c r="EG166" i="46"/>
  <c r="FB168" i="46"/>
  <c r="CQ167" i="46"/>
  <c r="DC165" i="46"/>
  <c r="EM176" i="46"/>
  <c r="FB172" i="46"/>
  <c r="CQ169" i="46"/>
  <c r="FB166" i="46"/>
  <c r="CW174" i="46"/>
  <c r="CQ168" i="46"/>
  <c r="ES164" i="46"/>
  <c r="EG172" i="46"/>
  <c r="ES171" i="46"/>
  <c r="EP170" i="46"/>
  <c r="FK176" i="46"/>
  <c r="EP176" i="46"/>
  <c r="EM170" i="46"/>
  <c r="DR179" i="46"/>
  <c r="ES168" i="46"/>
  <c r="EV174" i="46"/>
  <c r="DI165" i="46"/>
  <c r="CW167" i="46"/>
  <c r="EG165" i="46"/>
  <c r="ED178" i="46"/>
  <c r="ES174" i="46"/>
  <c r="DC171" i="46"/>
  <c r="DI167" i="46"/>
  <c r="EP179" i="46"/>
  <c r="ED169" i="46"/>
  <c r="DU174" i="46"/>
  <c r="EY164" i="46"/>
  <c r="EV171" i="46"/>
  <c r="FH170" i="46"/>
  <c r="FE169" i="46"/>
  <c r="CT176" i="46"/>
  <c r="EG175" i="46"/>
  <c r="EM169" i="46"/>
  <c r="DF178" i="46"/>
  <c r="DU167" i="46"/>
  <c r="EA173" i="46"/>
  <c r="DF179" i="46"/>
  <c r="EM165" i="46"/>
  <c r="CW164" i="46"/>
  <c r="FB176" i="46"/>
  <c r="CZ173" i="46"/>
  <c r="DX169" i="46"/>
  <c r="ES165" i="46"/>
  <c r="EG174" i="46"/>
  <c r="EV165" i="46"/>
  <c r="DR176" i="46"/>
  <c r="DF164" i="46"/>
  <c r="FK170" i="46"/>
  <c r="CZ170" i="46"/>
  <c r="CW169" i="46"/>
  <c r="ED179" i="46"/>
  <c r="ED174" i="46"/>
  <c r="EM168" i="46"/>
  <c r="EY176" i="46"/>
  <c r="DI166" i="46"/>
  <c r="DC172" i="46"/>
  <c r="EY177" i="46"/>
  <c r="EM164" i="46"/>
  <c r="CW179" i="46"/>
  <c r="CW175" i="46"/>
  <c r="ED171" i="46"/>
  <c r="FH167" i="46"/>
  <c r="DC164" i="46"/>
  <c r="EY170" i="46"/>
  <c r="CQ178" i="46"/>
  <c r="DO172" i="46"/>
  <c r="EV164" i="46"/>
  <c r="DC170" i="46"/>
  <c r="DO169" i="46"/>
  <c r="DL168" i="46"/>
  <c r="EG178" i="46"/>
  <c r="ED173" i="46"/>
  <c r="EG167" i="46"/>
  <c r="DX175" i="46"/>
  <c r="FK164" i="46"/>
  <c r="CQ171" i="46"/>
  <c r="DX176" i="46"/>
  <c r="DC179" i="46"/>
  <c r="CT177" i="46"/>
  <c r="DF173" i="46"/>
  <c r="ES169" i="46"/>
  <c r="DL166" i="46"/>
  <c r="FH175" i="46"/>
  <c r="DU166" i="46"/>
  <c r="CQ174" i="46"/>
  <c r="FK167" i="46"/>
  <c r="DR164" i="46"/>
  <c r="DR169" i="46"/>
  <c r="ED168" i="46"/>
  <c r="EA167" i="46"/>
  <c r="EM177" i="46"/>
  <c r="DX172" i="46"/>
  <c r="ED166" i="46"/>
  <c r="DL174" i="46"/>
  <c r="EA164" i="46"/>
  <c r="EV169" i="46"/>
  <c r="DC175" i="46"/>
  <c r="DF177" i="46"/>
  <c r="DO175" i="46"/>
  <c r="EJ171" i="46"/>
  <c r="CW168" i="46"/>
  <c r="EM179" i="46"/>
  <c r="DI171" i="46"/>
  <c r="EG179" i="46"/>
  <c r="DU169" i="46"/>
  <c r="DU179" i="46"/>
  <c r="CQ164" i="46"/>
  <c r="EG168" i="46"/>
  <c r="ES167" i="46"/>
  <c r="EP166" i="46"/>
  <c r="ES176" i="46"/>
  <c r="DU171" i="46"/>
  <c r="EA165" i="46"/>
  <c r="CT173" i="46"/>
  <c r="CT164" i="46"/>
  <c r="EJ168" i="46"/>
  <c r="EY173" i="46"/>
  <c r="DU175" i="46"/>
  <c r="DX173" i="46"/>
  <c r="FK169" i="46"/>
  <c r="EM166" i="46"/>
  <c r="EP177" i="46"/>
  <c r="EM167" i="46"/>
  <c r="EA174" i="46"/>
  <c r="EP165" i="46"/>
  <c r="CQ176" i="46"/>
  <c r="DL164" i="46"/>
  <c r="EV167" i="46"/>
  <c r="FH166" i="46"/>
  <c r="FE165" i="46"/>
  <c r="EY175" i="46"/>
  <c r="DX170" i="46"/>
  <c r="DI179" i="46"/>
  <c r="FE171" i="46"/>
  <c r="EY178" i="46"/>
  <c r="DO167" i="46"/>
  <c r="EM172" i="46"/>
  <c r="ES173" i="46"/>
  <c r="FB171" i="46"/>
  <c r="DI168" i="46"/>
  <c r="DU164" i="46"/>
  <c r="FE175" i="46"/>
  <c r="ED170" i="46"/>
  <c r="EJ170" i="46"/>
  <c r="FE172" i="46"/>
  <c r="CW172" i="46"/>
  <c r="FE164" i="46"/>
  <c r="FK166" i="46"/>
  <c r="CZ166" i="46"/>
  <c r="CW165" i="46"/>
  <c r="EY174" i="46"/>
  <c r="EA169" i="46"/>
  <c r="CW178" i="46"/>
  <c r="ES170" i="46"/>
  <c r="ED177" i="46"/>
  <c r="CT166" i="46"/>
  <c r="DL171" i="46"/>
  <c r="FK171" i="46"/>
  <c r="DL170" i="46"/>
  <c r="EV166" i="46"/>
  <c r="DR178" i="46"/>
  <c r="DF174" i="46"/>
  <c r="FB175" i="46"/>
  <c r="DO166" i="46"/>
  <c r="DU177" i="46"/>
  <c r="FE167" i="46"/>
  <c r="FB164" i="46"/>
  <c r="DC166" i="46"/>
  <c r="DO165" i="46"/>
  <c r="FK179" i="46"/>
  <c r="FB173" i="46"/>
  <c r="DX168" i="46"/>
  <c r="FE176" i="46"/>
  <c r="EG169" i="46"/>
  <c r="DF176" i="46"/>
  <c r="ES178" i="46"/>
  <c r="CT170" i="46"/>
  <c r="DU170" i="46"/>
  <c r="EA168" i="46"/>
  <c r="CZ165" i="46"/>
  <c r="EJ176" i="46"/>
  <c r="EA172" i="46"/>
  <c r="DF171" i="46"/>
  <c r="ED164" i="46"/>
  <c r="FK177" i="46"/>
  <c r="FK168" i="46"/>
  <c r="DX164" i="46"/>
  <c r="DR165" i="46"/>
  <c r="EA179" i="46"/>
  <c r="CT179" i="46"/>
  <c r="FH172" i="46"/>
  <c r="DX167" i="46"/>
  <c r="EP175" i="46"/>
  <c r="DR168" i="46"/>
  <c r="FB174" i="46"/>
  <c r="DL179" i="46"/>
  <c r="FE168" i="46"/>
  <c r="EY168" i="46"/>
  <c r="FE166" i="46"/>
  <c r="EA178" i="46"/>
  <c r="EM174" i="46"/>
  <c r="EV170" i="46"/>
  <c r="ED167" i="46"/>
  <c r="DI164" i="46"/>
  <c r="DL173" i="46"/>
  <c r="FK175" i="46"/>
  <c r="EG164" i="46"/>
  <c r="ES179" i="46"/>
  <c r="EP178" i="46"/>
  <c r="CT178" i="46"/>
  <c r="CQ172" i="46"/>
  <c r="EA166" i="46"/>
  <c r="EJ174" i="46"/>
  <c r="DF167" i="46"/>
  <c r="EJ173" i="46"/>
  <c r="FB177" i="46"/>
  <c r="EP167" i="46"/>
  <c r="CT167" i="46"/>
  <c r="DU165" i="46"/>
  <c r="EV176" i="46"/>
  <c r="CQ173" i="46"/>
  <c r="CZ169" i="46"/>
  <c r="EJ177" i="46"/>
  <c r="EM178" i="46"/>
  <c r="DL169" i="46"/>
  <c r="EY171" i="46"/>
  <c r="FH164" i="46"/>
  <c r="EV179" i="46"/>
  <c r="FH178" i="46"/>
  <c r="FE177" i="46"/>
  <c r="CZ177" i="46"/>
  <c r="CW171" i="46"/>
  <c r="ED165" i="46"/>
  <c r="EG173" i="46"/>
  <c r="CQ166" i="46"/>
  <c r="DF172" i="46"/>
  <c r="EA176" i="46"/>
  <c r="DX166" i="46"/>
  <c r="EJ165" i="46"/>
  <c r="EJ178" i="46"/>
  <c r="CQ175" i="46"/>
  <c r="DX171" i="46"/>
  <c r="EJ167" i="46"/>
  <c r="FE179" i="46"/>
  <c r="DR174" i="46"/>
  <c r="DL165" i="46"/>
  <c r="FB167" i="46"/>
  <c r="FK178" i="46"/>
  <c r="CZ178" i="46"/>
  <c r="CW177" i="46"/>
  <c r="DC176" i="46"/>
  <c r="CW170" i="46"/>
  <c r="EJ179" i="46"/>
  <c r="DR172" i="46"/>
  <c r="CQ179" i="46"/>
  <c r="CT171" i="46"/>
  <c r="DF175" i="46"/>
  <c r="DF165" i="46"/>
  <c r="CZ179" i="46"/>
  <c r="FH176" i="46"/>
  <c r="DC173" i="46"/>
  <c r="EP169" i="46"/>
  <c r="EY165" i="46"/>
  <c r="EJ175" i="46"/>
  <c r="DI170" i="46"/>
  <c r="DO164" i="46"/>
  <c r="EV172" i="46"/>
  <c r="DC178" i="46"/>
  <c r="DO177" i="46"/>
  <c r="DL176" i="46"/>
  <c r="DI175" i="46"/>
  <c r="DC169" i="46"/>
  <c r="DX178" i="46"/>
  <c r="DO171" i="46"/>
  <c r="EG177" i="46"/>
  <c r="EY169" i="46"/>
  <c r="FK173" i="46"/>
  <c r="DO179" i="46"/>
  <c r="DC177" i="46"/>
  <c r="CZ175" i="46"/>
  <c r="EG171" i="46"/>
  <c r="CT168" i="46"/>
  <c r="DX179" i="46"/>
  <c r="FE170" i="46"/>
  <c r="FH165" i="46"/>
  <c r="ES177" i="46"/>
  <c r="ES172" i="46"/>
  <c r="DR177" i="46"/>
  <c r="ED176" i="46"/>
  <c r="EA175" i="46"/>
  <c r="DO174" i="46"/>
  <c r="DF168" i="46"/>
  <c r="DL177" i="46"/>
  <c r="DO170" i="46"/>
  <c r="DI176" i="46"/>
  <c r="EP168" i="46"/>
  <c r="EP172" i="46"/>
  <c r="DI177" i="46"/>
  <c r="DR175" i="46"/>
  <c r="DI173" i="46"/>
  <c r="FH169" i="46"/>
  <c r="EJ166" i="46"/>
  <c r="DX177" i="46"/>
  <c r="CZ167" i="46"/>
  <c r="DO178" i="46"/>
  <c r="FK172" i="46"/>
  <c r="DU168" i="46"/>
  <c r="EG176" i="46"/>
  <c r="ES175" i="46"/>
  <c r="EP174" i="46"/>
  <c r="DU173" i="46"/>
  <c r="DL167" i="46"/>
  <c r="CZ176" i="46"/>
  <c r="DI169" i="46"/>
  <c r="FE174" i="46"/>
  <c r="DR167" i="46"/>
  <c r="DR171" i="46"/>
  <c r="ED175" i="46"/>
  <c r="EP173" i="46"/>
  <c r="EM171" i="46"/>
  <c r="CZ168" i="46"/>
  <c r="FH179" i="46"/>
  <c r="EM175" i="46"/>
  <c r="FK165" i="46"/>
  <c r="DI174" i="46"/>
  <c r="DF169" i="46"/>
  <c r="CQ177" i="46"/>
  <c r="CN138" i="46"/>
  <c r="CH138" i="46"/>
  <c r="CB150" i="46"/>
  <c r="CH136" i="46"/>
  <c r="CK136" i="46"/>
  <c r="CE156" i="46"/>
  <c r="CH148" i="46"/>
  <c r="CB151" i="46"/>
  <c r="CE158" i="46"/>
  <c r="CE137" i="46"/>
  <c r="CE154" i="46"/>
  <c r="CB140" i="46"/>
  <c r="CB153" i="46"/>
  <c r="CN134" i="46"/>
  <c r="CH134" i="46"/>
  <c r="CB146" i="46"/>
  <c r="CN161" i="46"/>
  <c r="CE161" i="46"/>
  <c r="CE152" i="46"/>
  <c r="CH159" i="46"/>
  <c r="CB147" i="46"/>
  <c r="CK142" i="46"/>
  <c r="CB156" i="46"/>
  <c r="CN139" i="46"/>
  <c r="CE151" i="46"/>
  <c r="CN148" i="46"/>
  <c r="CN130" i="46"/>
  <c r="CH130" i="46"/>
  <c r="CB142" i="46"/>
  <c r="CN157" i="46"/>
  <c r="CE157" i="46"/>
  <c r="CE148" i="46"/>
  <c r="CH155" i="46"/>
  <c r="CB143" i="46"/>
  <c r="CH135" i="46"/>
  <c r="CK149" i="46"/>
  <c r="CH131" i="46"/>
  <c r="CN158" i="46"/>
  <c r="CE160" i="46"/>
  <c r="CK158" i="46"/>
  <c r="CN133" i="46"/>
  <c r="CB138" i="46"/>
  <c r="CN153" i="46"/>
  <c r="CE153" i="46"/>
  <c r="CE144" i="46"/>
  <c r="CH151" i="46"/>
  <c r="CB139" i="46"/>
  <c r="CH157" i="46"/>
  <c r="CN159" i="46"/>
  <c r="CH137" i="46"/>
  <c r="CE143" i="46"/>
  <c r="CK154" i="46"/>
  <c r="CK161" i="46"/>
  <c r="CB134" i="46"/>
  <c r="CN149" i="46"/>
  <c r="CE149" i="46"/>
  <c r="CE140" i="46"/>
  <c r="CH147" i="46"/>
  <c r="CB135" i="46"/>
  <c r="CE133" i="46"/>
  <c r="CH158" i="46"/>
  <c r="CK150" i="46"/>
  <c r="CK140" i="46"/>
  <c r="CB130" i="46"/>
  <c r="CN145" i="46"/>
  <c r="CE145" i="46"/>
  <c r="CE136" i="46"/>
  <c r="CH143" i="46"/>
  <c r="CB131" i="46"/>
  <c r="CH153" i="46"/>
  <c r="CK155" i="46"/>
  <c r="CK147" i="46"/>
  <c r="CN141" i="46"/>
  <c r="CK146" i="46"/>
  <c r="CB152" i="46"/>
  <c r="CK157" i="46"/>
  <c r="CH161" i="46"/>
  <c r="CE141" i="46"/>
  <c r="CE132" i="46"/>
  <c r="CH139" i="46"/>
  <c r="CB144" i="46"/>
  <c r="CK153" i="46"/>
  <c r="CK138" i="46"/>
  <c r="CN140" i="46"/>
  <c r="CK134" i="46"/>
  <c r="CE150" i="46"/>
  <c r="CK145" i="46"/>
  <c r="CH149" i="46"/>
  <c r="CB160" i="46"/>
  <c r="CB136" i="46"/>
  <c r="CH140" i="46"/>
  <c r="CN155" i="46"/>
  <c r="CN156" i="46"/>
  <c r="CB141" i="46"/>
  <c r="CB155" i="46"/>
  <c r="CK130" i="46"/>
  <c r="CE146" i="46"/>
  <c r="CK141" i="46"/>
  <c r="CH145" i="46"/>
  <c r="CB161" i="46"/>
  <c r="CB132" i="46"/>
  <c r="CE159" i="46"/>
  <c r="CN151" i="46"/>
  <c r="CB145" i="46"/>
  <c r="CK143" i="46"/>
  <c r="CN137" i="46"/>
  <c r="CE142" i="46"/>
  <c r="CK137" i="46"/>
  <c r="CH141" i="46"/>
  <c r="CB157" i="46"/>
  <c r="CK159" i="46"/>
  <c r="CE155" i="46"/>
  <c r="CN135" i="46"/>
  <c r="CK148" i="46"/>
  <c r="CE138" i="46"/>
  <c r="CK133" i="46"/>
  <c r="CN147" i="46"/>
  <c r="CB148" i="46"/>
  <c r="CN131" i="46"/>
  <c r="CN144" i="46"/>
  <c r="CK144" i="46"/>
  <c r="CH132" i="46"/>
  <c r="CE134" i="46"/>
  <c r="CN160" i="46"/>
  <c r="CH133" i="46"/>
  <c r="CB149" i="46"/>
  <c r="CK151" i="46"/>
  <c r="CE147" i="46"/>
  <c r="CN143" i="46"/>
  <c r="CE130" i="46"/>
  <c r="CE139" i="46"/>
  <c r="CH160" i="46"/>
  <c r="CN154" i="46"/>
  <c r="CH154" i="46"/>
  <c r="CN152" i="46"/>
  <c r="CN132" i="46"/>
  <c r="CK160" i="46"/>
  <c r="CB137" i="46"/>
  <c r="CK139" i="46"/>
  <c r="CE135" i="46"/>
  <c r="CB154" i="46"/>
  <c r="CN150" i="46"/>
  <c r="CH150" i="46"/>
  <c r="CK132" i="46"/>
  <c r="CH156" i="46"/>
  <c r="CK156" i="46"/>
  <c r="CB133" i="46"/>
  <c r="CK135" i="46"/>
  <c r="CE131" i="46"/>
  <c r="CN146" i="46"/>
  <c r="CH146" i="46"/>
  <c r="CB158" i="46"/>
  <c r="CH152" i="46"/>
  <c r="CK152" i="46"/>
  <c r="CN136" i="46"/>
  <c r="CK131" i="46"/>
  <c r="CB159" i="46"/>
  <c r="CN142" i="46"/>
  <c r="CH142" i="46"/>
  <c r="CH144" i="46"/>
  <c r="CN178" i="46"/>
  <c r="CB174" i="46"/>
  <c r="CH169" i="46"/>
  <c r="CE164" i="46"/>
  <c r="CK170" i="46"/>
  <c r="CE171" i="46"/>
  <c r="CN174" i="46"/>
  <c r="CB170" i="46"/>
  <c r="CH165" i="46"/>
  <c r="CH179" i="46"/>
  <c r="CE175" i="46"/>
  <c r="CE172" i="46"/>
  <c r="CN170" i="46"/>
  <c r="CB166" i="46"/>
  <c r="CN176" i="46"/>
  <c r="CH175" i="46"/>
  <c r="CK164" i="46"/>
  <c r="CN166" i="46"/>
  <c r="CK177" i="46"/>
  <c r="CN168" i="46"/>
  <c r="CH171" i="46"/>
  <c r="CE169" i="46"/>
  <c r="CB167" i="46"/>
  <c r="CB176" i="46"/>
  <c r="CN172" i="46"/>
  <c r="CB168" i="46"/>
  <c r="CH167" i="46"/>
  <c r="CE165" i="46"/>
  <c r="CE174" i="46"/>
  <c r="CK178" i="46"/>
  <c r="CH176" i="46"/>
  <c r="CE177" i="46"/>
  <c r="CK172" i="46"/>
  <c r="CK174" i="46"/>
  <c r="CH172" i="46"/>
  <c r="CE173" i="46"/>
  <c r="CE179" i="46"/>
  <c r="CH168" i="46"/>
  <c r="CK166" i="46"/>
  <c r="CN165" i="46"/>
  <c r="CK165" i="46"/>
  <c r="CN179" i="46"/>
  <c r="CB177" i="46"/>
  <c r="CE167" i="46"/>
  <c r="CE178" i="46"/>
  <c r="CH178" i="46"/>
  <c r="CN175" i="46"/>
  <c r="CB173" i="46"/>
  <c r="CK168" i="46"/>
  <c r="CH174" i="46"/>
  <c r="CN171" i="46"/>
  <c r="CB169" i="46"/>
  <c r="CB179" i="46"/>
  <c r="CH170" i="46"/>
  <c r="CN177" i="46"/>
  <c r="CB165" i="46"/>
  <c r="CB175" i="46"/>
  <c r="CN169" i="46"/>
  <c r="CK176" i="46"/>
  <c r="CH166" i="46"/>
  <c r="CN173" i="46"/>
  <c r="CE176" i="46"/>
  <c r="CB171" i="46"/>
  <c r="CE168" i="46"/>
  <c r="CE170" i="46"/>
  <c r="CK173" i="46"/>
  <c r="CK179" i="46"/>
  <c r="CN167" i="46"/>
  <c r="CE166" i="46"/>
  <c r="CB172" i="46"/>
  <c r="CK175" i="46"/>
  <c r="CH164" i="46"/>
  <c r="CK169" i="46"/>
  <c r="CH177" i="46"/>
  <c r="CK171" i="46"/>
  <c r="CB164" i="46"/>
  <c r="CB178" i="46"/>
  <c r="CH173" i="46"/>
  <c r="CK167" i="46"/>
  <c r="CN164" i="46"/>
  <c r="BS139" i="46"/>
  <c r="BS146" i="46"/>
  <c r="BP142" i="46"/>
  <c r="BP152" i="46"/>
  <c r="BS133" i="46"/>
  <c r="BV140" i="46"/>
  <c r="BV144" i="46"/>
  <c r="BP147" i="46"/>
  <c r="BP146" i="46"/>
  <c r="BV158" i="46"/>
  <c r="BS142" i="46"/>
  <c r="BP138" i="46"/>
  <c r="BP132" i="46"/>
  <c r="BM149" i="46"/>
  <c r="BP160" i="46"/>
  <c r="BV132" i="46"/>
  <c r="BP143" i="46"/>
  <c r="BS155" i="46"/>
  <c r="BV134" i="46"/>
  <c r="BY156" i="46"/>
  <c r="BY141" i="46"/>
  <c r="BV148" i="46"/>
  <c r="BS150" i="46"/>
  <c r="BV154" i="46"/>
  <c r="BS138" i="46"/>
  <c r="BP134" i="46"/>
  <c r="BV161" i="46"/>
  <c r="BV131" i="46"/>
  <c r="BP156" i="46"/>
  <c r="BM160" i="46"/>
  <c r="BP139" i="46"/>
  <c r="BV143" i="46"/>
  <c r="BY155" i="46"/>
  <c r="BM158" i="46"/>
  <c r="BS132" i="46"/>
  <c r="BM135" i="46"/>
  <c r="BV150" i="46"/>
  <c r="BS134" i="46"/>
  <c r="BP130" i="46"/>
  <c r="BV157" i="46"/>
  <c r="BS135" i="46"/>
  <c r="BP140" i="46"/>
  <c r="BM144" i="46"/>
  <c r="BP135" i="46"/>
  <c r="BM140" i="46"/>
  <c r="BS156" i="46"/>
  <c r="BY145" i="46"/>
  <c r="BM154" i="46"/>
  <c r="BM130" i="46"/>
  <c r="BV146" i="46"/>
  <c r="BS130" i="46"/>
  <c r="BM134" i="46"/>
  <c r="BV153" i="46"/>
  <c r="BP161" i="46"/>
  <c r="BP136" i="46"/>
  <c r="BV159" i="46"/>
  <c r="BP131" i="46"/>
  <c r="BM152" i="46"/>
  <c r="BV141" i="46"/>
  <c r="BP151" i="46"/>
  <c r="BY158" i="46"/>
  <c r="BV142" i="46"/>
  <c r="BP148" i="46"/>
  <c r="BM148" i="46"/>
  <c r="BV149" i="46"/>
  <c r="BP157" i="46"/>
  <c r="BY150" i="46"/>
  <c r="BY132" i="46"/>
  <c r="BY154" i="46"/>
  <c r="BV138" i="46"/>
  <c r="BM156" i="46"/>
  <c r="BY147" i="46"/>
  <c r="BV145" i="46"/>
  <c r="BP153" i="46"/>
  <c r="BM136" i="46"/>
  <c r="BS160" i="46"/>
  <c r="BP149" i="46"/>
  <c r="BM143" i="46"/>
  <c r="BP150" i="46"/>
  <c r="BY146" i="46"/>
  <c r="BV130" i="46"/>
  <c r="BY143" i="46"/>
  <c r="BS151" i="46"/>
  <c r="BV137" i="46"/>
  <c r="BP145" i="46"/>
  <c r="BV139" i="46"/>
  <c r="BS152" i="46"/>
  <c r="BY131" i="46"/>
  <c r="BV147" i="46"/>
  <c r="BS141" i="46"/>
  <c r="BV156" i="46"/>
  <c r="BY142" i="46"/>
  <c r="BP144" i="46"/>
  <c r="BY135" i="46"/>
  <c r="BY161" i="46"/>
  <c r="BV133" i="46"/>
  <c r="BP141" i="46"/>
  <c r="BS147" i="46"/>
  <c r="BS148" i="46"/>
  <c r="BM153" i="46"/>
  <c r="BY148" i="46"/>
  <c r="BY138" i="46"/>
  <c r="BM132" i="46"/>
  <c r="BS143" i="46"/>
  <c r="BY157" i="46"/>
  <c r="BM137" i="46"/>
  <c r="BP137" i="46"/>
  <c r="BM139" i="46"/>
  <c r="BS144" i="46"/>
  <c r="BS157" i="46"/>
  <c r="BV152" i="46"/>
  <c r="BY134" i="46"/>
  <c r="BY151" i="46"/>
  <c r="BM159" i="46"/>
  <c r="BY153" i="46"/>
  <c r="BY159" i="46"/>
  <c r="BP133" i="46"/>
  <c r="BV151" i="46"/>
  <c r="BS140" i="46"/>
  <c r="BS161" i="46"/>
  <c r="BV155" i="46"/>
  <c r="BP155" i="46"/>
  <c r="BY130" i="46"/>
  <c r="BY139" i="46"/>
  <c r="BM147" i="46"/>
  <c r="BY149" i="46"/>
  <c r="BM151" i="46"/>
  <c r="BM161" i="46"/>
  <c r="BY160" i="46"/>
  <c r="BS136" i="46"/>
  <c r="BM157" i="46"/>
  <c r="BY152" i="46"/>
  <c r="BM150" i="46"/>
  <c r="BV135" i="46"/>
  <c r="BM131" i="46"/>
  <c r="BY137" i="46"/>
  <c r="BS153" i="46"/>
  <c r="BM145" i="46"/>
  <c r="BY144" i="46"/>
  <c r="BS159" i="46"/>
  <c r="BM138" i="46"/>
  <c r="BS137" i="46"/>
  <c r="BM146" i="46"/>
  <c r="BS131" i="46"/>
  <c r="BP158" i="46"/>
  <c r="BY133" i="46"/>
  <c r="BS149" i="46"/>
  <c r="BM141" i="46"/>
  <c r="BY140" i="46"/>
  <c r="BM155" i="46"/>
  <c r="BS154" i="46"/>
  <c r="BV136" i="46"/>
  <c r="BM142" i="46"/>
  <c r="BS158" i="46"/>
  <c r="BP154" i="46"/>
  <c r="BV160" i="46"/>
  <c r="BS145" i="46"/>
  <c r="BM133" i="46"/>
  <c r="BY136" i="46"/>
  <c r="BP159" i="46"/>
  <c r="BY178" i="46"/>
  <c r="BM172" i="46"/>
  <c r="BM177" i="46"/>
  <c r="BY176" i="46"/>
  <c r="BV165" i="46"/>
  <c r="BY174" i="46"/>
  <c r="BY175" i="46"/>
  <c r="BY172" i="46"/>
  <c r="BV172" i="46"/>
  <c r="BP167" i="46"/>
  <c r="BS164" i="46"/>
  <c r="BS166" i="46"/>
  <c r="BP176" i="46"/>
  <c r="BY170" i="46"/>
  <c r="BV167" i="46"/>
  <c r="BV171" i="46"/>
  <c r="BM176" i="46"/>
  <c r="BM170" i="46"/>
  <c r="BY168" i="46"/>
  <c r="BS168" i="46"/>
  <c r="BV168" i="46"/>
  <c r="BP165" i="46"/>
  <c r="BP171" i="46"/>
  <c r="BY166" i="46"/>
  <c r="BS179" i="46"/>
  <c r="BS177" i="46"/>
  <c r="BY171" i="46"/>
  <c r="BY179" i="46"/>
  <c r="BV179" i="46"/>
  <c r="BS167" i="46"/>
  <c r="BM173" i="46"/>
  <c r="BP174" i="46"/>
  <c r="BM179" i="46"/>
  <c r="BS173" i="46"/>
  <c r="BM175" i="46"/>
  <c r="BM178" i="46"/>
  <c r="BP178" i="46"/>
  <c r="BS169" i="46"/>
  <c r="BS176" i="46"/>
  <c r="BM166" i="46"/>
  <c r="BM174" i="46"/>
  <c r="BP166" i="46"/>
  <c r="BS165" i="46"/>
  <c r="BS172" i="46"/>
  <c r="BM168" i="46"/>
  <c r="BV178" i="46"/>
  <c r="BY177" i="46"/>
  <c r="BV175" i="46"/>
  <c r="BP168" i="46"/>
  <c r="BV174" i="46"/>
  <c r="BY173" i="46"/>
  <c r="BS171" i="46"/>
  <c r="BY167" i="46"/>
  <c r="BV170" i="46"/>
  <c r="BY169" i="46"/>
  <c r="BP177" i="46"/>
  <c r="BM167" i="46"/>
  <c r="BM164" i="46"/>
  <c r="BV166" i="46"/>
  <c r="BY165" i="46"/>
  <c r="BP173" i="46"/>
  <c r="BP179" i="46"/>
  <c r="BP170" i="46"/>
  <c r="BV176" i="46"/>
  <c r="BP169" i="46"/>
  <c r="BP175" i="46"/>
  <c r="BS175" i="46"/>
  <c r="BM171" i="46"/>
  <c r="BM169" i="46"/>
  <c r="BP164" i="46"/>
  <c r="BS170" i="46"/>
  <c r="BS178" i="46"/>
  <c r="BV177" i="46"/>
  <c r="BM165" i="46"/>
  <c r="BV164" i="46"/>
  <c r="BV169" i="46"/>
  <c r="BS174" i="46"/>
  <c r="BV173" i="46"/>
  <c r="BP172" i="46"/>
  <c r="BY164" i="46"/>
  <c r="BJ158" i="46"/>
  <c r="AX146" i="46"/>
  <c r="BG152" i="46"/>
  <c r="AX147" i="46"/>
  <c r="BD145" i="46"/>
  <c r="AX137" i="46"/>
  <c r="BJ151" i="46"/>
  <c r="BG139" i="46"/>
  <c r="BJ154" i="46"/>
  <c r="AX130" i="46"/>
  <c r="BG144" i="46"/>
  <c r="AX135" i="46"/>
  <c r="BD141" i="46"/>
  <c r="AX133" i="46"/>
  <c r="BJ143" i="46"/>
  <c r="BG135" i="46"/>
  <c r="BJ150" i="46"/>
  <c r="BJ153" i="46"/>
  <c r="BD160" i="46"/>
  <c r="BJ149" i="46"/>
  <c r="BD137" i="46"/>
  <c r="BJ160" i="46"/>
  <c r="BJ135" i="46"/>
  <c r="BG131" i="46"/>
  <c r="BG143" i="46"/>
  <c r="BJ146" i="46"/>
  <c r="BG145" i="46"/>
  <c r="BD148" i="46"/>
  <c r="BJ145" i="46"/>
  <c r="BD133" i="46"/>
  <c r="BJ156" i="46"/>
  <c r="AX160" i="46"/>
  <c r="BA159" i="46"/>
  <c r="BA136" i="46"/>
  <c r="BD149" i="46"/>
  <c r="BJ142" i="46"/>
  <c r="AX151" i="46"/>
  <c r="BD140" i="46"/>
  <c r="BJ141" i="46"/>
  <c r="BA161" i="46"/>
  <c r="BJ152" i="46"/>
  <c r="AX156" i="46"/>
  <c r="BA155" i="46"/>
  <c r="BG147" i="46"/>
  <c r="BJ138" i="46"/>
  <c r="AX131" i="46"/>
  <c r="BD132" i="46"/>
  <c r="BJ137" i="46"/>
  <c r="BA157" i="46"/>
  <c r="BJ148" i="46"/>
  <c r="AX152" i="46"/>
  <c r="BA147" i="46"/>
  <c r="BJ134" i="46"/>
  <c r="BD158" i="46"/>
  <c r="AX155" i="46"/>
  <c r="BJ133" i="46"/>
  <c r="BA153" i="46"/>
  <c r="BJ144" i="46"/>
  <c r="AX148" i="46"/>
  <c r="BA139" i="46"/>
  <c r="BG130" i="46"/>
  <c r="BJ130" i="46"/>
  <c r="BD154" i="46"/>
  <c r="BA158" i="46"/>
  <c r="BG161" i="46"/>
  <c r="BA149" i="46"/>
  <c r="BJ140" i="46"/>
  <c r="AX144" i="46"/>
  <c r="AX143" i="46"/>
  <c r="BG160" i="46"/>
  <c r="AX150" i="46"/>
  <c r="BD150" i="46"/>
  <c r="BA154" i="46"/>
  <c r="BG156" i="46"/>
  <c r="BA145" i="46"/>
  <c r="BJ136" i="46"/>
  <c r="AX140" i="46"/>
  <c r="BD159" i="46"/>
  <c r="BA135" i="46"/>
  <c r="BG149" i="46"/>
  <c r="BD146" i="46"/>
  <c r="BA150" i="46"/>
  <c r="BG132" i="46"/>
  <c r="BA141" i="46"/>
  <c r="BJ132" i="46"/>
  <c r="AX136" i="46"/>
  <c r="BD155" i="46"/>
  <c r="AX141" i="46"/>
  <c r="BG140" i="46"/>
  <c r="BD142" i="46"/>
  <c r="BA146" i="46"/>
  <c r="AX139" i="46"/>
  <c r="BA137" i="46"/>
  <c r="BD152" i="46"/>
  <c r="AX132" i="46"/>
  <c r="BD151" i="46"/>
  <c r="AX145" i="46"/>
  <c r="BD156" i="46"/>
  <c r="BD138" i="46"/>
  <c r="BA142" i="46"/>
  <c r="BG157" i="46"/>
  <c r="BA133" i="46"/>
  <c r="BD136" i="46"/>
  <c r="BJ155" i="46"/>
  <c r="BD147" i="46"/>
  <c r="BG158" i="46"/>
  <c r="BD134" i="46"/>
  <c r="BA138" i="46"/>
  <c r="BG153" i="46"/>
  <c r="BG148" i="46"/>
  <c r="BA160" i="46"/>
  <c r="BJ147" i="46"/>
  <c r="BD143" i="46"/>
  <c r="BG134" i="46"/>
  <c r="BD144" i="46"/>
  <c r="BG154" i="46"/>
  <c r="BD130" i="46"/>
  <c r="BA134" i="46"/>
  <c r="BG141" i="46"/>
  <c r="AX159" i="46"/>
  <c r="BA156" i="46"/>
  <c r="BJ139" i="46"/>
  <c r="BD139" i="46"/>
  <c r="BG137" i="46"/>
  <c r="BA132" i="46"/>
  <c r="BG150" i="46"/>
  <c r="AX154" i="46"/>
  <c r="BA130" i="46"/>
  <c r="BG136" i="46"/>
  <c r="AX161" i="46"/>
  <c r="BA152" i="46"/>
  <c r="BJ131" i="46"/>
  <c r="BD135" i="46"/>
  <c r="BG133" i="46"/>
  <c r="BG146" i="46"/>
  <c r="AX138" i="46"/>
  <c r="AX158" i="46"/>
  <c r="BJ159" i="46"/>
  <c r="AX157" i="46"/>
  <c r="BA148" i="46"/>
  <c r="BG159" i="46"/>
  <c r="BD131" i="46"/>
  <c r="BG142" i="46"/>
  <c r="AX134" i="46"/>
  <c r="AX142" i="46"/>
  <c r="BD161" i="46"/>
  <c r="AX153" i="46"/>
  <c r="BA144" i="46"/>
  <c r="BG155" i="46"/>
  <c r="BA151" i="46"/>
  <c r="BG138" i="46"/>
  <c r="BJ157" i="46"/>
  <c r="BJ161" i="46"/>
  <c r="BD157" i="46"/>
  <c r="AX149" i="46"/>
  <c r="BA140" i="46"/>
  <c r="BG151" i="46"/>
  <c r="BA143" i="46"/>
  <c r="BD153" i="46"/>
  <c r="BA131" i="46"/>
  <c r="BD170" i="46"/>
  <c r="BJ165" i="46"/>
  <c r="BD176" i="46"/>
  <c r="BA167" i="46"/>
  <c r="BD166" i="46"/>
  <c r="BG172" i="46"/>
  <c r="BA176" i="46"/>
  <c r="BJ164" i="46"/>
  <c r="AX174" i="46"/>
  <c r="AX171" i="46"/>
  <c r="BA172" i="46"/>
  <c r="BD164" i="46"/>
  <c r="BG177" i="46"/>
  <c r="BD177" i="46"/>
  <c r="BA168" i="46"/>
  <c r="AX164" i="46"/>
  <c r="BD173" i="46"/>
  <c r="AX176" i="46"/>
  <c r="BA164" i="46"/>
  <c r="BG176" i="46"/>
  <c r="BJ178" i="46"/>
  <c r="BG168" i="46"/>
  <c r="BD169" i="46"/>
  <c r="AX172" i="46"/>
  <c r="BD174" i="46"/>
  <c r="BA175" i="46"/>
  <c r="BJ174" i="46"/>
  <c r="BD172" i="46"/>
  <c r="BD165" i="46"/>
  <c r="AX168" i="46"/>
  <c r="BJ170" i="46"/>
  <c r="BG164" i="46"/>
  <c r="BA177" i="46"/>
  <c r="BJ175" i="46"/>
  <c r="BD178" i="46"/>
  <c r="BJ166" i="46"/>
  <c r="BJ179" i="46"/>
  <c r="BA173" i="46"/>
  <c r="BG179" i="46"/>
  <c r="BJ169" i="46"/>
  <c r="BA178" i="46"/>
  <c r="BA169" i="46"/>
  <c r="BG175" i="46"/>
  <c r="BJ177" i="46"/>
  <c r="BG165" i="46"/>
  <c r="BA174" i="46"/>
  <c r="BA165" i="46"/>
  <c r="BG171" i="46"/>
  <c r="BJ168" i="46"/>
  <c r="BG178" i="46"/>
  <c r="BA170" i="46"/>
  <c r="BJ167" i="46"/>
  <c r="BG167" i="46"/>
  <c r="BG174" i="46"/>
  <c r="BA166" i="46"/>
  <c r="AX177" i="46"/>
  <c r="BA179" i="46"/>
  <c r="BD167" i="46"/>
  <c r="BG170" i="46"/>
  <c r="AX178" i="46"/>
  <c r="AX173" i="46"/>
  <c r="BA171" i="46"/>
  <c r="BG166" i="46"/>
  <c r="AX170" i="46"/>
  <c r="AX169" i="46"/>
  <c r="AX167" i="46"/>
  <c r="BJ172" i="46"/>
  <c r="AX166" i="46"/>
  <c r="BG173" i="46"/>
  <c r="AX165" i="46"/>
  <c r="BD179" i="46"/>
  <c r="BJ173" i="46"/>
  <c r="BG169" i="46"/>
  <c r="BD168" i="46"/>
  <c r="BJ171" i="46"/>
  <c r="BD175" i="46"/>
  <c r="AX175" i="46"/>
  <c r="AX179" i="46"/>
  <c r="BJ176" i="46"/>
  <c r="BD171" i="46"/>
  <c r="AU158" i="46"/>
  <c r="AR154" i="46"/>
  <c r="AO138" i="46"/>
  <c r="AU157" i="46"/>
  <c r="AO153" i="46"/>
  <c r="AI145" i="46"/>
  <c r="AL144" i="46"/>
  <c r="AU151" i="46"/>
  <c r="AU154" i="46"/>
  <c r="AR150" i="46"/>
  <c r="AO134" i="46"/>
  <c r="AU149" i="46"/>
  <c r="AO149" i="46"/>
  <c r="AI141" i="46"/>
  <c r="AL140" i="46"/>
  <c r="AU147" i="46"/>
  <c r="AU150" i="46"/>
  <c r="AR146" i="46"/>
  <c r="AO130" i="46"/>
  <c r="AU145" i="46"/>
  <c r="AO145" i="46"/>
  <c r="AI137" i="46"/>
  <c r="AL136" i="46"/>
  <c r="AU143" i="46"/>
  <c r="AU146" i="46"/>
  <c r="AR142" i="46"/>
  <c r="AL158" i="46"/>
  <c r="AU137" i="46"/>
  <c r="AO141" i="46"/>
  <c r="AI133" i="46"/>
  <c r="AL132" i="46"/>
  <c r="AU139" i="46"/>
  <c r="AU142" i="46"/>
  <c r="AR138" i="46"/>
  <c r="AL146" i="46"/>
  <c r="AU160" i="46"/>
  <c r="AO137" i="46"/>
  <c r="AU144" i="46"/>
  <c r="AI156" i="46"/>
  <c r="AU135" i="46"/>
  <c r="AU138" i="46"/>
  <c r="AR134" i="46"/>
  <c r="AL134" i="46"/>
  <c r="AU152" i="46"/>
  <c r="AI155" i="46"/>
  <c r="AR148" i="46"/>
  <c r="AI136" i="46"/>
  <c r="AU131" i="46"/>
  <c r="AU134" i="46"/>
  <c r="AR130" i="46"/>
  <c r="AI158" i="46"/>
  <c r="AU140" i="46"/>
  <c r="AI131" i="46"/>
  <c r="AR132" i="46"/>
  <c r="AO159" i="46"/>
  <c r="AO155" i="46"/>
  <c r="AU130" i="46"/>
  <c r="AL138" i="46"/>
  <c r="AU153" i="46"/>
  <c r="AR156" i="46"/>
  <c r="AO133" i="46"/>
  <c r="AO160" i="46"/>
  <c r="AO151" i="46"/>
  <c r="AO147" i="46"/>
  <c r="AL154" i="46"/>
  <c r="AI138" i="46"/>
  <c r="AU141" i="46"/>
  <c r="AR140" i="46"/>
  <c r="AL161" i="46"/>
  <c r="AO156" i="46"/>
  <c r="AO139" i="46"/>
  <c r="AO131" i="46"/>
  <c r="AL142" i="46"/>
  <c r="AI130" i="46"/>
  <c r="AL150" i="46"/>
  <c r="AI151" i="46"/>
  <c r="AL157" i="46"/>
  <c r="AO152" i="46"/>
  <c r="AI143" i="46"/>
  <c r="AL131" i="46"/>
  <c r="AL130" i="46"/>
  <c r="AU136" i="46"/>
  <c r="AI146" i="46"/>
  <c r="AR161" i="46"/>
  <c r="AL153" i="46"/>
  <c r="AO148" i="46"/>
  <c r="AI160" i="46"/>
  <c r="AI147" i="46"/>
  <c r="AU133" i="46"/>
  <c r="AL155" i="46"/>
  <c r="AU156" i="46"/>
  <c r="AR157" i="46"/>
  <c r="AL149" i="46"/>
  <c r="AO144" i="46"/>
  <c r="AI152" i="46"/>
  <c r="AR159" i="46"/>
  <c r="AR160" i="46"/>
  <c r="AL143" i="46"/>
  <c r="AU148" i="46"/>
  <c r="AR153" i="46"/>
  <c r="AL145" i="46"/>
  <c r="AO140" i="46"/>
  <c r="AI148" i="46"/>
  <c r="AR155" i="46"/>
  <c r="AR152" i="46"/>
  <c r="AI159" i="46"/>
  <c r="AU132" i="46"/>
  <c r="AR149" i="46"/>
  <c r="AL141" i="46"/>
  <c r="AO136" i="46"/>
  <c r="AI144" i="46"/>
  <c r="AR151" i="46"/>
  <c r="AR144" i="46"/>
  <c r="AI135" i="46"/>
  <c r="AI139" i="46"/>
  <c r="AR145" i="46"/>
  <c r="AL137" i="46"/>
  <c r="AO132" i="46"/>
  <c r="AI140" i="46"/>
  <c r="AR147" i="46"/>
  <c r="AR136" i="46"/>
  <c r="AO158" i="46"/>
  <c r="AI154" i="46"/>
  <c r="AR141" i="46"/>
  <c r="AL133" i="46"/>
  <c r="AL139" i="46"/>
  <c r="AI132" i="46"/>
  <c r="AR143" i="46"/>
  <c r="AL159" i="46"/>
  <c r="AO154" i="46"/>
  <c r="AI150" i="46"/>
  <c r="AR137" i="46"/>
  <c r="AI161" i="46"/>
  <c r="AL160" i="46"/>
  <c r="AO143" i="46"/>
  <c r="AR139" i="46"/>
  <c r="AL151" i="46"/>
  <c r="AO150" i="46"/>
  <c r="AI142" i="46"/>
  <c r="AR133" i="46"/>
  <c r="AI157" i="46"/>
  <c r="AL156" i="46"/>
  <c r="AL147" i="46"/>
  <c r="AR135" i="46"/>
  <c r="AL135" i="46"/>
  <c r="AO146" i="46"/>
  <c r="AI134" i="46"/>
  <c r="AO161" i="46"/>
  <c r="AI153" i="46"/>
  <c r="AL152" i="46"/>
  <c r="AU159" i="46"/>
  <c r="AR131" i="46"/>
  <c r="AR158" i="46"/>
  <c r="AO142" i="46"/>
  <c r="AU161" i="46"/>
  <c r="AO157" i="46"/>
  <c r="AI149" i="46"/>
  <c r="AL148" i="46"/>
  <c r="AU155" i="46"/>
  <c r="AO135" i="46"/>
  <c r="AR170" i="46"/>
  <c r="AI175" i="46"/>
  <c r="AO176" i="46"/>
  <c r="AO167" i="46"/>
  <c r="AR166" i="46"/>
  <c r="AR177" i="46"/>
  <c r="AO172" i="46"/>
  <c r="AL167" i="46"/>
  <c r="AI174" i="46"/>
  <c r="AR173" i="46"/>
  <c r="AO168" i="46"/>
  <c r="AR179" i="46"/>
  <c r="AL171" i="46"/>
  <c r="AR169" i="46"/>
  <c r="AR164" i="46"/>
  <c r="AR175" i="46"/>
  <c r="AO178" i="46"/>
  <c r="AR165" i="46"/>
  <c r="AL179" i="46"/>
  <c r="AR171" i="46"/>
  <c r="AO174" i="46"/>
  <c r="AO177" i="46"/>
  <c r="AL176" i="46"/>
  <c r="AR167" i="46"/>
  <c r="AO170" i="46"/>
  <c r="AO173" i="46"/>
  <c r="AL172" i="46"/>
  <c r="AI171" i="46"/>
  <c r="AO166" i="46"/>
  <c r="AO169" i="46"/>
  <c r="AL168" i="46"/>
  <c r="AL164" i="46"/>
  <c r="AL178" i="46"/>
  <c r="AO165" i="46"/>
  <c r="AO175" i="46"/>
  <c r="AI164" i="46"/>
  <c r="AL170" i="46"/>
  <c r="AI167" i="46"/>
  <c r="AO171" i="46"/>
  <c r="AU164" i="46"/>
  <c r="AU178" i="46"/>
  <c r="AU169" i="46"/>
  <c r="AL177" i="46"/>
  <c r="AI179" i="46"/>
  <c r="AU174" i="46"/>
  <c r="AL175" i="46"/>
  <c r="AL173" i="46"/>
  <c r="AI176" i="46"/>
  <c r="AU170" i="46"/>
  <c r="AU172" i="46"/>
  <c r="AL169" i="46"/>
  <c r="AI172" i="46"/>
  <c r="AU166" i="46"/>
  <c r="AI178" i="46"/>
  <c r="AL165" i="46"/>
  <c r="AI168" i="46"/>
  <c r="AL174" i="46"/>
  <c r="AI170" i="46"/>
  <c r="AI177" i="46"/>
  <c r="AO164" i="46"/>
  <c r="AL166" i="46"/>
  <c r="AU177" i="46"/>
  <c r="AI173" i="46"/>
  <c r="AU179" i="46"/>
  <c r="AI166" i="46"/>
  <c r="AU173" i="46"/>
  <c r="AI169" i="46"/>
  <c r="AU175" i="46"/>
  <c r="AR176" i="46"/>
  <c r="AU165" i="46"/>
  <c r="AI165" i="46"/>
  <c r="AU171" i="46"/>
  <c r="AR178" i="46"/>
  <c r="AU176" i="46"/>
  <c r="AU168" i="46"/>
  <c r="AU167" i="46"/>
  <c r="AR174" i="46"/>
  <c r="AR172" i="46"/>
  <c r="AR168" i="46"/>
  <c r="AO179" i="46"/>
  <c r="AF167" i="46"/>
  <c r="AF169" i="46"/>
  <c r="AF171" i="46"/>
  <c r="AF173" i="46"/>
  <c r="AF174" i="46"/>
  <c r="AF178" i="46"/>
  <c r="AF166" i="46"/>
  <c r="AF175" i="46"/>
  <c r="AF168" i="46"/>
  <c r="AF172" i="46"/>
  <c r="AF176" i="46"/>
  <c r="AF170" i="46"/>
  <c r="AF164" i="46"/>
  <c r="AF177" i="46"/>
  <c r="AF165" i="46"/>
  <c r="AF179" i="46"/>
  <c r="AF140" i="46"/>
  <c r="AF135" i="46"/>
  <c r="AF133" i="46"/>
  <c r="AF132" i="46"/>
  <c r="AF141" i="46"/>
  <c r="AF136" i="46"/>
  <c r="AF145" i="46"/>
  <c r="AF153" i="46"/>
  <c r="AF138" i="46"/>
  <c r="AF134" i="46"/>
  <c r="AF147" i="46"/>
  <c r="AF131" i="46"/>
  <c r="AF150" i="46"/>
  <c r="AF159" i="46"/>
  <c r="AF130" i="46"/>
  <c r="AF137" i="46"/>
  <c r="AF142" i="46"/>
  <c r="AF149" i="46"/>
  <c r="AF148" i="46"/>
  <c r="AF146" i="46"/>
  <c r="AF157" i="46"/>
  <c r="AF156" i="46"/>
  <c r="AF154" i="46"/>
  <c r="AF139" i="46"/>
  <c r="AF161" i="46"/>
  <c r="AF160" i="46"/>
  <c r="AF144" i="46"/>
  <c r="AF151" i="46"/>
  <c r="AF152" i="46"/>
  <c r="AF155" i="46"/>
  <c r="AF158" i="46"/>
  <c r="AF143"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H2" i="47"/>
  <c r="C26" i="48" a="1"/>
  <c r="C26" i="48" s="1"/>
  <c r="B26" i="48" s="1"/>
  <c r="B26" i="50" a="1"/>
  <c r="B26" i="50" s="1"/>
  <c r="B22" i="50" a="1"/>
  <c r="B22" i="50" s="1"/>
  <c r="C22" i="48" a="1"/>
  <c r="C22" i="48" s="1"/>
  <c r="B22" i="48" s="1"/>
  <c r="C28" i="48" a="1"/>
  <c r="C28" i="48" s="1"/>
  <c r="B28" i="48" s="1"/>
  <c r="B28" i="50" a="1"/>
  <c r="B28" i="50" s="1"/>
  <c r="M193" i="46"/>
  <c r="AE35" i="45"/>
  <c r="Z162" i="46" l="1"/>
  <c r="AC180" i="46"/>
  <c r="Z180" i="46"/>
  <c r="AC162" i="46"/>
  <c r="W162" i="46"/>
  <c r="W180" i="46"/>
  <c r="T162" i="46"/>
  <c r="T180" i="46"/>
  <c r="E83" i="48"/>
  <c r="F83" i="48" s="1" a="1"/>
  <c r="F83" i="48" s="1"/>
  <c r="EG180" i="46"/>
  <c r="DX180" i="46"/>
  <c r="FE180" i="46"/>
  <c r="DL180" i="46"/>
  <c r="DR180" i="46"/>
  <c r="EP180" i="46"/>
  <c r="JF180" i="46"/>
  <c r="IZ180" i="46"/>
  <c r="KV180" i="46"/>
  <c r="CB180" i="46"/>
  <c r="KP180" i="46"/>
  <c r="JO180" i="46"/>
  <c r="IN162" i="46"/>
  <c r="IK162" i="46"/>
  <c r="KD162" i="46"/>
  <c r="JX180" i="46"/>
  <c r="KA180" i="46"/>
  <c r="KY180" i="46"/>
  <c r="KS180" i="46"/>
  <c r="LE180" i="46"/>
  <c r="KM180" i="46"/>
  <c r="LE162" i="46"/>
  <c r="JL180" i="46"/>
  <c r="JI180" i="46"/>
  <c r="IK180" i="46"/>
  <c r="KA162" i="46"/>
  <c r="LB180" i="46"/>
  <c r="JC162" i="46"/>
  <c r="IZ162" i="46"/>
  <c r="IW180" i="46"/>
  <c r="IT162" i="46"/>
  <c r="JI162" i="46"/>
  <c r="JO162" i="46"/>
  <c r="IQ180" i="46"/>
  <c r="JR162" i="46"/>
  <c r="KJ180" i="46"/>
  <c r="JU162" i="46"/>
  <c r="KY162" i="46"/>
  <c r="JX162" i="46"/>
  <c r="LB162" i="46"/>
  <c r="IT180" i="46"/>
  <c r="KP162" i="46"/>
  <c r="IQ162" i="46"/>
  <c r="JL162" i="46"/>
  <c r="IN180" i="46"/>
  <c r="KG162" i="46"/>
  <c r="IW162" i="46"/>
  <c r="JU180" i="46"/>
  <c r="JR180" i="46"/>
  <c r="KV162" i="46"/>
  <c r="KJ162" i="46"/>
  <c r="KG180" i="46"/>
  <c r="KM162" i="46"/>
  <c r="KD180" i="46"/>
  <c r="JC180" i="46"/>
  <c r="JF162" i="46"/>
  <c r="KS162" i="46"/>
  <c r="HP180" i="46"/>
  <c r="GF180" i="46"/>
  <c r="IH180" i="46"/>
  <c r="FT180" i="46"/>
  <c r="FQ180" i="46"/>
  <c r="FN180" i="46"/>
  <c r="GU180" i="46"/>
  <c r="HM162" i="46"/>
  <c r="HY162" i="46"/>
  <c r="EY180" i="46"/>
  <c r="CZ180" i="46"/>
  <c r="DO180" i="46"/>
  <c r="HA180" i="46"/>
  <c r="GO162" i="46"/>
  <c r="DF180" i="46"/>
  <c r="EJ180" i="46"/>
  <c r="FH180" i="46"/>
  <c r="IH162" i="46"/>
  <c r="DC180" i="46"/>
  <c r="HV180" i="46"/>
  <c r="FW162" i="46"/>
  <c r="HJ180" i="46"/>
  <c r="GL180" i="46"/>
  <c r="HD180" i="46"/>
  <c r="HA162" i="46"/>
  <c r="GF162" i="46"/>
  <c r="GO180" i="46"/>
  <c r="HD162" i="46"/>
  <c r="GI162" i="46"/>
  <c r="IE180" i="46"/>
  <c r="FT162" i="46"/>
  <c r="GU162" i="46"/>
  <c r="FN162" i="46"/>
  <c r="HM180" i="46"/>
  <c r="GI180" i="46"/>
  <c r="HS162" i="46"/>
  <c r="HS180" i="46"/>
  <c r="FW180" i="46"/>
  <c r="GC180" i="46"/>
  <c r="FZ180" i="46"/>
  <c r="HG180" i="46"/>
  <c r="HP162" i="46"/>
  <c r="HV162" i="46"/>
  <c r="GR180" i="46"/>
  <c r="GL162" i="46"/>
  <c r="HG162" i="46"/>
  <c r="HY180" i="46"/>
  <c r="GX180" i="46"/>
  <c r="IE162" i="46"/>
  <c r="IB180" i="46"/>
  <c r="FZ162" i="46"/>
  <c r="IB162" i="46"/>
  <c r="FQ162" i="46"/>
  <c r="HJ162" i="46"/>
  <c r="GR162" i="46"/>
  <c r="GC162" i="46"/>
  <c r="GX162" i="46"/>
  <c r="EA162" i="46"/>
  <c r="EV180" i="46"/>
  <c r="CQ162" i="46"/>
  <c r="CT162" i="46"/>
  <c r="DI180" i="46"/>
  <c r="ED180" i="46"/>
  <c r="DL162" i="46"/>
  <c r="EG162" i="46"/>
  <c r="DU180" i="46"/>
  <c r="DC162" i="46"/>
  <c r="EP162" i="46"/>
  <c r="DU162" i="46"/>
  <c r="ES180" i="46"/>
  <c r="DX162" i="46"/>
  <c r="EM180" i="46"/>
  <c r="EM162" i="46"/>
  <c r="DI162" i="46"/>
  <c r="DO162" i="46"/>
  <c r="FB180" i="46"/>
  <c r="FB162" i="46"/>
  <c r="EJ162" i="46"/>
  <c r="CW180" i="46"/>
  <c r="CT180" i="46"/>
  <c r="EA180" i="46"/>
  <c r="FK180" i="46"/>
  <c r="DR162" i="46"/>
  <c r="FH162" i="46"/>
  <c r="ES162" i="46"/>
  <c r="FK162" i="46"/>
  <c r="ED162" i="46"/>
  <c r="CZ162" i="46"/>
  <c r="EV162" i="46"/>
  <c r="CW162" i="46"/>
  <c r="DF162" i="46"/>
  <c r="CQ180" i="46"/>
  <c r="FE162" i="46"/>
  <c r="EY162" i="46"/>
  <c r="CN180" i="46"/>
  <c r="CK180" i="46"/>
  <c r="CH180" i="46"/>
  <c r="CE162" i="46"/>
  <c r="CH162" i="46"/>
  <c r="CN162" i="46"/>
  <c r="CE180" i="46"/>
  <c r="CB162" i="46"/>
  <c r="CK162" i="46"/>
  <c r="AU180" i="46"/>
  <c r="BY180" i="46"/>
  <c r="BA180" i="46"/>
  <c r="BP162" i="46"/>
  <c r="BM180" i="46"/>
  <c r="BV180" i="46"/>
  <c r="BS180" i="46"/>
  <c r="BS162" i="46"/>
  <c r="BP180" i="46"/>
  <c r="BM162" i="46"/>
  <c r="BY162" i="46"/>
  <c r="BV162" i="46"/>
  <c r="BD162" i="46"/>
  <c r="AX162" i="46"/>
  <c r="BJ180" i="46"/>
  <c r="BA162" i="46"/>
  <c r="BG180" i="46"/>
  <c r="BD180" i="46"/>
  <c r="AX180" i="46"/>
  <c r="BJ162" i="46"/>
  <c r="BG162" i="46"/>
  <c r="AO180" i="46"/>
  <c r="AU162" i="46"/>
  <c r="AI180" i="46"/>
  <c r="AR180" i="46"/>
  <c r="AI162" i="46"/>
  <c r="AL180" i="46"/>
  <c r="AR162" i="46"/>
  <c r="AO162" i="46"/>
  <c r="AL162" i="46"/>
  <c r="DT125" i="3"/>
  <c r="C203" i="46"/>
  <c r="DT123" i="3"/>
  <c r="C205" i="46"/>
  <c r="AE23" i="45"/>
  <c r="K205" i="46"/>
  <c r="AF162" i="46"/>
  <c r="AF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M162" i="46"/>
  <c r="G3" i="47" s="1"/>
  <c r="Z204" i="46" l="1"/>
  <c r="JI206" i="46"/>
  <c r="KP202" i="46"/>
  <c r="KS203" i="46"/>
  <c r="IQ203" i="46"/>
  <c r="IZ204" i="46"/>
  <c r="IW203" i="46"/>
  <c r="HD205" i="46"/>
  <c r="FT207" i="46"/>
  <c r="FQ206" i="46"/>
  <c r="IB206" i="46"/>
  <c r="HS206" i="46"/>
  <c r="GF204" i="46"/>
  <c r="IZ202" i="46"/>
  <c r="FQ207" i="46"/>
  <c r="GF206" i="46"/>
  <c r="CT202" i="46"/>
  <c r="DC205" i="46"/>
  <c r="GO204" i="46"/>
  <c r="EM205" i="46"/>
  <c r="DL200" i="46"/>
  <c r="HP203" i="46"/>
  <c r="DU206" i="46"/>
  <c r="EV204" i="46"/>
  <c r="CQ203" i="46"/>
  <c r="KG203" i="46"/>
  <c r="CH207" i="46"/>
  <c r="DX205" i="46"/>
  <c r="EA201" i="46"/>
  <c r="AX202" i="46"/>
  <c r="AR200" i="46"/>
  <c r="BP203" i="46"/>
  <c r="BD204" i="46"/>
  <c r="EP203" i="46"/>
  <c r="DR201" i="46"/>
  <c r="EA203" i="46"/>
  <c r="KV200" i="46"/>
  <c r="FQ200" i="46"/>
  <c r="ES200" i="46"/>
  <c r="AC207" i="46"/>
  <c r="AC203" i="46"/>
  <c r="JX205" i="46"/>
  <c r="LE201" i="46"/>
  <c r="KY202" i="46"/>
  <c r="KP201" i="46"/>
  <c r="KA202" i="46"/>
  <c r="JI201" i="46"/>
  <c r="HS204" i="46"/>
  <c r="GI206" i="46"/>
  <c r="FW205" i="46"/>
  <c r="IH205" i="46"/>
  <c r="HY205" i="46"/>
  <c r="HV202" i="46"/>
  <c r="HG207" i="46"/>
  <c r="GC205" i="46"/>
  <c r="HG204" i="46"/>
  <c r="DI201" i="46"/>
  <c r="DR204" i="46"/>
  <c r="FQ201" i="46"/>
  <c r="FB204" i="46"/>
  <c r="CN206" i="46"/>
  <c r="FE207" i="46"/>
  <c r="DR205" i="46"/>
  <c r="CW203" i="46"/>
  <c r="ED201" i="46"/>
  <c r="DF207" i="46"/>
  <c r="CE202" i="46"/>
  <c r="EP202" i="46"/>
  <c r="DC200" i="46"/>
  <c r="AI205" i="46"/>
  <c r="CQ207" i="46"/>
  <c r="IH204" i="46"/>
  <c r="AU203" i="46"/>
  <c r="BP204" i="46"/>
  <c r="BJ202" i="46"/>
  <c r="BS202" i="46"/>
  <c r="IT200" i="46"/>
  <c r="EM200" i="46"/>
  <c r="ED200" i="46"/>
  <c r="W201" i="46"/>
  <c r="Z203" i="46"/>
  <c r="KM204" i="46"/>
  <c r="IW201" i="46"/>
  <c r="KV201" i="46"/>
  <c r="KP206" i="46"/>
  <c r="JF201" i="46"/>
  <c r="IH207" i="46"/>
  <c r="IH203" i="46"/>
  <c r="GX205" i="46"/>
  <c r="GC204" i="46"/>
  <c r="FQ205" i="46"/>
  <c r="IE204" i="46"/>
  <c r="HM201" i="46"/>
  <c r="GX206" i="46"/>
  <c r="HD203" i="46"/>
  <c r="FN203" i="46"/>
  <c r="GU207" i="46"/>
  <c r="EG203" i="46"/>
  <c r="DX207" i="46"/>
  <c r="CT204" i="46"/>
  <c r="GR204" i="46"/>
  <c r="EP206" i="46"/>
  <c r="HA207" i="46"/>
  <c r="EJ201" i="46"/>
  <c r="DR200" i="46"/>
  <c r="ED205" i="46"/>
  <c r="BM203" i="46"/>
  <c r="GU202" i="46"/>
  <c r="CW207" i="46"/>
  <c r="AI201" i="46"/>
  <c r="ES201" i="46"/>
  <c r="CK204" i="46"/>
  <c r="ED206" i="46"/>
  <c r="CN207" i="46"/>
  <c r="BD202" i="46"/>
  <c r="BD207" i="46"/>
  <c r="IE200" i="46"/>
  <c r="KG200" i="46"/>
  <c r="HD200" i="46"/>
  <c r="Z207" i="46"/>
  <c r="T205" i="46"/>
  <c r="KY207" i="46"/>
  <c r="IN207" i="46"/>
  <c r="KV206" i="46"/>
  <c r="JO205" i="46"/>
  <c r="JU207" i="46"/>
  <c r="LE206" i="46"/>
  <c r="FZ203" i="46"/>
  <c r="HM204" i="46"/>
  <c r="GI203" i="46"/>
  <c r="FW204" i="46"/>
  <c r="FN204" i="46"/>
  <c r="KG207" i="46"/>
  <c r="GF205" i="46"/>
  <c r="IE201" i="46"/>
  <c r="FZ201" i="46"/>
  <c r="HA204" i="46"/>
  <c r="EV202" i="46"/>
  <c r="EM206" i="46"/>
  <c r="DI203" i="46"/>
  <c r="FK207" i="46"/>
  <c r="EG205" i="46"/>
  <c r="HA202" i="46"/>
  <c r="CK205" i="46"/>
  <c r="CE205" i="46"/>
  <c r="FK203" i="46"/>
  <c r="JO206" i="46"/>
  <c r="DL205" i="46"/>
  <c r="CQ204" i="46"/>
  <c r="AO200" i="46"/>
  <c r="CB205" i="46"/>
  <c r="BS201" i="46"/>
  <c r="CK202" i="46"/>
  <c r="BV201" i="46"/>
  <c r="BP207" i="46"/>
  <c r="AO202" i="46"/>
  <c r="FH200" i="46"/>
  <c r="KM200" i="46"/>
  <c r="KD200" i="46"/>
  <c r="KD208" i="46" s="1"/>
  <c r="AC200" i="46"/>
  <c r="W203" i="46"/>
  <c r="IQ207" i="46"/>
  <c r="IT206" i="46"/>
  <c r="KS205" i="46"/>
  <c r="IT204" i="46"/>
  <c r="KP205" i="46"/>
  <c r="KY204" i="46"/>
  <c r="GO202" i="46"/>
  <c r="IB203" i="46"/>
  <c r="GF202" i="46"/>
  <c r="GC203" i="46"/>
  <c r="IH202" i="46"/>
  <c r="JI202" i="46"/>
  <c r="HV203" i="46"/>
  <c r="IN200" i="46"/>
  <c r="GU200" i="46"/>
  <c r="FT202" i="46"/>
  <c r="FK201" i="46"/>
  <c r="FB205" i="46"/>
  <c r="DX202" i="46"/>
  <c r="FH206" i="46"/>
  <c r="ED204" i="46"/>
  <c r="GR206" i="46"/>
  <c r="CK201" i="46"/>
  <c r="CE201" i="46"/>
  <c r="ED202" i="46"/>
  <c r="GU206" i="46"/>
  <c r="EA202" i="46"/>
  <c r="DU201" i="46"/>
  <c r="DL207" i="46"/>
  <c r="BV205" i="46"/>
  <c r="BA205" i="46"/>
  <c r="AX204" i="46"/>
  <c r="BD206" i="46"/>
  <c r="AI206" i="46"/>
  <c r="AU206" i="46"/>
  <c r="FZ200" i="46"/>
  <c r="HV200" i="46"/>
  <c r="FN200" i="46"/>
  <c r="W207" i="46"/>
  <c r="T203" i="46"/>
  <c r="JF206" i="46"/>
  <c r="IZ205" i="46"/>
  <c r="KJ204" i="46"/>
  <c r="IN203" i="46"/>
  <c r="IK204" i="46"/>
  <c r="IT203" i="46"/>
  <c r="HD201" i="46"/>
  <c r="FT203" i="46"/>
  <c r="GL201" i="46"/>
  <c r="FZ202" i="46"/>
  <c r="FQ202" i="46"/>
  <c r="HP207" i="46"/>
  <c r="HM202" i="46"/>
  <c r="FN207" i="46"/>
  <c r="JC204" i="46"/>
  <c r="EJ207" i="46"/>
  <c r="DC201" i="46"/>
  <c r="CT205" i="46"/>
  <c r="EM201" i="46"/>
  <c r="EP205" i="46"/>
  <c r="DL203" i="46"/>
  <c r="GO201" i="46"/>
  <c r="BV204" i="46"/>
  <c r="ES207" i="46"/>
  <c r="CQ200" i="46"/>
  <c r="FE205" i="46"/>
  <c r="CE206" i="46"/>
  <c r="CT200" i="46"/>
  <c r="DC202" i="46"/>
  <c r="BD205" i="46"/>
  <c r="AX200" i="46"/>
  <c r="AO203" i="46"/>
  <c r="BA200" i="46"/>
  <c r="AL203" i="46"/>
  <c r="BJ206" i="46"/>
  <c r="HS200" i="46"/>
  <c r="IH200" i="46"/>
  <c r="GX200" i="46"/>
  <c r="AC206" i="46"/>
  <c r="T202" i="46"/>
  <c r="JC207" i="46"/>
  <c r="JX203" i="46"/>
  <c r="KV202" i="46"/>
  <c r="IW200" i="46"/>
  <c r="JC201" i="46"/>
  <c r="KD206" i="46"/>
  <c r="IZ203" i="46"/>
  <c r="GX201" i="46"/>
  <c r="IQ202" i="46"/>
  <c r="IN205" i="46"/>
  <c r="JR204" i="46"/>
  <c r="GL205" i="46"/>
  <c r="JX206" i="46"/>
  <c r="HA203" i="46"/>
  <c r="HD204" i="46"/>
  <c r="CQ206" i="46"/>
  <c r="GU204" i="46"/>
  <c r="DX203" i="46"/>
  <c r="IB205" i="46"/>
  <c r="DR203" i="46"/>
  <c r="LB203" i="46"/>
  <c r="HS205" i="46"/>
  <c r="HJ202" i="46"/>
  <c r="DF204" i="46"/>
  <c r="DU205" i="46"/>
  <c r="CE207" i="46"/>
  <c r="BY206" i="46"/>
  <c r="CK207" i="46"/>
  <c r="BM206" i="46"/>
  <c r="AO204" i="46"/>
  <c r="AR203" i="46"/>
  <c r="DC206" i="46"/>
  <c r="BG200" i="46"/>
  <c r="BM207" i="46"/>
  <c r="BG206" i="46"/>
  <c r="JX200" i="46"/>
  <c r="KS200" i="46"/>
  <c r="GO200" i="46"/>
  <c r="T206" i="46"/>
  <c r="Z202" i="46"/>
  <c r="KD203" i="46"/>
  <c r="LB206" i="46"/>
  <c r="KD205" i="46"/>
  <c r="IK203" i="46"/>
  <c r="JR202" i="46"/>
  <c r="KD204" i="46"/>
  <c r="HA205" i="46"/>
  <c r="KP207" i="46"/>
  <c r="FT205" i="46"/>
  <c r="IE205" i="46"/>
  <c r="HJ206" i="46"/>
  <c r="KD207" i="46"/>
  <c r="GF207" i="46"/>
  <c r="IB204" i="46"/>
  <c r="HJ204" i="46"/>
  <c r="EY202" i="46"/>
  <c r="FH205" i="46"/>
  <c r="DU200" i="46"/>
  <c r="HG202" i="46"/>
  <c r="HS203" i="46"/>
  <c r="EA205" i="46"/>
  <c r="EY204" i="46"/>
  <c r="EG201" i="46"/>
  <c r="CN200" i="46"/>
  <c r="EJ206" i="46"/>
  <c r="JU203" i="46"/>
  <c r="FH204" i="46"/>
  <c r="BA202" i="46"/>
  <c r="AU200" i="46"/>
  <c r="AX205" i="46"/>
  <c r="BJ204" i="46"/>
  <c r="FK204" i="46"/>
  <c r="CB200" i="46"/>
  <c r="AU207" i="46"/>
  <c r="AL200" i="46"/>
  <c r="FW200" i="46"/>
  <c r="KA200" i="46"/>
  <c r="FT200" i="46"/>
  <c r="Z206" i="46"/>
  <c r="T200" i="46"/>
  <c r="KS202" i="46"/>
  <c r="KY205" i="46"/>
  <c r="JU204" i="46"/>
  <c r="KJ201" i="46"/>
  <c r="IQ201" i="46"/>
  <c r="KG202" i="46"/>
  <c r="HP204" i="46"/>
  <c r="IK205" i="46"/>
  <c r="FZ204" i="46"/>
  <c r="FN205" i="46"/>
  <c r="GR205" i="46"/>
  <c r="JC202" i="46"/>
  <c r="HG205" i="46"/>
  <c r="GU203" i="46"/>
  <c r="GR202" i="46"/>
  <c r="CQ202" i="46"/>
  <c r="CZ205" i="46"/>
  <c r="HV206" i="46"/>
  <c r="JU201" i="46"/>
  <c r="FH207" i="46"/>
  <c r="DL204" i="46"/>
  <c r="CZ203" i="46"/>
  <c r="CH205" i="46"/>
  <c r="BY207" i="46"/>
  <c r="CQ205" i="46"/>
  <c r="FZ206" i="46"/>
  <c r="CW202" i="46"/>
  <c r="AL205" i="46"/>
  <c r="HY200" i="46"/>
  <c r="DO205" i="46"/>
  <c r="AL204" i="46"/>
  <c r="CH200" i="46"/>
  <c r="BA207" i="46"/>
  <c r="AR207" i="46"/>
  <c r="AI200" i="46"/>
  <c r="LB200" i="46"/>
  <c r="LE200" i="46"/>
  <c r="HG200" i="46"/>
  <c r="W205" i="46"/>
  <c r="IW207" i="46"/>
  <c r="IZ201" i="46"/>
  <c r="KV203" i="46"/>
  <c r="JX202" i="46"/>
  <c r="JI205" i="46"/>
  <c r="KG205" i="46"/>
  <c r="KM203" i="46"/>
  <c r="FW203" i="46"/>
  <c r="JI207" i="46"/>
  <c r="GC202" i="46"/>
  <c r="FQ203" i="46"/>
  <c r="HY202" i="46"/>
  <c r="HA206" i="46"/>
  <c r="FN202" i="46"/>
  <c r="JR206" i="46"/>
  <c r="FB206" i="46"/>
  <c r="GR207" i="46"/>
  <c r="ED203" i="46"/>
  <c r="FN201" i="46"/>
  <c r="FK206" i="46"/>
  <c r="EJ205" i="46"/>
  <c r="CZ202" i="46"/>
  <c r="CN205" i="46"/>
  <c r="BS204" i="46"/>
  <c r="DR207" i="46"/>
  <c r="FE201" i="46"/>
  <c r="FE202" i="46"/>
  <c r="FE204" i="46"/>
  <c r="DU207" i="46"/>
  <c r="EV201" i="46"/>
  <c r="BM204" i="46"/>
  <c r="CN203" i="46"/>
  <c r="FB203" i="46"/>
  <c r="AI202" i="46"/>
  <c r="AL207" i="46"/>
  <c r="BJ203" i="46"/>
  <c r="EJ200" i="46"/>
  <c r="IQ200" i="46"/>
  <c r="W204" i="46"/>
  <c r="JL206" i="46"/>
  <c r="IZ207" i="46"/>
  <c r="LB202" i="46"/>
  <c r="KD201" i="46"/>
  <c r="IN204" i="46"/>
  <c r="KY203" i="46"/>
  <c r="IW202" i="46"/>
  <c r="GL202" i="46"/>
  <c r="JF204" i="46"/>
  <c r="GI201" i="46"/>
  <c r="FW202" i="46"/>
  <c r="HP201" i="46"/>
  <c r="GI205" i="46"/>
  <c r="GC207" i="46"/>
  <c r="HM206" i="46"/>
  <c r="CT206" i="46"/>
  <c r="GX204" i="46"/>
  <c r="ES202" i="46"/>
  <c r="LE204" i="46"/>
  <c r="ES205" i="46"/>
  <c r="EG204" i="46"/>
  <c r="CZ200" i="46"/>
  <c r="CN201" i="46"/>
  <c r="BS200" i="46"/>
  <c r="EY205" i="46"/>
  <c r="HM205" i="46"/>
  <c r="CB207" i="46"/>
  <c r="EY201" i="46"/>
  <c r="DR202" i="46"/>
  <c r="CB206" i="46"/>
  <c r="CW205" i="46"/>
  <c r="BM201" i="46"/>
  <c r="EY203" i="46"/>
  <c r="AX201" i="46"/>
  <c r="FH203" i="46"/>
  <c r="AX203" i="46"/>
  <c r="IZ200" i="46"/>
  <c r="IZ208" i="46" s="1"/>
  <c r="KP200" i="46"/>
  <c r="AC202" i="46"/>
  <c r="LB207" i="46"/>
  <c r="JL204" i="46"/>
  <c r="KV205" i="46"/>
  <c r="JR205" i="46"/>
  <c r="JX207" i="46"/>
  <c r="IK207" i="46"/>
  <c r="FZ207" i="46"/>
  <c r="KD202" i="46"/>
  <c r="IT202" i="46"/>
  <c r="JU200" i="46"/>
  <c r="JR201" i="46"/>
  <c r="HG206" i="46"/>
  <c r="HG201" i="46"/>
  <c r="IH201" i="46"/>
  <c r="HS201" i="46"/>
  <c r="EM203" i="46"/>
  <c r="EV206" i="46"/>
  <c r="EA200" i="46"/>
  <c r="DI207" i="46"/>
  <c r="DO202" i="46"/>
  <c r="CQ201" i="46"/>
  <c r="HD202" i="46"/>
  <c r="IB202" i="46"/>
  <c r="DF206" i="46"/>
  <c r="DO201" i="46"/>
  <c r="DF203" i="46"/>
  <c r="BV202" i="46"/>
  <c r="DC207" i="46"/>
  <c r="BM200" i="46"/>
  <c r="BG201" i="46"/>
  <c r="EA204" i="46"/>
  <c r="CN202" i="46"/>
  <c r="BG202" i="46"/>
  <c r="AU202" i="46"/>
  <c r="BY201" i="46"/>
  <c r="EG200" i="46"/>
  <c r="DX200" i="46"/>
  <c r="GI200" i="46"/>
  <c r="AC204" i="46"/>
  <c r="IT207" i="46"/>
  <c r="KA203" i="46"/>
  <c r="KS204" i="46"/>
  <c r="IW204" i="46"/>
  <c r="LB205" i="46"/>
  <c r="LB204" i="46"/>
  <c r="GO206" i="46"/>
  <c r="IB207" i="46"/>
  <c r="IH206" i="46"/>
  <c r="HV207" i="46"/>
  <c r="HM207" i="46"/>
  <c r="GO205" i="46"/>
  <c r="JO207" i="46"/>
  <c r="HP200" i="46"/>
  <c r="JX204" i="46"/>
  <c r="FB202" i="46"/>
  <c r="FK205" i="46"/>
  <c r="GI207" i="46"/>
  <c r="DX206" i="46"/>
  <c r="DL201" i="46"/>
  <c r="JF207" i="46"/>
  <c r="EP207" i="46"/>
  <c r="DL206" i="46"/>
  <c r="EP204" i="46"/>
  <c r="CW200" i="46"/>
  <c r="EV200" i="46"/>
  <c r="HV205" i="46"/>
  <c r="CZ204" i="46"/>
  <c r="AX206" i="46"/>
  <c r="AR204" i="46"/>
  <c r="CB203" i="46"/>
  <c r="CE203" i="46"/>
  <c r="AI207" i="46"/>
  <c r="BG207" i="46"/>
  <c r="AX207" i="46"/>
  <c r="GC200" i="46"/>
  <c r="DF200" i="46"/>
  <c r="JL200" i="46"/>
  <c r="Z200" i="46"/>
  <c r="JC205" i="46"/>
  <c r="LE202" i="46"/>
  <c r="IE203" i="46"/>
  <c r="HY206" i="46"/>
  <c r="JC206" i="46"/>
  <c r="DF205" i="46"/>
  <c r="KJ203" i="46"/>
  <c r="HD207" i="46"/>
  <c r="CW204" i="46"/>
  <c r="EA207" i="46"/>
  <c r="BP205" i="46"/>
  <c r="BS203" i="46"/>
  <c r="EP200" i="46"/>
  <c r="JU206" i="46"/>
  <c r="JI200" i="46"/>
  <c r="IN202" i="46"/>
  <c r="BP202" i="46"/>
  <c r="IQ206" i="46"/>
  <c r="CW201" i="46"/>
  <c r="EY200" i="46"/>
  <c r="IK206" i="46"/>
  <c r="ES204" i="46"/>
  <c r="CH206" i="46"/>
  <c r="JO204" i="46"/>
  <c r="IK202" i="46"/>
  <c r="W200" i="46"/>
  <c r="JI204" i="46"/>
  <c r="KG201" i="46"/>
  <c r="HA201" i="46"/>
  <c r="FT204" i="46"/>
  <c r="KY200" i="46"/>
  <c r="DU204" i="46"/>
  <c r="GL203" i="46"/>
  <c r="DO207" i="46"/>
  <c r="EJ202" i="46"/>
  <c r="DO200" i="46"/>
  <c r="CK203" i="46"/>
  <c r="AR202" i="46"/>
  <c r="JF200" i="46"/>
  <c r="JI203" i="46"/>
  <c r="T201" i="46"/>
  <c r="CW206" i="46"/>
  <c r="IK200" i="46"/>
  <c r="IK208" i="46" s="1"/>
  <c r="IN201" i="46"/>
  <c r="DI206" i="46"/>
  <c r="BG204" i="46"/>
  <c r="JF203" i="46"/>
  <c r="W206" i="46"/>
  <c r="KM202" i="46"/>
  <c r="JU202" i="46"/>
  <c r="IT205" i="46"/>
  <c r="GC201" i="46"/>
  <c r="HJ203" i="46"/>
  <c r="EJ203" i="46"/>
  <c r="JO203" i="46"/>
  <c r="HJ205" i="46"/>
  <c r="CZ207" i="46"/>
  <c r="CH204" i="46"/>
  <c r="CH203" i="46"/>
  <c r="AL202" i="46"/>
  <c r="FE200" i="46"/>
  <c r="ED207" i="46"/>
  <c r="KS201" i="46"/>
  <c r="FK202" i="46"/>
  <c r="DC204" i="46"/>
  <c r="KG204" i="46"/>
  <c r="DI200" i="46"/>
  <c r="AI204" i="46"/>
  <c r="JL205" i="46"/>
  <c r="BD201" i="46"/>
  <c r="T207" i="46"/>
  <c r="LB201" i="46"/>
  <c r="JR207" i="46"/>
  <c r="GI202" i="46"/>
  <c r="KA204" i="46"/>
  <c r="GU205" i="46"/>
  <c r="DF201" i="46"/>
  <c r="HP205" i="46"/>
  <c r="HM203" i="46"/>
  <c r="FE203" i="46"/>
  <c r="EG202" i="46"/>
  <c r="BV203" i="46"/>
  <c r="BD200" i="46"/>
  <c r="JO200" i="46"/>
  <c r="KY206" i="46"/>
  <c r="GR201" i="46"/>
  <c r="BY200" i="46"/>
  <c r="BV206" i="46"/>
  <c r="KP203" i="46"/>
  <c r="DL202" i="46"/>
  <c r="CK206" i="46"/>
  <c r="KM207" i="46"/>
  <c r="AC201" i="46"/>
  <c r="BM205" i="46"/>
  <c r="IE207" i="46"/>
  <c r="BJ200" i="46"/>
  <c r="FW207" i="46"/>
  <c r="IB200" i="46"/>
  <c r="AR205" i="46"/>
  <c r="AC205" i="46"/>
  <c r="IT201" i="46"/>
  <c r="KM205" i="46"/>
  <c r="KV207" i="46"/>
  <c r="FW201" i="46"/>
  <c r="HG203" i="46"/>
  <c r="HY201" i="46"/>
  <c r="HV204" i="46"/>
  <c r="DO206" i="46"/>
  <c r="DU202" i="46"/>
  <c r="BS206" i="46"/>
  <c r="AO205" i="46"/>
  <c r="AL206" i="46"/>
  <c r="GF200" i="46"/>
  <c r="Z201" i="46"/>
  <c r="HP206" i="46"/>
  <c r="ES206" i="46"/>
  <c r="DO204" i="46"/>
  <c r="HP202" i="46"/>
  <c r="FW206" i="46"/>
  <c r="Z205" i="46"/>
  <c r="KV204" i="46"/>
  <c r="LE203" i="46"/>
  <c r="IQ205" i="46"/>
  <c r="JL201" i="46"/>
  <c r="FZ205" i="46"/>
  <c r="EG207" i="46"/>
  <c r="EM204" i="46"/>
  <c r="EP201" i="46"/>
  <c r="FT206" i="46"/>
  <c r="BP200" i="46"/>
  <c r="CH202" i="46"/>
  <c r="AO207" i="46"/>
  <c r="GR200" i="46"/>
  <c r="JF202" i="46"/>
  <c r="BP201" i="46"/>
  <c r="GI204" i="46"/>
  <c r="HV201" i="46"/>
  <c r="HY204" i="46"/>
  <c r="EG206" i="46"/>
  <c r="JX201" i="46"/>
  <c r="T204" i="46"/>
  <c r="KY201" i="46"/>
  <c r="JL207" i="46"/>
  <c r="JO202" i="46"/>
  <c r="KS207" i="46"/>
  <c r="IB201" i="46"/>
  <c r="GO207" i="46"/>
  <c r="DU203" i="46"/>
  <c r="BY204" i="46"/>
  <c r="ES203" i="46"/>
  <c r="BA206" i="46"/>
  <c r="CB204" i="46"/>
  <c r="AU205" i="46"/>
  <c r="HA200" i="46"/>
  <c r="JL202" i="46"/>
  <c r="EJ204" i="46"/>
  <c r="GL207" i="46"/>
  <c r="AL201" i="46"/>
  <c r="IK201" i="46"/>
  <c r="BV200" i="46"/>
  <c r="BV208" i="46" s="1"/>
  <c r="BA204" i="46"/>
  <c r="W202" i="46"/>
  <c r="BP206" i="46"/>
  <c r="KJ207" i="46"/>
  <c r="CB202" i="46"/>
  <c r="FK200" i="46"/>
  <c r="GF201" i="46"/>
  <c r="BJ207" i="46"/>
  <c r="IQ204" i="46"/>
  <c r="EA206" i="46"/>
  <c r="AR206" i="46"/>
  <c r="LE207" i="46"/>
  <c r="KG206" i="46"/>
  <c r="KJ202" i="46"/>
  <c r="HY207" i="46"/>
  <c r="HD206" i="46"/>
  <c r="GR203" i="46"/>
  <c r="FH201" i="46"/>
  <c r="FE206" i="46"/>
  <c r="CT203" i="46"/>
  <c r="BV207" i="46"/>
  <c r="BJ205" i="46"/>
  <c r="DR206" i="46"/>
  <c r="EV203" i="46"/>
  <c r="GL200" i="46"/>
  <c r="KP204" i="46"/>
  <c r="IN206" i="46"/>
  <c r="FN206" i="46"/>
  <c r="HS202" i="46"/>
  <c r="IE202" i="46"/>
  <c r="DI202" i="46"/>
  <c r="GX202" i="46"/>
  <c r="AU204" i="46"/>
  <c r="AR201" i="46"/>
  <c r="DI205" i="46"/>
  <c r="DX204" i="46"/>
  <c r="KA205" i="46"/>
  <c r="JR203" i="46"/>
  <c r="KA206" i="46"/>
  <c r="IE206" i="46"/>
  <c r="FQ204" i="46"/>
  <c r="GC206" i="46"/>
  <c r="CZ201" i="46"/>
  <c r="DO203" i="46"/>
  <c r="CH201" i="46"/>
  <c r="BY202" i="46"/>
  <c r="BJ201" i="46"/>
  <c r="CK200" i="46"/>
  <c r="AU201" i="46"/>
  <c r="HJ200" i="46"/>
  <c r="KA207" i="46"/>
  <c r="DI204" i="46"/>
  <c r="EV205" i="46"/>
  <c r="BG203" i="46"/>
  <c r="HM200" i="46"/>
  <c r="BM202" i="46"/>
  <c r="CN204" i="46"/>
  <c r="JU205" i="46"/>
  <c r="KS206" i="46"/>
  <c r="KJ205" i="46"/>
  <c r="GF203" i="46"/>
  <c r="HJ201" i="46"/>
  <c r="FT201" i="46"/>
  <c r="EM202" i="46"/>
  <c r="DF202" i="46"/>
  <c r="FB207" i="46"/>
  <c r="CB201" i="46"/>
  <c r="CT207" i="46"/>
  <c r="AI203" i="46"/>
  <c r="AO201" i="46"/>
  <c r="JR200" i="46"/>
  <c r="FH202" i="46"/>
  <c r="KJ200" i="46"/>
  <c r="DX201" i="46"/>
  <c r="GU201" i="46"/>
  <c r="IZ206" i="46"/>
  <c r="KM201" i="46"/>
  <c r="JC203" i="46"/>
  <c r="LE205" i="46"/>
  <c r="HJ207" i="46"/>
  <c r="GX207" i="46"/>
  <c r="FB201" i="46"/>
  <c r="GO203" i="46"/>
  <c r="CZ206" i="46"/>
  <c r="BS207" i="46"/>
  <c r="BY205" i="46"/>
  <c r="BD203" i="46"/>
  <c r="BA203" i="46"/>
  <c r="FB200" i="46"/>
  <c r="JF205" i="46"/>
  <c r="KM206" i="46"/>
  <c r="IW205" i="46"/>
  <c r="KA201" i="46"/>
  <c r="HY203" i="46"/>
  <c r="EM207" i="46"/>
  <c r="CT201" i="46"/>
  <c r="EY207" i="46"/>
  <c r="CE200" i="46"/>
  <c r="BG205" i="46"/>
  <c r="BS205" i="46"/>
  <c r="BA201" i="46"/>
  <c r="GL204" i="46"/>
  <c r="DC203" i="46"/>
  <c r="IW206" i="46"/>
  <c r="KJ206" i="46"/>
  <c r="GL206" i="46"/>
  <c r="HS207" i="46"/>
  <c r="JO201" i="46"/>
  <c r="EY206" i="46"/>
  <c r="GX203" i="46"/>
  <c r="JL203" i="46"/>
  <c r="BY203" i="46"/>
  <c r="EV207" i="46"/>
  <c r="CE204" i="46"/>
  <c r="AO206" i="46"/>
  <c r="JC200" i="46"/>
  <c r="W185" i="46"/>
  <c r="T184" i="46"/>
  <c r="W196" i="46"/>
  <c r="KS194" i="46"/>
  <c r="KP190" i="46"/>
  <c r="KM196" i="46"/>
  <c r="KV194" i="46"/>
  <c r="KV192" i="46"/>
  <c r="KJ190" i="46"/>
  <c r="KM186" i="46"/>
  <c r="IK196" i="46"/>
  <c r="KS188" i="46"/>
  <c r="IW196" i="46"/>
  <c r="KM184" i="46"/>
  <c r="IK188" i="46"/>
  <c r="JL184" i="46"/>
  <c r="JU196" i="46"/>
  <c r="FZ187" i="46"/>
  <c r="HP192" i="46"/>
  <c r="GI194" i="46"/>
  <c r="KP197" i="46"/>
  <c r="GC185" i="46"/>
  <c r="IB186" i="46"/>
  <c r="HG188" i="46"/>
  <c r="GR191" i="46"/>
  <c r="HG187" i="46"/>
  <c r="HV191" i="46"/>
  <c r="FW188" i="46"/>
  <c r="HS185" i="46"/>
  <c r="HM183" i="46"/>
  <c r="IQ195" i="46"/>
  <c r="GU196" i="46"/>
  <c r="IB183" i="46"/>
  <c r="FQ191" i="46"/>
  <c r="FW182" i="46"/>
  <c r="FZ192" i="46"/>
  <c r="FB185" i="46"/>
  <c r="DF192" i="46"/>
  <c r="IB182" i="46"/>
  <c r="EG182" i="46"/>
  <c r="GU184" i="46"/>
  <c r="DI183" i="46"/>
  <c r="FB195" i="46"/>
  <c r="GF183" i="46"/>
  <c r="EV183" i="46"/>
  <c r="ES183" i="46"/>
  <c r="EP183" i="46"/>
  <c r="EM183" i="46"/>
  <c r="EG183" i="46"/>
  <c r="HY188" i="46"/>
  <c r="CN183" i="46"/>
  <c r="CK195" i="46"/>
  <c r="EG184" i="46"/>
  <c r="EA188" i="46"/>
  <c r="FH185" i="46"/>
  <c r="DL184" i="46"/>
  <c r="CQ192" i="46"/>
  <c r="EY183" i="46"/>
  <c r="EY196" i="46"/>
  <c r="CN193" i="46"/>
  <c r="CE188" i="46"/>
  <c r="CH197" i="46"/>
  <c r="AL191" i="46"/>
  <c r="AI191" i="46"/>
  <c r="AU182" i="46"/>
  <c r="AO186" i="46"/>
  <c r="CE196" i="46"/>
  <c r="CH194" i="46"/>
  <c r="AO192" i="46"/>
  <c r="CH189" i="46"/>
  <c r="AU191" i="46"/>
  <c r="CQ191" i="46"/>
  <c r="CT183" i="46"/>
  <c r="ED187" i="46"/>
  <c r="DO190" i="46"/>
  <c r="AU195" i="46"/>
  <c r="BJ182" i="46"/>
  <c r="IH194" i="46"/>
  <c r="BP193" i="46"/>
  <c r="FT187" i="46"/>
  <c r="DC183" i="46"/>
  <c r="ED186" i="46"/>
  <c r="FH186" i="46"/>
  <c r="CZ193" i="46"/>
  <c r="AO190" i="46"/>
  <c r="DU189" i="46"/>
  <c r="CT191" i="46"/>
  <c r="BG186" i="46"/>
  <c r="BY184" i="46"/>
  <c r="BV188" i="46"/>
  <c r="AI194" i="46"/>
  <c r="T194" i="46"/>
  <c r="W194" i="46"/>
  <c r="Z189" i="46"/>
  <c r="IK194" i="46"/>
  <c r="LE189" i="46"/>
  <c r="KS195" i="46"/>
  <c r="KS193" i="46"/>
  <c r="LB191" i="46"/>
  <c r="KP189" i="46"/>
  <c r="KP185" i="46"/>
  <c r="LB194" i="46"/>
  <c r="KM187" i="46"/>
  <c r="JX194" i="46"/>
  <c r="JO183" i="46"/>
  <c r="JC186" i="46"/>
  <c r="LB182" i="46"/>
  <c r="IQ194" i="46"/>
  <c r="GO186" i="46"/>
  <c r="IE191" i="46"/>
  <c r="GX193" i="46"/>
  <c r="IT195" i="46"/>
  <c r="GO184" i="46"/>
  <c r="FN186" i="46"/>
  <c r="HP187" i="46"/>
  <c r="GX190" i="46"/>
  <c r="HP186" i="46"/>
  <c r="HM190" i="46"/>
  <c r="FN187" i="46"/>
  <c r="HP184" i="46"/>
  <c r="HD182" i="46"/>
  <c r="KY189" i="46"/>
  <c r="HV194" i="46"/>
  <c r="GI182" i="46"/>
  <c r="HP189" i="46"/>
  <c r="KS196" i="46"/>
  <c r="HS189" i="46"/>
  <c r="CT185" i="46"/>
  <c r="DU191" i="46"/>
  <c r="EV197" i="46"/>
  <c r="JU187" i="46"/>
  <c r="GC182" i="46"/>
  <c r="DX182" i="46"/>
  <c r="CT195" i="46"/>
  <c r="JL189" i="46"/>
  <c r="EY182" i="46"/>
  <c r="EV182" i="46"/>
  <c r="ES182" i="46"/>
  <c r="EP182" i="46"/>
  <c r="EA182" i="46"/>
  <c r="FT185" i="46"/>
  <c r="BY194" i="46"/>
  <c r="CK191" i="46"/>
  <c r="DF183" i="46"/>
  <c r="DC187" i="46"/>
  <c r="DU184" i="46"/>
  <c r="FK182" i="46"/>
  <c r="ED190" i="46"/>
  <c r="DL182" i="46"/>
  <c r="DR194" i="46"/>
  <c r="CN188" i="46"/>
  <c r="CE182" i="46"/>
  <c r="CH192" i="46"/>
  <c r="AL187" i="46"/>
  <c r="AI183" i="46"/>
  <c r="AO194" i="46"/>
  <c r="EJ197" i="46"/>
  <c r="CK188" i="46"/>
  <c r="CK186" i="46"/>
  <c r="AO187" i="46"/>
  <c r="BY187" i="46"/>
  <c r="AU185" i="46"/>
  <c r="FH184" i="46"/>
  <c r="CH196" i="46"/>
  <c r="ES194" i="46"/>
  <c r="CN197" i="46"/>
  <c r="BM183" i="46"/>
  <c r="BY192" i="46"/>
  <c r="AO188" i="46"/>
  <c r="BJ190" i="46"/>
  <c r="AC187" i="46"/>
  <c r="W197" i="46"/>
  <c r="AC182" i="46"/>
  <c r="IZ193" i="46"/>
  <c r="IW189" i="46"/>
  <c r="KY194" i="46"/>
  <c r="KY192" i="46"/>
  <c r="IK191" i="46"/>
  <c r="KV188" i="46"/>
  <c r="KJ184" i="46"/>
  <c r="KD193" i="46"/>
  <c r="KD186" i="46"/>
  <c r="JC193" i="46"/>
  <c r="IT182" i="46"/>
  <c r="JU184" i="46"/>
  <c r="KV196" i="46"/>
  <c r="IW191" i="46"/>
  <c r="HD185" i="46"/>
  <c r="FW191" i="46"/>
  <c r="HM192" i="46"/>
  <c r="JU197" i="46"/>
  <c r="HA183" i="46"/>
  <c r="FZ185" i="46"/>
  <c r="HY186" i="46"/>
  <c r="GU189" i="46"/>
  <c r="HY185" i="46"/>
  <c r="GF189" i="46"/>
  <c r="HV185" i="46"/>
  <c r="HP183" i="46"/>
  <c r="JL195" i="46"/>
  <c r="JR185" i="46"/>
  <c r="GC193" i="46"/>
  <c r="IT192" i="46"/>
  <c r="HY187" i="46"/>
  <c r="JI189" i="46"/>
  <c r="GL187" i="46"/>
  <c r="DI184" i="46"/>
  <c r="EJ190" i="46"/>
  <c r="FK196" i="46"/>
  <c r="GC197" i="46"/>
  <c r="EM197" i="46"/>
  <c r="JI195" i="46"/>
  <c r="DI194" i="46"/>
  <c r="JF192" i="46"/>
  <c r="JR189" i="46"/>
  <c r="JF188" i="46"/>
  <c r="JC188" i="46"/>
  <c r="KY183" i="46"/>
  <c r="HV195" i="46"/>
  <c r="KJ192" i="46"/>
  <c r="BY190" i="46"/>
  <c r="CK187" i="46"/>
  <c r="CT182" i="46"/>
  <c r="CQ186" i="46"/>
  <c r="CW183" i="46"/>
  <c r="IH188" i="46"/>
  <c r="DL189" i="46"/>
  <c r="IN195" i="46"/>
  <c r="FE191" i="46"/>
  <c r="CB183" i="46"/>
  <c r="BP195" i="46"/>
  <c r="CH186" i="46"/>
  <c r="AL183" i="46"/>
  <c r="FE197" i="46"/>
  <c r="EP197" i="46"/>
  <c r="CW193" i="46"/>
  <c r="BY196" i="46"/>
  <c r="GO187" i="46"/>
  <c r="BA197" i="46"/>
  <c r="BG197" i="46"/>
  <c r="BV196" i="46"/>
  <c r="CK185" i="46"/>
  <c r="CN184" i="46"/>
  <c r="EA187" i="46"/>
  <c r="AL182" i="46"/>
  <c r="BJ196" i="46"/>
  <c r="BS189" i="46"/>
  <c r="CZ195" i="46"/>
  <c r="AR189" i="46"/>
  <c r="Z191" i="46"/>
  <c r="Z190" i="46"/>
  <c r="T187" i="46"/>
  <c r="JO192" i="46"/>
  <c r="JL188" i="46"/>
  <c r="KV193" i="46"/>
  <c r="LE191" i="46"/>
  <c r="IQ190" i="46"/>
  <c r="LB187" i="46"/>
  <c r="KJ183" i="46"/>
  <c r="JU192" i="46"/>
  <c r="JX185" i="46"/>
  <c r="KP191" i="46"/>
  <c r="JR197" i="46"/>
  <c r="IN183" i="46"/>
  <c r="IW195" i="46"/>
  <c r="JF189" i="46"/>
  <c r="HS184" i="46"/>
  <c r="GL190" i="46"/>
  <c r="IB191" i="46"/>
  <c r="IZ194" i="46"/>
  <c r="HM182" i="46"/>
  <c r="GL184" i="46"/>
  <c r="IH185" i="46"/>
  <c r="HD188" i="46"/>
  <c r="FN185" i="46"/>
  <c r="FZ188" i="46"/>
  <c r="HV184" i="46"/>
  <c r="HP182" i="46"/>
  <c r="KY190" i="46"/>
  <c r="JI194" i="46"/>
  <c r="GO191" i="46"/>
  <c r="IQ185" i="46"/>
  <c r="GU186" i="46"/>
  <c r="IT183" i="46"/>
  <c r="IE184" i="46"/>
  <c r="DX183" i="46"/>
  <c r="EY189" i="46"/>
  <c r="DC196" i="46"/>
  <c r="HA194" i="46"/>
  <c r="FB196" i="46"/>
  <c r="JF185" i="46"/>
  <c r="DX193" i="46"/>
  <c r="HJ197" i="46"/>
  <c r="HG197" i="46"/>
  <c r="GU197" i="46"/>
  <c r="GO197" i="46"/>
  <c r="HA196" i="46"/>
  <c r="IH190" i="46"/>
  <c r="HS193" i="46"/>
  <c r="BY186" i="46"/>
  <c r="CK183" i="46"/>
  <c r="CH195" i="46"/>
  <c r="EA184" i="46"/>
  <c r="CN194" i="46"/>
  <c r="ED196" i="46"/>
  <c r="FK187" i="46"/>
  <c r="IE194" i="46"/>
  <c r="DI189" i="46"/>
  <c r="BY195" i="46"/>
  <c r="BV189" i="46"/>
  <c r="ED195" i="46"/>
  <c r="AI187" i="46"/>
  <c r="DI193" i="46"/>
  <c r="DC193" i="46"/>
  <c r="CW189" i="46"/>
  <c r="BM190" i="46"/>
  <c r="DL195" i="46"/>
  <c r="EA191" i="46"/>
  <c r="BG192" i="46"/>
  <c r="BA191" i="46"/>
  <c r="BM195" i="46"/>
  <c r="HJ195" i="46"/>
  <c r="CB192" i="46"/>
  <c r="CK192" i="46"/>
  <c r="BJ185" i="46"/>
  <c r="BD189" i="46"/>
  <c r="BA194" i="46"/>
  <c r="FH182" i="46"/>
  <c r="GC192" i="46"/>
  <c r="CH191" i="46"/>
  <c r="CW195" i="46"/>
  <c r="HG185" i="46"/>
  <c r="KV197" i="46"/>
  <c r="ED189" i="46"/>
  <c r="DI185" i="46"/>
  <c r="ED194" i="46"/>
  <c r="AR185" i="46"/>
  <c r="ED197" i="46"/>
  <c r="AC184" i="46"/>
  <c r="AC183" i="46"/>
  <c r="AC195" i="46"/>
  <c r="KD191" i="46"/>
  <c r="KA187" i="46"/>
  <c r="LB192" i="46"/>
  <c r="IN191" i="46"/>
  <c r="IN189" i="46"/>
  <c r="IK187" i="46"/>
  <c r="KM182" i="46"/>
  <c r="JF191" i="46"/>
  <c r="JX184" i="46"/>
  <c r="JL190" i="46"/>
  <c r="KY195" i="46"/>
  <c r="LB196" i="46"/>
  <c r="JI193" i="46"/>
  <c r="KA186" i="46"/>
  <c r="IH183" i="46"/>
  <c r="HA189" i="46"/>
  <c r="FT191" i="46"/>
  <c r="KA190" i="46"/>
  <c r="JO197" i="46"/>
  <c r="GX183" i="46"/>
  <c r="FW185" i="46"/>
  <c r="KP196" i="46"/>
  <c r="FZ184" i="46"/>
  <c r="FQ187" i="46"/>
  <c r="HS183" i="46"/>
  <c r="JR195" i="46"/>
  <c r="KS185" i="46"/>
  <c r="JO189" i="46"/>
  <c r="IB189" i="46"/>
  <c r="GO196" i="46"/>
  <c r="FQ185" i="46"/>
  <c r="KD196" i="46"/>
  <c r="IH182" i="46"/>
  <c r="EM182" i="46"/>
  <c r="CQ189" i="46"/>
  <c r="DR195" i="46"/>
  <c r="FQ192" i="46"/>
  <c r="CT196" i="46"/>
  <c r="IB196" i="46"/>
  <c r="EM192" i="46"/>
  <c r="GU193" i="46"/>
  <c r="HY192" i="46"/>
  <c r="HD192" i="46"/>
  <c r="HA192" i="46"/>
  <c r="GR185" i="46"/>
  <c r="BY182" i="46"/>
  <c r="BV194" i="46"/>
  <c r="CN190" i="46"/>
  <c r="BM191" i="46"/>
  <c r="BV184" i="46"/>
  <c r="T193" i="46"/>
  <c r="T190" i="46"/>
  <c r="W189" i="46"/>
  <c r="KS190" i="46"/>
  <c r="LB197" i="46"/>
  <c r="IK192" i="46"/>
  <c r="IT190" i="46"/>
  <c r="IT188" i="46"/>
  <c r="IW186" i="46"/>
  <c r="JC197" i="46"/>
  <c r="IZ190" i="46"/>
  <c r="KA183" i="46"/>
  <c r="KJ188" i="46"/>
  <c r="JL194" i="46"/>
  <c r="JC195" i="46"/>
  <c r="IZ191" i="46"/>
  <c r="JF184" i="46"/>
  <c r="FZ183" i="46"/>
  <c r="HP188" i="46"/>
  <c r="GI190" i="46"/>
  <c r="JR187" i="46"/>
  <c r="IW194" i="46"/>
  <c r="HJ182" i="46"/>
  <c r="GI184" i="46"/>
  <c r="KS192" i="46"/>
  <c r="GL183" i="46"/>
  <c r="IB185" i="46"/>
  <c r="HS182" i="46"/>
  <c r="KV191" i="46"/>
  <c r="KA182" i="46"/>
  <c r="IZ185" i="46"/>
  <c r="GI188" i="46"/>
  <c r="HP194" i="46"/>
  <c r="HD183" i="46"/>
  <c r="JU188" i="46"/>
  <c r="FB197" i="46"/>
  <c r="IN188" i="46"/>
  <c r="DF188" i="46"/>
  <c r="EG194" i="46"/>
  <c r="FQ189" i="46"/>
  <c r="DI195" i="46"/>
  <c r="HY193" i="46"/>
  <c r="FB191" i="46"/>
  <c r="HA188" i="46"/>
  <c r="GR188" i="46"/>
  <c r="IB187" i="46"/>
  <c r="HJ187" i="46"/>
  <c r="GU187" i="46"/>
  <c r="FQ183" i="46"/>
  <c r="DR197" i="46"/>
  <c r="JU185" i="46"/>
  <c r="BV190" i="46"/>
  <c r="CH187" i="46"/>
  <c r="CQ182" i="46"/>
  <c r="CN186" i="46"/>
  <c r="EA193" i="46"/>
  <c r="DL185" i="46"/>
  <c r="FT190" i="46"/>
  <c r="DR184" i="46"/>
  <c r="GR187" i="46"/>
  <c r="FT183" i="46"/>
  <c r="GL196" i="46"/>
  <c r="FK197" i="46"/>
  <c r="DU185" i="46"/>
  <c r="DO185" i="46"/>
  <c r="CK196" i="46"/>
  <c r="IH193" i="46"/>
  <c r="EJ187" i="46"/>
  <c r="CT187" i="46"/>
  <c r="AI197" i="46"/>
  <c r="DR192" i="46"/>
  <c r="BG196" i="46"/>
  <c r="DF190" i="46"/>
  <c r="BA193" i="46"/>
  <c r="CZ183" i="46"/>
  <c r="AR187" i="46"/>
  <c r="AL196" i="46"/>
  <c r="DC190" i="46"/>
  <c r="AU197" i="46"/>
  <c r="W182" i="46"/>
  <c r="T186" i="46"/>
  <c r="T182" i="46"/>
  <c r="IZ189" i="46"/>
  <c r="JI196" i="46"/>
  <c r="IW190" i="46"/>
  <c r="IW188" i="46"/>
  <c r="JL186" i="46"/>
  <c r="KA184" i="46"/>
  <c r="LE194" i="46"/>
  <c r="KP187" i="46"/>
  <c r="KM197" i="46"/>
  <c r="IK186" i="46"/>
  <c r="JU191" i="46"/>
  <c r="JR191" i="46"/>
  <c r="KJ187" i="46"/>
  <c r="HD197" i="46"/>
  <c r="JC196" i="46"/>
  <c r="FW187" i="46"/>
  <c r="KV195" i="46"/>
  <c r="FZ197" i="46"/>
  <c r="JO187" i="46"/>
  <c r="IT194" i="46"/>
  <c r="HG182" i="46"/>
  <c r="KY186" i="46"/>
  <c r="KA196" i="46"/>
  <c r="HV183" i="46"/>
  <c r="KY191" i="46"/>
  <c r="KP182" i="46"/>
  <c r="HD196" i="46"/>
  <c r="JC185" i="46"/>
  <c r="GL185" i="46"/>
  <c r="GF191" i="46"/>
  <c r="KY197" i="46"/>
  <c r="GR197" i="46"/>
  <c r="DI196" i="46"/>
  <c r="HM194" i="46"/>
  <c r="EJ186" i="46"/>
  <c r="FK192" i="46"/>
  <c r="HA184" i="46"/>
  <c r="EM193" i="46"/>
  <c r="IB188" i="46"/>
  <c r="HP195" i="46"/>
  <c r="DL197" i="46"/>
  <c r="DI197" i="46"/>
  <c r="DF197" i="46"/>
  <c r="AC197" i="46"/>
  <c r="AC196" i="46"/>
  <c r="AC192" i="46"/>
  <c r="LE197" i="46"/>
  <c r="IT193" i="46"/>
  <c r="JR186" i="46"/>
  <c r="KS184" i="46"/>
  <c r="IW183" i="46"/>
  <c r="JF197" i="46"/>
  <c r="JC190" i="46"/>
  <c r="KD183" i="46"/>
  <c r="KS191" i="46"/>
  <c r="JX197" i="46"/>
  <c r="KY185" i="46"/>
  <c r="JO184" i="46"/>
  <c r="JF196" i="46"/>
  <c r="GO194" i="46"/>
  <c r="JX186" i="46"/>
  <c r="LE190" i="46"/>
  <c r="JI186" i="46"/>
  <c r="GO193" i="46"/>
  <c r="GI195" i="46"/>
  <c r="FT197" i="46"/>
  <c r="IN187" i="46"/>
  <c r="FQ196" i="46"/>
  <c r="KM183" i="46"/>
  <c r="KV186" i="46"/>
  <c r="HJ196" i="46"/>
  <c r="FQ194" i="46"/>
  <c r="HJ191" i="46"/>
  <c r="HD191" i="46"/>
  <c r="IT185" i="46"/>
  <c r="GF185" i="46"/>
  <c r="FT196" i="46"/>
  <c r="HY190" i="46"/>
  <c r="CT193" i="46"/>
  <c r="IB184" i="46"/>
  <c r="DU183" i="46"/>
  <c r="EV189" i="46"/>
  <c r="CZ196" i="46"/>
  <c r="DX190" i="46"/>
  <c r="JC194" i="46"/>
  <c r="IE185" i="46"/>
  <c r="EY192" i="46"/>
  <c r="EV192" i="46"/>
  <c r="ES192" i="46"/>
  <c r="EP192" i="46"/>
  <c r="EG192" i="46"/>
  <c r="FZ190" i="46"/>
  <c r="W191" i="46"/>
  <c r="W190" i="46"/>
  <c r="W187" i="46"/>
  <c r="IW197" i="46"/>
  <c r="JI192" i="46"/>
  <c r="KG185" i="46"/>
  <c r="IK184" i="46"/>
  <c r="JL182" i="46"/>
  <c r="IQ196" i="46"/>
  <c r="LB188" i="46"/>
  <c r="KG182" i="46"/>
  <c r="JO190" i="46"/>
  <c r="IT196" i="46"/>
  <c r="JR184" i="46"/>
  <c r="IK183" i="46"/>
  <c r="JF194" i="46"/>
  <c r="HD193" i="46"/>
  <c r="JC184" i="46"/>
  <c r="KD188" i="46"/>
  <c r="IW184" i="46"/>
  <c r="GU192" i="46"/>
  <c r="GF194" i="46"/>
  <c r="FZ196" i="46"/>
  <c r="IT184" i="46"/>
  <c r="FN195" i="46"/>
  <c r="JX196" i="46"/>
  <c r="KV182" i="46"/>
  <c r="HA195" i="46"/>
  <c r="IE192" i="46"/>
  <c r="GC190" i="46"/>
  <c r="IE189" i="46"/>
  <c r="GR196" i="46"/>
  <c r="HY183" i="46"/>
  <c r="HG194" i="46"/>
  <c r="FN189" i="46"/>
  <c r="DI192" i="46"/>
  <c r="IE182" i="46"/>
  <c r="EJ182" i="46"/>
  <c r="FK188" i="46"/>
  <c r="DO195" i="46"/>
  <c r="EM189" i="46"/>
  <c r="HY195" i="46"/>
  <c r="HG183" i="46"/>
  <c r="EV191" i="46"/>
  <c r="AC185" i="46"/>
  <c r="T192" i="46"/>
  <c r="T189" i="46"/>
  <c r="AC186" i="46"/>
  <c r="KA195" i="46"/>
  <c r="KM190" i="46"/>
  <c r="IN184" i="46"/>
  <c r="JO182" i="46"/>
  <c r="JR196" i="46"/>
  <c r="KJ193" i="46"/>
  <c r="KJ186" i="46"/>
  <c r="LE195" i="46"/>
  <c r="JL187" i="46"/>
  <c r="IQ193" i="46"/>
  <c r="IN182" i="46"/>
  <c r="IZ195" i="46"/>
  <c r="KG190" i="46"/>
  <c r="IH191" i="46"/>
  <c r="HA197" i="46"/>
  <c r="IZ184" i="46"/>
  <c r="KG195" i="46"/>
  <c r="HG190" i="46"/>
  <c r="GR192" i="46"/>
  <c r="GC194" i="46"/>
  <c r="FQ197" i="46"/>
  <c r="FZ193" i="46"/>
  <c r="LB186" i="46"/>
  <c r="HD195" i="46"/>
  <c r="IH192" i="46"/>
  <c r="GF190" i="46"/>
  <c r="FN188" i="46"/>
  <c r="HJ186" i="46"/>
  <c r="FW193" i="46"/>
  <c r="KM189" i="46"/>
  <c r="FN191" i="46"/>
  <c r="FZ186" i="46"/>
  <c r="EM190" i="46"/>
  <c r="CQ197" i="46"/>
  <c r="GF197" i="46"/>
  <c r="DR187" i="46"/>
  <c r="JO185" i="46"/>
  <c r="CT188" i="46"/>
  <c r="IB190" i="46"/>
  <c r="HS197" i="46"/>
  <c r="ES189" i="46"/>
  <c r="EP189" i="46"/>
  <c r="T196" i="46"/>
  <c r="Z197" i="46"/>
  <c r="Z196" i="46"/>
  <c r="W186" i="46"/>
  <c r="KP194" i="46"/>
  <c r="LB189" i="46"/>
  <c r="JC183" i="46"/>
  <c r="KA197" i="46"/>
  <c r="JO195" i="46"/>
  <c r="KA192" i="46"/>
  <c r="KM185" i="46"/>
  <c r="KG194" i="46"/>
  <c r="IN186" i="46"/>
  <c r="KJ191" i="46"/>
  <c r="LE196" i="46"/>
  <c r="JL193" i="46"/>
  <c r="IK189" i="46"/>
  <c r="FZ191" i="46"/>
  <c r="HP196" i="46"/>
  <c r="IQ182" i="46"/>
  <c r="IN193" i="46"/>
  <c r="HM189" i="46"/>
  <c r="GX191" i="46"/>
  <c r="GI193" i="46"/>
  <c r="FW196" i="46"/>
  <c r="GF192" i="46"/>
  <c r="IQ183" i="46"/>
  <c r="GU194" i="46"/>
  <c r="HP191" i="46"/>
  <c r="FW189" i="46"/>
  <c r="HS186" i="46"/>
  <c r="GO185" i="46"/>
  <c r="GI191" i="46"/>
  <c r="KS183" i="46"/>
  <c r="GR189" i="46"/>
  <c r="HD184" i="46"/>
  <c r="FB189" i="46"/>
  <c r="DF196" i="46"/>
  <c r="HD194" i="46"/>
  <c r="EG186" i="46"/>
  <c r="IE196" i="46"/>
  <c r="DI187" i="46"/>
  <c r="GU188" i="46"/>
  <c r="GR195" i="46"/>
  <c r="ES188" i="46"/>
  <c r="EP188" i="46"/>
  <c r="T195" i="46"/>
  <c r="AC188" i="46"/>
  <c r="Z195" i="46"/>
  <c r="JO196" i="46"/>
  <c r="JL192" i="46"/>
  <c r="JX187" i="46"/>
  <c r="KJ196" i="46"/>
  <c r="KJ194" i="46"/>
  <c r="KG192" i="46"/>
  <c r="LE188" i="46"/>
  <c r="KJ182" i="46"/>
  <c r="JC191" i="46"/>
  <c r="JC182" i="46"/>
  <c r="IW187" i="46"/>
  <c r="KG191" i="46"/>
  <c r="KY187" i="46"/>
  <c r="LB183" i="46"/>
  <c r="HS188" i="46"/>
  <c r="GL194" i="46"/>
  <c r="IB195" i="46"/>
  <c r="LB185" i="46"/>
  <c r="IE186" i="46"/>
  <c r="HJ188" i="46"/>
  <c r="AC191" i="46"/>
  <c r="T185" i="46"/>
  <c r="Z188" i="46"/>
  <c r="KD195" i="46"/>
  <c r="KA191" i="46"/>
  <c r="KG197" i="46"/>
  <c r="KP195" i="46"/>
  <c r="KP193" i="46"/>
  <c r="KM191" i="46"/>
  <c r="KV187" i="46"/>
  <c r="IQ197" i="46"/>
  <c r="IN190" i="46"/>
  <c r="KJ197" i="46"/>
  <c r="LE185" i="46"/>
  <c r="KG189" i="46"/>
  <c r="IT186" i="46"/>
  <c r="JI182" i="46"/>
  <c r="IH187" i="46"/>
  <c r="HA193" i="46"/>
  <c r="FT195" i="46"/>
  <c r="IQ184" i="46"/>
  <c r="FQ186" i="46"/>
  <c r="HS187" i="46"/>
  <c r="HG189" i="46"/>
  <c r="GL192" i="46"/>
  <c r="GX188" i="46"/>
  <c r="FQ193" i="46"/>
  <c r="GC189" i="46"/>
  <c r="IH186" i="46"/>
  <c r="HM184" i="46"/>
  <c r="HA182" i="46"/>
  <c r="IW185" i="46"/>
  <c r="GI185" i="46"/>
  <c r="HV192" i="46"/>
  <c r="GR183" i="46"/>
  <c r="IB194" i="46"/>
  <c r="EM186" i="46"/>
  <c r="CQ193" i="46"/>
  <c r="HG184" i="46"/>
  <c r="DR183" i="46"/>
  <c r="HM186" i="46"/>
  <c r="CT184" i="46"/>
  <c r="W184" i="46"/>
  <c r="IZ197" i="46"/>
  <c r="JR182" i="46"/>
  <c r="IK195" i="46"/>
  <c r="JF193" i="46"/>
  <c r="LE187" i="46"/>
  <c r="IN194" i="46"/>
  <c r="IN185" i="46"/>
  <c r="GU191" i="46"/>
  <c r="KJ189" i="46"/>
  <c r="FZ189" i="46"/>
  <c r="HY194" i="46"/>
  <c r="GI196" i="46"/>
  <c r="EM194" i="46"/>
  <c r="GI189" i="46"/>
  <c r="CT192" i="46"/>
  <c r="HG192" i="46"/>
  <c r="EV186" i="46"/>
  <c r="EM191" i="46"/>
  <c r="ED184" i="46"/>
  <c r="DO187" i="46"/>
  <c r="DL183" i="46"/>
  <c r="BS182" i="46"/>
  <c r="CW191" i="46"/>
  <c r="DR189" i="46"/>
  <c r="EY191" i="46"/>
  <c r="DC182" i="46"/>
  <c r="GF186" i="46"/>
  <c r="FK185" i="46"/>
  <c r="CE197" i="46"/>
  <c r="BJ183" i="46"/>
  <c r="BV191" i="46"/>
  <c r="BM184" i="46"/>
  <c r="CK190" i="46"/>
  <c r="DI186" i="46"/>
  <c r="CW185" i="46"/>
  <c r="BP183" i="46"/>
  <c r="DF195" i="46"/>
  <c r="AX185" i="46"/>
  <c r="ES195" i="46"/>
  <c r="AU189" i="46"/>
  <c r="BJ194" i="46"/>
  <c r="CN192" i="46"/>
  <c r="KG193" i="46"/>
  <c r="JU193" i="46"/>
  <c r="JX183" i="46"/>
  <c r="EM185" i="46"/>
  <c r="EM187" i="46"/>
  <c r="FE196" i="46"/>
  <c r="BM196" i="46"/>
  <c r="BV185" i="46"/>
  <c r="BJ186" i="46"/>
  <c r="HP190" i="46"/>
  <c r="AO184" i="46"/>
  <c r="FQ195" i="46"/>
  <c r="GI192" i="46"/>
  <c r="BP191" i="46"/>
  <c r="DR182" i="46"/>
  <c r="CN189" i="46"/>
  <c r="AI190" i="46"/>
  <c r="CE185" i="46"/>
  <c r="AR188" i="46"/>
  <c r="KS187" i="46"/>
  <c r="GC195" i="46"/>
  <c r="HM187" i="46"/>
  <c r="EP191" i="46"/>
  <c r="ED192" i="46"/>
  <c r="HV188" i="46"/>
  <c r="BS197" i="46"/>
  <c r="FB182" i="46"/>
  <c r="KG184" i="46"/>
  <c r="KJ195" i="46"/>
  <c r="GL189" i="46"/>
  <c r="KD194" i="46"/>
  <c r="FH197" i="46"/>
  <c r="AX184" i="46"/>
  <c r="FE183" i="46"/>
  <c r="BV192" i="46"/>
  <c r="JX195" i="46"/>
  <c r="KY193" i="46"/>
  <c r="GI187" i="46"/>
  <c r="CW197" i="46"/>
  <c r="DX196" i="46"/>
  <c r="BP185" i="46"/>
  <c r="DL192" i="46"/>
  <c r="AL189" i="46"/>
  <c r="KM194" i="46"/>
  <c r="GC196" i="46"/>
  <c r="HS194" i="46"/>
  <c r="EY195" i="46"/>
  <c r="DC195" i="46"/>
  <c r="BP186" i="46"/>
  <c r="CN185" i="46"/>
  <c r="BV193" i="46"/>
  <c r="DX197" i="46"/>
  <c r="EJ183" i="46"/>
  <c r="BP187" i="46"/>
  <c r="AR195" i="46"/>
  <c r="JX188" i="46"/>
  <c r="HY191" i="46"/>
  <c r="EV188" i="46"/>
  <c r="ED191" i="46"/>
  <c r="CQ183" i="46"/>
  <c r="Z192" i="46"/>
  <c r="KP183" i="46"/>
  <c r="GO190" i="46"/>
  <c r="IE188" i="46"/>
  <c r="DO191" i="46"/>
  <c r="DX185" i="46"/>
  <c r="AX187" i="46"/>
  <c r="AR193" i="46"/>
  <c r="DX194" i="46"/>
  <c r="DU186" i="46"/>
  <c r="BV195" i="46"/>
  <c r="AX194" i="46"/>
  <c r="W188" i="46"/>
  <c r="IK190" i="46"/>
  <c r="KD197" i="46"/>
  <c r="JL191" i="46"/>
  <c r="KM188" i="46"/>
  <c r="IZ186" i="46"/>
  <c r="IT191" i="46"/>
  <c r="GF196" i="46"/>
  <c r="HA190" i="46"/>
  <c r="KP186" i="46"/>
  <c r="FT188" i="46"/>
  <c r="GR193" i="46"/>
  <c r="HJ194" i="46"/>
  <c r="FB193" i="46"/>
  <c r="GF187" i="46"/>
  <c r="DI191" i="46"/>
  <c r="FW190" i="46"/>
  <c r="EP185" i="46"/>
  <c r="EP190" i="46"/>
  <c r="HM195" i="46"/>
  <c r="CZ186" i="46"/>
  <c r="CW182" i="46"/>
  <c r="JF183" i="46"/>
  <c r="FH189" i="46"/>
  <c r="CW188" i="46"/>
  <c r="DL190" i="46"/>
  <c r="CB194" i="46"/>
  <c r="EA196" i="46"/>
  <c r="ED183" i="46"/>
  <c r="CE190" i="46"/>
  <c r="AU194" i="46"/>
  <c r="BM185" i="46"/>
  <c r="GC191" i="46"/>
  <c r="BM188" i="46"/>
  <c r="CH188" i="46"/>
  <c r="BS195" i="46"/>
  <c r="BG194" i="46"/>
  <c r="BD194" i="46"/>
  <c r="AX183" i="46"/>
  <c r="AO183" i="46"/>
  <c r="Z184" i="46"/>
  <c r="KA189" i="46"/>
  <c r="IE195" i="46"/>
  <c r="HG195" i="46"/>
  <c r="DI188" i="46"/>
  <c r="GF184" i="46"/>
  <c r="FN183" i="46"/>
  <c r="CW184" i="46"/>
  <c r="FH188" i="46"/>
  <c r="CN196" i="46"/>
  <c r="BD197" i="46"/>
  <c r="BA190" i="46"/>
  <c r="AU188" i="46"/>
  <c r="EP186" i="46"/>
  <c r="EG195" i="46"/>
  <c r="DO186" i="46"/>
  <c r="AX196" i="46"/>
  <c r="BD183" i="46"/>
  <c r="DU196" i="46"/>
  <c r="AU192" i="46"/>
  <c r="IZ182" i="46"/>
  <c r="FQ188" i="46"/>
  <c r="EV185" i="46"/>
  <c r="FN182" i="46"/>
  <c r="HA187" i="46"/>
  <c r="CH190" i="46"/>
  <c r="AL186" i="46"/>
  <c r="BP190" i="46"/>
  <c r="KM195" i="46"/>
  <c r="FZ194" i="46"/>
  <c r="GR186" i="46"/>
  <c r="ES190" i="46"/>
  <c r="FQ190" i="46"/>
  <c r="CH184" i="46"/>
  <c r="CB188" i="46"/>
  <c r="BA183" i="46"/>
  <c r="AC194" i="46"/>
  <c r="KD192" i="46"/>
  <c r="IH184" i="46"/>
  <c r="EJ189" i="46"/>
  <c r="EJ196" i="46"/>
  <c r="AI195" i="46"/>
  <c r="CH185" i="46"/>
  <c r="Z194" i="46"/>
  <c r="JU186" i="46"/>
  <c r="HV197" i="46"/>
  <c r="EY186" i="46"/>
  <c r="CE195" i="46"/>
  <c r="FH190" i="46"/>
  <c r="DF185" i="46"/>
  <c r="HJ185" i="46"/>
  <c r="GC184" i="46"/>
  <c r="FK190" i="46"/>
  <c r="CH182" i="46"/>
  <c r="BD190" i="46"/>
  <c r="JL185" i="46"/>
  <c r="ED188" i="46"/>
  <c r="BP196" i="46"/>
  <c r="BS187" i="46"/>
  <c r="EA186" i="46"/>
  <c r="BJ184" i="46"/>
  <c r="T183" i="46"/>
  <c r="JO188" i="46"/>
  <c r="IQ189" i="46"/>
  <c r="JF190" i="46"/>
  <c r="LB184" i="46"/>
  <c r="KY196" i="46"/>
  <c r="KP188" i="46"/>
  <c r="GL195" i="46"/>
  <c r="GU183" i="46"/>
  <c r="IQ192" i="46"/>
  <c r="KV185" i="46"/>
  <c r="GL188" i="46"/>
  <c r="FZ182" i="46"/>
  <c r="DX191" i="46"/>
  <c r="EV193" i="46"/>
  <c r="FB188" i="46"/>
  <c r="HD187" i="46"/>
  <c r="EP184" i="46"/>
  <c r="EG189" i="46"/>
  <c r="IE190" i="46"/>
  <c r="EY184" i="46"/>
  <c r="BV186" i="46"/>
  <c r="FN192" i="46"/>
  <c r="DU188" i="46"/>
  <c r="FE186" i="46"/>
  <c r="CZ189" i="46"/>
  <c r="CB189" i="46"/>
  <c r="EP193" i="46"/>
  <c r="ED193" i="46"/>
  <c r="CK182" i="46"/>
  <c r="AU190" i="46"/>
  <c r="BD195" i="46"/>
  <c r="EV195" i="46"/>
  <c r="BJ197" i="46"/>
  <c r="BM197" i="46"/>
  <c r="BG190" i="46"/>
  <c r="BG189" i="46"/>
  <c r="AL184" i="46"/>
  <c r="AI184" i="46"/>
  <c r="AO193" i="46"/>
  <c r="EY190" i="46"/>
  <c r="DO196" i="46"/>
  <c r="CB185" i="46"/>
  <c r="IZ187" i="46"/>
  <c r="FW197" i="46"/>
  <c r="DC184" i="46"/>
  <c r="HV193" i="46"/>
  <c r="DO194" i="46"/>
  <c r="DU192" i="46"/>
  <c r="BA195" i="46"/>
  <c r="KA185" i="46"/>
  <c r="KS189" i="46"/>
  <c r="EY197" i="46"/>
  <c r="DO197" i="46"/>
  <c r="CQ187" i="46"/>
  <c r="DX188" i="46"/>
  <c r="BA187" i="46"/>
  <c r="FH196" i="46"/>
  <c r="CE194" i="46"/>
  <c r="CW192" i="46"/>
  <c r="BY183" i="46"/>
  <c r="JF195" i="46"/>
  <c r="FH193" i="46"/>
  <c r="CH183" i="46"/>
  <c r="DU193" i="46"/>
  <c r="AI188" i="46"/>
  <c r="IZ188" i="46"/>
  <c r="IK182" i="46"/>
  <c r="HS190" i="46"/>
  <c r="DL187" i="46"/>
  <c r="FE189" i="46"/>
  <c r="AO196" i="46"/>
  <c r="Z187" i="46"/>
  <c r="KD187" i="46"/>
  <c r="JC187" i="46"/>
  <c r="IN196" i="46"/>
  <c r="JU183" i="46"/>
  <c r="JO191" i="46"/>
  <c r="JF182" i="46"/>
  <c r="GR194" i="46"/>
  <c r="IK197" i="46"/>
  <c r="HY196" i="46"/>
  <c r="HY197" i="46"/>
  <c r="FN184" i="46"/>
  <c r="JU189" i="46"/>
  <c r="CT189" i="46"/>
  <c r="DC192" i="46"/>
  <c r="DX186" i="46"/>
  <c r="HA185" i="46"/>
  <c r="FW184" i="46"/>
  <c r="EJ188" i="46"/>
  <c r="GI186" i="46"/>
  <c r="DO183" i="46"/>
  <c r="BV182" i="46"/>
  <c r="FW183" i="46"/>
  <c r="CW187" i="46"/>
  <c r="DR185" i="46"/>
  <c r="EY187" i="46"/>
  <c r="CB184" i="46"/>
  <c r="CZ191" i="46"/>
  <c r="FK189" i="46"/>
  <c r="BP192" i="46"/>
  <c r="AU186" i="46"/>
  <c r="BD191" i="46"/>
  <c r="FK191" i="46"/>
  <c r="BJ192" i="46"/>
  <c r="BV187" i="46"/>
  <c r="BG185" i="46"/>
  <c r="BG184" i="46"/>
  <c r="DR190" i="46"/>
  <c r="BJ193" i="46"/>
  <c r="BD184" i="46"/>
  <c r="CQ188" i="46"/>
  <c r="JO186" i="46"/>
  <c r="HA191" i="46"/>
  <c r="GR182" i="46"/>
  <c r="DR191" i="46"/>
  <c r="FK195" i="46"/>
  <c r="CZ182" i="46"/>
  <c r="CN182" i="46"/>
  <c r="DL186" i="46"/>
  <c r="FE185" i="46"/>
  <c r="BD187" i="46"/>
  <c r="AI196" i="46"/>
  <c r="AR192" i="46"/>
  <c r="FE182" i="46"/>
  <c r="CQ184" i="46"/>
  <c r="FB187" i="46"/>
  <c r="AI182" i="46"/>
  <c r="KG196" i="46"/>
  <c r="JX190" i="46"/>
  <c r="IE183" i="46"/>
  <c r="GX186" i="46"/>
  <c r="CZ197" i="46"/>
  <c r="DU194" i="46"/>
  <c r="AX188" i="46"/>
  <c r="DU190" i="46"/>
  <c r="BP189" i="46"/>
  <c r="W195" i="46"/>
  <c r="KY182" i="46"/>
  <c r="HV186" i="46"/>
  <c r="FK184" i="46"/>
  <c r="HJ193" i="46"/>
  <c r="FH191" i="46"/>
  <c r="BY191" i="46"/>
  <c r="CK193" i="46"/>
  <c r="JI190" i="46"/>
  <c r="IW192" i="46"/>
  <c r="EV187" i="46"/>
  <c r="CQ190" i="46"/>
  <c r="BS192" i="46"/>
  <c r="AR196" i="46"/>
  <c r="BV183" i="46"/>
  <c r="LE186" i="46"/>
  <c r="JX182" i="46"/>
  <c r="IH189" i="46"/>
  <c r="EY194" i="46"/>
  <c r="DI182" i="46"/>
  <c r="BM194" i="46"/>
  <c r="FE192" i="46"/>
  <c r="CZ187" i="46"/>
  <c r="KS182" i="46"/>
  <c r="FH192" i="46"/>
  <c r="FK186" i="46"/>
  <c r="AR186" i="46"/>
  <c r="CB193" i="46"/>
  <c r="KD182" i="46"/>
  <c r="GO189" i="46"/>
  <c r="ES191" i="46"/>
  <c r="BS194" i="46"/>
  <c r="DL193" i="46"/>
  <c r="BA186" i="46"/>
  <c r="DU182" i="46"/>
  <c r="W192" i="46"/>
  <c r="IZ196" i="46"/>
  <c r="GX182" i="46"/>
  <c r="CT197" i="46"/>
  <c r="CZ190" i="46"/>
  <c r="CZ192" i="46"/>
  <c r="FB190" i="46"/>
  <c r="AO191" i="46"/>
  <c r="KS186" i="46"/>
  <c r="JI187" i="46"/>
  <c r="HG196" i="46"/>
  <c r="JL183" i="46"/>
  <c r="FE187" i="46"/>
  <c r="BY197" i="46"/>
  <c r="AL197" i="46"/>
  <c r="IW193" i="46"/>
  <c r="FK193" i="46"/>
  <c r="FN196" i="46"/>
  <c r="IK185" i="46"/>
  <c r="EJ195" i="46"/>
  <c r="DF186" i="46"/>
  <c r="GF193" i="46"/>
  <c r="DC194" i="46"/>
  <c r="CQ195" i="46"/>
  <c r="EM188" i="46"/>
  <c r="BA185" i="46"/>
  <c r="DO184" i="46"/>
  <c r="IT187" i="46"/>
  <c r="EG197" i="46"/>
  <c r="LE184" i="46"/>
  <c r="DL196" i="46"/>
  <c r="JF187" i="46"/>
  <c r="GF182" i="46"/>
  <c r="BM186" i="46"/>
  <c r="AC190" i="46"/>
  <c r="JL196" i="46"/>
  <c r="KD185" i="46"/>
  <c r="JX192" i="46"/>
  <c r="KY184" i="46"/>
  <c r="JX189" i="46"/>
  <c r="FW195" i="46"/>
  <c r="HM188" i="46"/>
  <c r="JR190" i="46"/>
  <c r="GX194" i="46"/>
  <c r="GX195" i="46"/>
  <c r="IZ192" i="46"/>
  <c r="HM197" i="46"/>
  <c r="DX187" i="46"/>
  <c r="EG190" i="46"/>
  <c r="FB184" i="46"/>
  <c r="CW196" i="46"/>
  <c r="FE194" i="46"/>
  <c r="CN195" i="46"/>
  <c r="CZ185" i="46"/>
  <c r="BD192" i="46"/>
  <c r="GL186" i="46"/>
  <c r="CN187" i="46"/>
  <c r="AU196" i="46"/>
  <c r="JR194" i="46"/>
  <c r="GI183" i="46"/>
  <c r="CB186" i="46"/>
  <c r="HP185" i="46"/>
  <c r="DO189" i="46"/>
  <c r="KG188" i="46"/>
  <c r="HM193" i="46"/>
  <c r="BG195" i="46"/>
  <c r="EG188" i="46"/>
  <c r="AX195" i="46"/>
  <c r="HJ184" i="46"/>
  <c r="AX186" i="46"/>
  <c r="IE197" i="46"/>
  <c r="BS191" i="46"/>
  <c r="LE182" i="46"/>
  <c r="GO188" i="46"/>
  <c r="BJ191" i="46"/>
  <c r="T191" i="46"/>
  <c r="LE193" i="46"/>
  <c r="IZ183" i="46"/>
  <c r="JI191" i="46"/>
  <c r="JR183" i="46"/>
  <c r="IQ186" i="46"/>
  <c r="IE187" i="46"/>
  <c r="HV187" i="46"/>
  <c r="IH197" i="46"/>
  <c r="HY184" i="46"/>
  <c r="HM191" i="46"/>
  <c r="HG186" i="46"/>
  <c r="HJ192" i="46"/>
  <c r="GI197" i="46"/>
  <c r="DC188" i="46"/>
  <c r="HG191" i="46"/>
  <c r="FK194" i="46"/>
  <c r="FE193" i="46"/>
  <c r="EG185" i="46"/>
  <c r="FT186" i="46"/>
  <c r="CN191" i="46"/>
  <c r="GO183" i="46"/>
  <c r="CZ194" i="46"/>
  <c r="BY193" i="46"/>
  <c r="FN197" i="46"/>
  <c r="DU197" i="46"/>
  <c r="BY185" i="46"/>
  <c r="FH183" i="46"/>
  <c r="CK197" i="46"/>
  <c r="AX192" i="46"/>
  <c r="CB182" i="46"/>
  <c r="AO182" i="46"/>
  <c r="FB183" i="46"/>
  <c r="AL192" i="46"/>
  <c r="BD186" i="46"/>
  <c r="AI185" i="46"/>
  <c r="FE188" i="46"/>
  <c r="BJ189" i="46"/>
  <c r="AX190" i="46"/>
  <c r="EA183" i="46"/>
  <c r="AC189" i="46"/>
  <c r="JI184" i="46"/>
  <c r="HV182" i="46"/>
  <c r="FW192" i="46"/>
  <c r="EJ184" i="46"/>
  <c r="BY189" i="46"/>
  <c r="CE193" i="46"/>
  <c r="CH193" i="46"/>
  <c r="AI189" i="46"/>
  <c r="CE192" i="46"/>
  <c r="IT197" i="46"/>
  <c r="LB195" i="46"/>
  <c r="GL182" i="46"/>
  <c r="GR184" i="46"/>
  <c r="DC191" i="46"/>
  <c r="ES196" i="46"/>
  <c r="EA197" i="46"/>
  <c r="BP182" i="46"/>
  <c r="KG183" i="46"/>
  <c r="IN192" i="46"/>
  <c r="FT182" i="46"/>
  <c r="GX184" i="46"/>
  <c r="DO193" i="46"/>
  <c r="BP194" i="46"/>
  <c r="CB195" i="46"/>
  <c r="KY188" i="46"/>
  <c r="HV196" i="46"/>
  <c r="GC187" i="46"/>
  <c r="EJ192" i="46"/>
  <c r="EJ191" i="46"/>
  <c r="BS188" i="46"/>
  <c r="BD188" i="46"/>
  <c r="EJ185" i="46"/>
  <c r="CE183" i="46"/>
  <c r="BA188" i="46"/>
  <c r="DR186" i="46"/>
  <c r="AR197" i="46"/>
  <c r="JR192" i="46"/>
  <c r="DC197" i="46"/>
  <c r="EV196" i="46"/>
  <c r="BS185" i="46"/>
  <c r="AL193" i="46"/>
  <c r="AC193" i="46"/>
  <c r="JR193" i="46"/>
  <c r="HA186" i="46"/>
  <c r="FH195" i="46"/>
  <c r="EA195" i="46"/>
  <c r="AR182" i="46"/>
  <c r="CB196" i="46"/>
  <c r="BS193" i="46"/>
  <c r="Z193" i="46"/>
  <c r="HD189" i="46"/>
  <c r="FW194" i="46"/>
  <c r="KG187" i="46"/>
  <c r="CW186" i="46"/>
  <c r="EA194" i="46"/>
  <c r="ED185" i="46"/>
  <c r="CK184" i="46"/>
  <c r="Z183" i="46"/>
  <c r="LB193" i="46"/>
  <c r="KP184" i="46"/>
  <c r="KG186" i="46"/>
  <c r="IK193" i="46"/>
  <c r="JI185" i="46"/>
  <c r="GX197" i="46"/>
  <c r="GL193" i="46"/>
  <c r="KV183" i="46"/>
  <c r="FN193" i="46"/>
  <c r="GU195" i="46"/>
  <c r="HY189" i="46"/>
  <c r="HS195" i="46"/>
  <c r="DU195" i="46"/>
  <c r="HY182" i="46"/>
  <c r="FW186" i="46"/>
  <c r="ES185" i="46"/>
  <c r="EP187" i="46"/>
  <c r="EV194" i="46"/>
  <c r="GU185" i="46"/>
  <c r="EM195" i="46"/>
  <c r="DF191" i="46"/>
  <c r="CE191" i="46"/>
  <c r="EG193" i="46"/>
  <c r="DR193" i="46"/>
  <c r="DX184" i="46"/>
  <c r="DF189" i="46"/>
  <c r="DR188" i="46"/>
  <c r="BA196" i="46"/>
  <c r="CB197" i="46"/>
  <c r="BG191" i="46"/>
  <c r="DC185" i="46"/>
  <c r="BS183" i="46"/>
  <c r="BM187" i="46"/>
  <c r="CE186" i="46"/>
  <c r="BS184" i="46"/>
  <c r="BA182" i="46"/>
  <c r="AL194" i="46"/>
  <c r="AU193" i="46"/>
  <c r="BG193" i="46"/>
  <c r="BP184" i="46"/>
  <c r="IT189" i="46"/>
  <c r="KD184" i="46"/>
  <c r="HS196" i="46"/>
  <c r="HJ189" i="46"/>
  <c r="HJ190" i="46"/>
  <c r="HD186" i="46"/>
  <c r="EY193" i="46"/>
  <c r="HP193" i="46"/>
  <c r="BG183" i="46"/>
  <c r="GC188" i="46"/>
  <c r="AX193" i="46"/>
  <c r="DF184" i="46"/>
  <c r="CB187" i="46"/>
  <c r="JO193" i="46"/>
  <c r="FB194" i="46"/>
  <c r="CK189" i="46"/>
  <c r="W183" i="46"/>
  <c r="JX191" i="46"/>
  <c r="LE183" i="46"/>
  <c r="KJ185" i="46"/>
  <c r="KV189" i="46"/>
  <c r="JU182" i="46"/>
  <c r="HM196" i="46"/>
  <c r="HD190" i="46"/>
  <c r="IB197" i="46"/>
  <c r="HS191" i="46"/>
  <c r="FN194" i="46"/>
  <c r="GF188" i="46"/>
  <c r="IE193" i="46"/>
  <c r="EJ194" i="46"/>
  <c r="ES197" i="46"/>
  <c r="FT184" i="46"/>
  <c r="ES184" i="46"/>
  <c r="ES186" i="46"/>
  <c r="EJ193" i="46"/>
  <c r="LE192" i="46"/>
  <c r="DF194" i="46"/>
  <c r="CT190" i="46"/>
  <c r="CE187" i="46"/>
  <c r="DO192" i="46"/>
  <c r="FK183" i="46"/>
  <c r="DF182" i="46"/>
  <c r="FB186" i="46"/>
  <c r="DC186" i="46"/>
  <c r="BA192" i="46"/>
  <c r="CB190" i="46"/>
  <c r="BG187" i="46"/>
  <c r="DR196" i="46"/>
  <c r="EP194" i="46"/>
  <c r="CQ194" i="46"/>
  <c r="BS196" i="46"/>
  <c r="BD196" i="46"/>
  <c r="GX185" i="46"/>
  <c r="AU187" i="46"/>
  <c r="AL185" i="46"/>
  <c r="BG182" i="46"/>
  <c r="BJ188" i="46"/>
  <c r="T188" i="46"/>
  <c r="JL197" i="46"/>
  <c r="KA188" i="46"/>
  <c r="GX189" i="46"/>
  <c r="IH196" i="46"/>
  <c r="IB192" i="46"/>
  <c r="GX192" i="46"/>
  <c r="EG191" i="46"/>
  <c r="ED182" i="46"/>
  <c r="AL190" i="46"/>
  <c r="IQ188" i="46"/>
  <c r="AO189" i="46"/>
  <c r="EG187" i="46"/>
  <c r="AI193" i="46"/>
  <c r="EV190" i="46"/>
  <c r="AR191" i="46"/>
  <c r="Z182" i="46"/>
  <c r="JI188" i="46"/>
  <c r="JU194" i="46"/>
  <c r="IN197" i="46"/>
  <c r="IQ187" i="46"/>
  <c r="IH195" i="46"/>
  <c r="KM193" i="46"/>
  <c r="JI197" i="46"/>
  <c r="FT194" i="46"/>
  <c r="JU195" i="46"/>
  <c r="FT189" i="46"/>
  <c r="FT193" i="46"/>
  <c r="GX187" i="46"/>
  <c r="DU187" i="46"/>
  <c r="KS197" i="46"/>
  <c r="EM196" i="46"/>
  <c r="CQ196" i="46"/>
  <c r="EM184" i="46"/>
  <c r="EA190" i="46"/>
  <c r="EP195" i="46"/>
  <c r="DL191" i="46"/>
  <c r="DF187" i="46"/>
  <c r="HV190" i="46"/>
  <c r="DX189" i="46"/>
  <c r="GO195" i="46"/>
  <c r="CE189" i="46"/>
  <c r="EP196" i="46"/>
  <c r="JO194" i="46"/>
  <c r="BA184" i="46"/>
  <c r="BV197" i="46"/>
  <c r="AR194" i="46"/>
  <c r="FH187" i="46"/>
  <c r="CB191" i="46"/>
  <c r="AI192" i="46"/>
  <c r="AX197" i="46"/>
  <c r="BD185" i="46"/>
  <c r="BG188" i="46"/>
  <c r="AU184" i="46"/>
  <c r="AX189" i="46"/>
  <c r="AR183" i="46"/>
  <c r="AL188" i="46"/>
  <c r="JC189" i="46"/>
  <c r="GR190" i="46"/>
  <c r="HG193" i="46"/>
  <c r="CK194" i="46"/>
  <c r="HJ183" i="46"/>
  <c r="DC189" i="46"/>
  <c r="KV190" i="46"/>
  <c r="BS190" i="46"/>
  <c r="AX182" i="46"/>
  <c r="T197" i="46"/>
  <c r="IQ191" i="46"/>
  <c r="KA193" i="46"/>
  <c r="JX193" i="46"/>
  <c r="JI183" i="46"/>
  <c r="FZ195" i="46"/>
  <c r="LB190" i="46"/>
  <c r="JU190" i="46"/>
  <c r="GL191" i="46"/>
  <c r="JF186" i="46"/>
  <c r="HM185" i="46"/>
  <c r="HV189" i="46"/>
  <c r="GC183" i="46"/>
  <c r="EY185" i="46"/>
  <c r="IB193" i="46"/>
  <c r="KP192" i="46"/>
  <c r="FH194" i="46"/>
  <c r="FQ184" i="46"/>
  <c r="EA189" i="46"/>
  <c r="DL194" i="46"/>
  <c r="CW190" i="46"/>
  <c r="CT186" i="46"/>
  <c r="GU182" i="46"/>
  <c r="DL188" i="46"/>
  <c r="GC186" i="46"/>
  <c r="CE184" i="46"/>
  <c r="CW194" i="46"/>
  <c r="FQ182" i="46"/>
  <c r="AL195" i="46"/>
  <c r="BM192" i="46"/>
  <c r="AR190" i="46"/>
  <c r="FE184" i="46"/>
  <c r="BP188" i="46"/>
  <c r="AI186" i="46"/>
  <c r="AX191" i="46"/>
  <c r="DI190" i="46"/>
  <c r="AO195" i="46"/>
  <c r="AU183" i="46"/>
  <c r="EG196" i="46"/>
  <c r="CZ188" i="46"/>
  <c r="Z186" i="46"/>
  <c r="HS192" i="46"/>
  <c r="CQ185" i="46"/>
  <c r="FE195" i="46"/>
  <c r="GL197" i="46"/>
  <c r="BJ195" i="46"/>
  <c r="GF195" i="46"/>
  <c r="CT194" i="46"/>
  <c r="BA189" i="46"/>
  <c r="Z185" i="46"/>
  <c r="W193" i="46"/>
  <c r="KV184" i="46"/>
  <c r="IW182" i="46"/>
  <c r="KA194" i="46"/>
  <c r="KD189" i="46"/>
  <c r="GO182" i="46"/>
  <c r="JR188" i="46"/>
  <c r="GO192" i="46"/>
  <c r="KM192" i="46"/>
  <c r="GU190" i="46"/>
  <c r="GX196" i="46"/>
  <c r="HP197" i="46"/>
  <c r="DX195" i="46"/>
  <c r="FT192" i="46"/>
  <c r="FB192" i="46"/>
  <c r="KD190" i="46"/>
  <c r="ES187" i="46"/>
  <c r="ES193" i="46"/>
  <c r="EA185" i="46"/>
  <c r="EY188" i="46"/>
  <c r="EV184" i="46"/>
  <c r="BS186" i="46"/>
  <c r="DX192" i="46"/>
  <c r="FE190" i="46"/>
  <c r="DF193" i="46"/>
  <c r="FN190" i="46"/>
  <c r="CZ184" i="46"/>
  <c r="DO188" i="46"/>
  <c r="DO182" i="46"/>
  <c r="BJ187" i="46"/>
  <c r="BP197" i="46"/>
  <c r="BM189" i="46"/>
  <c r="AO197" i="46"/>
  <c r="EA192" i="46"/>
  <c r="AO185" i="46"/>
  <c r="BM193" i="46"/>
  <c r="AR184" i="46"/>
  <c r="BM182" i="46"/>
  <c r="BY188" i="46"/>
  <c r="BD182" i="46"/>
  <c r="JC192" i="46"/>
  <c r="BD193" i="46"/>
  <c r="H4" i="48"/>
  <c r="H7" i="48"/>
  <c r="H8" i="48"/>
  <c r="H6" i="48"/>
  <c r="H5" i="48"/>
  <c r="H9" i="48"/>
  <c r="AA41" i="48"/>
  <c r="M42" i="48"/>
  <c r="AG42" i="48"/>
  <c r="S43" i="48"/>
  <c r="Y44" i="48"/>
  <c r="K45" i="48"/>
  <c r="AE45" i="48"/>
  <c r="I41" i="48"/>
  <c r="AC41" i="48"/>
  <c r="O42" i="48"/>
  <c r="AI42" i="48"/>
  <c r="U43" i="48"/>
  <c r="H34" i="48"/>
  <c r="J41" i="48"/>
  <c r="AD41" i="48"/>
  <c r="P42" i="48"/>
  <c r="AJ42" i="48"/>
  <c r="V43" i="48"/>
  <c r="H44" i="48"/>
  <c r="AB44" i="48"/>
  <c r="N45" i="48"/>
  <c r="AH45" i="48"/>
  <c r="T46" i="48"/>
  <c r="Z47" i="48"/>
  <c r="L48" i="48"/>
  <c r="AF48" i="48"/>
  <c r="R49" i="48"/>
  <c r="AL49" i="48"/>
  <c r="X50" i="48"/>
  <c r="J51" i="48"/>
  <c r="AD51" i="48"/>
  <c r="P52" i="48"/>
  <c r="AJ52" i="48"/>
  <c r="V53" i="48"/>
  <c r="H54" i="48"/>
  <c r="AB54" i="48"/>
  <c r="N55" i="48"/>
  <c r="AH55" i="48"/>
  <c r="T56" i="48"/>
  <c r="Z57" i="48"/>
  <c r="L58" i="48"/>
  <c r="AF58" i="48"/>
  <c r="R59" i="48"/>
  <c r="AL59" i="48"/>
  <c r="X60" i="48"/>
  <c r="K41" i="48"/>
  <c r="AE41" i="48"/>
  <c r="Q42" i="48"/>
  <c r="AK42" i="48"/>
  <c r="W43" i="48"/>
  <c r="I44" i="48"/>
  <c r="AC44" i="48"/>
  <c r="O45" i="48"/>
  <c r="AI45" i="48"/>
  <c r="U46" i="48"/>
  <c r="AA47" i="48"/>
  <c r="M48" i="48"/>
  <c r="AG48" i="48"/>
  <c r="S49" i="48"/>
  <c r="Y50" i="48"/>
  <c r="K51" i="48"/>
  <c r="AE51" i="48"/>
  <c r="Q52" i="48"/>
  <c r="AK52" i="48"/>
  <c r="H37" i="48"/>
  <c r="L41" i="48"/>
  <c r="AF41" i="48"/>
  <c r="R42" i="48"/>
  <c r="AL42" i="48"/>
  <c r="X43" i="48"/>
  <c r="J44" i="48"/>
  <c r="AD44" i="48"/>
  <c r="P45" i="48"/>
  <c r="AJ45" i="48"/>
  <c r="V46" i="48"/>
  <c r="H47" i="48"/>
  <c r="AB47" i="48"/>
  <c r="N48" i="48"/>
  <c r="AH48" i="48"/>
  <c r="T49" i="48"/>
  <c r="Z50" i="48"/>
  <c r="L51" i="48"/>
  <c r="AF51" i="48"/>
  <c r="R52" i="48"/>
  <c r="AL52" i="48"/>
  <c r="X53" i="48"/>
  <c r="J54" i="48"/>
  <c r="AD54" i="48"/>
  <c r="P55" i="48"/>
  <c r="AJ55" i="48"/>
  <c r="V56" i="48"/>
  <c r="H57" i="48"/>
  <c r="AB57" i="48"/>
  <c r="N58" i="48"/>
  <c r="AH58" i="48"/>
  <c r="T59" i="48"/>
  <c r="Z60" i="48"/>
  <c r="M41" i="48"/>
  <c r="AG41" i="48"/>
  <c r="S42" i="48"/>
  <c r="Y43" i="48"/>
  <c r="K44" i="48"/>
  <c r="AE44" i="48"/>
  <c r="Q45" i="48"/>
  <c r="AK45" i="48"/>
  <c r="W46" i="48"/>
  <c r="I47" i="48"/>
  <c r="AC47" i="48"/>
  <c r="O48" i="48"/>
  <c r="AI48" i="48"/>
  <c r="U49" i="48"/>
  <c r="AA50" i="48"/>
  <c r="M51" i="48"/>
  <c r="AG51" i="48"/>
  <c r="S52" i="48"/>
  <c r="Y53" i="48"/>
  <c r="K54" i="48"/>
  <c r="AE54" i="48"/>
  <c r="Q55" i="48"/>
  <c r="AK55" i="48"/>
  <c r="W56" i="48"/>
  <c r="I57" i="48"/>
  <c r="AC57" i="48"/>
  <c r="AJ41" i="48"/>
  <c r="AB42" i="48"/>
  <c r="T43" i="48"/>
  <c r="P44" i="48"/>
  <c r="AG45" i="48"/>
  <c r="AA46" i="48"/>
  <c r="Q47" i="48"/>
  <c r="AE48" i="48"/>
  <c r="Y49" i="48"/>
  <c r="N50" i="48"/>
  <c r="AL50" i="48"/>
  <c r="AB51" i="48"/>
  <c r="V52" i="48"/>
  <c r="K53" i="48"/>
  <c r="AH53" i="48"/>
  <c r="W54" i="48"/>
  <c r="L55" i="48"/>
  <c r="AL55" i="48"/>
  <c r="AA56" i="48"/>
  <c r="P57" i="48"/>
  <c r="AA58" i="48"/>
  <c r="O59" i="48"/>
  <c r="AK59" i="48"/>
  <c r="AA60" i="48"/>
  <c r="AK41" i="48"/>
  <c r="AC42" i="48"/>
  <c r="Z43" i="48"/>
  <c r="Q44" i="48"/>
  <c r="H45" i="48"/>
  <c r="AL45" i="48"/>
  <c r="AB46" i="48"/>
  <c r="R47" i="48"/>
  <c r="H48" i="48"/>
  <c r="AJ48" i="48"/>
  <c r="Z49" i="48"/>
  <c r="O50" i="48"/>
  <c r="AC51" i="48"/>
  <c r="W52" i="48"/>
  <c r="L53" i="48"/>
  <c r="AI53" i="48"/>
  <c r="X54" i="48"/>
  <c r="M55" i="48"/>
  <c r="AB56" i="48"/>
  <c r="Q57" i="48"/>
  <c r="AB58" i="48"/>
  <c r="P59" i="48"/>
  <c r="AB60" i="48"/>
  <c r="AL41" i="48"/>
  <c r="AD42" i="48"/>
  <c r="AA43" i="48"/>
  <c r="R44" i="48"/>
  <c r="I45" i="48"/>
  <c r="AC46" i="48"/>
  <c r="S47" i="48"/>
  <c r="I48" i="48"/>
  <c r="AK48" i="48"/>
  <c r="AA49" i="48"/>
  <c r="P50" i="48"/>
  <c r="AH51" i="48"/>
  <c r="X52" i="48"/>
  <c r="M53" i="48"/>
  <c r="AJ53" i="48"/>
  <c r="Y54" i="48"/>
  <c r="O41" i="48"/>
  <c r="AH42" i="48"/>
  <c r="AD43" i="48"/>
  <c r="U44" i="48"/>
  <c r="M45" i="48"/>
  <c r="H46" i="48"/>
  <c r="AF46" i="48"/>
  <c r="V47" i="48"/>
  <c r="P48" i="48"/>
  <c r="AD49" i="48"/>
  <c r="S50" i="48"/>
  <c r="I51" i="48"/>
  <c r="AK51" i="48"/>
  <c r="AA52" i="48"/>
  <c r="P53" i="48"/>
  <c r="AC54" i="48"/>
  <c r="T55" i="48"/>
  <c r="I56" i="48"/>
  <c r="AF56" i="48"/>
  <c r="U57" i="48"/>
  <c r="J58" i="48"/>
  <c r="AG58" i="48"/>
  <c r="V59" i="48"/>
  <c r="J60" i="48"/>
  <c r="AF60" i="48"/>
  <c r="P41" i="48"/>
  <c r="H42" i="48"/>
  <c r="AE43" i="48"/>
  <c r="V44" i="48"/>
  <c r="R45" i="48"/>
  <c r="I46" i="48"/>
  <c r="AG46" i="48"/>
  <c r="W47" i="48"/>
  <c r="Q48" i="48"/>
  <c r="AE49" i="48"/>
  <c r="T50" i="48"/>
  <c r="N51" i="48"/>
  <c r="AL51" i="48"/>
  <c r="AB52" i="48"/>
  <c r="Q53" i="48"/>
  <c r="AF54" i="48"/>
  <c r="U55" i="48"/>
  <c r="J56" i="48"/>
  <c r="AG56" i="48"/>
  <c r="V57" i="48"/>
  <c r="K58" i="48"/>
  <c r="AI58" i="48"/>
  <c r="W59" i="48"/>
  <c r="K60" i="48"/>
  <c r="AG60" i="48"/>
  <c r="R53" i="48"/>
  <c r="AJ58" i="48"/>
  <c r="R41" i="48"/>
  <c r="AG43" i="48"/>
  <c r="X44" i="48"/>
  <c r="Q41" i="48"/>
  <c r="I42" i="48"/>
  <c r="AF43" i="48"/>
  <c r="W44" i="48"/>
  <c r="S45" i="48"/>
  <c r="J46" i="48"/>
  <c r="AH46" i="48"/>
  <c r="X47" i="48"/>
  <c r="R48" i="48"/>
  <c r="H49" i="48"/>
  <c r="AF49" i="48"/>
  <c r="U50" i="48"/>
  <c r="O51" i="48"/>
  <c r="AC52" i="48"/>
  <c r="AG54" i="48"/>
  <c r="V55" i="48"/>
  <c r="K56" i="48"/>
  <c r="AH56" i="48"/>
  <c r="W57" i="48"/>
  <c r="M58" i="48"/>
  <c r="X59" i="48"/>
  <c r="L60" i="48"/>
  <c r="AH60" i="48"/>
  <c r="J42" i="48"/>
  <c r="Y41" i="48"/>
  <c r="L45" i="48"/>
  <c r="O46" i="48"/>
  <c r="O47" i="48"/>
  <c r="U48" i="48"/>
  <c r="Q49" i="48"/>
  <c r="V50" i="48"/>
  <c r="T51" i="48"/>
  <c r="O52" i="48"/>
  <c r="T53" i="48"/>
  <c r="Q54" i="48"/>
  <c r="O55" i="48"/>
  <c r="M56" i="48"/>
  <c r="J57" i="48"/>
  <c r="AL57" i="48"/>
  <c r="AE58" i="48"/>
  <c r="AC59" i="48"/>
  <c r="U60" i="48"/>
  <c r="Z41" i="48"/>
  <c r="T45" i="48"/>
  <c r="P46" i="48"/>
  <c r="P47" i="48"/>
  <c r="V48" i="48"/>
  <c r="V49" i="48"/>
  <c r="W50" i="48"/>
  <c r="U51" i="48"/>
  <c r="T52" i="48"/>
  <c r="U53" i="48"/>
  <c r="R54" i="48"/>
  <c r="R55" i="48"/>
  <c r="N56" i="48"/>
  <c r="K57" i="48"/>
  <c r="AK58" i="48"/>
  <c r="AD59" i="48"/>
  <c r="V60" i="48"/>
  <c r="AB41" i="48"/>
  <c r="H43" i="48"/>
  <c r="L44" i="48"/>
  <c r="U45" i="48"/>
  <c r="Q46" i="48"/>
  <c r="T47" i="48"/>
  <c r="W48" i="48"/>
  <c r="W49" i="48"/>
  <c r="AB50" i="48"/>
  <c r="V51" i="48"/>
  <c r="U52" i="48"/>
  <c r="W53" i="48"/>
  <c r="S54" i="48"/>
  <c r="S55" i="48"/>
  <c r="O56" i="48"/>
  <c r="L57" i="48"/>
  <c r="AL58" i="48"/>
  <c r="AE59" i="48"/>
  <c r="W60" i="48"/>
  <c r="H38" i="48"/>
  <c r="AH41" i="48"/>
  <c r="I43" i="48"/>
  <c r="M44" i="48"/>
  <c r="V45" i="48"/>
  <c r="R46" i="48"/>
  <c r="U47" i="48"/>
  <c r="X48" i="48"/>
  <c r="X49" i="48"/>
  <c r="AC50" i="48"/>
  <c r="W51" i="48"/>
  <c r="Y52" i="48"/>
  <c r="Z53" i="48"/>
  <c r="T54" i="48"/>
  <c r="W55" i="48"/>
  <c r="P56" i="48"/>
  <c r="M57" i="48"/>
  <c r="Y60" i="48"/>
  <c r="AI41" i="48"/>
  <c r="J43" i="48"/>
  <c r="N44" i="48"/>
  <c r="W45" i="48"/>
  <c r="S46" i="48"/>
  <c r="Y47" i="48"/>
  <c r="Y48" i="48"/>
  <c r="AD50" i="48"/>
  <c r="X51" i="48"/>
  <c r="Z52" i="48"/>
  <c r="AA53" i="48"/>
  <c r="U54" i="48"/>
  <c r="Q56" i="48"/>
  <c r="N57" i="48"/>
  <c r="H58" i="48"/>
  <c r="AG59" i="48"/>
  <c r="AC60" i="48"/>
  <c r="AJ46" i="48"/>
  <c r="AK50" i="48"/>
  <c r="AK54" i="48"/>
  <c r="AE55" i="48"/>
  <c r="T58" i="48"/>
  <c r="I60" i="48"/>
  <c r="R43" i="48"/>
  <c r="AK47" i="48"/>
  <c r="AL53" i="48"/>
  <c r="U58" i="48"/>
  <c r="AI44" i="48"/>
  <c r="AL47" i="48"/>
  <c r="S41" i="48"/>
  <c r="I54" i="48"/>
  <c r="O60" i="48"/>
  <c r="AH43" i="48"/>
  <c r="L49" i="48"/>
  <c r="I53" i="48"/>
  <c r="X58" i="48"/>
  <c r="K47" i="48"/>
  <c r="H55" i="48"/>
  <c r="AK43" i="48"/>
  <c r="AF59" i="48"/>
  <c r="X55" i="48"/>
  <c r="Z56" i="48"/>
  <c r="L59" i="48"/>
  <c r="AL60" i="48"/>
  <c r="AG44" i="48"/>
  <c r="M59" i="48"/>
  <c r="AH44" i="48"/>
  <c r="AK46" i="48"/>
  <c r="AF55" i="48"/>
  <c r="M60" i="48"/>
  <c r="AB43" i="48"/>
  <c r="AL46" i="48"/>
  <c r="Q59" i="48"/>
  <c r="N60" i="48"/>
  <c r="AC43" i="48"/>
  <c r="L46" i="48"/>
  <c r="Z59" i="48"/>
  <c r="AJ50" i="48"/>
  <c r="W58" i="48"/>
  <c r="L54" i="48"/>
  <c r="Z42" i="48"/>
  <c r="AL44" i="48"/>
  <c r="K46" i="48"/>
  <c r="P51" i="48"/>
  <c r="M54" i="48"/>
  <c r="AH57" i="48"/>
  <c r="Q60" i="48"/>
  <c r="M50" i="48"/>
  <c r="Z58" i="48"/>
  <c r="M46" i="48"/>
  <c r="X42" i="48"/>
  <c r="I52" i="48"/>
  <c r="S59" i="48"/>
  <c r="Y42" i="48"/>
  <c r="AK44" i="48"/>
  <c r="K50" i="48"/>
  <c r="AG57" i="48"/>
  <c r="AI43" i="48"/>
  <c r="J48" i="48"/>
  <c r="K48" i="48"/>
  <c r="I55" i="48"/>
  <c r="S48" i="48"/>
  <c r="AB49" i="48"/>
  <c r="H60" i="48"/>
  <c r="AD45" i="48"/>
  <c r="AK53" i="48"/>
  <c r="H41" i="48"/>
  <c r="AL54" i="48"/>
  <c r="H40" i="48"/>
  <c r="I50" i="48"/>
  <c r="V58" i="48"/>
  <c r="K49" i="48"/>
  <c r="H53" i="48"/>
  <c r="AF57" i="48"/>
  <c r="H51" i="48"/>
  <c r="AJ56" i="48"/>
  <c r="J53" i="48"/>
  <c r="Y59" i="48"/>
  <c r="AA42" i="48"/>
  <c r="L47" i="48"/>
  <c r="N53" i="48"/>
  <c r="AL56" i="48"/>
  <c r="K43" i="48"/>
  <c r="O44" i="48"/>
  <c r="X45" i="48"/>
  <c r="X46" i="48"/>
  <c r="AD47" i="48"/>
  <c r="Z48" i="48"/>
  <c r="AC49" i="48"/>
  <c r="AE50" i="48"/>
  <c r="Y51" i="48"/>
  <c r="AD52" i="48"/>
  <c r="AB53" i="48"/>
  <c r="V54" i="48"/>
  <c r="Y55" i="48"/>
  <c r="R56" i="48"/>
  <c r="O57" i="48"/>
  <c r="I58" i="48"/>
  <c r="AH59" i="48"/>
  <c r="AD60" i="48"/>
  <c r="AF53" i="48"/>
  <c r="H36" i="48"/>
  <c r="N59" i="48"/>
  <c r="W42" i="48"/>
  <c r="AG55" i="48"/>
  <c r="AI56" i="48"/>
  <c r="T41" i="48"/>
  <c r="J47" i="48"/>
  <c r="J52" i="48"/>
  <c r="P60" i="48"/>
  <c r="M49" i="48"/>
  <c r="Y58" i="48"/>
  <c r="V41" i="48"/>
  <c r="N49" i="48"/>
  <c r="N54" i="48"/>
  <c r="R60" i="48"/>
  <c r="W41" i="48"/>
  <c r="L43" i="48"/>
  <c r="S44" i="48"/>
  <c r="Y45" i="48"/>
  <c r="Y46" i="48"/>
  <c r="AE47" i="48"/>
  <c r="AA48" i="48"/>
  <c r="AG49" i="48"/>
  <c r="AF50" i="48"/>
  <c r="Z51" i="48"/>
  <c r="AE52" i="48"/>
  <c r="AC53" i="48"/>
  <c r="Z54" i="48"/>
  <c r="Z55" i="48"/>
  <c r="S56" i="48"/>
  <c r="R57" i="48"/>
  <c r="O58" i="48"/>
  <c r="H59" i="48"/>
  <c r="AI59" i="48"/>
  <c r="AE60" i="48"/>
  <c r="AD46" i="48"/>
  <c r="AE53" i="48"/>
  <c r="N42" i="48"/>
  <c r="O43" i="48"/>
  <c r="AA44" i="48"/>
  <c r="AE46" i="48"/>
  <c r="AH47" i="48"/>
  <c r="AJ49" i="48"/>
  <c r="AJ51" i="48"/>
  <c r="AI54" i="48"/>
  <c r="Y56" i="48"/>
  <c r="R58" i="48"/>
  <c r="T42" i="48"/>
  <c r="AF44" i="48"/>
  <c r="AC45" i="48"/>
  <c r="AI47" i="48"/>
  <c r="AK49" i="48"/>
  <c r="AI52" i="48"/>
  <c r="AD55" i="48"/>
  <c r="S58" i="48"/>
  <c r="U42" i="48"/>
  <c r="AJ47" i="48"/>
  <c r="AC56" i="48"/>
  <c r="I49" i="48"/>
  <c r="AD57" i="48"/>
  <c r="N41" i="48"/>
  <c r="J49" i="48"/>
  <c r="AE56" i="48"/>
  <c r="J50" i="48"/>
  <c r="AI55" i="48"/>
  <c r="U41" i="48"/>
  <c r="L50" i="48"/>
  <c r="AK56" i="48"/>
  <c r="H39" i="48"/>
  <c r="Q51" i="48"/>
  <c r="AI57" i="48"/>
  <c r="AE42" i="48"/>
  <c r="K42" i="48"/>
  <c r="M43" i="48"/>
  <c r="T44" i="48"/>
  <c r="Z45" i="48"/>
  <c r="Z46" i="48"/>
  <c r="AF47" i="48"/>
  <c r="AB48" i="48"/>
  <c r="AH49" i="48"/>
  <c r="AG50" i="48"/>
  <c r="AA51" i="48"/>
  <c r="AF52" i="48"/>
  <c r="AD53" i="48"/>
  <c r="AA54" i="48"/>
  <c r="AA55" i="48"/>
  <c r="U56" i="48"/>
  <c r="S57" i="48"/>
  <c r="P58" i="48"/>
  <c r="I59" i="48"/>
  <c r="AJ59" i="48"/>
  <c r="AI60" i="48"/>
  <c r="L42" i="48"/>
  <c r="N43" i="48"/>
  <c r="Z44" i="48"/>
  <c r="AA45" i="48"/>
  <c r="AG47" i="48"/>
  <c r="AC48" i="48"/>
  <c r="AI49" i="48"/>
  <c r="AH50" i="48"/>
  <c r="AI51" i="48"/>
  <c r="AG52" i="48"/>
  <c r="AH54" i="48"/>
  <c r="AB55" i="48"/>
  <c r="X56" i="48"/>
  <c r="T57" i="48"/>
  <c r="Q58" i="48"/>
  <c r="J59" i="48"/>
  <c r="AJ60" i="48"/>
  <c r="AB45" i="48"/>
  <c r="AD48" i="48"/>
  <c r="AI50" i="48"/>
  <c r="AH52" i="48"/>
  <c r="AC55" i="48"/>
  <c r="X57" i="48"/>
  <c r="K59" i="48"/>
  <c r="AK60" i="48"/>
  <c r="P43" i="48"/>
  <c r="AI46" i="48"/>
  <c r="AL48" i="48"/>
  <c r="AG53" i="48"/>
  <c r="AJ54" i="48"/>
  <c r="Y57" i="48"/>
  <c r="Q43" i="48"/>
  <c r="AA57" i="48"/>
  <c r="V42" i="48"/>
  <c r="AF45" i="48"/>
  <c r="H50" i="48"/>
  <c r="AD56" i="48"/>
  <c r="H52" i="48"/>
  <c r="AE57" i="48"/>
  <c r="AJ44" i="48"/>
  <c r="U59" i="48"/>
  <c r="K52" i="48"/>
  <c r="AJ43" i="48"/>
  <c r="L52" i="48"/>
  <c r="H35" i="48"/>
  <c r="O49" i="48"/>
  <c r="AF42" i="48"/>
  <c r="P49" i="48"/>
  <c r="S60" i="48"/>
  <c r="J55" i="48"/>
  <c r="T60" i="48"/>
  <c r="Q50" i="48"/>
  <c r="K55" i="48"/>
  <c r="AL43" i="48"/>
  <c r="R50" i="48"/>
  <c r="H56" i="48"/>
  <c r="R51" i="48"/>
  <c r="L56" i="48"/>
  <c r="S51" i="48"/>
  <c r="J45" i="48"/>
  <c r="AD58" i="48"/>
  <c r="T48" i="48"/>
  <c r="X41" i="48"/>
  <c r="AJ57" i="48"/>
  <c r="M52" i="48"/>
  <c r="N46" i="48"/>
  <c r="N52" i="48"/>
  <c r="N47" i="48"/>
  <c r="O54" i="48"/>
  <c r="AK57" i="48"/>
  <c r="M47" i="48"/>
  <c r="AC58" i="48"/>
  <c r="O53" i="48"/>
  <c r="S53" i="48"/>
  <c r="P54" i="48"/>
  <c r="AA59" i="48"/>
  <c r="AB59" i="48"/>
  <c r="H13" i="48"/>
  <c r="H23" i="48"/>
  <c r="H33" i="48"/>
  <c r="H19" i="48"/>
  <c r="H12" i="48"/>
  <c r="H10" i="48"/>
  <c r="H14" i="48"/>
  <c r="P61" i="48"/>
  <c r="AJ61" i="48"/>
  <c r="V62" i="48"/>
  <c r="H63" i="48"/>
  <c r="AB63" i="48"/>
  <c r="N64" i="48"/>
  <c r="AH64" i="48"/>
  <c r="T65" i="48"/>
  <c r="Z66" i="48"/>
  <c r="L67" i="48"/>
  <c r="AF67" i="48"/>
  <c r="R68" i="48"/>
  <c r="H15" i="48"/>
  <c r="H31" i="48"/>
  <c r="H20" i="48"/>
  <c r="H29" i="48"/>
  <c r="H16" i="48"/>
  <c r="H24" i="48"/>
  <c r="H32" i="48"/>
  <c r="X61" i="48"/>
  <c r="J62" i="48"/>
  <c r="AD62" i="48"/>
  <c r="P63" i="48"/>
  <c r="AJ63" i="48"/>
  <c r="V64" i="48"/>
  <c r="H65" i="48"/>
  <c r="AB65" i="48"/>
  <c r="N66" i="48"/>
  <c r="AH66" i="48"/>
  <c r="T67" i="48"/>
  <c r="Z68" i="48"/>
  <c r="L69" i="48"/>
  <c r="AF69" i="48"/>
  <c r="R70" i="48"/>
  <c r="AL70" i="48"/>
  <c r="X71" i="48"/>
  <c r="J72" i="48"/>
  <c r="AD72" i="48"/>
  <c r="P73" i="48"/>
  <c r="AJ73" i="48"/>
  <c r="V74" i="48"/>
  <c r="H75" i="48"/>
  <c r="AB75" i="48"/>
  <c r="N76" i="48"/>
  <c r="AH76" i="48"/>
  <c r="T77" i="48"/>
  <c r="Z78" i="48"/>
  <c r="L79" i="48"/>
  <c r="AF79" i="48"/>
  <c r="R80" i="48"/>
  <c r="AL80" i="48"/>
  <c r="X81" i="48"/>
  <c r="J82" i="48"/>
  <c r="AD82" i="48"/>
  <c r="P83" i="48"/>
  <c r="AJ83" i="48"/>
  <c r="U61" i="48"/>
  <c r="I62" i="48"/>
  <c r="AF62" i="48"/>
  <c r="T63" i="48"/>
  <c r="H64" i="48"/>
  <c r="AD64" i="48"/>
  <c r="R65" i="48"/>
  <c r="AC66" i="48"/>
  <c r="Q67" i="48"/>
  <c r="AB68" i="48"/>
  <c r="O69" i="48"/>
  <c r="AJ69" i="48"/>
  <c r="W70" i="48"/>
  <c r="J71" i="48"/>
  <c r="AE71" i="48"/>
  <c r="R72" i="48"/>
  <c r="Z73" i="48"/>
  <c r="M74" i="48"/>
  <c r="AH74" i="48"/>
  <c r="U75" i="48"/>
  <c r="H76" i="48"/>
  <c r="AC76" i="48"/>
  <c r="P77" i="48"/>
  <c r="AK77" i="48"/>
  <c r="X78" i="48"/>
  <c r="K79" i="48"/>
  <c r="AG79" i="48"/>
  <c r="T80" i="48"/>
  <c r="AB81" i="48"/>
  <c r="O82" i="48"/>
  <c r="AJ82" i="48"/>
  <c r="W83" i="48"/>
  <c r="H22" i="48"/>
  <c r="V61" i="48"/>
  <c r="K62" i="48"/>
  <c r="AG62" i="48"/>
  <c r="U63" i="48"/>
  <c r="I64" i="48"/>
  <c r="AE64" i="48"/>
  <c r="S65" i="48"/>
  <c r="H66" i="48"/>
  <c r="AD66" i="48"/>
  <c r="R67" i="48"/>
  <c r="P69" i="48"/>
  <c r="AK69" i="48"/>
  <c r="X70" i="48"/>
  <c r="K71" i="48"/>
  <c r="AF71" i="48"/>
  <c r="S72" i="48"/>
  <c r="AA73" i="48"/>
  <c r="N74" i="48"/>
  <c r="AI74" i="48"/>
  <c r="V75" i="48"/>
  <c r="W61" i="48"/>
  <c r="L62" i="48"/>
  <c r="AH62" i="48"/>
  <c r="V63" i="48"/>
  <c r="J64" i="48"/>
  <c r="AF64" i="48"/>
  <c r="U65" i="48"/>
  <c r="I66" i="48"/>
  <c r="AE66" i="48"/>
  <c r="S67" i="48"/>
  <c r="H68" i="48"/>
  <c r="AD68" i="48"/>
  <c r="Q69" i="48"/>
  <c r="AL69" i="48"/>
  <c r="Y70" i="48"/>
  <c r="L71" i="48"/>
  <c r="AG71" i="48"/>
  <c r="T72" i="48"/>
  <c r="Y61" i="48"/>
  <c r="M62" i="48"/>
  <c r="AI62" i="48"/>
  <c r="W63" i="48"/>
  <c r="H17" i="48"/>
  <c r="H21" i="48"/>
  <c r="Z61" i="48"/>
  <c r="N62" i="48"/>
  <c r="AJ62" i="48"/>
  <c r="X63" i="48"/>
  <c r="L64" i="48"/>
  <c r="AI64" i="48"/>
  <c r="W65" i="48"/>
  <c r="K66" i="48"/>
  <c r="AG66" i="48"/>
  <c r="V67" i="48"/>
  <c r="J68" i="48"/>
  <c r="AF68" i="48"/>
  <c r="S69" i="48"/>
  <c r="AA70" i="48"/>
  <c r="N71" i="48"/>
  <c r="AI71" i="48"/>
  <c r="V72" i="48"/>
  <c r="I73" i="48"/>
  <c r="AD73" i="48"/>
  <c r="Q74" i="48"/>
  <c r="AL74" i="48"/>
  <c r="Y75" i="48"/>
  <c r="L76" i="48"/>
  <c r="AG76" i="48"/>
  <c r="U77" i="48"/>
  <c r="H78" i="48"/>
  <c r="AC78" i="48"/>
  <c r="P79" i="48"/>
  <c r="AK79" i="48"/>
  <c r="X80" i="48"/>
  <c r="H11" i="48"/>
  <c r="H61" i="48"/>
  <c r="AD61" i="48"/>
  <c r="R62" i="48"/>
  <c r="AC63" i="48"/>
  <c r="Q64" i="48"/>
  <c r="AA65" i="48"/>
  <c r="P66" i="48"/>
  <c r="AL66" i="48"/>
  <c r="Z67" i="48"/>
  <c r="N68" i="48"/>
  <c r="AJ68" i="48"/>
  <c r="W69" i="48"/>
  <c r="J70" i="48"/>
  <c r="AE70" i="48"/>
  <c r="R71" i="48"/>
  <c r="Z72" i="48"/>
  <c r="M73" i="48"/>
  <c r="AH73" i="48"/>
  <c r="U74" i="48"/>
  <c r="I75" i="48"/>
  <c r="AD75" i="48"/>
  <c r="Q76" i="48"/>
  <c r="AL76" i="48"/>
  <c r="Y77" i="48"/>
  <c r="L78" i="48"/>
  <c r="AG78" i="48"/>
  <c r="T79" i="48"/>
  <c r="AB80" i="48"/>
  <c r="O81" i="48"/>
  <c r="AJ81" i="48"/>
  <c r="W82" i="48"/>
  <c r="J83" i="48"/>
  <c r="AE83" i="48"/>
  <c r="H18" i="48"/>
  <c r="T61" i="48"/>
  <c r="H62" i="48"/>
  <c r="AE62" i="48"/>
  <c r="S63" i="48"/>
  <c r="AC64" i="48"/>
  <c r="Q65" i="48"/>
  <c r="I61" i="48"/>
  <c r="I63" i="48"/>
  <c r="AH65" i="48"/>
  <c r="AB66" i="48"/>
  <c r="AA67" i="48"/>
  <c r="T68" i="48"/>
  <c r="K69" i="48"/>
  <c r="H70" i="48"/>
  <c r="AI70" i="48"/>
  <c r="AB71" i="48"/>
  <c r="W72" i="48"/>
  <c r="L73" i="48"/>
  <c r="AD74" i="48"/>
  <c r="W75" i="48"/>
  <c r="O76" i="48"/>
  <c r="AD77" i="48"/>
  <c r="T78" i="48"/>
  <c r="J79" i="48"/>
  <c r="AJ79" i="48"/>
  <c r="AA80" i="48"/>
  <c r="Q81" i="48"/>
  <c r="AC82" i="48"/>
  <c r="S83" i="48"/>
  <c r="K61" i="48"/>
  <c r="K63" i="48"/>
  <c r="K64" i="48"/>
  <c r="AJ65" i="48"/>
  <c r="AI66" i="48"/>
  <c r="AC67" i="48"/>
  <c r="V68" i="48"/>
  <c r="N69" i="48"/>
  <c r="K70" i="48"/>
  <c r="AK70" i="48"/>
  <c r="AD71" i="48"/>
  <c r="Y72" i="48"/>
  <c r="O73" i="48"/>
  <c r="AF74" i="48"/>
  <c r="Z75" i="48"/>
  <c r="R76" i="48"/>
  <c r="H77" i="48"/>
  <c r="AF77" i="48"/>
  <c r="V78" i="48"/>
  <c r="N79" i="48"/>
  <c r="AD80" i="48"/>
  <c r="S81" i="48"/>
  <c r="H82" i="48"/>
  <c r="AF82" i="48"/>
  <c r="U83" i="48"/>
  <c r="L61" i="48"/>
  <c r="H25" i="48"/>
  <c r="H27" i="48"/>
  <c r="M61" i="48"/>
  <c r="P62" i="48"/>
  <c r="M63" i="48"/>
  <c r="O64" i="48"/>
  <c r="J65" i="48"/>
  <c r="AL65" i="48"/>
  <c r="AK66" i="48"/>
  <c r="AE67" i="48"/>
  <c r="X68" i="48"/>
  <c r="T69" i="48"/>
  <c r="M70" i="48"/>
  <c r="AJ71" i="48"/>
  <c r="AB72" i="48"/>
  <c r="R73" i="48"/>
  <c r="I74" i="48"/>
  <c r="AJ74" i="48"/>
  <c r="AC75" i="48"/>
  <c r="T76" i="48"/>
  <c r="J77" i="48"/>
  <c r="AH77" i="48"/>
  <c r="Y78" i="48"/>
  <c r="Q79" i="48"/>
  <c r="H80" i="48"/>
  <c r="AF80" i="48"/>
  <c r="O61" i="48"/>
  <c r="S62" i="48"/>
  <c r="O63" i="48"/>
  <c r="R64" i="48"/>
  <c r="L65" i="48"/>
  <c r="J66" i="48"/>
  <c r="AH67" i="48"/>
  <c r="AA68" i="48"/>
  <c r="V69" i="48"/>
  <c r="O70" i="48"/>
  <c r="H71" i="48"/>
  <c r="AL71" i="48"/>
  <c r="AE72" i="48"/>
  <c r="T73" i="48"/>
  <c r="K74" i="48"/>
  <c r="Q61" i="48"/>
  <c r="T62" i="48"/>
  <c r="Q63" i="48"/>
  <c r="S64" i="48"/>
  <c r="M65" i="48"/>
  <c r="L66" i="48"/>
  <c r="AI67" i="48"/>
  <c r="AC68" i="48"/>
  <c r="X69" i="48"/>
  <c r="P70" i="48"/>
  <c r="I71" i="48"/>
  <c r="AF72" i="48"/>
  <c r="U73" i="48"/>
  <c r="L74" i="48"/>
  <c r="AG75" i="48"/>
  <c r="W76" i="48"/>
  <c r="M77" i="48"/>
  <c r="AL77" i="48"/>
  <c r="AD78" i="48"/>
  <c r="U79" i="48"/>
  <c r="K80" i="48"/>
  <c r="AI80" i="48"/>
  <c r="Y81" i="48"/>
  <c r="N82" i="48"/>
  <c r="AL82" i="48"/>
  <c r="AA83" i="48"/>
  <c r="AE78" i="48"/>
  <c r="V79" i="48"/>
  <c r="L80" i="48"/>
  <c r="AJ80" i="48"/>
  <c r="Z81" i="48"/>
  <c r="P82" i="48"/>
  <c r="S61" i="48"/>
  <c r="R61" i="48"/>
  <c r="U62" i="48"/>
  <c r="R63" i="48"/>
  <c r="T64" i="48"/>
  <c r="N65" i="48"/>
  <c r="M66" i="48"/>
  <c r="H67" i="48"/>
  <c r="AJ67" i="48"/>
  <c r="AE68" i="48"/>
  <c r="Y69" i="48"/>
  <c r="Q70" i="48"/>
  <c r="M71" i="48"/>
  <c r="AG72" i="48"/>
  <c r="V73" i="48"/>
  <c r="O74" i="48"/>
  <c r="AH75" i="48"/>
  <c r="X76" i="48"/>
  <c r="N77" i="48"/>
  <c r="AB83" i="48"/>
  <c r="W62" i="48"/>
  <c r="Y63" i="48"/>
  <c r="U64" i="48"/>
  <c r="O65" i="48"/>
  <c r="O66" i="48"/>
  <c r="I67" i="48"/>
  <c r="AG68" i="48"/>
  <c r="Z69" i="48"/>
  <c r="S70" i="48"/>
  <c r="O71" i="48"/>
  <c r="AH72" i="48"/>
  <c r="AL61" i="48"/>
  <c r="AD63" i="48"/>
  <c r="AK64" i="48"/>
  <c r="R66" i="48"/>
  <c r="X67" i="48"/>
  <c r="AI68" i="48"/>
  <c r="S71" i="48"/>
  <c r="P72" i="48"/>
  <c r="X73" i="48"/>
  <c r="Y74" i="48"/>
  <c r="X75" i="48"/>
  <c r="Z76" i="48"/>
  <c r="X77" i="48"/>
  <c r="S78" i="48"/>
  <c r="W79" i="48"/>
  <c r="Q80" i="48"/>
  <c r="N81" i="48"/>
  <c r="K82" i="48"/>
  <c r="AH83" i="48"/>
  <c r="AD70" i="48"/>
  <c r="I78" i="48"/>
  <c r="T83" i="48"/>
  <c r="M75" i="48"/>
  <c r="AF65" i="48"/>
  <c r="H79" i="48"/>
  <c r="AE63" i="48"/>
  <c r="AL64" i="48"/>
  <c r="S66" i="48"/>
  <c r="Y67" i="48"/>
  <c r="AK68" i="48"/>
  <c r="T71" i="48"/>
  <c r="Q72" i="48"/>
  <c r="Y73" i="48"/>
  <c r="Z74" i="48"/>
  <c r="AA75" i="48"/>
  <c r="AA76" i="48"/>
  <c r="Z77" i="48"/>
  <c r="U78" i="48"/>
  <c r="X79" i="48"/>
  <c r="S80" i="48"/>
  <c r="P81" i="48"/>
  <c r="L82" i="48"/>
  <c r="AI83" i="48"/>
  <c r="AJ78" i="48"/>
  <c r="O83" i="48"/>
  <c r="AK62" i="48"/>
  <c r="L75" i="48"/>
  <c r="Z82" i="48"/>
  <c r="AD65" i="48"/>
  <c r="H74" i="48"/>
  <c r="J78" i="48"/>
  <c r="AA82" i="48"/>
  <c r="P68" i="48"/>
  <c r="P74" i="48"/>
  <c r="H81" i="48"/>
  <c r="AF63" i="48"/>
  <c r="T66" i="48"/>
  <c r="AB67" i="48"/>
  <c r="AL68" i="48"/>
  <c r="I70" i="48"/>
  <c r="U71" i="48"/>
  <c r="U72" i="48"/>
  <c r="AB73" i="48"/>
  <c r="AA74" i="48"/>
  <c r="AE75" i="48"/>
  <c r="AB76" i="48"/>
  <c r="AA77" i="48"/>
  <c r="W78" i="48"/>
  <c r="Y79" i="48"/>
  <c r="U80" i="48"/>
  <c r="R81" i="48"/>
  <c r="M82" i="48"/>
  <c r="H83" i="48"/>
  <c r="AK83" i="48"/>
  <c r="T81" i="48"/>
  <c r="I83" i="48"/>
  <c r="R69" i="48"/>
  <c r="AL78" i="48"/>
  <c r="AE81" i="48"/>
  <c r="AA69" i="48"/>
  <c r="AG81" i="48"/>
  <c r="AE65" i="48"/>
  <c r="AB69" i="48"/>
  <c r="AG70" i="48"/>
  <c r="N75" i="48"/>
  <c r="AB82" i="48"/>
  <c r="Q68" i="48"/>
  <c r="M78" i="48"/>
  <c r="H26" i="48"/>
  <c r="O62" i="48"/>
  <c r="AG63" i="48"/>
  <c r="U66" i="48"/>
  <c r="AD67" i="48"/>
  <c r="L70" i="48"/>
  <c r="V71" i="48"/>
  <c r="X72" i="48"/>
  <c r="AC73" i="48"/>
  <c r="AB74" i="48"/>
  <c r="AF75" i="48"/>
  <c r="AD76" i="48"/>
  <c r="AB77" i="48"/>
  <c r="AA78" i="48"/>
  <c r="Z79" i="48"/>
  <c r="V80" i="48"/>
  <c r="Q82" i="48"/>
  <c r="AL83" i="48"/>
  <c r="L68" i="48"/>
  <c r="K75" i="48"/>
  <c r="AH80" i="48"/>
  <c r="H30" i="48"/>
  <c r="AL62" i="48"/>
  <c r="J67" i="48"/>
  <c r="J76" i="48"/>
  <c r="V83" i="48"/>
  <c r="X64" i="48"/>
  <c r="K76" i="48"/>
  <c r="J73" i="48"/>
  <c r="Q62" i="48"/>
  <c r="AH63" i="48"/>
  <c r="I65" i="48"/>
  <c r="V66" i="48"/>
  <c r="AG67" i="48"/>
  <c r="N70" i="48"/>
  <c r="W71" i="48"/>
  <c r="AA72" i="48"/>
  <c r="AE73" i="48"/>
  <c r="AC74" i="48"/>
  <c r="AI75" i="48"/>
  <c r="AE76" i="48"/>
  <c r="AC77" i="48"/>
  <c r="AB78" i="48"/>
  <c r="AA79" i="48"/>
  <c r="W80" i="48"/>
  <c r="U81" i="48"/>
  <c r="R82" i="48"/>
  <c r="K83" i="48"/>
  <c r="Y62" i="48"/>
  <c r="AK63" i="48"/>
  <c r="P65" i="48"/>
  <c r="X66" i="48"/>
  <c r="AL67" i="48"/>
  <c r="H69" i="48"/>
  <c r="U70" i="48"/>
  <c r="Z71" i="48"/>
  <c r="AI72" i="48"/>
  <c r="AG73" i="48"/>
  <c r="AG74" i="48"/>
  <c r="AK75" i="48"/>
  <c r="AI76" i="48"/>
  <c r="AG77" i="48"/>
  <c r="AH78" i="48"/>
  <c r="AC79" i="48"/>
  <c r="W81" i="48"/>
  <c r="T82" i="48"/>
  <c r="M83" i="48"/>
  <c r="X65" i="48"/>
  <c r="I68" i="48"/>
  <c r="Z70" i="48"/>
  <c r="AK73" i="48"/>
  <c r="AK76" i="48"/>
  <c r="AJ77" i="48"/>
  <c r="AE79" i="48"/>
  <c r="V82" i="48"/>
  <c r="AC65" i="48"/>
  <c r="AL79" i="48"/>
  <c r="H73" i="48"/>
  <c r="M67" i="48"/>
  <c r="AE82" i="48"/>
  <c r="X62" i="48"/>
  <c r="AI63" i="48"/>
  <c r="K65" i="48"/>
  <c r="W66" i="48"/>
  <c r="AK67" i="48"/>
  <c r="T70" i="48"/>
  <c r="Y71" i="48"/>
  <c r="AC72" i="48"/>
  <c r="AF73" i="48"/>
  <c r="AE74" i="48"/>
  <c r="AJ75" i="48"/>
  <c r="AF76" i="48"/>
  <c r="AE77" i="48"/>
  <c r="AF78" i="48"/>
  <c r="AB79" i="48"/>
  <c r="Y80" i="48"/>
  <c r="V81" i="48"/>
  <c r="S82" i="48"/>
  <c r="L83" i="48"/>
  <c r="AA62" i="48"/>
  <c r="AA66" i="48"/>
  <c r="J69" i="48"/>
  <c r="AK72" i="48"/>
  <c r="AK71" i="48"/>
  <c r="P64" i="48"/>
  <c r="K78" i="48"/>
  <c r="AH70" i="48"/>
  <c r="Z80" i="48"/>
  <c r="AE80" i="48"/>
  <c r="O68" i="48"/>
  <c r="H72" i="48"/>
  <c r="Y64" i="48"/>
  <c r="AI81" i="48"/>
  <c r="Z62" i="48"/>
  <c r="AL63" i="48"/>
  <c r="V65" i="48"/>
  <c r="Y66" i="48"/>
  <c r="I69" i="48"/>
  <c r="V70" i="48"/>
  <c r="AA71" i="48"/>
  <c r="AJ72" i="48"/>
  <c r="AI73" i="48"/>
  <c r="AK74" i="48"/>
  <c r="AL75" i="48"/>
  <c r="AJ76" i="48"/>
  <c r="AI77" i="48"/>
  <c r="AI78" i="48"/>
  <c r="AD79" i="48"/>
  <c r="AC80" i="48"/>
  <c r="AA81" i="48"/>
  <c r="U82" i="48"/>
  <c r="N83" i="48"/>
  <c r="AC71" i="48"/>
  <c r="AC81" i="48"/>
  <c r="AJ66" i="48"/>
  <c r="AI79" i="48"/>
  <c r="Y82" i="48"/>
  <c r="AA61" i="48"/>
  <c r="M68" i="48"/>
  <c r="I77" i="48"/>
  <c r="AK80" i="48"/>
  <c r="W64" i="48"/>
  <c r="J74" i="48"/>
  <c r="X83" i="48"/>
  <c r="AE61" i="48"/>
  <c r="I72" i="48"/>
  <c r="O75" i="48"/>
  <c r="O77" i="48"/>
  <c r="I80" i="48"/>
  <c r="J61" i="48"/>
  <c r="AB62" i="48"/>
  <c r="Y65" i="48"/>
  <c r="AF66" i="48"/>
  <c r="K68" i="48"/>
  <c r="M69" i="48"/>
  <c r="AB70" i="48"/>
  <c r="AH71" i="48"/>
  <c r="AL72" i="48"/>
  <c r="AL73" i="48"/>
  <c r="J75" i="48"/>
  <c r="AK78" i="48"/>
  <c r="AH79" i="48"/>
  <c r="AG80" i="48"/>
  <c r="AD81" i="48"/>
  <c r="X82" i="48"/>
  <c r="Q83" i="48"/>
  <c r="N61" i="48"/>
  <c r="AC62" i="48"/>
  <c r="M64" i="48"/>
  <c r="Z65" i="48"/>
  <c r="AC70" i="48"/>
  <c r="R83" i="48"/>
  <c r="U69" i="48"/>
  <c r="I76" i="48"/>
  <c r="AF81" i="48"/>
  <c r="AB61" i="48"/>
  <c r="AF70" i="48"/>
  <c r="K77" i="48"/>
  <c r="AC61" i="48"/>
  <c r="K67" i="48"/>
  <c r="L77" i="48"/>
  <c r="AH81" i="48"/>
  <c r="AC69" i="48"/>
  <c r="M76" i="48"/>
  <c r="AF61" i="48"/>
  <c r="AD69" i="48"/>
  <c r="K73" i="48"/>
  <c r="S76" i="48"/>
  <c r="O79" i="48"/>
  <c r="AH61" i="48"/>
  <c r="AG69" i="48"/>
  <c r="V76" i="48"/>
  <c r="AG82" i="48"/>
  <c r="AI69" i="48"/>
  <c r="AI82" i="48"/>
  <c r="L81" i="48"/>
  <c r="AK81" i="48"/>
  <c r="AG61" i="48"/>
  <c r="AE69" i="48"/>
  <c r="N73" i="48"/>
  <c r="U76" i="48"/>
  <c r="R79" i="48"/>
  <c r="I82" i="48"/>
  <c r="AG65" i="48"/>
  <c r="Q73" i="48"/>
  <c r="S79" i="48"/>
  <c r="AK65" i="48"/>
  <c r="M72" i="48"/>
  <c r="I79" i="48"/>
  <c r="AB64" i="48"/>
  <c r="AI61" i="48"/>
  <c r="AI65" i="48"/>
  <c r="AH69" i="48"/>
  <c r="S73" i="48"/>
  <c r="Y76" i="48"/>
  <c r="AH82" i="48"/>
  <c r="AK61" i="48"/>
  <c r="W73" i="48"/>
  <c r="R78" i="48"/>
  <c r="M81" i="48"/>
  <c r="T75" i="48"/>
  <c r="Q77" i="48"/>
  <c r="J80" i="48"/>
  <c r="AK82" i="48"/>
  <c r="N72" i="48"/>
  <c r="Q66" i="48"/>
  <c r="AJ70" i="48"/>
  <c r="R77" i="48"/>
  <c r="M80" i="48"/>
  <c r="R74" i="48"/>
  <c r="S77" i="48"/>
  <c r="N80" i="48"/>
  <c r="J63" i="48"/>
  <c r="N67" i="48"/>
  <c r="S74" i="48"/>
  <c r="O80" i="48"/>
  <c r="O67" i="48"/>
  <c r="W77" i="48"/>
  <c r="P67" i="48"/>
  <c r="AC83" i="48"/>
  <c r="Z63" i="48"/>
  <c r="X74" i="48"/>
  <c r="W67" i="48"/>
  <c r="I81" i="48"/>
  <c r="P75" i="48"/>
  <c r="J81" i="48"/>
  <c r="Q75" i="48"/>
  <c r="Z64" i="48"/>
  <c r="AA64" i="48"/>
  <c r="O72" i="48"/>
  <c r="AH68" i="48"/>
  <c r="V77" i="48"/>
  <c r="Y83" i="48"/>
  <c r="L63" i="48"/>
  <c r="P71" i="48"/>
  <c r="T74" i="48"/>
  <c r="P80" i="48"/>
  <c r="Z83" i="48"/>
  <c r="N63" i="48"/>
  <c r="Q71" i="48"/>
  <c r="W74" i="48"/>
  <c r="H28" i="48"/>
  <c r="U67" i="48"/>
  <c r="N78" i="48"/>
  <c r="AD83" i="48"/>
  <c r="AA63" i="48"/>
  <c r="O78" i="48"/>
  <c r="AF83" i="48"/>
  <c r="K72" i="48"/>
  <c r="P78" i="48"/>
  <c r="AG83" i="48"/>
  <c r="S68" i="48"/>
  <c r="L72" i="48"/>
  <c r="Q78" i="48"/>
  <c r="K81" i="48"/>
  <c r="U68" i="48"/>
  <c r="W68" i="48"/>
  <c r="S75" i="48"/>
  <c r="Y68" i="48"/>
  <c r="AG64" i="48"/>
  <c r="AJ64" i="48"/>
  <c r="P76" i="48"/>
  <c r="M79" i="48"/>
  <c r="R75" i="48"/>
  <c r="AL81" i="48"/>
  <c r="E84" i="48"/>
  <c r="F84" i="48" s="1" a="1"/>
  <c r="F84" i="48" s="1"/>
  <c r="AC84" i="48" s="1"/>
  <c r="H2" i="50"/>
  <c r="AF204" i="46"/>
  <c r="AF201" i="46"/>
  <c r="AF200" i="46"/>
  <c r="AF203" i="46"/>
  <c r="AF205" i="46"/>
  <c r="AF202" i="46"/>
  <c r="AF207" i="46"/>
  <c r="AF206" i="46"/>
  <c r="AF182" i="46"/>
  <c r="AF186" i="46"/>
  <c r="AF187" i="46"/>
  <c r="AF189" i="46"/>
  <c r="AF190" i="46"/>
  <c r="AF185" i="46"/>
  <c r="AF191" i="46"/>
  <c r="AF193" i="46"/>
  <c r="AF183" i="46"/>
  <c r="AF192" i="46"/>
  <c r="AF188" i="46"/>
  <c r="AF184" i="46"/>
  <c r="AF197" i="46"/>
  <c r="AF195" i="46"/>
  <c r="AF196" i="46"/>
  <c r="AF194" i="46"/>
  <c r="J3" i="47"/>
  <c r="J2" i="47"/>
  <c r="K2" i="47"/>
  <c r="AO44" i="51"/>
  <c r="AO61" i="51"/>
  <c r="AO38" i="51"/>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N134" i="3"/>
  <c r="AF134" i="3" s="1"/>
  <c r="AG127" i="3"/>
  <c r="N132" i="3"/>
  <c r="AF132" i="3" s="1"/>
  <c r="D132" i="3" s="1"/>
  <c r="AG125" i="3"/>
  <c r="AG121" i="3"/>
  <c r="M131" i="3"/>
  <c r="AA131" i="3" s="1"/>
  <c r="N133" i="3"/>
  <c r="AF133" i="3" s="1"/>
  <c r="D133" i="3" s="1"/>
  <c r="AG123" i="3"/>
  <c r="DU208" i="46" l="1"/>
  <c r="BD208" i="46"/>
  <c r="HG208" i="46"/>
  <c r="GX208" i="46"/>
  <c r="HD208" i="46"/>
  <c r="ED208" i="46"/>
  <c r="IW198" i="46"/>
  <c r="KY198" i="46"/>
  <c r="KJ208" i="46"/>
  <c r="GR208" i="46"/>
  <c r="GF208" i="46"/>
  <c r="HJ208" i="46"/>
  <c r="FK208" i="46"/>
  <c r="GO198" i="46"/>
  <c r="BP198" i="46"/>
  <c r="LE198" i="46"/>
  <c r="GF198" i="46"/>
  <c r="FE198" i="46"/>
  <c r="KM198" i="46"/>
  <c r="FH198" i="46"/>
  <c r="JO208" i="46"/>
  <c r="AC208" i="46"/>
  <c r="BY198" i="46"/>
  <c r="FK198" i="46"/>
  <c r="LB198" i="46"/>
  <c r="FT208" i="46"/>
  <c r="GO208" i="46"/>
  <c r="FN208" i="46"/>
  <c r="ES208" i="46"/>
  <c r="IQ208" i="46"/>
  <c r="LE208" i="46"/>
  <c r="KA208" i="46"/>
  <c r="KS208" i="46"/>
  <c r="IH208" i="46"/>
  <c r="HV208" i="46"/>
  <c r="KM208" i="46"/>
  <c r="KG208" i="46"/>
  <c r="EM208" i="46"/>
  <c r="FQ208" i="46"/>
  <c r="BG198" i="46"/>
  <c r="BA198" i="46"/>
  <c r="FN198" i="46"/>
  <c r="CQ198" i="46"/>
  <c r="AL198" i="46"/>
  <c r="AU198" i="46"/>
  <c r="FE208" i="46"/>
  <c r="KP208" i="46"/>
  <c r="EJ208" i="46"/>
  <c r="LB208" i="46"/>
  <c r="FW208" i="46"/>
  <c r="JX208" i="46"/>
  <c r="HS208" i="46"/>
  <c r="FZ208" i="46"/>
  <c r="FH208" i="46"/>
  <c r="IE208" i="46"/>
  <c r="IT208" i="46"/>
  <c r="KV208" i="46"/>
  <c r="KS198" i="46"/>
  <c r="DR198" i="46"/>
  <c r="IN198" i="46"/>
  <c r="IT198" i="46"/>
  <c r="GI198" i="46"/>
  <c r="EY208" i="46"/>
  <c r="Z208" i="46"/>
  <c r="GI208" i="46"/>
  <c r="EA208" i="46"/>
  <c r="AI208" i="46"/>
  <c r="AL208" i="46"/>
  <c r="GU208" i="46"/>
  <c r="Z198" i="46"/>
  <c r="HY198" i="46"/>
  <c r="GL198" i="46"/>
  <c r="CW198" i="46"/>
  <c r="EJ198" i="46"/>
  <c r="CT198" i="46"/>
  <c r="JF208" i="46"/>
  <c r="JL208" i="46"/>
  <c r="DX208" i="46"/>
  <c r="IN208" i="46"/>
  <c r="BD198" i="46"/>
  <c r="AO198" i="46"/>
  <c r="CN198" i="46"/>
  <c r="IZ198" i="46"/>
  <c r="IE198" i="46"/>
  <c r="CE208" i="46"/>
  <c r="IB208" i="46"/>
  <c r="DF208" i="46"/>
  <c r="EG208" i="46"/>
  <c r="CB208" i="46"/>
  <c r="BG208" i="46"/>
  <c r="BA208" i="46"/>
  <c r="CB198" i="46"/>
  <c r="CZ198" i="46"/>
  <c r="JF198" i="46"/>
  <c r="JI198" i="46"/>
  <c r="KA198" i="46"/>
  <c r="HD198" i="46"/>
  <c r="GC208" i="46"/>
  <c r="CH208" i="46"/>
  <c r="BM198" i="46"/>
  <c r="FQ198" i="46"/>
  <c r="DI198" i="46"/>
  <c r="EA198" i="46"/>
  <c r="EG198" i="46"/>
  <c r="JC208" i="46"/>
  <c r="BJ208" i="46"/>
  <c r="DO208" i="46"/>
  <c r="AX208" i="46"/>
  <c r="KP198" i="46"/>
  <c r="HS198" i="46"/>
  <c r="EP198" i="46"/>
  <c r="IB198" i="46"/>
  <c r="HM208" i="46"/>
  <c r="JI208" i="46"/>
  <c r="HP208" i="46"/>
  <c r="AR208" i="46"/>
  <c r="AR198" i="46"/>
  <c r="GX198" i="46"/>
  <c r="GR198" i="46"/>
  <c r="HP198" i="46"/>
  <c r="ES198" i="46"/>
  <c r="HA208" i="46"/>
  <c r="HY208" i="46"/>
  <c r="AU208" i="46"/>
  <c r="AO208" i="46"/>
  <c r="JX198" i="46"/>
  <c r="JO198" i="46"/>
  <c r="EV198" i="46"/>
  <c r="BJ198" i="46"/>
  <c r="EP208" i="46"/>
  <c r="CT208" i="46"/>
  <c r="DC208" i="46"/>
  <c r="BV198" i="46"/>
  <c r="FB198" i="46"/>
  <c r="KG198" i="46"/>
  <c r="EY198" i="46"/>
  <c r="JU208" i="46"/>
  <c r="GU198" i="46"/>
  <c r="ED198" i="46"/>
  <c r="DU198" i="46"/>
  <c r="FZ198" i="46"/>
  <c r="CH198" i="46"/>
  <c r="HA198" i="46"/>
  <c r="IQ198" i="46"/>
  <c r="EM198" i="46"/>
  <c r="FW198" i="46"/>
  <c r="JR208" i="46"/>
  <c r="KY208" i="46"/>
  <c r="BM208" i="46"/>
  <c r="JC198" i="46"/>
  <c r="HG198" i="46"/>
  <c r="HJ198" i="46"/>
  <c r="IH198" i="46"/>
  <c r="BP208" i="46"/>
  <c r="CQ208" i="46"/>
  <c r="HV198" i="46"/>
  <c r="DC198" i="46"/>
  <c r="JL198" i="46"/>
  <c r="T198" i="46"/>
  <c r="AC198" i="46"/>
  <c r="DX198" i="46"/>
  <c r="FB208" i="46"/>
  <c r="CN208" i="46"/>
  <c r="IW208" i="46"/>
  <c r="DR208" i="46"/>
  <c r="AX198" i="46"/>
  <c r="CK198" i="46"/>
  <c r="KJ198" i="46"/>
  <c r="KV198" i="46"/>
  <c r="CE198" i="46"/>
  <c r="GC198" i="46"/>
  <c r="CK208" i="46"/>
  <c r="DO198" i="46"/>
  <c r="DF198" i="46"/>
  <c r="JU198" i="46"/>
  <c r="FT198" i="46"/>
  <c r="AI198" i="46"/>
  <c r="W198" i="46"/>
  <c r="HM198" i="46"/>
  <c r="BY208" i="46"/>
  <c r="DI208" i="46"/>
  <c r="EV208" i="46"/>
  <c r="BS208" i="46"/>
  <c r="IK198" i="46"/>
  <c r="W208" i="46"/>
  <c r="CW208" i="46"/>
  <c r="KD198" i="46"/>
  <c r="BS198" i="46"/>
  <c r="JR198" i="46"/>
  <c r="DL198" i="46"/>
  <c r="GL208" i="46"/>
  <c r="CZ208" i="46"/>
  <c r="T208" i="46"/>
  <c r="DL208" i="46"/>
  <c r="AA84" i="48"/>
  <c r="V84" i="48"/>
  <c r="U84" i="48"/>
  <c r="X84" i="48"/>
  <c r="G7" i="48"/>
  <c r="G6" i="48"/>
  <c r="G4" i="48"/>
  <c r="G8" i="48"/>
  <c r="G5" i="48"/>
  <c r="G9" i="48"/>
  <c r="AH84" i="48"/>
  <c r="K84" i="48"/>
  <c r="L84" i="48"/>
  <c r="AD84" i="48"/>
  <c r="N84" i="48"/>
  <c r="AG84" i="48"/>
  <c r="AB84" i="48"/>
  <c r="AE84" i="48"/>
  <c r="Q84" i="48"/>
  <c r="J84" i="48"/>
  <c r="AL84" i="48"/>
  <c r="AF84" i="48"/>
  <c r="M84" i="48"/>
  <c r="I84" i="48"/>
  <c r="H84" i="48"/>
  <c r="S84" i="48"/>
  <c r="R84" i="48"/>
  <c r="Z84" i="48"/>
  <c r="AK84" i="48"/>
  <c r="AI84" i="48"/>
  <c r="Y84" i="48"/>
  <c r="P84" i="48"/>
  <c r="AJ84" i="48"/>
  <c r="T84" i="48"/>
  <c r="W84" i="48"/>
  <c r="O84" i="48"/>
  <c r="G41" i="48"/>
  <c r="G34" i="48"/>
  <c r="G44" i="48"/>
  <c r="G37" i="48"/>
  <c r="G47" i="48"/>
  <c r="G40" i="48"/>
  <c r="G50" i="48"/>
  <c r="G36" i="48"/>
  <c r="G45" i="48"/>
  <c r="G48" i="48"/>
  <c r="G42" i="48"/>
  <c r="G43" i="48"/>
  <c r="G49" i="48"/>
  <c r="G54" i="48"/>
  <c r="G38" i="48"/>
  <c r="G58" i="48"/>
  <c r="G53" i="48"/>
  <c r="G39" i="48"/>
  <c r="G52" i="48"/>
  <c r="G35" i="48"/>
  <c r="G59" i="48"/>
  <c r="G51" i="48"/>
  <c r="G60" i="48"/>
  <c r="G46" i="48"/>
  <c r="G55" i="48"/>
  <c r="G56" i="48"/>
  <c r="G57" i="48"/>
  <c r="G13" i="48"/>
  <c r="G23" i="48"/>
  <c r="G33" i="48"/>
  <c r="G16" i="48"/>
  <c r="G26" i="48"/>
  <c r="G12" i="48"/>
  <c r="G15" i="48"/>
  <c r="G25" i="48"/>
  <c r="G19" i="48"/>
  <c r="G31" i="48"/>
  <c r="G20" i="48"/>
  <c r="G29" i="48"/>
  <c r="G10" i="48"/>
  <c r="G14" i="48"/>
  <c r="G22" i="48"/>
  <c r="G66" i="48"/>
  <c r="G81" i="48"/>
  <c r="G68" i="48"/>
  <c r="G17" i="48"/>
  <c r="G21" i="48"/>
  <c r="G32" i="48"/>
  <c r="G11" i="48"/>
  <c r="G80" i="48"/>
  <c r="G64" i="48"/>
  <c r="G62" i="48"/>
  <c r="G65" i="48"/>
  <c r="G74" i="48"/>
  <c r="G27" i="48"/>
  <c r="G67" i="48"/>
  <c r="G75" i="48"/>
  <c r="G72" i="48"/>
  <c r="G70" i="48"/>
  <c r="G83" i="48"/>
  <c r="G63" i="48"/>
  <c r="G79" i="48"/>
  <c r="G73" i="48"/>
  <c r="G84" i="48"/>
  <c r="G61" i="48"/>
  <c r="G76" i="48"/>
  <c r="G69" i="48"/>
  <c r="G77" i="48"/>
  <c r="G30" i="48"/>
  <c r="G24" i="48"/>
  <c r="G78" i="48"/>
  <c r="G82" i="48"/>
  <c r="G18" i="48"/>
  <c r="G71" i="48"/>
  <c r="G28" i="48"/>
  <c r="E85" i="48"/>
  <c r="F85" i="48" s="1" a="1"/>
  <c r="F85" i="48" s="1"/>
  <c r="G85" i="48" s="1"/>
  <c r="AF198" i="46"/>
  <c r="AF208" i="46"/>
  <c r="AP35" i="51"/>
  <c r="G3" i="48" a="1"/>
  <c r="G3" i="48" s="1"/>
  <c r="H3" i="50" a="1"/>
  <c r="H3" i="50" s="1"/>
  <c r="AG133" i="3"/>
  <c r="M139" i="3"/>
  <c r="AA139" i="3" s="1"/>
  <c r="AG132" i="3"/>
  <c r="N138" i="3"/>
  <c r="AF138" i="3" s="1"/>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16" i="46" l="1"/>
  <c r="W216" i="46"/>
  <c r="AC215" i="46"/>
  <c r="Z215" i="46"/>
  <c r="T217" i="46"/>
  <c r="T210" i="46"/>
  <c r="Z212" i="46"/>
  <c r="W215" i="46"/>
  <c r="T216" i="46"/>
  <c r="AC214" i="46"/>
  <c r="T215" i="46"/>
  <c r="AC211" i="46"/>
  <c r="Z214" i="46"/>
  <c r="T214" i="46"/>
  <c r="T212" i="46"/>
  <c r="W212" i="46"/>
  <c r="W214" i="46"/>
  <c r="T213" i="46"/>
  <c r="AC213" i="46"/>
  <c r="AC212" i="46"/>
  <c r="Z213" i="46"/>
  <c r="T211" i="46"/>
  <c r="W213" i="46"/>
  <c r="Z211" i="46"/>
  <c r="W217" i="46"/>
  <c r="AC217" i="46"/>
  <c r="W210" i="46"/>
  <c r="Z217" i="46"/>
  <c r="W211" i="46"/>
  <c r="Z210" i="46"/>
  <c r="AC216" i="46"/>
  <c r="AC210" i="46"/>
  <c r="LE217" i="46"/>
  <c r="IW217" i="46"/>
  <c r="JL216" i="46"/>
  <c r="KA215" i="46"/>
  <c r="KP214" i="46"/>
  <c r="LE213" i="46"/>
  <c r="IW213" i="46"/>
  <c r="JL212" i="46"/>
  <c r="KA211" i="46"/>
  <c r="KP210" i="46"/>
  <c r="LB217" i="46"/>
  <c r="IT217" i="46"/>
  <c r="JI216" i="46"/>
  <c r="JX215" i="46"/>
  <c r="KM214" i="46"/>
  <c r="LB213" i="46"/>
  <c r="IT213" i="46"/>
  <c r="JI212" i="46"/>
  <c r="JX211" i="46"/>
  <c r="KM210" i="46"/>
  <c r="KY217" i="46"/>
  <c r="IQ217" i="46"/>
  <c r="JF216" i="46"/>
  <c r="JU215" i="46"/>
  <c r="KJ214" i="46"/>
  <c r="KY213" i="46"/>
  <c r="IQ213" i="46"/>
  <c r="JF212" i="46"/>
  <c r="JU211" i="46"/>
  <c r="KJ210" i="46"/>
  <c r="KG217" i="46"/>
  <c r="KM216" i="46"/>
  <c r="KS215" i="46"/>
  <c r="KY214" i="46"/>
  <c r="KV213" i="46"/>
  <c r="LB212" i="46"/>
  <c r="IK212" i="46"/>
  <c r="IQ211" i="46"/>
  <c r="IW210" i="46"/>
  <c r="KD217" i="46"/>
  <c r="KJ216" i="46"/>
  <c r="KP215" i="46"/>
  <c r="KV214" i="46"/>
  <c r="KS213" i="46"/>
  <c r="KY212" i="46"/>
  <c r="LE211" i="46"/>
  <c r="IN211" i="46"/>
  <c r="IT210" i="46"/>
  <c r="KA217" i="46"/>
  <c r="KG216" i="46"/>
  <c r="KM215" i="46"/>
  <c r="KS214" i="46"/>
  <c r="KP213" i="46"/>
  <c r="KV212" i="46"/>
  <c r="LB211" i="46"/>
  <c r="IK211" i="46"/>
  <c r="IQ210" i="46"/>
  <c r="KV217" i="46"/>
  <c r="KS216" i="46"/>
  <c r="KG215" i="46"/>
  <c r="JU214" i="46"/>
  <c r="JR213" i="46"/>
  <c r="JO212" i="46"/>
  <c r="JC211" i="46"/>
  <c r="IZ210" i="46"/>
  <c r="KS217" i="46"/>
  <c r="KP216" i="46"/>
  <c r="KD215" i="46"/>
  <c r="JR214" i="46"/>
  <c r="JO213" i="46"/>
  <c r="JC212" i="46"/>
  <c r="IZ211" i="46"/>
  <c r="IN210" i="46"/>
  <c r="KP217" i="46"/>
  <c r="KD216" i="46"/>
  <c r="JR215" i="46"/>
  <c r="JO214" i="46"/>
  <c r="JL213" i="46"/>
  <c r="IZ212" i="46"/>
  <c r="IW211" i="46"/>
  <c r="IK210" i="46"/>
  <c r="JR217" i="46"/>
  <c r="JO216" i="46"/>
  <c r="JC215" i="46"/>
  <c r="IZ214" i="46"/>
  <c r="IN213" i="46"/>
  <c r="KY211" i="46"/>
  <c r="KV210" i="46"/>
  <c r="JI217" i="46"/>
  <c r="IW216" i="46"/>
  <c r="IT215" i="46"/>
  <c r="IQ214" i="46"/>
  <c r="KS212" i="46"/>
  <c r="KP211" i="46"/>
  <c r="KD210" i="46"/>
  <c r="KM217" i="46"/>
  <c r="IZ216" i="46"/>
  <c r="LB214" i="46"/>
  <c r="JI213" i="46"/>
  <c r="KS211" i="46"/>
  <c r="JO210" i="46"/>
  <c r="KJ217" i="46"/>
  <c r="IT216" i="46"/>
  <c r="KG214" i="46"/>
  <c r="JF213" i="46"/>
  <c r="KM211" i="46"/>
  <c r="JL210" i="46"/>
  <c r="JX217" i="46"/>
  <c r="IQ216" i="46"/>
  <c r="KD214" i="46"/>
  <c r="JC213" i="46"/>
  <c r="KJ211" i="46"/>
  <c r="JI210" i="46"/>
  <c r="JU217" i="46"/>
  <c r="IN216" i="46"/>
  <c r="KA214" i="46"/>
  <c r="IZ213" i="46"/>
  <c r="KG211" i="46"/>
  <c r="JF210" i="46"/>
  <c r="LE216" i="46"/>
  <c r="IW215" i="46"/>
  <c r="JU213" i="46"/>
  <c r="JL211" i="46"/>
  <c r="LB216" i="46"/>
  <c r="IQ215" i="46"/>
  <c r="IK213" i="46"/>
  <c r="JI211" i="46"/>
  <c r="KY216" i="46"/>
  <c r="IN215" i="46"/>
  <c r="LE212" i="46"/>
  <c r="JF211" i="46"/>
  <c r="KA216" i="46"/>
  <c r="LE214" i="46"/>
  <c r="KM212" i="46"/>
  <c r="LE210" i="46"/>
  <c r="LB215" i="46"/>
  <c r="KJ213" i="46"/>
  <c r="JO211" i="46"/>
  <c r="IH217" i="46"/>
  <c r="FZ217" i="46"/>
  <c r="GO216" i="46"/>
  <c r="HD215" i="46"/>
  <c r="HS214" i="46"/>
  <c r="IH213" i="46"/>
  <c r="FZ213" i="46"/>
  <c r="GO212" i="46"/>
  <c r="HD211" i="46"/>
  <c r="HS210" i="46"/>
  <c r="KY215" i="46"/>
  <c r="KG213" i="46"/>
  <c r="IT211" i="46"/>
  <c r="KV215" i="46"/>
  <c r="KD213" i="46"/>
  <c r="LB210" i="46"/>
  <c r="KJ215" i="46"/>
  <c r="KA213" i="46"/>
  <c r="KY210" i="46"/>
  <c r="IZ217" i="46"/>
  <c r="JX214" i="46"/>
  <c r="JX212" i="46"/>
  <c r="JC210" i="46"/>
  <c r="KV216" i="46"/>
  <c r="IK214" i="46"/>
  <c r="JX210" i="46"/>
  <c r="HD217" i="46"/>
  <c r="HP216" i="46"/>
  <c r="IB215" i="46"/>
  <c r="FQ215" i="46"/>
  <c r="GC214" i="46"/>
  <c r="GO213" i="46"/>
  <c r="HA212" i="46"/>
  <c r="HM211" i="46"/>
  <c r="HY210" i="46"/>
  <c r="FN210" i="46"/>
  <c r="JX216" i="46"/>
  <c r="KM213" i="46"/>
  <c r="JU210" i="46"/>
  <c r="HA217" i="46"/>
  <c r="HM216" i="46"/>
  <c r="HY215" i="46"/>
  <c r="FN215" i="46"/>
  <c r="FZ214" i="46"/>
  <c r="GL213" i="46"/>
  <c r="GX212" i="46"/>
  <c r="HJ211" i="46"/>
  <c r="HV210" i="46"/>
  <c r="JU216" i="46"/>
  <c r="JX213" i="46"/>
  <c r="JR210" i="46"/>
  <c r="GX217" i="46"/>
  <c r="HJ216" i="46"/>
  <c r="HV215" i="46"/>
  <c r="IH214" i="46"/>
  <c r="FW214" i="46"/>
  <c r="GI213" i="46"/>
  <c r="GU212" i="46"/>
  <c r="HG211" i="46"/>
  <c r="HP210" i="46"/>
  <c r="JR216" i="46"/>
  <c r="KP212" i="46"/>
  <c r="IK216" i="46"/>
  <c r="KG212" i="46"/>
  <c r="JF215" i="46"/>
  <c r="IW212" i="46"/>
  <c r="IK217" i="46"/>
  <c r="IT212" i="46"/>
  <c r="IB217" i="46"/>
  <c r="IE216" i="46"/>
  <c r="IH215" i="46"/>
  <c r="IB214" i="46"/>
  <c r="IB213" i="46"/>
  <c r="IE212" i="46"/>
  <c r="IH211" i="46"/>
  <c r="FN211" i="46"/>
  <c r="FQ210" i="46"/>
  <c r="JC216" i="46"/>
  <c r="IQ212" i="46"/>
  <c r="HY217" i="46"/>
  <c r="IB216" i="46"/>
  <c r="IE215" i="46"/>
  <c r="HY214" i="46"/>
  <c r="HY213" i="46"/>
  <c r="IB212" i="46"/>
  <c r="IE211" i="46"/>
  <c r="IH210" i="46"/>
  <c r="LE215" i="46"/>
  <c r="IN212" i="46"/>
  <c r="HV217" i="46"/>
  <c r="HY216" i="46"/>
  <c r="HS215" i="46"/>
  <c r="HV214" i="46"/>
  <c r="HV213" i="46"/>
  <c r="HY212" i="46"/>
  <c r="IB211" i="46"/>
  <c r="IE210" i="46"/>
  <c r="JO215" i="46"/>
  <c r="KV211" i="46"/>
  <c r="HS217" i="46"/>
  <c r="HV216" i="46"/>
  <c r="HP215" i="46"/>
  <c r="HP214" i="46"/>
  <c r="HS213" i="46"/>
  <c r="HV212" i="46"/>
  <c r="HY211" i="46"/>
  <c r="IB210" i="46"/>
  <c r="JI215" i="46"/>
  <c r="JR211" i="46"/>
  <c r="HM217" i="46"/>
  <c r="HG216" i="46"/>
  <c r="HJ215" i="46"/>
  <c r="HJ214" i="46"/>
  <c r="HM213" i="46"/>
  <c r="HP212" i="46"/>
  <c r="HS211" i="46"/>
  <c r="HJ210" i="46"/>
  <c r="IK215" i="46"/>
  <c r="KG210" i="46"/>
  <c r="JF217" i="46"/>
  <c r="GX216" i="46"/>
  <c r="GI215" i="46"/>
  <c r="FN214" i="46"/>
  <c r="HG212" i="46"/>
  <c r="GI211" i="46"/>
  <c r="FW210" i="46"/>
  <c r="JC217" i="46"/>
  <c r="IE217" i="46"/>
  <c r="GU216" i="46"/>
  <c r="GF215" i="46"/>
  <c r="IE213" i="46"/>
  <c r="HD212" i="46"/>
  <c r="GF211" i="46"/>
  <c r="FT210" i="46"/>
  <c r="IN217" i="46"/>
  <c r="HP217" i="46"/>
  <c r="GR216" i="46"/>
  <c r="GC215" i="46"/>
  <c r="HP213" i="46"/>
  <c r="GR212" i="46"/>
  <c r="GC211" i="46"/>
  <c r="JL215" i="46"/>
  <c r="HJ217" i="46"/>
  <c r="GL216" i="46"/>
  <c r="FZ215" i="46"/>
  <c r="HJ213" i="46"/>
  <c r="GL212" i="46"/>
  <c r="FZ211" i="46"/>
  <c r="IZ215" i="46"/>
  <c r="HG217" i="46"/>
  <c r="GI216" i="46"/>
  <c r="FW215" i="46"/>
  <c r="HG213" i="46"/>
  <c r="GI212" i="46"/>
  <c r="FW211" i="46"/>
  <c r="JI214" i="46"/>
  <c r="GR217" i="46"/>
  <c r="GC216" i="46"/>
  <c r="IE214" i="46"/>
  <c r="HA213" i="46"/>
  <c r="IT214" i="46"/>
  <c r="JR212" i="46"/>
  <c r="GF216" i="46"/>
  <c r="GU214" i="46"/>
  <c r="HM212" i="46"/>
  <c r="HG210" i="46"/>
  <c r="KD211" i="46"/>
  <c r="FZ216" i="46"/>
  <c r="GR214" i="46"/>
  <c r="HJ212" i="46"/>
  <c r="HD210" i="46"/>
  <c r="KS210" i="46"/>
  <c r="FW216" i="46"/>
  <c r="GO214" i="46"/>
  <c r="GF212" i="46"/>
  <c r="HA210" i="46"/>
  <c r="KA210" i="46"/>
  <c r="FT216" i="46"/>
  <c r="GL214" i="46"/>
  <c r="GC212" i="46"/>
  <c r="GX210" i="46"/>
  <c r="FN216" i="46"/>
  <c r="GF214" i="46"/>
  <c r="FW212" i="46"/>
  <c r="GR210" i="46"/>
  <c r="GU217" i="46"/>
  <c r="HM215" i="46"/>
  <c r="FT214" i="46"/>
  <c r="FT212" i="46"/>
  <c r="GO210" i="46"/>
  <c r="JO217" i="46"/>
  <c r="GI217" i="46"/>
  <c r="GX215" i="46"/>
  <c r="GX213" i="46"/>
  <c r="HV211" i="46"/>
  <c r="GF210" i="46"/>
  <c r="JL217" i="46"/>
  <c r="GF217" i="46"/>
  <c r="GU215" i="46"/>
  <c r="GU213" i="46"/>
  <c r="HP211" i="46"/>
  <c r="GC210" i="46"/>
  <c r="JF214" i="46"/>
  <c r="HA215" i="46"/>
  <c r="IH212" i="46"/>
  <c r="EM217" i="46"/>
  <c r="FB216" i="46"/>
  <c r="CT216" i="46"/>
  <c r="DI215" i="46"/>
  <c r="DX214" i="46"/>
  <c r="EM213" i="46"/>
  <c r="FB212" i="46"/>
  <c r="CT212" i="46"/>
  <c r="DI211" i="46"/>
  <c r="DX210" i="46"/>
  <c r="JC214" i="46"/>
  <c r="GR215" i="46"/>
  <c r="HS212" i="46"/>
  <c r="EJ217" i="46"/>
  <c r="EY216" i="46"/>
  <c r="CQ216" i="46"/>
  <c r="DF215" i="46"/>
  <c r="DU214" i="46"/>
  <c r="EJ213" i="46"/>
  <c r="EY212" i="46"/>
  <c r="CQ212" i="46"/>
  <c r="DF211" i="46"/>
  <c r="DU210" i="46"/>
  <c r="IW214" i="46"/>
  <c r="GO215" i="46"/>
  <c r="FZ212" i="46"/>
  <c r="EG217" i="46"/>
  <c r="EV216" i="46"/>
  <c r="FK215" i="46"/>
  <c r="DC215" i="46"/>
  <c r="DR214" i="46"/>
  <c r="EG213" i="46"/>
  <c r="EV212" i="46"/>
  <c r="FK211" i="46"/>
  <c r="DC211" i="46"/>
  <c r="DR210" i="46"/>
  <c r="IN214" i="46"/>
  <c r="GL215" i="46"/>
  <c r="FQ212" i="46"/>
  <c r="ED217" i="46"/>
  <c r="ES216" i="46"/>
  <c r="FH215" i="46"/>
  <c r="CZ215" i="46"/>
  <c r="DO214" i="46"/>
  <c r="ED213" i="46"/>
  <c r="ES212" i="46"/>
  <c r="FH211" i="46"/>
  <c r="CZ211" i="46"/>
  <c r="DO210" i="46"/>
  <c r="KD212" i="46"/>
  <c r="HM214" i="46"/>
  <c r="HA211" i="46"/>
  <c r="DX217" i="46"/>
  <c r="EM216" i="46"/>
  <c r="FB215" i="46"/>
  <c r="CT215" i="46"/>
  <c r="DI214" i="46"/>
  <c r="DX213" i="46"/>
  <c r="EM212" i="46"/>
  <c r="FB211" i="46"/>
  <c r="CT211" i="46"/>
  <c r="DI210" i="46"/>
  <c r="KA212" i="46"/>
  <c r="HG214" i="46"/>
  <c r="GX211" i="46"/>
  <c r="FW217" i="46"/>
  <c r="GI214" i="46"/>
  <c r="GL211" i="46"/>
  <c r="DI217" i="46"/>
  <c r="DX216" i="46"/>
  <c r="EM215" i="46"/>
  <c r="FB214" i="46"/>
  <c r="CT214" i="46"/>
  <c r="DI213" i="46"/>
  <c r="DX212" i="46"/>
  <c r="EM211" i="46"/>
  <c r="FB210" i="46"/>
  <c r="CT210" i="46"/>
  <c r="FQ217" i="46"/>
  <c r="HD213" i="46"/>
  <c r="FQ211" i="46"/>
  <c r="HS216" i="46"/>
  <c r="GC213" i="46"/>
  <c r="GL210" i="46"/>
  <c r="JL214" i="46"/>
  <c r="GC217" i="46"/>
  <c r="GU211" i="46"/>
  <c r="FK216" i="46"/>
  <c r="ES215" i="46"/>
  <c r="EM214" i="46"/>
  <c r="DU213" i="46"/>
  <c r="DO212" i="46"/>
  <c r="DL211" i="46"/>
  <c r="CQ210" i="46"/>
  <c r="CN216" i="46"/>
  <c r="CN212" i="46"/>
  <c r="KJ212" i="46"/>
  <c r="FT217" i="46"/>
  <c r="GR211" i="46"/>
  <c r="FK217" i="46"/>
  <c r="FH216" i="46"/>
  <c r="EP215" i="46"/>
  <c r="EJ214" i="46"/>
  <c r="DR213" i="46"/>
  <c r="DL212" i="46"/>
  <c r="CW211" i="46"/>
  <c r="JU212" i="46"/>
  <c r="FN217" i="46"/>
  <c r="GO211" i="46"/>
  <c r="FH217" i="46"/>
  <c r="FE216" i="46"/>
  <c r="EJ215" i="46"/>
  <c r="EG214" i="46"/>
  <c r="DO213" i="46"/>
  <c r="DI212" i="46"/>
  <c r="CQ211" i="46"/>
  <c r="IH216" i="46"/>
  <c r="FT211" i="46"/>
  <c r="FE217" i="46"/>
  <c r="EP216" i="46"/>
  <c r="EG215" i="46"/>
  <c r="ED214" i="46"/>
  <c r="DL213" i="46"/>
  <c r="DF212" i="46"/>
  <c r="FK210" i="46"/>
  <c r="HA216" i="46"/>
  <c r="GU210" i="46"/>
  <c r="EY217" i="46"/>
  <c r="EG216" i="46"/>
  <c r="EA215" i="46"/>
  <c r="DL214" i="46"/>
  <c r="DC213" i="46"/>
  <c r="CZ212" i="46"/>
  <c r="FE210" i="46"/>
  <c r="FT215" i="46"/>
  <c r="EP217" i="46"/>
  <c r="DU216" i="46"/>
  <c r="DR215" i="46"/>
  <c r="CZ214" i="46"/>
  <c r="CT213" i="46"/>
  <c r="EY211" i="46"/>
  <c r="ES210" i="46"/>
  <c r="HD214" i="46"/>
  <c r="EA217" i="46"/>
  <c r="FQ214" i="46"/>
  <c r="DO217" i="46"/>
  <c r="DI216" i="46"/>
  <c r="CQ215" i="46"/>
  <c r="FH213" i="46"/>
  <c r="FE212" i="46"/>
  <c r="EJ211" i="46"/>
  <c r="EG210" i="46"/>
  <c r="FT213" i="46"/>
  <c r="GO217" i="46"/>
  <c r="FN213" i="46"/>
  <c r="HD216" i="46"/>
  <c r="DC217" i="46"/>
  <c r="DU215" i="46"/>
  <c r="EV213" i="46"/>
  <c r="EV211" i="46"/>
  <c r="DC210" i="46"/>
  <c r="CE216" i="46"/>
  <c r="CB212" i="46"/>
  <c r="BY214" i="46"/>
  <c r="BY210" i="46"/>
  <c r="FQ216" i="46"/>
  <c r="CZ217" i="46"/>
  <c r="DO215" i="46"/>
  <c r="ES213" i="46"/>
  <c r="ES211" i="46"/>
  <c r="CZ210" i="46"/>
  <c r="CB216" i="46"/>
  <c r="CN211" i="46"/>
  <c r="BV214" i="46"/>
  <c r="BV210" i="46"/>
  <c r="HG215" i="46"/>
  <c r="CW217" i="46"/>
  <c r="DL215" i="46"/>
  <c r="EP213" i="46"/>
  <c r="EP211" i="46"/>
  <c r="CW210" i="46"/>
  <c r="CN215" i="46"/>
  <c r="CK211" i="46"/>
  <c r="BS214" i="46"/>
  <c r="BS210" i="46"/>
  <c r="HA214" i="46"/>
  <c r="CT217" i="46"/>
  <c r="CW215" i="46"/>
  <c r="EA213" i="46"/>
  <c r="EG211" i="46"/>
  <c r="CK215" i="46"/>
  <c r="CH211" i="46"/>
  <c r="GR213" i="46"/>
  <c r="EJ216" i="46"/>
  <c r="FH214" i="46"/>
  <c r="CZ213" i="46"/>
  <c r="EA211" i="46"/>
  <c r="CE215" i="46"/>
  <c r="CB211" i="46"/>
  <c r="BY217" i="46"/>
  <c r="BY213" i="46"/>
  <c r="FQ213" i="46"/>
  <c r="DR216" i="46"/>
  <c r="EV214" i="46"/>
  <c r="FK212" i="46"/>
  <c r="DR211" i="46"/>
  <c r="HM210" i="46"/>
  <c r="DL216" i="46"/>
  <c r="EP214" i="46"/>
  <c r="EP212" i="46"/>
  <c r="FH210" i="46"/>
  <c r="FZ210" i="46"/>
  <c r="DC216" i="46"/>
  <c r="DF214" i="46"/>
  <c r="EG212" i="46"/>
  <c r="EV210" i="46"/>
  <c r="DU217" i="46"/>
  <c r="EY215" i="46"/>
  <c r="FK213" i="46"/>
  <c r="DR212" i="46"/>
  <c r="ED210" i="46"/>
  <c r="ES217" i="46"/>
  <c r="DC214" i="46"/>
  <c r="DO211" i="46"/>
  <c r="CK214" i="46"/>
  <c r="BS215" i="46"/>
  <c r="BM210" i="46"/>
  <c r="DR217" i="46"/>
  <c r="CW214" i="46"/>
  <c r="EY210" i="46"/>
  <c r="CH214" i="46"/>
  <c r="BP215" i="46"/>
  <c r="DL217" i="46"/>
  <c r="CQ214" i="46"/>
  <c r="EP210" i="46"/>
  <c r="CE214" i="46"/>
  <c r="BM215" i="46"/>
  <c r="DF217" i="46"/>
  <c r="FE213" i="46"/>
  <c r="EM210" i="46"/>
  <c r="ED216" i="46"/>
  <c r="EY213" i="46"/>
  <c r="EA210" i="46"/>
  <c r="CK213" i="46"/>
  <c r="BV213" i="46"/>
  <c r="DF216" i="46"/>
  <c r="CQ213" i="46"/>
  <c r="CZ216" i="46"/>
  <c r="FH212" i="46"/>
  <c r="CK212" i="46"/>
  <c r="EV215" i="46"/>
  <c r="EA212" i="46"/>
  <c r="ED215" i="46"/>
  <c r="DU212" i="46"/>
  <c r="FE215" i="46"/>
  <c r="DF210" i="46"/>
  <c r="CB217" i="46"/>
  <c r="BV215" i="46"/>
  <c r="BA216" i="46"/>
  <c r="BA212" i="46"/>
  <c r="AL215" i="46"/>
  <c r="AL211" i="46"/>
  <c r="AO210" i="46"/>
  <c r="DX215" i="46"/>
  <c r="CK216" i="46"/>
  <c r="BP214" i="46"/>
  <c r="AX216" i="46"/>
  <c r="AX212" i="46"/>
  <c r="AI215" i="46"/>
  <c r="AI211" i="46"/>
  <c r="FK214" i="46"/>
  <c r="CH216" i="46"/>
  <c r="BM214" i="46"/>
  <c r="BJ215" i="46"/>
  <c r="BJ211" i="46"/>
  <c r="AU214" i="46"/>
  <c r="AU210" i="46"/>
  <c r="AO214" i="46"/>
  <c r="FE214" i="46"/>
  <c r="CH215" i="46"/>
  <c r="BS213" i="46"/>
  <c r="BG215" i="46"/>
  <c r="BG211" i="46"/>
  <c r="AR214" i="46"/>
  <c r="AR210" i="46"/>
  <c r="EY214" i="46"/>
  <c r="CB215" i="46"/>
  <c r="BP213" i="46"/>
  <c r="BD215" i="46"/>
  <c r="BD211" i="46"/>
  <c r="EA214" i="46"/>
  <c r="CB214" i="46"/>
  <c r="BY212" i="46"/>
  <c r="AX215" i="46"/>
  <c r="AX211" i="46"/>
  <c r="CW213" i="46"/>
  <c r="CE213" i="46"/>
  <c r="BP212" i="46"/>
  <c r="EJ212" i="46"/>
  <c r="CB213" i="46"/>
  <c r="BV217" i="46"/>
  <c r="BM212" i="46"/>
  <c r="DC212" i="46"/>
  <c r="CE212" i="46"/>
  <c r="BP217" i="46"/>
  <c r="BV211" i="46"/>
  <c r="ED211" i="46"/>
  <c r="BY215" i="46"/>
  <c r="BD213" i="46"/>
  <c r="AO217" i="46"/>
  <c r="AO212" i="46"/>
  <c r="DL210" i="46"/>
  <c r="BY211" i="46"/>
  <c r="AR216" i="46"/>
  <c r="GL217" i="46"/>
  <c r="DX211" i="46"/>
  <c r="BM213" i="46"/>
  <c r="BA213" i="46"/>
  <c r="AL217" i="46"/>
  <c r="AL212" i="46"/>
  <c r="BD217" i="46"/>
  <c r="GX214" i="46"/>
  <c r="DU211" i="46"/>
  <c r="BV212" i="46"/>
  <c r="AX213" i="46"/>
  <c r="AI217" i="46"/>
  <c r="AI212" i="46"/>
  <c r="BG212" i="46"/>
  <c r="CK217" i="46"/>
  <c r="BP211" i="46"/>
  <c r="GF213" i="46"/>
  <c r="EJ210" i="46"/>
  <c r="BS212" i="46"/>
  <c r="BJ212" i="46"/>
  <c r="AU216" i="46"/>
  <c r="AU211" i="46"/>
  <c r="BJ217" i="46"/>
  <c r="AR211" i="46"/>
  <c r="BA211" i="46"/>
  <c r="FW213" i="46"/>
  <c r="FN212" i="46"/>
  <c r="CN217" i="46"/>
  <c r="BS211" i="46"/>
  <c r="BG217" i="46"/>
  <c r="BD212" i="46"/>
  <c r="AO216" i="46"/>
  <c r="AO211" i="46"/>
  <c r="GI210" i="46"/>
  <c r="GI218" i="46" s="1"/>
  <c r="CH217" i="46"/>
  <c r="BM211" i="46"/>
  <c r="BA217" i="46"/>
  <c r="BJ210" i="46"/>
  <c r="AI216" i="46"/>
  <c r="AI210" i="46"/>
  <c r="FB217" i="46"/>
  <c r="CE217" i="46"/>
  <c r="BP210" i="46"/>
  <c r="AX217" i="46"/>
  <c r="BG210" i="46"/>
  <c r="EA216" i="46"/>
  <c r="CH213" i="46"/>
  <c r="DO216" i="46"/>
  <c r="CH212" i="46"/>
  <c r="BA215" i="46"/>
  <c r="AI214" i="46"/>
  <c r="ES214" i="46"/>
  <c r="CN210" i="46"/>
  <c r="BM217" i="46"/>
  <c r="CW212" i="46"/>
  <c r="FE211" i="46"/>
  <c r="BM216" i="46"/>
  <c r="BG213" i="46"/>
  <c r="AR217" i="46"/>
  <c r="AR212" i="46"/>
  <c r="CW216" i="46"/>
  <c r="BS216" i="46"/>
  <c r="BA214" i="46"/>
  <c r="BJ214" i="46"/>
  <c r="FB213" i="46"/>
  <c r="CN214" i="46"/>
  <c r="BP216" i="46"/>
  <c r="AX214" i="46"/>
  <c r="AU217" i="46"/>
  <c r="AR215" i="46"/>
  <c r="AU213" i="46"/>
  <c r="AR213" i="46"/>
  <c r="DF213" i="46"/>
  <c r="CN213" i="46"/>
  <c r="BJ213" i="46"/>
  <c r="AL216" i="46"/>
  <c r="AX210" i="46"/>
  <c r="AO215" i="46"/>
  <c r="CE210" i="46"/>
  <c r="BD216" i="46"/>
  <c r="BS217" i="46"/>
  <c r="EV217" i="46"/>
  <c r="ED212" i="46"/>
  <c r="CE211" i="46"/>
  <c r="BD210" i="46"/>
  <c r="AU215" i="46"/>
  <c r="BA210" i="46"/>
  <c r="AL214" i="46"/>
  <c r="AO213" i="46"/>
  <c r="AL210" i="46"/>
  <c r="CK210" i="46"/>
  <c r="CH210" i="46"/>
  <c r="BG214" i="46"/>
  <c r="CB210" i="46"/>
  <c r="AL213" i="46"/>
  <c r="AI213" i="46"/>
  <c r="AU212" i="46"/>
  <c r="BG216" i="46"/>
  <c r="BY216" i="46"/>
  <c r="BJ216" i="46"/>
  <c r="CQ217" i="46"/>
  <c r="BV216" i="46"/>
  <c r="BD214" i="46"/>
  <c r="T222" i="46"/>
  <c r="T221" i="46"/>
  <c r="T220" i="46"/>
  <c r="W220" i="46"/>
  <c r="W224" i="46" s="1"/>
  <c r="Z223" i="46"/>
  <c r="Z221" i="46"/>
  <c r="Z220" i="46"/>
  <c r="AC223" i="46"/>
  <c r="W221" i="46"/>
  <c r="AC220" i="46"/>
  <c r="W223" i="46"/>
  <c r="Z222" i="46"/>
  <c r="AC222" i="46"/>
  <c r="W222" i="46"/>
  <c r="AC221" i="46"/>
  <c r="T223" i="46"/>
  <c r="JI223" i="46"/>
  <c r="JX222" i="46"/>
  <c r="KM221" i="46"/>
  <c r="JF223" i="46"/>
  <c r="JU222" i="46"/>
  <c r="KJ221" i="46"/>
  <c r="JC223" i="46"/>
  <c r="JR222" i="46"/>
  <c r="KG221" i="46"/>
  <c r="KG223" i="46"/>
  <c r="KM222" i="46"/>
  <c r="KS221" i="46"/>
  <c r="KD223" i="46"/>
  <c r="KJ222" i="46"/>
  <c r="KP221" i="46"/>
  <c r="KA223" i="46"/>
  <c r="KG222" i="46"/>
  <c r="KD221" i="46"/>
  <c r="JL223" i="46"/>
  <c r="IZ222" i="46"/>
  <c r="IW221" i="46"/>
  <c r="IZ223" i="46"/>
  <c r="IW222" i="46"/>
  <c r="IT221" i="46"/>
  <c r="IW223" i="46"/>
  <c r="IT222" i="46"/>
  <c r="IQ221" i="46"/>
  <c r="LE222" i="46"/>
  <c r="LB221" i="46"/>
  <c r="KY223" i="46"/>
  <c r="KV222" i="46"/>
  <c r="KA221" i="46"/>
  <c r="KS222" i="46"/>
  <c r="JI221" i="46"/>
  <c r="JX220" i="46"/>
  <c r="KP222" i="46"/>
  <c r="JF221" i="46"/>
  <c r="KD222" i="46"/>
  <c r="JC221" i="46"/>
  <c r="LE223" i="46"/>
  <c r="KA222" i="46"/>
  <c r="IZ221" i="46"/>
  <c r="LB222" i="46"/>
  <c r="KY222" i="46"/>
  <c r="JC220" i="46"/>
  <c r="JO222" i="46"/>
  <c r="JL222" i="46"/>
  <c r="JI222" i="46"/>
  <c r="KS220" i="46"/>
  <c r="KS224" i="46" s="1"/>
  <c r="JF222" i="46"/>
  <c r="GR223" i="46"/>
  <c r="HG222" i="46"/>
  <c r="HV221" i="46"/>
  <c r="FN221" i="46"/>
  <c r="JC222" i="46"/>
  <c r="GO223" i="46"/>
  <c r="IQ222" i="46"/>
  <c r="IN222" i="46"/>
  <c r="KM223" i="46"/>
  <c r="JR221" i="46"/>
  <c r="JX221" i="46"/>
  <c r="GC223" i="46"/>
  <c r="GO222" i="46"/>
  <c r="HA221" i="46"/>
  <c r="JU221" i="46"/>
  <c r="FZ223" i="46"/>
  <c r="GL222" i="46"/>
  <c r="GX221" i="46"/>
  <c r="JO221" i="46"/>
  <c r="FW223" i="46"/>
  <c r="GI222" i="46"/>
  <c r="GU221" i="46"/>
  <c r="LB223" i="46"/>
  <c r="JL221" i="46"/>
  <c r="KS223" i="46"/>
  <c r="IK221" i="46"/>
  <c r="IB223" i="46"/>
  <c r="JR223" i="46"/>
  <c r="IN223" i="46"/>
  <c r="FT223" i="46"/>
  <c r="FW222" i="46"/>
  <c r="FZ221" i="46"/>
  <c r="IK223" i="46"/>
  <c r="FQ223" i="46"/>
  <c r="FT222" i="46"/>
  <c r="FW221" i="46"/>
  <c r="IK222" i="46"/>
  <c r="FN223" i="46"/>
  <c r="FQ222" i="46"/>
  <c r="FT221" i="46"/>
  <c r="LE221" i="46"/>
  <c r="IH222" i="46"/>
  <c r="FN222" i="46"/>
  <c r="FQ221" i="46"/>
  <c r="KV221" i="46"/>
  <c r="IE223" i="46"/>
  <c r="IB222" i="46"/>
  <c r="IE221" i="46"/>
  <c r="KV223" i="46"/>
  <c r="HS222" i="46"/>
  <c r="HD221" i="46"/>
  <c r="KP223" i="46"/>
  <c r="HP222" i="46"/>
  <c r="GR221" i="46"/>
  <c r="HD220" i="46"/>
  <c r="KJ223" i="46"/>
  <c r="IH223" i="46"/>
  <c r="HM222" i="46"/>
  <c r="GO221" i="46"/>
  <c r="JX223" i="46"/>
  <c r="HY223" i="46"/>
  <c r="HJ222" i="46"/>
  <c r="GL221" i="46"/>
  <c r="JU223" i="46"/>
  <c r="HV223" i="46"/>
  <c r="HD222" i="46"/>
  <c r="GI221" i="46"/>
  <c r="IT223" i="46"/>
  <c r="HP223" i="46"/>
  <c r="GX222" i="46"/>
  <c r="GC221" i="46"/>
  <c r="IN221" i="46"/>
  <c r="GR222" i="46"/>
  <c r="EM223" i="46"/>
  <c r="FB222" i="46"/>
  <c r="CT222" i="46"/>
  <c r="DI221" i="46"/>
  <c r="GF222" i="46"/>
  <c r="EJ223" i="46"/>
  <c r="EY222" i="46"/>
  <c r="CQ222" i="46"/>
  <c r="GC222" i="46"/>
  <c r="EG223" i="46"/>
  <c r="EV222" i="46"/>
  <c r="FK221" i="46"/>
  <c r="FZ222" i="46"/>
  <c r="HM223" i="46"/>
  <c r="IB221" i="46"/>
  <c r="HJ223" i="46"/>
  <c r="HY221" i="46"/>
  <c r="KG220" i="46"/>
  <c r="HA223" i="46"/>
  <c r="HM221" i="46"/>
  <c r="GX223" i="46"/>
  <c r="HJ221" i="46"/>
  <c r="HG223" i="46"/>
  <c r="ED223" i="46"/>
  <c r="EJ222" i="46"/>
  <c r="EP221" i="46"/>
  <c r="DU220" i="46"/>
  <c r="HD223" i="46"/>
  <c r="FZ220" i="46"/>
  <c r="EA223" i="46"/>
  <c r="EG222" i="46"/>
  <c r="EM221" i="46"/>
  <c r="DR220" i="46"/>
  <c r="GU223" i="46"/>
  <c r="DX223" i="46"/>
  <c r="ED222" i="46"/>
  <c r="EJ221" i="46"/>
  <c r="DO220" i="46"/>
  <c r="GL223" i="46"/>
  <c r="DU223" i="46"/>
  <c r="EA222" i="46"/>
  <c r="EG221" i="46"/>
  <c r="DL220" i="46"/>
  <c r="GF223" i="46"/>
  <c r="DO223" i="46"/>
  <c r="DU222" i="46"/>
  <c r="EA221" i="46"/>
  <c r="IE222" i="46"/>
  <c r="HJ220" i="46"/>
  <c r="DL223" i="46"/>
  <c r="JO223" i="46"/>
  <c r="GU222" i="46"/>
  <c r="CZ223" i="46"/>
  <c r="DF222" i="46"/>
  <c r="DL221" i="46"/>
  <c r="CT220" i="46"/>
  <c r="KY221" i="46"/>
  <c r="HS221" i="46"/>
  <c r="GF221" i="46"/>
  <c r="CW223" i="46"/>
  <c r="EY221" i="46"/>
  <c r="CQ220" i="46"/>
  <c r="CN222" i="46"/>
  <c r="CT223" i="46"/>
  <c r="EV221" i="46"/>
  <c r="CK222" i="46"/>
  <c r="CQ223" i="46"/>
  <c r="ES221" i="46"/>
  <c r="HS223" i="46"/>
  <c r="FK222" i="46"/>
  <c r="ED221" i="46"/>
  <c r="EP220" i="46"/>
  <c r="HY222" i="46"/>
  <c r="FE222" i="46"/>
  <c r="DU221" i="46"/>
  <c r="IH221" i="46"/>
  <c r="FK223" i="46"/>
  <c r="EM222" i="46"/>
  <c r="DF221" i="46"/>
  <c r="HP221" i="46"/>
  <c r="GI220" i="46"/>
  <c r="FH223" i="46"/>
  <c r="DX222" i="46"/>
  <c r="DC221" i="46"/>
  <c r="EY223" i="46"/>
  <c r="DL222" i="46"/>
  <c r="CT221" i="46"/>
  <c r="DR223" i="46"/>
  <c r="CW222" i="46"/>
  <c r="DI222" i="46"/>
  <c r="CH222" i="46"/>
  <c r="BY220" i="46"/>
  <c r="DC222" i="46"/>
  <c r="CE222" i="46"/>
  <c r="BV220" i="46"/>
  <c r="CZ222" i="46"/>
  <c r="CB222" i="46"/>
  <c r="BS220" i="46"/>
  <c r="IQ223" i="46"/>
  <c r="FH221" i="46"/>
  <c r="CN221" i="46"/>
  <c r="FB221" i="46"/>
  <c r="EA220" i="46"/>
  <c r="CH221" i="46"/>
  <c r="BY223" i="46"/>
  <c r="FB223" i="46"/>
  <c r="DO221" i="46"/>
  <c r="HV222" i="46"/>
  <c r="ES223" i="46"/>
  <c r="CW221" i="46"/>
  <c r="DC220" i="46"/>
  <c r="HG221" i="46"/>
  <c r="DI223" i="46"/>
  <c r="CW220" i="46"/>
  <c r="ES222" i="46"/>
  <c r="CE223" i="46"/>
  <c r="BP222" i="46"/>
  <c r="FH220" i="46"/>
  <c r="CB223" i="46"/>
  <c r="BM222" i="46"/>
  <c r="CK221" i="46"/>
  <c r="BY221" i="46"/>
  <c r="CN220" i="46"/>
  <c r="CN224" i="46" s="1"/>
  <c r="BP221" i="46"/>
  <c r="IH220" i="46"/>
  <c r="IH224" i="46" s="1"/>
  <c r="EP223" i="46"/>
  <c r="DF223" i="46"/>
  <c r="CB220" i="46"/>
  <c r="CB224" i="46" s="1"/>
  <c r="EP222" i="46"/>
  <c r="DR222" i="46"/>
  <c r="BP223" i="46"/>
  <c r="BA222" i="46"/>
  <c r="AL221" i="46"/>
  <c r="BM223" i="46"/>
  <c r="AX222" i="46"/>
  <c r="AI221" i="46"/>
  <c r="BY222" i="46"/>
  <c r="BJ221" i="46"/>
  <c r="AU220" i="46"/>
  <c r="BV222" i="46"/>
  <c r="BG221" i="46"/>
  <c r="AR220" i="46"/>
  <c r="BS222" i="46"/>
  <c r="BD221" i="46"/>
  <c r="AO220" i="46"/>
  <c r="AO224" i="46" s="1"/>
  <c r="GI223" i="46"/>
  <c r="BS221" i="46"/>
  <c r="AX221" i="46"/>
  <c r="DC223" i="46"/>
  <c r="CK223" i="46"/>
  <c r="BM220" i="46"/>
  <c r="FH222" i="46"/>
  <c r="DI220" i="46"/>
  <c r="CH223" i="46"/>
  <c r="FE221" i="46"/>
  <c r="CB221" i="46"/>
  <c r="CN223" i="46"/>
  <c r="BG220" i="46"/>
  <c r="CE220" i="46"/>
  <c r="CE221" i="46"/>
  <c r="BD220" i="46"/>
  <c r="CK220" i="46"/>
  <c r="CK224" i="46" s="1"/>
  <c r="BA220" i="46"/>
  <c r="BA224" i="46" s="1"/>
  <c r="AR223" i="46"/>
  <c r="CH220" i="46"/>
  <c r="CH224" i="46" s="1"/>
  <c r="AX220" i="46"/>
  <c r="AU223" i="46"/>
  <c r="FE223" i="46"/>
  <c r="AO223" i="46"/>
  <c r="EV223" i="46"/>
  <c r="DO222" i="46"/>
  <c r="CZ220" i="46"/>
  <c r="AI223" i="46"/>
  <c r="DX221" i="46"/>
  <c r="BV223" i="46"/>
  <c r="CQ221" i="46"/>
  <c r="BM221" i="46"/>
  <c r="BP220" i="46"/>
  <c r="BD223" i="46"/>
  <c r="AI222" i="46"/>
  <c r="BJ220" i="46"/>
  <c r="AI220" i="46"/>
  <c r="AR221" i="46"/>
  <c r="DR221" i="46"/>
  <c r="AX223" i="46"/>
  <c r="AO222" i="46"/>
  <c r="CZ221" i="46"/>
  <c r="BJ223" i="46"/>
  <c r="BA223" i="46"/>
  <c r="AR222" i="46"/>
  <c r="AO221" i="46"/>
  <c r="BA221" i="46"/>
  <c r="BS223" i="46"/>
  <c r="AU221" i="46"/>
  <c r="HA222" i="46"/>
  <c r="BG223" i="46"/>
  <c r="BJ222" i="46"/>
  <c r="BG222" i="46"/>
  <c r="AL223" i="46"/>
  <c r="BD222" i="46"/>
  <c r="AU222" i="46"/>
  <c r="AL222" i="46"/>
  <c r="BV221" i="46"/>
  <c r="AL220" i="46"/>
  <c r="IN220" i="46"/>
  <c r="IN224" i="46" s="1"/>
  <c r="HS220" i="46"/>
  <c r="HS224" i="46" s="1"/>
  <c r="IW220" i="46"/>
  <c r="IW224" i="46" s="1"/>
  <c r="DF220" i="46"/>
  <c r="IE220" i="46"/>
  <c r="FE220" i="46"/>
  <c r="KA220" i="46"/>
  <c r="GX220" i="46"/>
  <c r="IZ220" i="46"/>
  <c r="EV220" i="46"/>
  <c r="GF220" i="46"/>
  <c r="GR220" i="46"/>
  <c r="KJ220" i="46"/>
  <c r="JF220" i="46"/>
  <c r="IK220" i="46"/>
  <c r="HA220" i="46"/>
  <c r="IT220" i="46"/>
  <c r="HV220" i="46"/>
  <c r="DX220" i="46"/>
  <c r="EY220" i="46"/>
  <c r="FQ220" i="46"/>
  <c r="FQ224" i="46" s="1"/>
  <c r="JL220" i="46"/>
  <c r="JL224" i="46" s="1"/>
  <c r="KV220" i="46"/>
  <c r="LE220" i="46"/>
  <c r="HM220" i="46"/>
  <c r="FN220" i="46"/>
  <c r="HG220" i="46"/>
  <c r="KY220" i="46"/>
  <c r="JO220" i="46"/>
  <c r="FB220" i="46"/>
  <c r="EJ220" i="46"/>
  <c r="KD220" i="46"/>
  <c r="KD224" i="46" s="1"/>
  <c r="GC220" i="46"/>
  <c r="GO220" i="46"/>
  <c r="FT220" i="46"/>
  <c r="IQ220" i="46"/>
  <c r="IQ224" i="46" s="1"/>
  <c r="KM220" i="46"/>
  <c r="JR220" i="46"/>
  <c r="ES220" i="46"/>
  <c r="GU220" i="46"/>
  <c r="GU224" i="46" s="1"/>
  <c r="FW220" i="46"/>
  <c r="EG220" i="46"/>
  <c r="EG224" i="46" s="1"/>
  <c r="HP220" i="46"/>
  <c r="JU220" i="46"/>
  <c r="JU224" i="46" s="1"/>
  <c r="HY220" i="46"/>
  <c r="FK220" i="46"/>
  <c r="ED220" i="46"/>
  <c r="GL220" i="46"/>
  <c r="JI220" i="46"/>
  <c r="KP220" i="46"/>
  <c r="IB220" i="46"/>
  <c r="EM220" i="46"/>
  <c r="LB220" i="46"/>
  <c r="H85" i="48"/>
  <c r="AG85" i="48"/>
  <c r="M85" i="48"/>
  <c r="P85" i="48"/>
  <c r="X85" i="48"/>
  <c r="K85" i="48"/>
  <c r="AI85" i="48"/>
  <c r="AA85" i="48"/>
  <c r="W85" i="48"/>
  <c r="N85" i="48"/>
  <c r="AE85" i="48"/>
  <c r="AB85" i="48"/>
  <c r="AK85" i="48"/>
  <c r="AC85" i="48"/>
  <c r="I85" i="48"/>
  <c r="J85" i="48"/>
  <c r="Z85" i="48"/>
  <c r="AJ85" i="48"/>
  <c r="L85" i="48"/>
  <c r="AD85" i="48"/>
  <c r="S85" i="48"/>
  <c r="R85" i="48"/>
  <c r="O85" i="48"/>
  <c r="U85" i="48"/>
  <c r="Q85" i="48"/>
  <c r="AL85" i="48"/>
  <c r="AH85" i="48"/>
  <c r="V85" i="48"/>
  <c r="AF85" i="48"/>
  <c r="T85" i="48"/>
  <c r="Y85" i="48"/>
  <c r="E86" i="48"/>
  <c r="F86" i="48" s="1" a="1"/>
  <c r="F86" i="48" s="1"/>
  <c r="AF223" i="46"/>
  <c r="AF221" i="46"/>
  <c r="AF222" i="46"/>
  <c r="AF220" i="46"/>
  <c r="AF210" i="46"/>
  <c r="AF211" i="46"/>
  <c r="AF212" i="46"/>
  <c r="AF213" i="46"/>
  <c r="AF216" i="46"/>
  <c r="AF214" i="46"/>
  <c r="AF217" i="46"/>
  <c r="AF215" i="46"/>
  <c r="AA143" i="3"/>
  <c r="H138" i="3"/>
  <c r="M228" i="46"/>
  <c r="AM14" i="45"/>
  <c r="AM37" i="45"/>
  <c r="C233" i="46"/>
  <c r="DT139" i="3"/>
  <c r="K233" i="46"/>
  <c r="AF147" i="3"/>
  <c r="D139" i="3"/>
  <c r="M227" i="46"/>
  <c r="M138" i="3"/>
  <c r="AA138" i="3" s="1"/>
  <c r="AG131" i="3"/>
  <c r="L3" i="47"/>
  <c r="L2" i="47"/>
  <c r="M2" i="47"/>
  <c r="DX224" i="46" l="1"/>
  <c r="HM224" i="46"/>
  <c r="HJ224" i="46"/>
  <c r="EY224" i="46"/>
  <c r="ES224" i="46"/>
  <c r="BD218" i="46"/>
  <c r="BG218" i="46"/>
  <c r="CQ224" i="46"/>
  <c r="KV224" i="46"/>
  <c r="KM224" i="46"/>
  <c r="IT224" i="46"/>
  <c r="BJ224" i="46"/>
  <c r="FW224" i="46"/>
  <c r="KA218" i="46"/>
  <c r="LE218" i="46"/>
  <c r="LB218" i="46"/>
  <c r="JR224" i="46"/>
  <c r="CW224" i="46"/>
  <c r="EV224" i="46"/>
  <c r="AX218" i="46"/>
  <c r="FB224" i="46"/>
  <c r="JI224" i="46"/>
  <c r="IZ224" i="46"/>
  <c r="JO224" i="46"/>
  <c r="DR224" i="46"/>
  <c r="GL224" i="46"/>
  <c r="KY224" i="46"/>
  <c r="JX224" i="46"/>
  <c r="ED224" i="46"/>
  <c r="HM218" i="46"/>
  <c r="KS218" i="46"/>
  <c r="HV224" i="46"/>
  <c r="FK224" i="46"/>
  <c r="DL224" i="46"/>
  <c r="DL218" i="46"/>
  <c r="DI224" i="46"/>
  <c r="EA224" i="46"/>
  <c r="KP224" i="46"/>
  <c r="EM218" i="46"/>
  <c r="GR218" i="46"/>
  <c r="GX224" i="46"/>
  <c r="CZ224" i="46"/>
  <c r="BY224" i="46"/>
  <c r="EP224" i="46"/>
  <c r="CT218" i="46"/>
  <c r="JC218" i="46"/>
  <c r="JO218" i="46"/>
  <c r="IK218" i="46"/>
  <c r="HG224" i="46"/>
  <c r="KA224" i="46"/>
  <c r="BM224" i="46"/>
  <c r="DC224" i="46"/>
  <c r="AC224" i="46"/>
  <c r="BP218" i="46"/>
  <c r="AU218" i="46"/>
  <c r="FB218" i="46"/>
  <c r="GC218" i="46"/>
  <c r="KM218" i="46"/>
  <c r="AC218" i="46"/>
  <c r="FN224" i="46"/>
  <c r="FE224" i="46"/>
  <c r="DF218" i="46"/>
  <c r="EV218" i="46"/>
  <c r="DR218" i="46"/>
  <c r="GX218" i="46"/>
  <c r="JF218" i="46"/>
  <c r="IW218" i="46"/>
  <c r="HY224" i="46"/>
  <c r="IE224" i="46"/>
  <c r="FZ224" i="46"/>
  <c r="EP218" i="46"/>
  <c r="BV218" i="46"/>
  <c r="HP218" i="46"/>
  <c r="Z218" i="46"/>
  <c r="LE224" i="46"/>
  <c r="DF224" i="46"/>
  <c r="Z224" i="46"/>
  <c r="AI218" i="46"/>
  <c r="FE218" i="46"/>
  <c r="CQ218" i="46"/>
  <c r="FK218" i="46"/>
  <c r="KG218" i="46"/>
  <c r="JU218" i="46"/>
  <c r="KY218" i="46"/>
  <c r="IQ218" i="46"/>
  <c r="HP224" i="46"/>
  <c r="DU224" i="46"/>
  <c r="CE218" i="46"/>
  <c r="AX224" i="46"/>
  <c r="BJ218" i="46"/>
  <c r="EJ218" i="46"/>
  <c r="FZ218" i="46"/>
  <c r="EG218" i="46"/>
  <c r="HJ218" i="46"/>
  <c r="IE218" i="46"/>
  <c r="FQ218" i="46"/>
  <c r="KD218" i="46"/>
  <c r="W218" i="46"/>
  <c r="FH218" i="46"/>
  <c r="CZ218" i="46"/>
  <c r="GF218" i="46"/>
  <c r="HA218" i="46"/>
  <c r="FN218" i="46"/>
  <c r="T218" i="46"/>
  <c r="AL224" i="46"/>
  <c r="T224" i="46"/>
  <c r="EY218" i="46"/>
  <c r="DX218" i="46"/>
  <c r="HY218" i="46"/>
  <c r="JI218" i="46"/>
  <c r="IN218" i="46"/>
  <c r="DO218" i="46"/>
  <c r="FT218" i="46"/>
  <c r="AI224" i="46"/>
  <c r="AR224" i="46"/>
  <c r="HD224" i="46"/>
  <c r="JC224" i="46"/>
  <c r="CB218" i="46"/>
  <c r="BD224" i="46"/>
  <c r="GI224" i="46"/>
  <c r="HA224" i="46"/>
  <c r="CN218" i="46"/>
  <c r="BM218" i="46"/>
  <c r="GU218" i="46"/>
  <c r="KJ218" i="46"/>
  <c r="KP218" i="46"/>
  <c r="CH218" i="46"/>
  <c r="HD218" i="46"/>
  <c r="JR218" i="46"/>
  <c r="FT224" i="46"/>
  <c r="IK224" i="46"/>
  <c r="CE224" i="46"/>
  <c r="AU224" i="46"/>
  <c r="CK218" i="46"/>
  <c r="AR218" i="46"/>
  <c r="BS218" i="46"/>
  <c r="BY218" i="46"/>
  <c r="GO218" i="46"/>
  <c r="HS218" i="46"/>
  <c r="KV218" i="46"/>
  <c r="IT218" i="46"/>
  <c r="GO224" i="46"/>
  <c r="JF224" i="46"/>
  <c r="BP224" i="46"/>
  <c r="BG224" i="46"/>
  <c r="FH224" i="46"/>
  <c r="BS224" i="46"/>
  <c r="DO224" i="46"/>
  <c r="KG224" i="46"/>
  <c r="AL218" i="46"/>
  <c r="GL218" i="46"/>
  <c r="JL218" i="46"/>
  <c r="LB224" i="46"/>
  <c r="GC224" i="46"/>
  <c r="KJ224" i="46"/>
  <c r="AO218" i="46"/>
  <c r="EA218" i="46"/>
  <c r="DU218" i="46"/>
  <c r="HV218" i="46"/>
  <c r="EM224" i="46"/>
  <c r="GR224" i="46"/>
  <c r="CT224" i="46"/>
  <c r="ES218" i="46"/>
  <c r="DI218" i="46"/>
  <c r="IB218" i="46"/>
  <c r="IH218" i="46"/>
  <c r="IZ218" i="46"/>
  <c r="IB224" i="46"/>
  <c r="EJ224" i="46"/>
  <c r="GF224" i="46"/>
  <c r="BV224" i="46"/>
  <c r="BA218" i="46"/>
  <c r="ED218" i="46"/>
  <c r="CW218" i="46"/>
  <c r="DC218" i="46"/>
  <c r="HG218" i="46"/>
  <c r="FW218" i="46"/>
  <c r="JX218" i="46"/>
  <c r="U86" i="48"/>
  <c r="AC86" i="48"/>
  <c r="S86" i="48"/>
  <c r="AI86" i="48"/>
  <c r="AA86" i="48"/>
  <c r="W86" i="48"/>
  <c r="AE86" i="48"/>
  <c r="R86" i="48"/>
  <c r="J86" i="48"/>
  <c r="V86" i="48"/>
  <c r="AK86" i="48"/>
  <c r="I86" i="48"/>
  <c r="P86" i="48"/>
  <c r="AH86" i="48"/>
  <c r="L86" i="48"/>
  <c r="Z86" i="48"/>
  <c r="AD86" i="48"/>
  <c r="K86" i="48"/>
  <c r="AF86" i="48"/>
  <c r="H86" i="48"/>
  <c r="Y86" i="48"/>
  <c r="M86" i="48"/>
  <c r="Q86" i="48"/>
  <c r="AG86" i="48"/>
  <c r="AJ86" i="48"/>
  <c r="X86" i="48"/>
  <c r="AB86" i="48"/>
  <c r="AL86" i="48"/>
  <c r="O86" i="48"/>
  <c r="T86" i="48"/>
  <c r="N86" i="48"/>
  <c r="G86" i="48"/>
  <c r="E87" i="48"/>
  <c r="S272" i="46"/>
  <c r="V272" i="46"/>
  <c r="AB272" i="46"/>
  <c r="AE272" i="46"/>
  <c r="Y272" i="46"/>
  <c r="AF224" i="46"/>
  <c r="AF218" i="46"/>
  <c r="N143" i="3"/>
  <c r="N147" i="3"/>
  <c r="AG139" i="3"/>
  <c r="AU26" i="45"/>
  <c r="AA151" i="3"/>
  <c r="H147" i="3"/>
  <c r="M241" i="46"/>
  <c r="AQ31" i="45"/>
  <c r="AA152" i="3"/>
  <c r="DT143" i="3"/>
  <c r="M236" i="46"/>
  <c r="C244" i="46"/>
  <c r="K244" i="46"/>
  <c r="D143" i="3"/>
  <c r="AG143" i="3" s="1"/>
  <c r="K232" i="46"/>
  <c r="AA147" i="3"/>
  <c r="C232" i="46"/>
  <c r="AM13" i="45"/>
  <c r="DT138" i="3"/>
  <c r="D138" i="3"/>
  <c r="M226" i="46"/>
  <c r="M218" i="46"/>
  <c r="K3" i="47" s="1"/>
  <c r="W232" i="46" l="1"/>
  <c r="T233" i="46"/>
  <c r="T232" i="46"/>
  <c r="AC233" i="46"/>
  <c r="Z233" i="46"/>
  <c r="W233" i="46"/>
  <c r="AC232" i="46"/>
  <c r="Z232" i="46"/>
  <c r="JR233" i="46"/>
  <c r="JO233" i="46"/>
  <c r="JL233" i="46"/>
  <c r="KY233" i="46"/>
  <c r="IQ233" i="46"/>
  <c r="IK233" i="46"/>
  <c r="LE233" i="46"/>
  <c r="LB233" i="46"/>
  <c r="KD233" i="46"/>
  <c r="KA233" i="46"/>
  <c r="JX233" i="46"/>
  <c r="IZ233" i="46"/>
  <c r="IN233" i="46"/>
  <c r="JU233" i="46"/>
  <c r="JI233" i="46"/>
  <c r="JF233" i="46"/>
  <c r="JC233" i="46"/>
  <c r="GL233" i="46"/>
  <c r="GI233" i="46"/>
  <c r="KV233" i="46"/>
  <c r="GF233" i="46"/>
  <c r="KS233" i="46"/>
  <c r="HV233" i="46"/>
  <c r="HS233" i="46"/>
  <c r="HP233" i="46"/>
  <c r="HG233" i="46"/>
  <c r="KP233" i="46"/>
  <c r="IH233" i="46"/>
  <c r="IE233" i="46"/>
  <c r="HY233" i="46"/>
  <c r="HY232" i="46"/>
  <c r="HY234" i="46" s="1"/>
  <c r="GF232" i="46"/>
  <c r="GF234" i="46" s="1"/>
  <c r="KM233" i="46"/>
  <c r="KJ233" i="46"/>
  <c r="IB233" i="46"/>
  <c r="KG233" i="46"/>
  <c r="HM233" i="46"/>
  <c r="IT233" i="46"/>
  <c r="HD233" i="46"/>
  <c r="HM232" i="46"/>
  <c r="EV233" i="46"/>
  <c r="ES233" i="46"/>
  <c r="DU232" i="46"/>
  <c r="EP233" i="46"/>
  <c r="DR232" i="46"/>
  <c r="IW233" i="46"/>
  <c r="HJ233" i="46"/>
  <c r="HA233" i="46"/>
  <c r="GR233" i="46"/>
  <c r="HA232" i="46"/>
  <c r="HA234" i="46" s="1"/>
  <c r="GO233" i="46"/>
  <c r="EY233" i="46"/>
  <c r="GX233" i="46"/>
  <c r="EM233" i="46"/>
  <c r="GU233" i="46"/>
  <c r="EJ233" i="46"/>
  <c r="DC232" i="46"/>
  <c r="GC233" i="46"/>
  <c r="EG233" i="46"/>
  <c r="CZ232" i="46"/>
  <c r="FW233" i="46"/>
  <c r="EA233" i="46"/>
  <c r="CT232" i="46"/>
  <c r="FT233" i="46"/>
  <c r="DX233" i="46"/>
  <c r="CQ232" i="46"/>
  <c r="DL233" i="46"/>
  <c r="FZ233" i="46"/>
  <c r="DU233" i="46"/>
  <c r="FQ233" i="46"/>
  <c r="DR233" i="46"/>
  <c r="FN233" i="46"/>
  <c r="DO233" i="46"/>
  <c r="DI233" i="46"/>
  <c r="DC233" i="46"/>
  <c r="DX232" i="46"/>
  <c r="CN233" i="46"/>
  <c r="CT233" i="46"/>
  <c r="DL232" i="46"/>
  <c r="CQ233" i="46"/>
  <c r="FH233" i="46"/>
  <c r="BY232" i="46"/>
  <c r="BV232" i="46"/>
  <c r="BS232" i="46"/>
  <c r="FK233" i="46"/>
  <c r="EA232" i="46"/>
  <c r="FB233" i="46"/>
  <c r="DO232" i="46"/>
  <c r="CW233" i="46"/>
  <c r="EP232" i="46"/>
  <c r="CK232" i="46"/>
  <c r="CH232" i="46"/>
  <c r="CE232" i="46"/>
  <c r="FE233" i="46"/>
  <c r="CW232" i="46"/>
  <c r="CZ233" i="46"/>
  <c r="BV233" i="46"/>
  <c r="AL233" i="46"/>
  <c r="ED233" i="46"/>
  <c r="BS233" i="46"/>
  <c r="AI233" i="46"/>
  <c r="DF233" i="46"/>
  <c r="BP233" i="46"/>
  <c r="BJ233" i="46"/>
  <c r="AU232" i="46"/>
  <c r="BM233" i="46"/>
  <c r="BG233" i="46"/>
  <c r="AR232" i="46"/>
  <c r="BP232" i="46"/>
  <c r="BD233" i="46"/>
  <c r="AO232" i="46"/>
  <c r="AX233" i="46"/>
  <c r="HD232" i="46"/>
  <c r="CH233" i="46"/>
  <c r="AU233" i="46"/>
  <c r="AR233" i="46"/>
  <c r="AO233" i="46"/>
  <c r="AI232" i="46"/>
  <c r="AI234" i="46" s="1"/>
  <c r="CE233" i="46"/>
  <c r="CB233" i="46"/>
  <c r="BG232" i="46"/>
  <c r="CB232" i="46"/>
  <c r="BM232" i="46"/>
  <c r="BA232" i="46"/>
  <c r="AL232" i="46"/>
  <c r="AX232" i="46"/>
  <c r="CK233" i="46"/>
  <c r="BJ232" i="46"/>
  <c r="BA233" i="46"/>
  <c r="CN232" i="46"/>
  <c r="BY233" i="46"/>
  <c r="BD232" i="46"/>
  <c r="IZ232" i="46"/>
  <c r="GL232" i="46"/>
  <c r="JF232" i="46"/>
  <c r="JF234" i="46" s="1"/>
  <c r="FB232" i="46"/>
  <c r="IN232" i="46"/>
  <c r="IN234" i="46" s="1"/>
  <c r="HS232" i="46"/>
  <c r="HS234" i="46" s="1"/>
  <c r="GX232" i="46"/>
  <c r="GX234" i="46" s="1"/>
  <c r="DI232" i="46"/>
  <c r="IB232" i="46"/>
  <c r="KS232" i="46"/>
  <c r="KS234" i="46" s="1"/>
  <c r="FQ232" i="46"/>
  <c r="FE232" i="46"/>
  <c r="FN232" i="46"/>
  <c r="JU232" i="46"/>
  <c r="JU234" i="46" s="1"/>
  <c r="LB232" i="46"/>
  <c r="LB234" i="46" s="1"/>
  <c r="IQ232" i="46"/>
  <c r="LE232" i="46"/>
  <c r="HP232" i="46"/>
  <c r="KJ232" i="46"/>
  <c r="KA232" i="46"/>
  <c r="GI232" i="46"/>
  <c r="EJ232" i="46"/>
  <c r="EJ234" i="46" s="1"/>
  <c r="GU232" i="46"/>
  <c r="GU234" i="46" s="1"/>
  <c r="HJ232" i="46"/>
  <c r="FT232" i="46"/>
  <c r="FT234" i="46" s="1"/>
  <c r="JR232" i="46"/>
  <c r="JR234" i="46" s="1"/>
  <c r="EG232" i="46"/>
  <c r="EG234" i="46" s="1"/>
  <c r="ED232" i="46"/>
  <c r="FZ232" i="46"/>
  <c r="FZ234" i="46" s="1"/>
  <c r="ES232" i="46"/>
  <c r="ES234" i="46" s="1"/>
  <c r="IH232" i="46"/>
  <c r="IH234" i="46" s="1"/>
  <c r="FH232" i="46"/>
  <c r="GR232" i="46"/>
  <c r="KV232" i="46"/>
  <c r="GC232" i="46"/>
  <c r="IK232" i="46"/>
  <c r="JX232" i="46"/>
  <c r="KY232" i="46"/>
  <c r="KD232" i="46"/>
  <c r="KD234" i="46" s="1"/>
  <c r="JC232" i="46"/>
  <c r="IT232" i="46"/>
  <c r="HV232" i="46"/>
  <c r="GO232" i="46"/>
  <c r="JI232" i="46"/>
  <c r="JO232" i="46"/>
  <c r="JO234" i="46" s="1"/>
  <c r="FK232" i="46"/>
  <c r="FK234" i="46" s="1"/>
  <c r="EV232" i="46"/>
  <c r="EV234" i="46" s="1"/>
  <c r="EY232" i="46"/>
  <c r="HG232" i="46"/>
  <c r="KM232" i="46"/>
  <c r="IW232" i="46"/>
  <c r="EM232" i="46"/>
  <c r="KP232" i="46"/>
  <c r="JL232" i="46"/>
  <c r="KG232" i="46"/>
  <c r="FW232" i="46"/>
  <c r="IE232" i="46"/>
  <c r="IE234" i="46" s="1"/>
  <c r="DF232" i="46"/>
  <c r="R7" i="48"/>
  <c r="W227" i="46"/>
  <c r="AC226" i="46"/>
  <c r="Z226" i="46"/>
  <c r="W226" i="46"/>
  <c r="Z229" i="46"/>
  <c r="AC228" i="46"/>
  <c r="Z228" i="46"/>
  <c r="W229" i="46"/>
  <c r="AC229" i="46"/>
  <c r="T229" i="46"/>
  <c r="AC227" i="46"/>
  <c r="T228" i="46"/>
  <c r="T227" i="46"/>
  <c r="W228" i="46"/>
  <c r="Z227" i="46"/>
  <c r="T226" i="46"/>
  <c r="JI229" i="46"/>
  <c r="JX228" i="46"/>
  <c r="KM227" i="46"/>
  <c r="LB226" i="46"/>
  <c r="IT226" i="46"/>
  <c r="JF229" i="46"/>
  <c r="JU228" i="46"/>
  <c r="KJ227" i="46"/>
  <c r="KY226" i="46"/>
  <c r="IQ226" i="46"/>
  <c r="JC229" i="46"/>
  <c r="JR228" i="46"/>
  <c r="KG227" i="46"/>
  <c r="KV226" i="46"/>
  <c r="IN226" i="46"/>
  <c r="KP229" i="46"/>
  <c r="LE228" i="46"/>
  <c r="IW228" i="46"/>
  <c r="JX229" i="46"/>
  <c r="KA228" i="46"/>
  <c r="JU227" i="46"/>
  <c r="KA226" i="46"/>
  <c r="JU229" i="46"/>
  <c r="JO228" i="46"/>
  <c r="JR227" i="46"/>
  <c r="JX226" i="46"/>
  <c r="JR229" i="46"/>
  <c r="JL228" i="46"/>
  <c r="JO227" i="46"/>
  <c r="JU226" i="46"/>
  <c r="KY229" i="46"/>
  <c r="KP228" i="46"/>
  <c r="KA227" i="46"/>
  <c r="JO226" i="46"/>
  <c r="KV229" i="46"/>
  <c r="KM228" i="46"/>
  <c r="JX227" i="46"/>
  <c r="JL226" i="46"/>
  <c r="KS229" i="46"/>
  <c r="KJ228" i="46"/>
  <c r="JL227" i="46"/>
  <c r="JI226" i="46"/>
  <c r="KA229" i="46"/>
  <c r="JC228" i="46"/>
  <c r="IW227" i="46"/>
  <c r="IK226" i="46"/>
  <c r="IZ229" i="46"/>
  <c r="IQ228" i="46"/>
  <c r="IN227" i="46"/>
  <c r="IW229" i="46"/>
  <c r="KV227" i="46"/>
  <c r="JC226" i="46"/>
  <c r="IT229" i="46"/>
  <c r="KS227" i="46"/>
  <c r="IZ226" i="46"/>
  <c r="IQ229" i="46"/>
  <c r="KP227" i="46"/>
  <c r="IW226" i="46"/>
  <c r="IN229" i="46"/>
  <c r="KD227" i="46"/>
  <c r="KD228" i="46"/>
  <c r="KM226" i="46"/>
  <c r="JI228" i="46"/>
  <c r="KJ226" i="46"/>
  <c r="JF228" i="46"/>
  <c r="KG226" i="46"/>
  <c r="IZ228" i="46"/>
  <c r="KD226" i="46"/>
  <c r="IT228" i="46"/>
  <c r="JR226" i="46"/>
  <c r="KG229" i="46"/>
  <c r="IQ227" i="46"/>
  <c r="GR229" i="46"/>
  <c r="HG228" i="46"/>
  <c r="HV227" i="46"/>
  <c r="FN227" i="46"/>
  <c r="GC226" i="46"/>
  <c r="KD229" i="46"/>
  <c r="IK227" i="46"/>
  <c r="GO229" i="46"/>
  <c r="HD228" i="46"/>
  <c r="HS227" i="46"/>
  <c r="IH226" i="46"/>
  <c r="FZ226" i="46"/>
  <c r="JO229" i="46"/>
  <c r="LE226" i="46"/>
  <c r="JL229" i="46"/>
  <c r="KS226" i="46"/>
  <c r="IN228" i="46"/>
  <c r="IT227" i="46"/>
  <c r="HM229" i="46"/>
  <c r="HV228" i="46"/>
  <c r="IE227" i="46"/>
  <c r="FQ227" i="46"/>
  <c r="FT226" i="46"/>
  <c r="KP226" i="46"/>
  <c r="HJ229" i="46"/>
  <c r="HS228" i="46"/>
  <c r="IB227" i="46"/>
  <c r="IE226" i="46"/>
  <c r="FQ226" i="46"/>
  <c r="LE229" i="46"/>
  <c r="JF226" i="46"/>
  <c r="HG229" i="46"/>
  <c r="HP228" i="46"/>
  <c r="HY227" i="46"/>
  <c r="IB226" i="46"/>
  <c r="FN226" i="46"/>
  <c r="LB229" i="46"/>
  <c r="KJ229" i="46"/>
  <c r="GX229" i="46"/>
  <c r="HA228" i="46"/>
  <c r="HJ227" i="46"/>
  <c r="HS226" i="46"/>
  <c r="KS228" i="46"/>
  <c r="LB228" i="46"/>
  <c r="HD229" i="46"/>
  <c r="GR228" i="46"/>
  <c r="GO227" i="46"/>
  <c r="GL226" i="46"/>
  <c r="KY228" i="46"/>
  <c r="HA229" i="46"/>
  <c r="GO228" i="46"/>
  <c r="GL227" i="46"/>
  <c r="GI226" i="46"/>
  <c r="KV228" i="46"/>
  <c r="GU229" i="46"/>
  <c r="GL228" i="46"/>
  <c r="GI227" i="46"/>
  <c r="GF226" i="46"/>
  <c r="KG228" i="46"/>
  <c r="GL229" i="46"/>
  <c r="GI228" i="46"/>
  <c r="GF227" i="46"/>
  <c r="FW226" i="46"/>
  <c r="LE227" i="46"/>
  <c r="GF229" i="46"/>
  <c r="GC228" i="46"/>
  <c r="FZ227" i="46"/>
  <c r="KY227" i="46"/>
  <c r="FW229" i="46"/>
  <c r="HM227" i="46"/>
  <c r="GR226" i="46"/>
  <c r="FT229" i="46"/>
  <c r="HG227" i="46"/>
  <c r="GO226" i="46"/>
  <c r="FQ229" i="46"/>
  <c r="HD227" i="46"/>
  <c r="FN229" i="46"/>
  <c r="HA227" i="46"/>
  <c r="IH228" i="46"/>
  <c r="GX227" i="46"/>
  <c r="IB228" i="46"/>
  <c r="GR227" i="46"/>
  <c r="GX228" i="46"/>
  <c r="HD226" i="46"/>
  <c r="EM229" i="46"/>
  <c r="FB228" i="46"/>
  <c r="CT228" i="46"/>
  <c r="DI227" i="46"/>
  <c r="DX226" i="46"/>
  <c r="GU228" i="46"/>
  <c r="HA226" i="46"/>
  <c r="EJ229" i="46"/>
  <c r="EY228" i="46"/>
  <c r="CQ228" i="46"/>
  <c r="DF227" i="46"/>
  <c r="DU226" i="46"/>
  <c r="GF228" i="46"/>
  <c r="GX226" i="46"/>
  <c r="EG229" i="46"/>
  <c r="EV228" i="46"/>
  <c r="FK227" i="46"/>
  <c r="DC227" i="46"/>
  <c r="DR226" i="46"/>
  <c r="FZ228" i="46"/>
  <c r="GU226" i="46"/>
  <c r="FT228" i="46"/>
  <c r="IH229" i="46"/>
  <c r="FQ228" i="46"/>
  <c r="KM229" i="46"/>
  <c r="HY229" i="46"/>
  <c r="HP227" i="46"/>
  <c r="IK229" i="46"/>
  <c r="HV229" i="46"/>
  <c r="GU227" i="46"/>
  <c r="GI229" i="46"/>
  <c r="DO229" i="46"/>
  <c r="DU228" i="46"/>
  <c r="EA227" i="46"/>
  <c r="EG226" i="46"/>
  <c r="GC229" i="46"/>
  <c r="DL229" i="46"/>
  <c r="DR228" i="46"/>
  <c r="DX227" i="46"/>
  <c r="ED226" i="46"/>
  <c r="FZ229" i="46"/>
  <c r="DI229" i="46"/>
  <c r="DO228" i="46"/>
  <c r="DU227" i="46"/>
  <c r="EA226" i="46"/>
  <c r="IE228" i="46"/>
  <c r="DF229" i="46"/>
  <c r="DL228" i="46"/>
  <c r="DR227" i="46"/>
  <c r="DO226" i="46"/>
  <c r="LB227" i="46"/>
  <c r="HM228" i="46"/>
  <c r="CZ229" i="46"/>
  <c r="DF228" i="46"/>
  <c r="DL227" i="46"/>
  <c r="DI226" i="46"/>
  <c r="JI227" i="46"/>
  <c r="HJ228" i="46"/>
  <c r="CW229" i="46"/>
  <c r="DC228" i="46"/>
  <c r="CZ227" i="46"/>
  <c r="DF226" i="46"/>
  <c r="GC227" i="46"/>
  <c r="FB229" i="46"/>
  <c r="FH228" i="46"/>
  <c r="FE227" i="46"/>
  <c r="FK226" i="46"/>
  <c r="CT226" i="46"/>
  <c r="FT227" i="46"/>
  <c r="HP226" i="46"/>
  <c r="HM226" i="46"/>
  <c r="EA229" i="46"/>
  <c r="FH227" i="46"/>
  <c r="EP226" i="46"/>
  <c r="CN228" i="46"/>
  <c r="HJ226" i="46"/>
  <c r="DX229" i="46"/>
  <c r="FB227" i="46"/>
  <c r="EM226" i="46"/>
  <c r="CK228" i="46"/>
  <c r="HG226" i="46"/>
  <c r="HG230" i="46" s="1"/>
  <c r="DU229" i="46"/>
  <c r="EY227" i="46"/>
  <c r="EJ226" i="46"/>
  <c r="EJ230" i="46" s="1"/>
  <c r="DR229" i="46"/>
  <c r="EV227" i="46"/>
  <c r="DL226" i="46"/>
  <c r="CT229" i="46"/>
  <c r="EP227" i="46"/>
  <c r="CZ226" i="46"/>
  <c r="FE228" i="46"/>
  <c r="EG227" i="46"/>
  <c r="IE229" i="46"/>
  <c r="ES228" i="46"/>
  <c r="ED227" i="46"/>
  <c r="JC227" i="46"/>
  <c r="HP229" i="46"/>
  <c r="FK229" i="46"/>
  <c r="EJ228" i="46"/>
  <c r="CT227" i="46"/>
  <c r="IH227" i="46"/>
  <c r="EV229" i="46"/>
  <c r="DX228" i="46"/>
  <c r="FB226" i="46"/>
  <c r="HY226" i="46"/>
  <c r="HY230" i="46" s="1"/>
  <c r="IK228" i="46"/>
  <c r="EP229" i="46"/>
  <c r="FE226" i="46"/>
  <c r="CE229" i="46"/>
  <c r="BY226" i="46"/>
  <c r="JF227" i="46"/>
  <c r="ED229" i="46"/>
  <c r="EY226" i="46"/>
  <c r="CB229" i="46"/>
  <c r="BV226" i="46"/>
  <c r="IZ227" i="46"/>
  <c r="IB229" i="46"/>
  <c r="DC229" i="46"/>
  <c r="EV226" i="46"/>
  <c r="CH228" i="46"/>
  <c r="BS226" i="46"/>
  <c r="HS229" i="46"/>
  <c r="CQ229" i="46"/>
  <c r="ES226" i="46"/>
  <c r="ES230" i="46" s="1"/>
  <c r="CE228" i="46"/>
  <c r="FW228" i="46"/>
  <c r="EP228" i="46"/>
  <c r="CW226" i="46"/>
  <c r="CN227" i="46"/>
  <c r="BY229" i="46"/>
  <c r="HV226" i="46"/>
  <c r="ED228" i="46"/>
  <c r="DI228" i="46"/>
  <c r="CW228" i="46"/>
  <c r="FH229" i="46"/>
  <c r="DO227" i="46"/>
  <c r="EJ227" i="46"/>
  <c r="BM229" i="46"/>
  <c r="CW227" i="46"/>
  <c r="BY228" i="46"/>
  <c r="CQ227" i="46"/>
  <c r="BV228" i="46"/>
  <c r="HY228" i="46"/>
  <c r="FH226" i="46"/>
  <c r="FW227" i="46"/>
  <c r="CQ226" i="46"/>
  <c r="CK229" i="46"/>
  <c r="BM228" i="46"/>
  <c r="CH227" i="46"/>
  <c r="ES229" i="46"/>
  <c r="FK228" i="46"/>
  <c r="EM228" i="46"/>
  <c r="CK227" i="46"/>
  <c r="BA228" i="46"/>
  <c r="AL227" i="46"/>
  <c r="EG228" i="46"/>
  <c r="CE227" i="46"/>
  <c r="AX228" i="46"/>
  <c r="AI227" i="46"/>
  <c r="EA228" i="46"/>
  <c r="CB227" i="46"/>
  <c r="BJ227" i="46"/>
  <c r="AU226" i="46"/>
  <c r="CZ228" i="46"/>
  <c r="CN226" i="46"/>
  <c r="CN230" i="46" s="1"/>
  <c r="BG227" i="46"/>
  <c r="AR226" i="46"/>
  <c r="AO226" i="46"/>
  <c r="ES227" i="46"/>
  <c r="CK226" i="46"/>
  <c r="BD227" i="46"/>
  <c r="DC226" i="46"/>
  <c r="DC230" i="46" s="1"/>
  <c r="CE226" i="46"/>
  <c r="BV229" i="46"/>
  <c r="AX227" i="46"/>
  <c r="BS228" i="46"/>
  <c r="BP228" i="46"/>
  <c r="BV227" i="46"/>
  <c r="BS229" i="46"/>
  <c r="AX229" i="46"/>
  <c r="AO227" i="46"/>
  <c r="BA227" i="46"/>
  <c r="BP226" i="46"/>
  <c r="BG226" i="46"/>
  <c r="BG230" i="46" s="1"/>
  <c r="BP229" i="46"/>
  <c r="BJ228" i="46"/>
  <c r="AL226" i="46"/>
  <c r="EM227" i="46"/>
  <c r="FE229" i="46"/>
  <c r="BY227" i="46"/>
  <c r="BG228" i="46"/>
  <c r="AI226" i="46"/>
  <c r="AI230" i="46" s="1"/>
  <c r="EY229" i="46"/>
  <c r="BS227" i="46"/>
  <c r="BD228" i="46"/>
  <c r="BP227" i="46"/>
  <c r="BM227" i="46"/>
  <c r="BJ226" i="46"/>
  <c r="BM226" i="46"/>
  <c r="BD226" i="46"/>
  <c r="BA226" i="46"/>
  <c r="AI229" i="46"/>
  <c r="FN228" i="46"/>
  <c r="CB226" i="46"/>
  <c r="BA229" i="46"/>
  <c r="AR227" i="46"/>
  <c r="CH226" i="46"/>
  <c r="AU228" i="46"/>
  <c r="AO228" i="46"/>
  <c r="CN229" i="46"/>
  <c r="CH229" i="46"/>
  <c r="AU229" i="46"/>
  <c r="AX226" i="46"/>
  <c r="AR228" i="46"/>
  <c r="BJ229" i="46"/>
  <c r="AR229" i="46"/>
  <c r="BD229" i="46"/>
  <c r="AL229" i="46"/>
  <c r="AL228" i="46"/>
  <c r="BG229" i="46"/>
  <c r="AO229" i="46"/>
  <c r="AI228" i="46"/>
  <c r="AU227" i="46"/>
  <c r="CB228" i="46"/>
  <c r="Z244" i="46"/>
  <c r="Z245" i="46" s="1"/>
  <c r="W244" i="46"/>
  <c r="W245" i="46" s="1"/>
  <c r="T244" i="46"/>
  <c r="T245" i="46" s="1"/>
  <c r="AC244" i="46"/>
  <c r="AC245" i="46" s="1"/>
  <c r="KG244" i="46"/>
  <c r="KG245" i="46" s="1"/>
  <c r="HY244" i="46"/>
  <c r="HY245" i="46" s="1"/>
  <c r="KY244" i="46"/>
  <c r="KY245" i="46" s="1"/>
  <c r="DU244" i="46"/>
  <c r="DU245" i="46" s="1"/>
  <c r="GL244" i="46"/>
  <c r="GL245" i="46" s="1"/>
  <c r="EA244" i="46"/>
  <c r="EA245" i="46" s="1"/>
  <c r="JU244" i="46"/>
  <c r="JU245" i="46" s="1"/>
  <c r="DR244" i="46"/>
  <c r="DR245" i="46" s="1"/>
  <c r="DO244" i="46"/>
  <c r="DO245" i="46" s="1"/>
  <c r="DL244" i="46"/>
  <c r="DL245" i="46" s="1"/>
  <c r="DC244" i="46"/>
  <c r="DC245" i="46" s="1"/>
  <c r="CW244" i="46"/>
  <c r="CW245" i="46" s="1"/>
  <c r="CN244" i="46"/>
  <c r="CN245" i="46" s="1"/>
  <c r="CK244" i="46"/>
  <c r="CK245" i="46" s="1"/>
  <c r="CH244" i="46"/>
  <c r="CH245" i="46" s="1"/>
  <c r="CZ244" i="46"/>
  <c r="CZ245" i="46" s="1"/>
  <c r="CQ244" i="46"/>
  <c r="CQ245" i="46" s="1"/>
  <c r="CT244" i="46"/>
  <c r="CT245" i="46" s="1"/>
  <c r="FK244" i="46"/>
  <c r="FK245" i="46" s="1"/>
  <c r="EV244" i="46"/>
  <c r="EV245" i="46" s="1"/>
  <c r="FE244" i="46"/>
  <c r="FE245" i="46" s="1"/>
  <c r="CE244" i="46"/>
  <c r="CE245" i="46" s="1"/>
  <c r="BA244" i="46"/>
  <c r="BA245" i="46" s="1"/>
  <c r="CB244" i="46"/>
  <c r="CB245" i="46" s="1"/>
  <c r="AX244" i="46"/>
  <c r="AX245" i="46" s="1"/>
  <c r="BY244" i="46"/>
  <c r="BY245" i="46" s="1"/>
  <c r="BV244" i="46"/>
  <c r="BV245" i="46" s="1"/>
  <c r="BS244" i="46"/>
  <c r="BS245" i="46" s="1"/>
  <c r="BM244" i="46"/>
  <c r="BM245" i="46" s="1"/>
  <c r="AR244" i="46"/>
  <c r="AR245" i="46" s="1"/>
  <c r="AU244" i="46"/>
  <c r="AU245" i="46" s="1"/>
  <c r="AO244" i="46"/>
  <c r="AO245" i="46" s="1"/>
  <c r="AI244" i="46"/>
  <c r="AI245" i="46" s="1"/>
  <c r="HJ244" i="46"/>
  <c r="HJ245" i="46" s="1"/>
  <c r="BP244" i="46"/>
  <c r="BP245" i="46" s="1"/>
  <c r="AL244" i="46"/>
  <c r="AL245" i="46" s="1"/>
  <c r="BJ244" i="46"/>
  <c r="BJ245" i="46" s="1"/>
  <c r="BG244" i="46"/>
  <c r="BG245" i="46" s="1"/>
  <c r="BD244" i="46"/>
  <c r="BD245" i="46" s="1"/>
  <c r="EM244" i="46"/>
  <c r="EM245" i="46" s="1"/>
  <c r="FT244" i="46"/>
  <c r="FT245" i="46" s="1"/>
  <c r="ES244" i="46"/>
  <c r="ES245" i="46" s="1"/>
  <c r="JO244" i="46"/>
  <c r="JO245" i="46" s="1"/>
  <c r="KP244" i="46"/>
  <c r="KP245" i="46" s="1"/>
  <c r="EG244" i="46"/>
  <c r="EG245" i="46" s="1"/>
  <c r="KA244" i="46"/>
  <c r="KA245" i="46" s="1"/>
  <c r="LE244" i="46"/>
  <c r="LE245" i="46" s="1"/>
  <c r="GF244" i="46"/>
  <c r="GF245" i="46" s="1"/>
  <c r="DF244" i="46"/>
  <c r="DF245" i="46" s="1"/>
  <c r="IB244" i="46"/>
  <c r="IB245" i="46" s="1"/>
  <c r="HD244" i="46"/>
  <c r="HD245" i="46" s="1"/>
  <c r="JI244" i="46"/>
  <c r="JI245" i="46" s="1"/>
  <c r="KD244" i="46"/>
  <c r="KD245" i="46" s="1"/>
  <c r="IK244" i="46"/>
  <c r="IK245" i="46" s="1"/>
  <c r="JL244" i="46"/>
  <c r="JL245" i="46" s="1"/>
  <c r="GR244" i="46"/>
  <c r="GR245" i="46" s="1"/>
  <c r="JF244" i="46"/>
  <c r="JF245" i="46" s="1"/>
  <c r="FQ244" i="46"/>
  <c r="FQ245" i="46" s="1"/>
  <c r="JX244" i="46"/>
  <c r="JX245" i="46" s="1"/>
  <c r="EJ244" i="46"/>
  <c r="EJ245" i="46" s="1"/>
  <c r="KS244" i="46"/>
  <c r="KS245" i="46" s="1"/>
  <c r="HS244" i="46"/>
  <c r="HS245" i="46" s="1"/>
  <c r="FW244" i="46"/>
  <c r="FW245" i="46" s="1"/>
  <c r="FZ244" i="46"/>
  <c r="FZ245" i="46" s="1"/>
  <c r="JR244" i="46"/>
  <c r="JR245" i="46" s="1"/>
  <c r="GU244" i="46"/>
  <c r="GU245" i="46" s="1"/>
  <c r="GO244" i="46"/>
  <c r="GO245" i="46" s="1"/>
  <c r="GI244" i="46"/>
  <c r="GI245" i="46" s="1"/>
  <c r="IE244" i="46"/>
  <c r="IE245" i="46" s="1"/>
  <c r="EY244" i="46"/>
  <c r="EY245" i="46" s="1"/>
  <c r="ED244" i="46"/>
  <c r="ED245" i="46" s="1"/>
  <c r="HG244" i="46"/>
  <c r="HG245" i="46" s="1"/>
  <c r="HV244" i="46"/>
  <c r="HV245" i="46" s="1"/>
  <c r="IW244" i="46"/>
  <c r="IW245" i="46" s="1"/>
  <c r="HP244" i="46"/>
  <c r="HP245" i="46" s="1"/>
  <c r="IH244" i="46"/>
  <c r="IH245" i="46" s="1"/>
  <c r="KV244" i="46"/>
  <c r="KV245" i="46" s="1"/>
  <c r="HM244" i="46"/>
  <c r="HM245" i="46" s="1"/>
  <c r="EP244" i="46"/>
  <c r="EP245" i="46" s="1"/>
  <c r="JC244" i="46"/>
  <c r="JC245" i="46" s="1"/>
  <c r="LB244" i="46"/>
  <c r="LB245" i="46" s="1"/>
  <c r="GC244" i="46"/>
  <c r="GC245" i="46" s="1"/>
  <c r="FB244" i="46"/>
  <c r="FB245" i="46" s="1"/>
  <c r="DX244" i="46"/>
  <c r="DX245" i="46" s="1"/>
  <c r="DI244" i="46"/>
  <c r="DI245" i="46" s="1"/>
  <c r="FN244" i="46"/>
  <c r="FN245" i="46" s="1"/>
  <c r="GX244" i="46"/>
  <c r="GX245" i="46" s="1"/>
  <c r="FH244" i="46"/>
  <c r="FH245" i="46" s="1"/>
  <c r="HA244" i="46"/>
  <c r="HA245" i="46" s="1"/>
  <c r="IQ244" i="46"/>
  <c r="IQ245" i="46" s="1"/>
  <c r="KJ244" i="46"/>
  <c r="KJ245" i="46" s="1"/>
  <c r="IZ244" i="46"/>
  <c r="IZ245" i="46" s="1"/>
  <c r="IN244" i="46"/>
  <c r="IN245" i="46" s="1"/>
  <c r="IT244" i="46"/>
  <c r="IT245" i="46" s="1"/>
  <c r="KM244" i="46"/>
  <c r="KM245" i="46" s="1"/>
  <c r="AC237" i="46"/>
  <c r="Z237" i="46"/>
  <c r="W237" i="46"/>
  <c r="AC236" i="46"/>
  <c r="Z236" i="46"/>
  <c r="W236" i="46"/>
  <c r="T236" i="46"/>
  <c r="T237" i="46"/>
  <c r="KV237" i="46"/>
  <c r="IN237" i="46"/>
  <c r="JC236" i="46"/>
  <c r="KS237" i="46"/>
  <c r="IK237" i="46"/>
  <c r="IZ236" i="46"/>
  <c r="KP237" i="46"/>
  <c r="LE236" i="46"/>
  <c r="LE238" i="46" s="1"/>
  <c r="IW236" i="46"/>
  <c r="IW238" i="46" s="1"/>
  <c r="JU237" i="46"/>
  <c r="KJ236" i="46"/>
  <c r="KJ238" i="46" s="1"/>
  <c r="IQ237" i="46"/>
  <c r="IK236" i="46"/>
  <c r="LB236" i="46"/>
  <c r="LB238" i="46" s="1"/>
  <c r="LE237" i="46"/>
  <c r="KY236" i="46"/>
  <c r="LB237" i="46"/>
  <c r="KM236" i="46"/>
  <c r="KY237" i="46"/>
  <c r="KG236" i="46"/>
  <c r="KG238" i="46" s="1"/>
  <c r="KM237" i="46"/>
  <c r="KD236" i="46"/>
  <c r="KD238" i="46" s="1"/>
  <c r="JX237" i="46"/>
  <c r="JO236" i="46"/>
  <c r="JL237" i="46"/>
  <c r="JF236" i="46"/>
  <c r="IW237" i="46"/>
  <c r="IT237" i="46"/>
  <c r="KV236" i="46"/>
  <c r="KS236" i="46"/>
  <c r="JL236" i="46"/>
  <c r="JL238" i="46" s="1"/>
  <c r="JF237" i="46"/>
  <c r="JF238" i="46" s="1"/>
  <c r="JC237" i="46"/>
  <c r="IZ237" i="46"/>
  <c r="KP236" i="46"/>
  <c r="KA236" i="46"/>
  <c r="IQ236" i="46"/>
  <c r="HP237" i="46"/>
  <c r="IE236" i="46"/>
  <c r="FW236" i="46"/>
  <c r="FW238" i="46" s="1"/>
  <c r="IN236" i="46"/>
  <c r="HM237" i="46"/>
  <c r="IB236" i="46"/>
  <c r="IB238" i="46" s="1"/>
  <c r="FT236" i="46"/>
  <c r="FT238" i="46" s="1"/>
  <c r="HJ237" i="46"/>
  <c r="HY236" i="46"/>
  <c r="FQ236" i="46"/>
  <c r="KD237" i="46"/>
  <c r="KG237" i="46"/>
  <c r="HS237" i="46"/>
  <c r="HP236" i="46"/>
  <c r="HP238" i="46" s="1"/>
  <c r="KA237" i="46"/>
  <c r="HG237" i="46"/>
  <c r="HM236" i="46"/>
  <c r="JR237" i="46"/>
  <c r="HD237" i="46"/>
  <c r="HJ236" i="46"/>
  <c r="JO237" i="46"/>
  <c r="JX236" i="46"/>
  <c r="GU237" i="46"/>
  <c r="HA236" i="46"/>
  <c r="HA238" i="46" s="1"/>
  <c r="GF237" i="46"/>
  <c r="FZ236" i="46"/>
  <c r="FZ238" i="46" s="1"/>
  <c r="GC237" i="46"/>
  <c r="FN236" i="46"/>
  <c r="KJ237" i="46"/>
  <c r="FZ237" i="46"/>
  <c r="JI237" i="46"/>
  <c r="FW237" i="46"/>
  <c r="JR236" i="46"/>
  <c r="JR238" i="46" s="1"/>
  <c r="FQ237" i="46"/>
  <c r="IT236" i="46"/>
  <c r="IT238" i="46" s="1"/>
  <c r="JU236" i="46"/>
  <c r="HY237" i="46"/>
  <c r="GI236" i="46"/>
  <c r="JI236" i="46"/>
  <c r="JI238" i="46" s="1"/>
  <c r="HV237" i="46"/>
  <c r="GF236" i="46"/>
  <c r="HA237" i="46"/>
  <c r="GC236" i="46"/>
  <c r="GX237" i="46"/>
  <c r="GR237" i="46"/>
  <c r="GL237" i="46"/>
  <c r="GX236" i="46"/>
  <c r="DR237" i="46"/>
  <c r="EG236" i="46"/>
  <c r="GU236" i="46"/>
  <c r="DO237" i="46"/>
  <c r="ED236" i="46"/>
  <c r="ED238" i="46" s="1"/>
  <c r="GR236" i="46"/>
  <c r="DL237" i="46"/>
  <c r="EA236" i="46"/>
  <c r="GO236" i="46"/>
  <c r="GO238" i="46" s="1"/>
  <c r="FK237" i="46"/>
  <c r="DC237" i="46"/>
  <c r="DR236" i="46"/>
  <c r="IE237" i="46"/>
  <c r="IB237" i="46"/>
  <c r="GL236" i="46"/>
  <c r="ES237" i="46"/>
  <c r="EV236" i="46"/>
  <c r="EP237" i="46"/>
  <c r="ES236" i="46"/>
  <c r="ES238" i="46" s="1"/>
  <c r="EM237" i="46"/>
  <c r="EP236" i="46"/>
  <c r="EJ237" i="46"/>
  <c r="EM236" i="46"/>
  <c r="ED237" i="46"/>
  <c r="DX236" i="46"/>
  <c r="EA237" i="46"/>
  <c r="DU236" i="46"/>
  <c r="IH237" i="46"/>
  <c r="DF237" i="46"/>
  <c r="DF236" i="46"/>
  <c r="GI237" i="46"/>
  <c r="CW237" i="46"/>
  <c r="CZ236" i="46"/>
  <c r="IH236" i="46"/>
  <c r="CT237" i="46"/>
  <c r="CN236" i="46"/>
  <c r="CN238" i="46" s="1"/>
  <c r="CQ237" i="46"/>
  <c r="CK236" i="46"/>
  <c r="CK238" i="46" s="1"/>
  <c r="FK236" i="46"/>
  <c r="FK238" i="46" s="1"/>
  <c r="CH236" i="46"/>
  <c r="FH236" i="46"/>
  <c r="FB236" i="46"/>
  <c r="DO236" i="46"/>
  <c r="DL236" i="46"/>
  <c r="FB237" i="46"/>
  <c r="CW236" i="46"/>
  <c r="CW238" i="46" s="1"/>
  <c r="HV236" i="46"/>
  <c r="HV238" i="46" s="1"/>
  <c r="DX237" i="46"/>
  <c r="HG236" i="46"/>
  <c r="HG238" i="46" s="1"/>
  <c r="DU237" i="46"/>
  <c r="DI237" i="46"/>
  <c r="CN237" i="46"/>
  <c r="CZ237" i="46"/>
  <c r="CK237" i="46"/>
  <c r="FE236" i="46"/>
  <c r="FE238" i="46" s="1"/>
  <c r="CH237" i="46"/>
  <c r="EJ236" i="46"/>
  <c r="EJ238" i="46" s="1"/>
  <c r="CB237" i="46"/>
  <c r="BY237" i="46"/>
  <c r="CT236" i="46"/>
  <c r="FT237" i="46"/>
  <c r="FE237" i="46"/>
  <c r="FH237" i="46"/>
  <c r="BV237" i="46"/>
  <c r="EY237" i="46"/>
  <c r="BS237" i="46"/>
  <c r="EV237" i="46"/>
  <c r="EY236" i="46"/>
  <c r="EY238" i="46" s="1"/>
  <c r="BY236" i="46"/>
  <c r="CQ236" i="46"/>
  <c r="GO237" i="46"/>
  <c r="DC236" i="46"/>
  <c r="DC238" i="46" s="1"/>
  <c r="BA236" i="46"/>
  <c r="AX236" i="46"/>
  <c r="CE236" i="46"/>
  <c r="CB236" i="46"/>
  <c r="AO236" i="46"/>
  <c r="AO238" i="46" s="1"/>
  <c r="AL236" i="46"/>
  <c r="AL238" i="46" s="1"/>
  <c r="BD237" i="46"/>
  <c r="BJ237" i="46"/>
  <c r="AI236" i="46"/>
  <c r="AX237" i="46"/>
  <c r="BG237" i="46"/>
  <c r="EG237" i="46"/>
  <c r="BA237" i="46"/>
  <c r="FN237" i="46"/>
  <c r="DI236" i="46"/>
  <c r="HS236" i="46"/>
  <c r="BJ236" i="46"/>
  <c r="HD236" i="46"/>
  <c r="BG236" i="46"/>
  <c r="BP237" i="46"/>
  <c r="BV236" i="46"/>
  <c r="AR236" i="46"/>
  <c r="BD236" i="46"/>
  <c r="AO237" i="46"/>
  <c r="AI237" i="46"/>
  <c r="BM236" i="46"/>
  <c r="BM238" i="46" s="1"/>
  <c r="AU237" i="46"/>
  <c r="AR237" i="46"/>
  <c r="AL237" i="46"/>
  <c r="BM237" i="46"/>
  <c r="BS236" i="46"/>
  <c r="BP236" i="46"/>
  <c r="CE237" i="46"/>
  <c r="AU236" i="46"/>
  <c r="F87" i="48" a="1"/>
  <c r="F87" i="48" s="1"/>
  <c r="E88" i="48"/>
  <c r="KR271" i="46"/>
  <c r="JT271" i="46"/>
  <c r="IY271" i="46"/>
  <c r="LA271" i="46"/>
  <c r="IP271" i="46"/>
  <c r="IV271" i="46"/>
  <c r="KF271" i="46"/>
  <c r="JK271" i="46"/>
  <c r="JN271" i="46"/>
  <c r="KC271" i="46"/>
  <c r="LD271" i="46"/>
  <c r="KX271" i="46"/>
  <c r="IS271" i="46"/>
  <c r="JE271" i="46"/>
  <c r="JB271" i="46"/>
  <c r="KU271" i="46"/>
  <c r="JW271" i="46"/>
  <c r="JH271" i="46"/>
  <c r="IJ271" i="46"/>
  <c r="IM271" i="46"/>
  <c r="KO271" i="46"/>
  <c r="KI271" i="46"/>
  <c r="KL271" i="46"/>
  <c r="JZ271" i="46"/>
  <c r="JQ271" i="46"/>
  <c r="GZ271" i="46"/>
  <c r="FS271" i="46"/>
  <c r="ID271" i="46"/>
  <c r="HR271" i="46"/>
  <c r="FP271" i="46"/>
  <c r="IG271" i="46"/>
  <c r="HF271" i="46"/>
  <c r="FM271" i="46"/>
  <c r="GK271" i="46"/>
  <c r="GB271" i="46"/>
  <c r="HX271" i="46"/>
  <c r="HI271" i="46"/>
  <c r="GQ271" i="46"/>
  <c r="HC271" i="46"/>
  <c r="GN271" i="46"/>
  <c r="FY271" i="46"/>
  <c r="HO271" i="46"/>
  <c r="HL271" i="46"/>
  <c r="GW271" i="46"/>
  <c r="GE271" i="46"/>
  <c r="IA271" i="46"/>
  <c r="GT271" i="46"/>
  <c r="HU271" i="46"/>
  <c r="GH271" i="46"/>
  <c r="FV271" i="46"/>
  <c r="EX271" i="46"/>
  <c r="DQ271" i="46"/>
  <c r="DW271" i="46"/>
  <c r="DB271" i="46"/>
  <c r="CY271" i="46"/>
  <c r="EI271" i="46"/>
  <c r="DN271" i="46"/>
  <c r="EL271" i="46"/>
  <c r="FG271" i="46"/>
  <c r="CV271" i="46"/>
  <c r="CP271" i="46"/>
  <c r="FA271" i="46"/>
  <c r="EO271" i="46"/>
  <c r="EF271" i="46"/>
  <c r="DT271" i="46"/>
  <c r="DH271" i="46"/>
  <c r="DK271" i="46"/>
  <c r="EC271" i="46"/>
  <c r="ER271" i="46"/>
  <c r="DE271" i="46"/>
  <c r="DZ271" i="46"/>
  <c r="EU271" i="46"/>
  <c r="CS271" i="46"/>
  <c r="FD271" i="46"/>
  <c r="FJ271" i="46"/>
  <c r="CA271" i="46"/>
  <c r="CJ271" i="46"/>
  <c r="CG271" i="46"/>
  <c r="CD271" i="46"/>
  <c r="CM271" i="46"/>
  <c r="BX271" i="46"/>
  <c r="BU271" i="46"/>
  <c r="BR271" i="46"/>
  <c r="BO271" i="46"/>
  <c r="BL271" i="46"/>
  <c r="BI271" i="46"/>
  <c r="BF271" i="46"/>
  <c r="BC271" i="46"/>
  <c r="AZ271" i="46"/>
  <c r="AW271" i="46"/>
  <c r="AT271" i="46"/>
  <c r="AQ271" i="46"/>
  <c r="AN271" i="46"/>
  <c r="AK271" i="46"/>
  <c r="AH271" i="46"/>
  <c r="AE270" i="46"/>
  <c r="AE271" i="46"/>
  <c r="Y271" i="46"/>
  <c r="Y270" i="46"/>
  <c r="AB270" i="46"/>
  <c r="AB271" i="46"/>
  <c r="V271" i="46"/>
  <c r="V270" i="46"/>
  <c r="S271" i="46"/>
  <c r="S270" i="46"/>
  <c r="AF236" i="46"/>
  <c r="AF237" i="46"/>
  <c r="AF232" i="46"/>
  <c r="AF233" i="46"/>
  <c r="AF228" i="46"/>
  <c r="AF226" i="46"/>
  <c r="AF227" i="46"/>
  <c r="AF229" i="46"/>
  <c r="AF244" i="46"/>
  <c r="AF245" i="46" s="1"/>
  <c r="AG151" i="3"/>
  <c r="M251" i="46"/>
  <c r="BB23" i="45"/>
  <c r="M252" i="46"/>
  <c r="AG152" i="3"/>
  <c r="AZ25" i="45"/>
  <c r="M240" i="46"/>
  <c r="AA150" i="3"/>
  <c r="K247" i="46"/>
  <c r="L25" i="48" s="1"/>
  <c r="C247" i="46"/>
  <c r="D147" i="3"/>
  <c r="AG147" i="3" s="1"/>
  <c r="AU25" i="45"/>
  <c r="DT147" i="3"/>
  <c r="N3" i="47"/>
  <c r="O2" i="47"/>
  <c r="N2" i="47"/>
  <c r="Q2" i="47"/>
  <c r="P2" i="47"/>
  <c r="Q3" i="47"/>
  <c r="AG138" i="3"/>
  <c r="M143" i="3"/>
  <c r="M147" i="3"/>
  <c r="EA238" i="46" l="1"/>
  <c r="DZ269" i="46"/>
  <c r="GF230" i="46"/>
  <c r="W8" i="48"/>
  <c r="KA234" i="46"/>
  <c r="BD234" i="46"/>
  <c r="CE238" i="46"/>
  <c r="IE238" i="46"/>
  <c r="JX234" i="46"/>
  <c r="AH15" i="48"/>
  <c r="JL234" i="46"/>
  <c r="KV234" i="46"/>
  <c r="AX234" i="46"/>
  <c r="EA234" i="46"/>
  <c r="CQ234" i="46"/>
  <c r="AA12" i="48"/>
  <c r="GR234" i="46"/>
  <c r="FN234" i="46"/>
  <c r="DR234" i="46"/>
  <c r="AI31" i="48"/>
  <c r="FH234" i="46"/>
  <c r="BA234" i="46"/>
  <c r="BS234" i="46"/>
  <c r="J25" i="48"/>
  <c r="FQ234" i="46"/>
  <c r="DU234" i="46"/>
  <c r="FH230" i="46"/>
  <c r="GL230" i="46"/>
  <c r="T230" i="46"/>
  <c r="AA7" i="48"/>
  <c r="CB234" i="46"/>
  <c r="BY234" i="46"/>
  <c r="W21" i="48"/>
  <c r="AI7" i="48"/>
  <c r="N36" i="48"/>
  <c r="R16" i="48"/>
  <c r="Z8" i="48"/>
  <c r="DO238" i="46"/>
  <c r="S34" i="48"/>
  <c r="JI234" i="46"/>
  <c r="HJ234" i="46"/>
  <c r="FB234" i="46"/>
  <c r="DX234" i="46"/>
  <c r="DU238" i="46"/>
  <c r="AL16" i="48"/>
  <c r="GO234" i="46"/>
  <c r="CW234" i="46"/>
  <c r="BP238" i="46"/>
  <c r="EG238" i="46"/>
  <c r="HY238" i="46"/>
  <c r="IZ238" i="46"/>
  <c r="FH238" i="46"/>
  <c r="AJ25" i="48"/>
  <c r="HV234" i="46"/>
  <c r="GL234" i="46"/>
  <c r="CT238" i="46"/>
  <c r="CH238" i="46"/>
  <c r="GX238" i="46"/>
  <c r="JO238" i="46"/>
  <c r="KS238" i="46"/>
  <c r="AG23" i="48"/>
  <c r="IT234" i="46"/>
  <c r="GI234" i="46"/>
  <c r="IZ234" i="46"/>
  <c r="HD234" i="46"/>
  <c r="DL234" i="46"/>
  <c r="DI238" i="46"/>
  <c r="EA230" i="46"/>
  <c r="DX230" i="46"/>
  <c r="FQ230" i="46"/>
  <c r="AC33" i="48"/>
  <c r="Z5" i="48"/>
  <c r="Y36" i="48"/>
  <c r="M39" i="48"/>
  <c r="AK30" i="48"/>
  <c r="AF6" i="48"/>
  <c r="S20" i="48"/>
  <c r="R17" i="48"/>
  <c r="AD16" i="48"/>
  <c r="X23" i="48"/>
  <c r="AA19" i="48"/>
  <c r="J38" i="48"/>
  <c r="AI10" i="48"/>
  <c r="K26" i="48"/>
  <c r="AI18" i="48"/>
  <c r="O26" i="48"/>
  <c r="R24" i="48"/>
  <c r="V26" i="48"/>
  <c r="AH26" i="48"/>
  <c r="R25" i="48"/>
  <c r="X35" i="48"/>
  <c r="AJ40" i="48"/>
  <c r="M35" i="48"/>
  <c r="AK28" i="48"/>
  <c r="AD27" i="48"/>
  <c r="AL10" i="48"/>
  <c r="Y31" i="48"/>
  <c r="AD12" i="48"/>
  <c r="S35" i="48"/>
  <c r="P40" i="48"/>
  <c r="L14" i="48"/>
  <c r="K18" i="48"/>
  <c r="AL32" i="48"/>
  <c r="V16" i="48"/>
  <c r="S23" i="48"/>
  <c r="K5" i="48"/>
  <c r="T5" i="48"/>
  <c r="AC16" i="48"/>
  <c r="AJ5" i="48"/>
  <c r="AG40" i="48"/>
  <c r="AC6" i="48"/>
  <c r="AD34" i="48"/>
  <c r="I4" i="48"/>
  <c r="K36" i="48"/>
  <c r="AB36" i="48"/>
  <c r="K35" i="48"/>
  <c r="L12" i="48"/>
  <c r="AF33" i="48"/>
  <c r="I16" i="48"/>
  <c r="U5" i="48"/>
  <c r="AA20" i="48"/>
  <c r="AL17" i="48"/>
  <c r="I18" i="48"/>
  <c r="AA31" i="48"/>
  <c r="P9" i="48"/>
  <c r="KG234" i="46"/>
  <c r="GC234" i="46"/>
  <c r="Q29" i="48"/>
  <c r="Z19" i="48"/>
  <c r="M37" i="48"/>
  <c r="Z30" i="48"/>
  <c r="J15" i="48"/>
  <c r="Q40" i="48"/>
  <c r="AU238" i="46"/>
  <c r="GR238" i="46"/>
  <c r="HS238" i="46"/>
  <c r="BP230" i="46"/>
  <c r="AU230" i="46"/>
  <c r="AC35" i="48"/>
  <c r="AJ28" i="48"/>
  <c r="X7" i="48"/>
  <c r="AK20" i="48"/>
  <c r="P16" i="48"/>
  <c r="P37" i="48"/>
  <c r="U10" i="48"/>
  <c r="AL33" i="48"/>
  <c r="O37" i="48"/>
  <c r="I32" i="48"/>
  <c r="M20" i="48"/>
  <c r="M6" i="48"/>
  <c r="AB6" i="48"/>
  <c r="AD5" i="48"/>
  <c r="L27" i="48"/>
  <c r="AD10" i="48"/>
  <c r="Y14" i="48"/>
  <c r="O11" i="48"/>
  <c r="Y12" i="48"/>
  <c r="AC15" i="48"/>
  <c r="AD21" i="48"/>
  <c r="AI16" i="48"/>
  <c r="X26" i="48"/>
  <c r="AJ13" i="48"/>
  <c r="AB16" i="48"/>
  <c r="N38" i="48"/>
  <c r="T35" i="48"/>
  <c r="AI6" i="48"/>
  <c r="Z16" i="48"/>
  <c r="U20" i="48"/>
  <c r="X6" i="48"/>
  <c r="Y40" i="48"/>
  <c r="Q20" i="48"/>
  <c r="R29" i="48"/>
  <c r="M10" i="48"/>
  <c r="AC9" i="48"/>
  <c r="AJ32" i="48"/>
  <c r="V9" i="48"/>
  <c r="AH17" i="48"/>
  <c r="O36" i="48"/>
  <c r="AF26" i="48"/>
  <c r="AF22" i="48"/>
  <c r="K37" i="48"/>
  <c r="AA18" i="48"/>
  <c r="Z21" i="48"/>
  <c r="AG25" i="48"/>
  <c r="AA39" i="48"/>
  <c r="AB40" i="48"/>
  <c r="U7" i="48"/>
  <c r="M32" i="48"/>
  <c r="J17" i="48"/>
  <c r="L15" i="48"/>
  <c r="AG13" i="48"/>
  <c r="J35" i="48"/>
  <c r="P32" i="48"/>
  <c r="KP234" i="46"/>
  <c r="AL234" i="46"/>
  <c r="AU234" i="46"/>
  <c r="T4" i="48"/>
  <c r="W23" i="48"/>
  <c r="W20" i="48"/>
  <c r="AB15" i="48"/>
  <c r="W27" i="48"/>
  <c r="N22" i="48"/>
  <c r="AC18" i="48"/>
  <c r="DX238" i="46"/>
  <c r="KV238" i="46"/>
  <c r="DF230" i="46"/>
  <c r="IW230" i="46"/>
  <c r="JL230" i="46"/>
  <c r="O29" i="48"/>
  <c r="Z6" i="48"/>
  <c r="S15" i="48"/>
  <c r="U40" i="48"/>
  <c r="M36" i="48"/>
  <c r="Q6" i="48"/>
  <c r="AL25" i="48"/>
  <c r="AL21" i="48"/>
  <c r="K31" i="48"/>
  <c r="S24" i="48"/>
  <c r="AB23" i="48"/>
  <c r="L10" i="48"/>
  <c r="K20" i="48"/>
  <c r="AK12" i="48"/>
  <c r="AE26" i="48"/>
  <c r="AI26" i="48"/>
  <c r="R32" i="48"/>
  <c r="Q27" i="48"/>
  <c r="AC28" i="48"/>
  <c r="N32" i="48"/>
  <c r="AL34" i="48"/>
  <c r="AI36" i="48"/>
  <c r="AB8" i="48"/>
  <c r="AB30" i="48"/>
  <c r="Z38" i="48"/>
  <c r="L32" i="48"/>
  <c r="V31" i="48"/>
  <c r="Q35" i="48"/>
  <c r="V34" i="48"/>
  <c r="N6" i="48"/>
  <c r="AH12" i="48"/>
  <c r="K19" i="48"/>
  <c r="Y20" i="48"/>
  <c r="AG20" i="48"/>
  <c r="AC26" i="48"/>
  <c r="U15" i="48"/>
  <c r="AG33" i="48"/>
  <c r="Y4" i="48"/>
  <c r="J19" i="48"/>
  <c r="S21" i="48"/>
  <c r="K7" i="48"/>
  <c r="Q39" i="48"/>
  <c r="AL9" i="48"/>
  <c r="AD38" i="48"/>
  <c r="V35" i="48"/>
  <c r="AE7" i="48"/>
  <c r="T33" i="48"/>
  <c r="AH11" i="48"/>
  <c r="L33" i="48"/>
  <c r="AD20" i="48"/>
  <c r="Q21" i="48"/>
  <c r="S22" i="48"/>
  <c r="S30" i="48"/>
  <c r="L19" i="48"/>
  <c r="AJ29" i="48"/>
  <c r="EM234" i="46"/>
  <c r="FE234" i="46"/>
  <c r="J8" i="48"/>
  <c r="W6" i="48"/>
  <c r="L4" i="48"/>
  <c r="Z9" i="48"/>
  <c r="K30" i="48"/>
  <c r="T40" i="48"/>
  <c r="DL238" i="46"/>
  <c r="BA230" i="46"/>
  <c r="BS230" i="46"/>
  <c r="GU230" i="46"/>
  <c r="GC230" i="46"/>
  <c r="AK18" i="48"/>
  <c r="T15" i="48"/>
  <c r="AB35" i="48"/>
  <c r="M22" i="48"/>
  <c r="AA10" i="48"/>
  <c r="AH35" i="48"/>
  <c r="V36" i="48"/>
  <c r="I5" i="48"/>
  <c r="X5" i="48"/>
  <c r="AI39" i="48"/>
  <c r="AE9" i="48"/>
  <c r="V27" i="48"/>
  <c r="S26" i="48"/>
  <c r="AH30" i="48"/>
  <c r="O7" i="48"/>
  <c r="K6" i="48"/>
  <c r="M12" i="48"/>
  <c r="N9" i="48"/>
  <c r="AB9" i="48"/>
  <c r="AE15" i="48"/>
  <c r="N29" i="48"/>
  <c r="AK29" i="48"/>
  <c r="T17" i="48"/>
  <c r="AG5" i="48"/>
  <c r="Z31" i="48"/>
  <c r="AK22" i="48"/>
  <c r="O20" i="48"/>
  <c r="AC12" i="48"/>
  <c r="S9" i="48"/>
  <c r="AE31" i="48"/>
  <c r="Q28" i="48"/>
  <c r="T24" i="48"/>
  <c r="N13" i="48"/>
  <c r="AD37" i="48"/>
  <c r="S5" i="48"/>
  <c r="AB25" i="48"/>
  <c r="R20" i="48"/>
  <c r="AH8" i="48"/>
  <c r="AD6" i="48"/>
  <c r="AI34" i="48"/>
  <c r="Y29" i="48"/>
  <c r="AK33" i="48"/>
  <c r="P22" i="48"/>
  <c r="M31" i="48"/>
  <c r="K11" i="48"/>
  <c r="X13" i="48"/>
  <c r="P18" i="48"/>
  <c r="AK21" i="48"/>
  <c r="V25" i="48"/>
  <c r="P34" i="48"/>
  <c r="AC39" i="48"/>
  <c r="X8" i="48"/>
  <c r="L5" i="48"/>
  <c r="V20" i="48"/>
  <c r="AG18" i="48"/>
  <c r="IW234" i="46"/>
  <c r="BM234" i="46"/>
  <c r="BV234" i="46"/>
  <c r="CT234" i="46"/>
  <c r="I21" i="48"/>
  <c r="AD28" i="48"/>
  <c r="Y39" i="48"/>
  <c r="Y19" i="48"/>
  <c r="AA29" i="48"/>
  <c r="I35" i="48"/>
  <c r="BS238" i="46"/>
  <c r="EM238" i="46"/>
  <c r="GU238" i="46"/>
  <c r="FQ238" i="46"/>
  <c r="BD230" i="46"/>
  <c r="ED230" i="46"/>
  <c r="HD230" i="46"/>
  <c r="KP230" i="46"/>
  <c r="AG37" i="48"/>
  <c r="L37" i="48"/>
  <c r="R9" i="48"/>
  <c r="Q23" i="48"/>
  <c r="AB20" i="48"/>
  <c r="AD29" i="48"/>
  <c r="W31" i="48"/>
  <c r="K27" i="48"/>
  <c r="M11" i="48"/>
  <c r="O10" i="48"/>
  <c r="W13" i="48"/>
  <c r="AH9" i="48"/>
  <c r="V5" i="48"/>
  <c r="AC8" i="48"/>
  <c r="V11" i="48"/>
  <c r="T13" i="48"/>
  <c r="W17" i="48"/>
  <c r="AK31" i="48"/>
  <c r="AI12" i="48"/>
  <c r="Q16" i="48"/>
  <c r="AG21" i="48"/>
  <c r="AF18" i="48"/>
  <c r="S11" i="48"/>
  <c r="AE14" i="48"/>
  <c r="N18" i="48"/>
  <c r="Y6" i="48"/>
  <c r="AL35" i="48"/>
  <c r="N4" i="48"/>
  <c r="AE18" i="48"/>
  <c r="AD24" i="48"/>
  <c r="Z33" i="48"/>
  <c r="K9" i="48"/>
  <c r="AH13" i="48"/>
  <c r="AB10" i="48"/>
  <c r="P14" i="48"/>
  <c r="N33" i="48"/>
  <c r="R39" i="48"/>
  <c r="L34" i="48"/>
  <c r="AH36" i="48"/>
  <c r="AI21" i="48"/>
  <c r="AB26" i="48"/>
  <c r="AA25" i="48"/>
  <c r="AD22" i="48"/>
  <c r="AE23" i="48"/>
  <c r="Z23" i="48"/>
  <c r="AB28" i="48"/>
  <c r="AG36" i="48"/>
  <c r="K39" i="48"/>
  <c r="Q5" i="48"/>
  <c r="AE33" i="48"/>
  <c r="AH29" i="48"/>
  <c r="W11" i="48"/>
  <c r="Y38" i="48"/>
  <c r="Q34" i="48"/>
  <c r="AG38" i="48"/>
  <c r="KM234" i="46"/>
  <c r="W4" i="48"/>
  <c r="S6" i="48"/>
  <c r="AK24" i="48"/>
  <c r="AH28" i="48"/>
  <c r="X17" i="48"/>
  <c r="AC20" i="48"/>
  <c r="Z15" i="48"/>
  <c r="FB238" i="46"/>
  <c r="BM230" i="46"/>
  <c r="EV230" i="46"/>
  <c r="EM230" i="46"/>
  <c r="DR230" i="46"/>
  <c r="FW230" i="46"/>
  <c r="FT230" i="46"/>
  <c r="IZ230" i="46"/>
  <c r="IN230" i="46"/>
  <c r="AF11" i="48"/>
  <c r="W33" i="48"/>
  <c r="AC34" i="48"/>
  <c r="AE34" i="48"/>
  <c r="AE35" i="48"/>
  <c r="AI24" i="48"/>
  <c r="N25" i="48"/>
  <c r="R26" i="48"/>
  <c r="AD25" i="48"/>
  <c r="X24" i="48"/>
  <c r="Z28" i="48"/>
  <c r="K13" i="48"/>
  <c r="J10" i="48"/>
  <c r="V14" i="48"/>
  <c r="X27" i="48"/>
  <c r="T28" i="48"/>
  <c r="AB38" i="48"/>
  <c r="AC27" i="48"/>
  <c r="AL28" i="48"/>
  <c r="AA37" i="48"/>
  <c r="V8" i="48"/>
  <c r="AH34" i="48"/>
  <c r="W39" i="48"/>
  <c r="AF32" i="48"/>
  <c r="AG35" i="48"/>
  <c r="AJ11" i="48"/>
  <c r="AF29" i="48"/>
  <c r="V30" i="48"/>
  <c r="Z36" i="48"/>
  <c r="AG7" i="48"/>
  <c r="T14" i="48"/>
  <c r="Q12" i="48"/>
  <c r="AJ18" i="48"/>
  <c r="T21" i="48"/>
  <c r="AK32" i="48"/>
  <c r="AG14" i="48"/>
  <c r="AC11" i="48"/>
  <c r="AI23" i="48"/>
  <c r="AG17" i="48"/>
  <c r="J34" i="48"/>
  <c r="J14" i="48"/>
  <c r="V7" i="48"/>
  <c r="AE27" i="48"/>
  <c r="S7" i="48"/>
  <c r="AK39" i="48"/>
  <c r="W7" i="48"/>
  <c r="M23" i="48"/>
  <c r="R31" i="48"/>
  <c r="R12" i="48"/>
  <c r="W18" i="48"/>
  <c r="T20" i="48"/>
  <c r="U27" i="48"/>
  <c r="L22" i="48"/>
  <c r="L18" i="48"/>
  <c r="AJ33" i="48"/>
  <c r="HG234" i="46"/>
  <c r="IB234" i="46"/>
  <c r="BG234" i="46"/>
  <c r="AL7" i="48"/>
  <c r="P31" i="48"/>
  <c r="P33" i="48"/>
  <c r="N20" i="48"/>
  <c r="AI29" i="48"/>
  <c r="AK19" i="48"/>
  <c r="AB32" i="48"/>
  <c r="AI238" i="46"/>
  <c r="EP238" i="46"/>
  <c r="FN238" i="46"/>
  <c r="BJ230" i="46"/>
  <c r="HS230" i="46"/>
  <c r="JO230" i="46"/>
  <c r="KV230" i="46"/>
  <c r="M4" i="48"/>
  <c r="N21" i="48"/>
  <c r="T18" i="48"/>
  <c r="X10" i="48"/>
  <c r="X11" i="48"/>
  <c r="AB33" i="48"/>
  <c r="N35" i="48"/>
  <c r="AJ35" i="48"/>
  <c r="AK5" i="48"/>
  <c r="I9" i="48"/>
  <c r="O39" i="48"/>
  <c r="O5" i="48"/>
  <c r="AE25" i="48"/>
  <c r="P26" i="48"/>
  <c r="AE39" i="48"/>
  <c r="P4" i="48"/>
  <c r="U8" i="48"/>
  <c r="K23" i="48"/>
  <c r="P8" i="48"/>
  <c r="L9" i="48"/>
  <c r="L24" i="48"/>
  <c r="U11" i="48"/>
  <c r="J12" i="48"/>
  <c r="Z7" i="48"/>
  <c r="R8" i="48"/>
  <c r="V10" i="48"/>
  <c r="AA27" i="48"/>
  <c r="AL22" i="48"/>
  <c r="U38" i="48"/>
  <c r="AD33" i="48"/>
  <c r="AL12" i="48"/>
  <c r="AJ34" i="48"/>
  <c r="N30" i="48"/>
  <c r="W15" i="48"/>
  <c r="O34" i="48"/>
  <c r="AG4" i="48"/>
  <c r="K21" i="48"/>
  <c r="AH22" i="48"/>
  <c r="AF8" i="48"/>
  <c r="T37" i="48"/>
  <c r="R22" i="48"/>
  <c r="AB14" i="48"/>
  <c r="I30" i="48"/>
  <c r="J23" i="48"/>
  <c r="L17" i="48"/>
  <c r="R33" i="48"/>
  <c r="AF17" i="48"/>
  <c r="AK23" i="48"/>
  <c r="Q22" i="48"/>
  <c r="P30" i="48"/>
  <c r="AE36" i="48"/>
  <c r="AK38" i="48"/>
  <c r="AC4" i="48"/>
  <c r="AI20" i="48"/>
  <c r="AH21" i="48"/>
  <c r="AL24" i="48"/>
  <c r="EY234" i="46"/>
  <c r="ED234" i="46"/>
  <c r="DI234" i="46"/>
  <c r="CZ234" i="46"/>
  <c r="HM234" i="46"/>
  <c r="Z234" i="46"/>
  <c r="W38" i="48"/>
  <c r="M40" i="48"/>
  <c r="AL39" i="48"/>
  <c r="P23" i="48"/>
  <c r="Y24" i="48"/>
  <c r="T26" i="48"/>
  <c r="J26" i="48"/>
  <c r="L23" i="48"/>
  <c r="AA14" i="48"/>
  <c r="R10" i="48"/>
  <c r="M17" i="48"/>
  <c r="O14" i="48"/>
  <c r="AK8" i="48"/>
  <c r="AF9" i="48"/>
  <c r="J31" i="48"/>
  <c r="S14" i="48"/>
  <c r="AF14" i="48"/>
  <c r="P21" i="48"/>
  <c r="R15" i="48"/>
  <c r="U14" i="48"/>
  <c r="AE20" i="48"/>
  <c r="P25" i="48"/>
  <c r="R21" i="48"/>
  <c r="N17" i="48"/>
  <c r="O16" i="48"/>
  <c r="AC23" i="48"/>
  <c r="P5" i="48"/>
  <c r="AL4" i="48"/>
  <c r="N23" i="48"/>
  <c r="S18" i="48"/>
  <c r="Q30" i="48"/>
  <c r="AD4" i="48"/>
  <c r="L30" i="48"/>
  <c r="AF35" i="48"/>
  <c r="J29" i="48"/>
  <c r="AH40" i="48"/>
  <c r="P10" i="48"/>
  <c r="Y5" i="48"/>
  <c r="U37" i="48"/>
  <c r="Z17" i="48"/>
  <c r="R11" i="48"/>
  <c r="AD39" i="48"/>
  <c r="AK26" i="48"/>
  <c r="AG28" i="48"/>
  <c r="T27" i="48"/>
  <c r="AF23" i="48"/>
  <c r="X36" i="48"/>
  <c r="X4" i="48"/>
  <c r="I38" i="48"/>
  <c r="I27" i="48"/>
  <c r="L11" i="48"/>
  <c r="W10" i="48"/>
  <c r="AC14" i="48"/>
  <c r="AE37" i="48"/>
  <c r="L36" i="48"/>
  <c r="U4" i="48"/>
  <c r="AC234" i="46"/>
  <c r="IE230" i="46"/>
  <c r="DI230" i="46"/>
  <c r="Z10" i="48"/>
  <c r="U33" i="48"/>
  <c r="I12" i="48"/>
  <c r="Z40" i="48"/>
  <c r="K34" i="48"/>
  <c r="W9" i="48"/>
  <c r="AJ23" i="48"/>
  <c r="Z24" i="48"/>
  <c r="S32" i="48"/>
  <c r="P24" i="48"/>
  <c r="N27" i="48"/>
  <c r="O32" i="48"/>
  <c r="AD15" i="48"/>
  <c r="Q13" i="48"/>
  <c r="P19" i="48"/>
  <c r="S37" i="48"/>
  <c r="AG32" i="48"/>
  <c r="U36" i="48"/>
  <c r="AA38" i="48"/>
  <c r="J39" i="48"/>
  <c r="L38" i="48"/>
  <c r="O4" i="48"/>
  <c r="Q36" i="48"/>
  <c r="R34" i="48"/>
  <c r="I40" i="48"/>
  <c r="J9" i="48"/>
  <c r="P13" i="48"/>
  <c r="W29" i="48"/>
  <c r="W5" i="48"/>
  <c r="J37" i="48"/>
  <c r="AA6" i="48"/>
  <c r="X16" i="48"/>
  <c r="AB19" i="48"/>
  <c r="AG24" i="48"/>
  <c r="AA23" i="48"/>
  <c r="AF30" i="48"/>
  <c r="S4" i="48"/>
  <c r="AJ31" i="48"/>
  <c r="AF34" i="48"/>
  <c r="AD36" i="48"/>
  <c r="AG27" i="48"/>
  <c r="I33" i="48"/>
  <c r="I7" i="48"/>
  <c r="AF12" i="48"/>
  <c r="S8" i="48"/>
  <c r="W37" i="48"/>
  <c r="AK6" i="48"/>
  <c r="N10" i="48"/>
  <c r="S10" i="48"/>
  <c r="Y18" i="48"/>
  <c r="AJ24" i="48"/>
  <c r="X25" i="48"/>
  <c r="U32" i="48"/>
  <c r="I11" i="48"/>
  <c r="J13" i="48"/>
  <c r="AG10" i="48"/>
  <c r="CB230" i="46"/>
  <c r="HJ230" i="46"/>
  <c r="Y23" i="48"/>
  <c r="T25" i="48"/>
  <c r="S33" i="48"/>
  <c r="AE29" i="48"/>
  <c r="AF13" i="48"/>
  <c r="AA8" i="48"/>
  <c r="AC38" i="48"/>
  <c r="M21" i="48"/>
  <c r="AH6" i="48"/>
  <c r="AH7" i="48"/>
  <c r="T29" i="48"/>
  <c r="AC32" i="48"/>
  <c r="AD30" i="48"/>
  <c r="AL40" i="48"/>
  <c r="N31" i="48"/>
  <c r="AE8" i="48"/>
  <c r="Q10" i="48"/>
  <c r="M29" i="48"/>
  <c r="K32" i="48"/>
  <c r="AL11" i="48"/>
  <c r="S13" i="48"/>
  <c r="AH10" i="48"/>
  <c r="J33" i="48"/>
  <c r="AB31" i="48"/>
  <c r="K17" i="48"/>
  <c r="AA30" i="48"/>
  <c r="AF27" i="48"/>
  <c r="I28" i="48"/>
  <c r="I29" i="48"/>
  <c r="J21" i="48"/>
  <c r="AH39" i="48"/>
  <c r="Z39" i="48"/>
  <c r="AE5" i="48"/>
  <c r="AE38" i="48"/>
  <c r="I36" i="48"/>
  <c r="N5" i="48"/>
  <c r="AI27" i="48"/>
  <c r="R19" i="48"/>
  <c r="AF21" i="48"/>
  <c r="T7" i="48"/>
  <c r="U16" i="48"/>
  <c r="V15" i="48"/>
  <c r="N14" i="48"/>
  <c r="AB13" i="48"/>
  <c r="I22" i="48"/>
  <c r="O38" i="48"/>
  <c r="AL27" i="48"/>
  <c r="AE24" i="48"/>
  <c r="R37" i="48"/>
  <c r="AB5" i="48"/>
  <c r="P6" i="48"/>
  <c r="J11" i="48"/>
  <c r="AF20" i="48"/>
  <c r="AE22" i="48"/>
  <c r="O27" i="48"/>
  <c r="DC234" i="46"/>
  <c r="AE6" i="48"/>
  <c r="AJ22" i="48"/>
  <c r="AH25" i="48"/>
  <c r="AI30" i="48"/>
  <c r="AA13" i="48"/>
  <c r="Z12" i="48"/>
  <c r="S19" i="48"/>
  <c r="T12" i="48"/>
  <c r="AD13" i="48"/>
  <c r="AH18" i="48"/>
  <c r="K16" i="48"/>
  <c r="AG8" i="48"/>
  <c r="Z29" i="48"/>
  <c r="AE19" i="48"/>
  <c r="P15" i="48"/>
  <c r="Z25" i="48"/>
  <c r="AL19" i="48"/>
  <c r="S17" i="48"/>
  <c r="Z27" i="48"/>
  <c r="X28" i="48"/>
  <c r="AK25" i="48"/>
  <c r="AL20" i="48"/>
  <c r="AK17" i="48"/>
  <c r="P27" i="48"/>
  <c r="X9" i="48"/>
  <c r="AI5" i="48"/>
  <c r="W24" i="48"/>
  <c r="U21" i="48"/>
  <c r="Y37" i="48"/>
  <c r="J4" i="48"/>
  <c r="AB29" i="48"/>
  <c r="W14" i="48"/>
  <c r="T11" i="48"/>
  <c r="T30" i="48"/>
  <c r="AD23" i="48"/>
  <c r="AE4" i="48"/>
  <c r="AL23" i="48"/>
  <c r="AH38" i="48"/>
  <c r="N39" i="48"/>
  <c r="AL38" i="48"/>
  <c r="X34" i="48"/>
  <c r="AI22" i="48"/>
  <c r="S28" i="48"/>
  <c r="Y25" i="48"/>
  <c r="AA36" i="48"/>
  <c r="J7" i="48"/>
  <c r="J5" i="48"/>
  <c r="N15" i="48"/>
  <c r="AG12" i="48"/>
  <c r="M26" i="48"/>
  <c r="AC19" i="48"/>
  <c r="AC37" i="48"/>
  <c r="X38" i="48"/>
  <c r="I8" i="48"/>
  <c r="JR230" i="46"/>
  <c r="O28" i="48"/>
  <c r="W28" i="48"/>
  <c r="S40" i="48"/>
  <c r="W30" i="48"/>
  <c r="O30" i="48"/>
  <c r="AI37" i="48"/>
  <c r="AB18" i="48"/>
  <c r="AG15" i="48"/>
  <c r="AF24" i="48"/>
  <c r="AD40" i="48"/>
  <c r="AK40" i="48"/>
  <c r="AA34" i="48"/>
  <c r="AL36" i="48"/>
  <c r="AF39" i="48"/>
  <c r="AK7" i="48"/>
  <c r="AA5" i="48"/>
  <c r="AH4" i="48"/>
  <c r="W36" i="48"/>
  <c r="Y35" i="48"/>
  <c r="AK4" i="48"/>
  <c r="Z14" i="48"/>
  <c r="AE17" i="48"/>
  <c r="M7" i="48"/>
  <c r="I34" i="48"/>
  <c r="J32" i="48"/>
  <c r="AC17" i="48"/>
  <c r="Y21" i="48"/>
  <c r="I37" i="48"/>
  <c r="Q25" i="48"/>
  <c r="Z22" i="48"/>
  <c r="Y33" i="48"/>
  <c r="AK15" i="48"/>
  <c r="T36" i="48"/>
  <c r="AI25" i="48"/>
  <c r="X29" i="48"/>
  <c r="I17" i="48"/>
  <c r="AH31" i="48"/>
  <c r="AH14" i="48"/>
  <c r="S12" i="48"/>
  <c r="J6" i="48"/>
  <c r="U34" i="48"/>
  <c r="N12" i="48"/>
  <c r="L13" i="48"/>
  <c r="I24" i="48"/>
  <c r="AI28" i="48"/>
  <c r="W25" i="48"/>
  <c r="X39" i="48"/>
  <c r="AJ10" i="48"/>
  <c r="N11" i="48"/>
  <c r="AI14" i="48"/>
  <c r="T234" i="46"/>
  <c r="FB230" i="46"/>
  <c r="JC230" i="46"/>
  <c r="EP230" i="46"/>
  <c r="CB238" i="46"/>
  <c r="I31" i="48"/>
  <c r="AE21" i="48"/>
  <c r="AA33" i="48"/>
  <c r="Q33" i="48"/>
  <c r="I19" i="48"/>
  <c r="N34" i="48"/>
  <c r="AH32" i="48"/>
  <c r="Z37" i="48"/>
  <c r="P29" i="48"/>
  <c r="M18" i="48"/>
  <c r="K33" i="48"/>
  <c r="S31" i="48"/>
  <c r="AE11" i="48"/>
  <c r="Y17" i="48"/>
  <c r="O12" i="48"/>
  <c r="X15" i="48"/>
  <c r="J27" i="48"/>
  <c r="L29" i="48"/>
  <c r="AJ14" i="48"/>
  <c r="X32" i="48"/>
  <c r="AI40" i="48"/>
  <c r="X12" i="48"/>
  <c r="M33" i="48"/>
  <c r="J18" i="48"/>
  <c r="N37" i="48"/>
  <c r="P7" i="48"/>
  <c r="AI33" i="48"/>
  <c r="AD8" i="48"/>
  <c r="U39" i="48"/>
  <c r="M30" i="48"/>
  <c r="V40" i="48"/>
  <c r="AG39" i="48"/>
  <c r="M13" i="48"/>
  <c r="U19" i="48"/>
  <c r="AD18" i="48"/>
  <c r="X21" i="48"/>
  <c r="AL31" i="48"/>
  <c r="AA16" i="48"/>
  <c r="V13" i="48"/>
  <c r="AJ4" i="48"/>
  <c r="P28" i="48"/>
  <c r="V24" i="48"/>
  <c r="N28" i="48"/>
  <c r="V6" i="48"/>
  <c r="Q7" i="48"/>
  <c r="Y32" i="48"/>
  <c r="O25" i="48"/>
  <c r="S25" i="48"/>
  <c r="Q32" i="48"/>
  <c r="GX230" i="46"/>
  <c r="JU230" i="46"/>
  <c r="AJ7" i="48"/>
  <c r="T238" i="46"/>
  <c r="DU230" i="46"/>
  <c r="W230" i="46"/>
  <c r="I10" i="48"/>
  <c r="U23" i="48"/>
  <c r="AC252" i="46"/>
  <c r="Z252" i="46"/>
  <c r="W252" i="46"/>
  <c r="T252" i="46"/>
  <c r="KA252" i="46"/>
  <c r="JX252" i="46"/>
  <c r="JU252" i="46"/>
  <c r="IZ252" i="46"/>
  <c r="JC252" i="46"/>
  <c r="IW252" i="46"/>
  <c r="IT252" i="46"/>
  <c r="IQ252" i="46"/>
  <c r="JL252" i="46"/>
  <c r="JI252" i="46"/>
  <c r="JF252" i="46"/>
  <c r="KY252" i="46"/>
  <c r="LE252" i="46"/>
  <c r="LB252" i="46"/>
  <c r="KV252" i="46"/>
  <c r="KD252" i="46"/>
  <c r="HV252" i="46"/>
  <c r="FN252" i="46"/>
  <c r="HS252" i="46"/>
  <c r="HP252" i="46"/>
  <c r="KG252" i="46"/>
  <c r="GU252" i="46"/>
  <c r="JR252" i="46"/>
  <c r="GR252" i="46"/>
  <c r="JO252" i="46"/>
  <c r="GO252" i="46"/>
  <c r="IN252" i="46"/>
  <c r="KS252" i="46"/>
  <c r="GL252" i="46"/>
  <c r="KP252" i="46"/>
  <c r="GI252" i="46"/>
  <c r="KM252" i="46"/>
  <c r="GF252" i="46"/>
  <c r="KJ252" i="46"/>
  <c r="GC252" i="46"/>
  <c r="FW252" i="46"/>
  <c r="HG252" i="46"/>
  <c r="HD252" i="46"/>
  <c r="HA252" i="46"/>
  <c r="GX252" i="46"/>
  <c r="FT252" i="46"/>
  <c r="DI252" i="46"/>
  <c r="DF252" i="46"/>
  <c r="FH252" i="46"/>
  <c r="IB252" i="46"/>
  <c r="ES252" i="46"/>
  <c r="HY252" i="46"/>
  <c r="EP252" i="46"/>
  <c r="HM252" i="46"/>
  <c r="EM252" i="46"/>
  <c r="HJ252" i="46"/>
  <c r="EJ252" i="46"/>
  <c r="IK252" i="46"/>
  <c r="FQ252" i="46"/>
  <c r="ED252" i="46"/>
  <c r="IH252" i="46"/>
  <c r="IE252" i="46"/>
  <c r="FZ252" i="46"/>
  <c r="FK252" i="46"/>
  <c r="FB252" i="46"/>
  <c r="EY252" i="46"/>
  <c r="DX252" i="46"/>
  <c r="DR252" i="46"/>
  <c r="CN252" i="46"/>
  <c r="CK252" i="46"/>
  <c r="CH252" i="46"/>
  <c r="EG252" i="46"/>
  <c r="EA252" i="46"/>
  <c r="DL252" i="46"/>
  <c r="CT252" i="46"/>
  <c r="FE252" i="46"/>
  <c r="EV252" i="46"/>
  <c r="DO252" i="46"/>
  <c r="CW252" i="46"/>
  <c r="DC252" i="46"/>
  <c r="CZ252" i="46"/>
  <c r="BA252" i="46"/>
  <c r="AX252" i="46"/>
  <c r="DU252" i="46"/>
  <c r="BY252" i="46"/>
  <c r="CE252" i="46"/>
  <c r="BS252" i="46"/>
  <c r="CQ252" i="46"/>
  <c r="CB252" i="46"/>
  <c r="BV252" i="46"/>
  <c r="BJ252" i="46"/>
  <c r="BP252" i="46"/>
  <c r="BG252" i="46"/>
  <c r="BM252" i="46"/>
  <c r="BD252" i="46"/>
  <c r="AI252" i="46"/>
  <c r="AR252" i="46"/>
  <c r="AO252" i="46"/>
  <c r="AL252" i="46"/>
  <c r="AU252" i="46"/>
  <c r="AR238" i="46"/>
  <c r="W238" i="46"/>
  <c r="HV230" i="46"/>
  <c r="HM230" i="46"/>
  <c r="IB230" i="46"/>
  <c r="T39" i="48"/>
  <c r="R27" i="48"/>
  <c r="AA17" i="48"/>
  <c r="T16" i="48"/>
  <c r="K12" i="48"/>
  <c r="X20" i="48"/>
  <c r="AJ20" i="48"/>
  <c r="R28" i="48"/>
  <c r="AC22" i="48"/>
  <c r="K25" i="48"/>
  <c r="AL8" i="48"/>
  <c r="AC31" i="48"/>
  <c r="V28" i="48"/>
  <c r="AH24" i="48"/>
  <c r="V19" i="48"/>
  <c r="Q9" i="48"/>
  <c r="AK10" i="48"/>
  <c r="U12" i="48"/>
  <c r="AL13" i="48"/>
  <c r="AB11" i="48"/>
  <c r="K22" i="48"/>
  <c r="K4" i="48"/>
  <c r="R36" i="48"/>
  <c r="AG26" i="48"/>
  <c r="T34" i="48"/>
  <c r="M34" i="48"/>
  <c r="S36" i="48"/>
  <c r="J30" i="48"/>
  <c r="AG34" i="48"/>
  <c r="U28" i="48"/>
  <c r="AJ8" i="48"/>
  <c r="S27" i="48"/>
  <c r="T8" i="48"/>
  <c r="Z4" i="48"/>
  <c r="AI13" i="48"/>
  <c r="Q11" i="48"/>
  <c r="V23" i="48"/>
  <c r="Q8" i="48"/>
  <c r="Y8" i="48"/>
  <c r="CE234" i="46"/>
  <c r="W234" i="46"/>
  <c r="Z247" i="46"/>
  <c r="Z248" i="46" s="1"/>
  <c r="T247" i="46"/>
  <c r="T248" i="46" s="1"/>
  <c r="AC247" i="46"/>
  <c r="AC248" i="46" s="1"/>
  <c r="W247" i="46"/>
  <c r="W248" i="46" s="1"/>
  <c r="JX247" i="46"/>
  <c r="JX248" i="46" s="1"/>
  <c r="JU247" i="46"/>
  <c r="JU248" i="46" s="1"/>
  <c r="JR247" i="46"/>
  <c r="JR248" i="46" s="1"/>
  <c r="LE247" i="46"/>
  <c r="LE248" i="46" s="1"/>
  <c r="IW247" i="46"/>
  <c r="IW248" i="46" s="1"/>
  <c r="JL247" i="46"/>
  <c r="JL248" i="46" s="1"/>
  <c r="JI247" i="46"/>
  <c r="JI248" i="46" s="1"/>
  <c r="JF247" i="46"/>
  <c r="JF248" i="46" s="1"/>
  <c r="JC247" i="46"/>
  <c r="JC248" i="46" s="1"/>
  <c r="LB247" i="46"/>
  <c r="LB248" i="46" s="1"/>
  <c r="KY247" i="46"/>
  <c r="KY248" i="46" s="1"/>
  <c r="KV247" i="46"/>
  <c r="KV248" i="46" s="1"/>
  <c r="KG247" i="46"/>
  <c r="KG248" i="46" s="1"/>
  <c r="JO247" i="46"/>
  <c r="JO248" i="46" s="1"/>
  <c r="KS247" i="46"/>
  <c r="KS248" i="46" s="1"/>
  <c r="KP247" i="46"/>
  <c r="KP248" i="46" s="1"/>
  <c r="IT247" i="46"/>
  <c r="IT248" i="46" s="1"/>
  <c r="IZ247" i="46"/>
  <c r="IZ248" i="46" s="1"/>
  <c r="HG247" i="46"/>
  <c r="HG248" i="46" s="1"/>
  <c r="IQ247" i="46"/>
  <c r="IQ248" i="46" s="1"/>
  <c r="HD247" i="46"/>
  <c r="HD248" i="46" s="1"/>
  <c r="IN247" i="46"/>
  <c r="IN248" i="46" s="1"/>
  <c r="HA247" i="46"/>
  <c r="HA248" i="46" s="1"/>
  <c r="IK247" i="46"/>
  <c r="IK248" i="46" s="1"/>
  <c r="HM247" i="46"/>
  <c r="HM248" i="46" s="1"/>
  <c r="KM247" i="46"/>
  <c r="KM248" i="46" s="1"/>
  <c r="HJ247" i="46"/>
  <c r="HJ248" i="46" s="1"/>
  <c r="KJ247" i="46"/>
  <c r="KJ248" i="46" s="1"/>
  <c r="GX247" i="46"/>
  <c r="GX248" i="46" s="1"/>
  <c r="KD247" i="46"/>
  <c r="KD248" i="46" s="1"/>
  <c r="FT247" i="46"/>
  <c r="FT248" i="46" s="1"/>
  <c r="FQ247" i="46"/>
  <c r="FQ248" i="46" s="1"/>
  <c r="FN247" i="46"/>
  <c r="FN248" i="46" s="1"/>
  <c r="IE247" i="46"/>
  <c r="IE248" i="46" s="1"/>
  <c r="GU247" i="46"/>
  <c r="GU248" i="46" s="1"/>
  <c r="GR247" i="46"/>
  <c r="GR248" i="46" s="1"/>
  <c r="GO247" i="46"/>
  <c r="GO248" i="46" s="1"/>
  <c r="GL247" i="46"/>
  <c r="GL248" i="46" s="1"/>
  <c r="KA247" i="46"/>
  <c r="KA248" i="46" s="1"/>
  <c r="GF247" i="46"/>
  <c r="GF248" i="46" s="1"/>
  <c r="HY247" i="46"/>
  <c r="HY248" i="46" s="1"/>
  <c r="FB247" i="46"/>
  <c r="FB248" i="46" s="1"/>
  <c r="CT247" i="46"/>
  <c r="CT248" i="46" s="1"/>
  <c r="HV247" i="46"/>
  <c r="HV248" i="46" s="1"/>
  <c r="EY247" i="46"/>
  <c r="EY248" i="46" s="1"/>
  <c r="CQ247" i="46"/>
  <c r="CQ248" i="46" s="1"/>
  <c r="HS247" i="46"/>
  <c r="HS248" i="46" s="1"/>
  <c r="HP247" i="46"/>
  <c r="HP248" i="46" s="1"/>
  <c r="GI247" i="46"/>
  <c r="GI248" i="46" s="1"/>
  <c r="FZ247" i="46"/>
  <c r="FZ248" i="46" s="1"/>
  <c r="DF247" i="46"/>
  <c r="DF248" i="46" s="1"/>
  <c r="DC247" i="46"/>
  <c r="DC248" i="46" s="1"/>
  <c r="IH247" i="46"/>
  <c r="IH248" i="46" s="1"/>
  <c r="CZ247" i="46"/>
  <c r="CZ248" i="46" s="1"/>
  <c r="IB247" i="46"/>
  <c r="IB248" i="46" s="1"/>
  <c r="FK247" i="46"/>
  <c r="FK248" i="46" s="1"/>
  <c r="CW247" i="46"/>
  <c r="CW248" i="46" s="1"/>
  <c r="FW247" i="46"/>
  <c r="FW248" i="46" s="1"/>
  <c r="FE247" i="46"/>
  <c r="FE248" i="46" s="1"/>
  <c r="ED247" i="46"/>
  <c r="ED248" i="46" s="1"/>
  <c r="EA247" i="46"/>
  <c r="EA248" i="46" s="1"/>
  <c r="DX247" i="46"/>
  <c r="DX248" i="46" s="1"/>
  <c r="DU247" i="46"/>
  <c r="DU248" i="46" s="1"/>
  <c r="DO247" i="46"/>
  <c r="DO248" i="46" s="1"/>
  <c r="DL247" i="46"/>
  <c r="DL248" i="46" s="1"/>
  <c r="EJ247" i="46"/>
  <c r="EJ248" i="46" s="1"/>
  <c r="EG247" i="46"/>
  <c r="EG248" i="46" s="1"/>
  <c r="GC247" i="46"/>
  <c r="GC248" i="46" s="1"/>
  <c r="DR247" i="46"/>
  <c r="DR248" i="46" s="1"/>
  <c r="DI247" i="46"/>
  <c r="DI248" i="46" s="1"/>
  <c r="EV247" i="46"/>
  <c r="EV248" i="46" s="1"/>
  <c r="ES247" i="46"/>
  <c r="ES248" i="46" s="1"/>
  <c r="EP247" i="46"/>
  <c r="EP248" i="46" s="1"/>
  <c r="EM247" i="46"/>
  <c r="EM248" i="46" s="1"/>
  <c r="CN247" i="46"/>
  <c r="CN248" i="46" s="1"/>
  <c r="BY247" i="46"/>
  <c r="BY248" i="46" s="1"/>
  <c r="CE247" i="46"/>
  <c r="CE248" i="46" s="1"/>
  <c r="CB247" i="46"/>
  <c r="CB248" i="46" s="1"/>
  <c r="BV247" i="46"/>
  <c r="BV248" i="46" s="1"/>
  <c r="CH247" i="46"/>
  <c r="CH248" i="46" s="1"/>
  <c r="BP247" i="46"/>
  <c r="BP248" i="46" s="1"/>
  <c r="BM247" i="46"/>
  <c r="BM248" i="46" s="1"/>
  <c r="AO247" i="46"/>
  <c r="AO248" i="46" s="1"/>
  <c r="AL247" i="46"/>
  <c r="AL248" i="46" s="1"/>
  <c r="AI247" i="46"/>
  <c r="AI248" i="46" s="1"/>
  <c r="FH247" i="46"/>
  <c r="FH248" i="46" s="1"/>
  <c r="CK247" i="46"/>
  <c r="CK248" i="46" s="1"/>
  <c r="BS247" i="46"/>
  <c r="BS248" i="46" s="1"/>
  <c r="BJ247" i="46"/>
  <c r="BJ248" i="46" s="1"/>
  <c r="AX247" i="46"/>
  <c r="AX248" i="46" s="1"/>
  <c r="AR247" i="46"/>
  <c r="AR248" i="46" s="1"/>
  <c r="BA247" i="46"/>
  <c r="BA248" i="46" s="1"/>
  <c r="AU247" i="46"/>
  <c r="AU248" i="46" s="1"/>
  <c r="BD247" i="46"/>
  <c r="BD248" i="46" s="1"/>
  <c r="BG247" i="46"/>
  <c r="BG248" i="46" s="1"/>
  <c r="BV230" i="46"/>
  <c r="AA22" i="48"/>
  <c r="IN238" i="46"/>
  <c r="V39" i="48"/>
  <c r="EY230" i="46"/>
  <c r="KY230" i="46"/>
  <c r="AA11" i="48"/>
  <c r="KD230" i="46"/>
  <c r="X22" i="48"/>
  <c r="AL26" i="48"/>
  <c r="AK16" i="48"/>
  <c r="AF10" i="48"/>
  <c r="AF7" i="48"/>
  <c r="AI8" i="48"/>
  <c r="AX238" i="46"/>
  <c r="IH238" i="46"/>
  <c r="GF238" i="46"/>
  <c r="KM238" i="46"/>
  <c r="Z230" i="46"/>
  <c r="U35" i="48"/>
  <c r="AI11" i="48"/>
  <c r="AJ26" i="48"/>
  <c r="AF40" i="48"/>
  <c r="P12" i="48"/>
  <c r="O22" i="48"/>
  <c r="AK13" i="48"/>
  <c r="O23" i="48"/>
  <c r="K8" i="48"/>
  <c r="AA15" i="48"/>
  <c r="AD17" i="48"/>
  <c r="W22" i="48"/>
  <c r="W16" i="48"/>
  <c r="AA28" i="48"/>
  <c r="AH37" i="48"/>
  <c r="N19" i="48"/>
  <c r="BV238" i="46"/>
  <c r="BA238" i="46"/>
  <c r="CZ238" i="46"/>
  <c r="HJ238" i="46"/>
  <c r="IQ238" i="46"/>
  <c r="Z238" i="46"/>
  <c r="CK230" i="46"/>
  <c r="BY230" i="46"/>
  <c r="CZ230" i="46"/>
  <c r="HP230" i="46"/>
  <c r="DO230" i="46"/>
  <c r="GO230" i="46"/>
  <c r="LE230" i="46"/>
  <c r="KG230" i="46"/>
  <c r="IK230" i="46"/>
  <c r="JX230" i="46"/>
  <c r="AC230" i="46"/>
  <c r="Q31" i="48"/>
  <c r="K29" i="48"/>
  <c r="Q15" i="48"/>
  <c r="T6" i="48"/>
  <c r="AA4" i="48"/>
  <c r="L20" i="48"/>
  <c r="J40" i="48"/>
  <c r="AJ30" i="48"/>
  <c r="AA40" i="48"/>
  <c r="P36" i="48"/>
  <c r="AE30" i="48"/>
  <c r="AI35" i="48"/>
  <c r="Q18" i="48"/>
  <c r="Y16" i="48"/>
  <c r="AK27" i="48"/>
  <c r="AB37" i="48"/>
  <c r="T38" i="48"/>
  <c r="AJ9" i="48"/>
  <c r="AG9" i="48"/>
  <c r="Z35" i="48"/>
  <c r="AI4" i="48"/>
  <c r="R4" i="48"/>
  <c r="O24" i="48"/>
  <c r="M9" i="48"/>
  <c r="R35" i="48"/>
  <c r="U17" i="48"/>
  <c r="O15" i="48"/>
  <c r="U18" i="48"/>
  <c r="AB4" i="48"/>
  <c r="AJ6" i="48"/>
  <c r="R14" i="48"/>
  <c r="AG19" i="48"/>
  <c r="AC24" i="48"/>
  <c r="Q38" i="48"/>
  <c r="AL30" i="48"/>
  <c r="W34" i="48"/>
  <c r="J22" i="48"/>
  <c r="AI38" i="48"/>
  <c r="AD35" i="48"/>
  <c r="AF15" i="48"/>
  <c r="U22" i="48"/>
  <c r="AE12" i="48"/>
  <c r="Z11" i="48"/>
  <c r="Z26" i="48"/>
  <c r="S29" i="48"/>
  <c r="U6" i="48"/>
  <c r="N8" i="48"/>
  <c r="AB17" i="48"/>
  <c r="AE13" i="48"/>
  <c r="P39" i="48"/>
  <c r="Y30" i="48"/>
  <c r="Y27" i="48"/>
  <c r="T10" i="48"/>
  <c r="O13" i="48"/>
  <c r="J16" i="48"/>
  <c r="AJ19" i="48"/>
  <c r="JC234" i="46"/>
  <c r="CH234" i="46"/>
  <c r="CE230" i="46"/>
  <c r="I15" i="48"/>
  <c r="GL238" i="46"/>
  <c r="FN230" i="46"/>
  <c r="DR238" i="46"/>
  <c r="KA238" i="46"/>
  <c r="KY238" i="46"/>
  <c r="AC238" i="46"/>
  <c r="GI230" i="46"/>
  <c r="IT230" i="46"/>
  <c r="AD26" i="48"/>
  <c r="AA24" i="48"/>
  <c r="R38" i="48"/>
  <c r="AL15" i="48"/>
  <c r="U13" i="48"/>
  <c r="T23" i="48"/>
  <c r="L28" i="48"/>
  <c r="O8" i="48"/>
  <c r="T9" i="48"/>
  <c r="J24" i="48"/>
  <c r="M8" i="48"/>
  <c r="AB34" i="48"/>
  <c r="AK35" i="48"/>
  <c r="Z34" i="48"/>
  <c r="P35" i="48"/>
  <c r="Y11" i="48"/>
  <c r="X33" i="48"/>
  <c r="AA21" i="48"/>
  <c r="O33" i="48"/>
  <c r="V33" i="48"/>
  <c r="AC10" i="48"/>
  <c r="V12" i="48"/>
  <c r="X18" i="48"/>
  <c r="M27" i="48"/>
  <c r="K14" i="48"/>
  <c r="K24" i="48"/>
  <c r="V38" i="48"/>
  <c r="Y34" i="48"/>
  <c r="X14" i="48"/>
  <c r="AB12" i="48"/>
  <c r="O35" i="48"/>
  <c r="AL37" i="48"/>
  <c r="R6" i="48"/>
  <c r="I14" i="48"/>
  <c r="AD11" i="48"/>
  <c r="AL14" i="48"/>
  <c r="L31" i="48"/>
  <c r="J20" i="48"/>
  <c r="X31" i="48"/>
  <c r="T32" i="48"/>
  <c r="S16" i="48"/>
  <c r="AL18" i="48"/>
  <c r="AH23" i="48"/>
  <c r="AD9" i="48"/>
  <c r="X19" i="48"/>
  <c r="V17" i="48"/>
  <c r="M14" i="48"/>
  <c r="AC36" i="48"/>
  <c r="AG30" i="48"/>
  <c r="O40" i="48"/>
  <c r="I25" i="48"/>
  <c r="Q4" i="48"/>
  <c r="AC7" i="48"/>
  <c r="X30" i="48"/>
  <c r="AB24" i="48"/>
  <c r="AB39" i="48"/>
  <c r="KJ234" i="46"/>
  <c r="AO234" i="46"/>
  <c r="CK234" i="46"/>
  <c r="W240" i="46"/>
  <c r="AC241" i="46"/>
  <c r="T240" i="46"/>
  <c r="T241" i="46"/>
  <c r="Z240" i="46"/>
  <c r="Z241" i="46"/>
  <c r="AC240" i="46"/>
  <c r="W241" i="46"/>
  <c r="JR241" i="46"/>
  <c r="KG240" i="46"/>
  <c r="JO241" i="46"/>
  <c r="KD240" i="46"/>
  <c r="JL241" i="46"/>
  <c r="KA240" i="46"/>
  <c r="KY241" i="46"/>
  <c r="IQ241" i="46"/>
  <c r="JF240" i="46"/>
  <c r="JF242" i="46" s="1"/>
  <c r="IK241" i="46"/>
  <c r="IN240" i="46"/>
  <c r="LE241" i="46"/>
  <c r="LE240" i="46"/>
  <c r="IK240" i="46"/>
  <c r="LB241" i="46"/>
  <c r="LB240" i="46"/>
  <c r="KV241" i="46"/>
  <c r="IW241" i="46"/>
  <c r="IT241" i="46"/>
  <c r="IN241" i="46"/>
  <c r="KS241" i="46"/>
  <c r="KM240" i="46"/>
  <c r="KM242" i="46" s="1"/>
  <c r="KJ241" i="46"/>
  <c r="JU240" i="46"/>
  <c r="JX240" i="46"/>
  <c r="JR240" i="46"/>
  <c r="JO240" i="46"/>
  <c r="JL240" i="46"/>
  <c r="JX241" i="46"/>
  <c r="IQ240" i="46"/>
  <c r="IQ242" i="46" s="1"/>
  <c r="JF241" i="46"/>
  <c r="HM241" i="46"/>
  <c r="IB240" i="46"/>
  <c r="FT240" i="46"/>
  <c r="JC241" i="46"/>
  <c r="HJ241" i="46"/>
  <c r="HY240" i="46"/>
  <c r="FQ240" i="46"/>
  <c r="IZ241" i="46"/>
  <c r="HG241" i="46"/>
  <c r="KY240" i="46"/>
  <c r="KV240" i="46"/>
  <c r="KV242" i="46" s="1"/>
  <c r="KS240" i="46"/>
  <c r="GU241" i="46"/>
  <c r="HD240" i="46"/>
  <c r="KP240" i="46"/>
  <c r="GR241" i="46"/>
  <c r="HA240" i="46"/>
  <c r="KJ240" i="46"/>
  <c r="GO241" i="46"/>
  <c r="GX240" i="46"/>
  <c r="JI240" i="46"/>
  <c r="HY241" i="46"/>
  <c r="HP240" i="46"/>
  <c r="HV241" i="46"/>
  <c r="HM240" i="46"/>
  <c r="HS241" i="46"/>
  <c r="HJ240" i="46"/>
  <c r="HP241" i="46"/>
  <c r="HG240" i="46"/>
  <c r="HG242" i="46" s="1"/>
  <c r="HA241" i="46"/>
  <c r="GR240" i="46"/>
  <c r="KG241" i="46"/>
  <c r="IW240" i="46"/>
  <c r="GO240" i="46"/>
  <c r="IT240" i="46"/>
  <c r="IH241" i="46"/>
  <c r="GL240" i="46"/>
  <c r="IE241" i="46"/>
  <c r="GI240" i="46"/>
  <c r="IB241" i="46"/>
  <c r="GF240" i="46"/>
  <c r="GX241" i="46"/>
  <c r="FZ240" i="46"/>
  <c r="GI241" i="46"/>
  <c r="GF241" i="46"/>
  <c r="GC241" i="46"/>
  <c r="FZ241" i="46"/>
  <c r="FW241" i="46"/>
  <c r="FQ241" i="46"/>
  <c r="JI241" i="46"/>
  <c r="IE240" i="46"/>
  <c r="ES241" i="46"/>
  <c r="FH240" i="46"/>
  <c r="CZ240" i="46"/>
  <c r="JC240" i="46"/>
  <c r="HV240" i="46"/>
  <c r="EP241" i="46"/>
  <c r="FE240" i="46"/>
  <c r="CW240" i="46"/>
  <c r="IZ240" i="46"/>
  <c r="HS240" i="46"/>
  <c r="EM241" i="46"/>
  <c r="FB240" i="46"/>
  <c r="CT240" i="46"/>
  <c r="CT242" i="46" s="1"/>
  <c r="GU240" i="46"/>
  <c r="GU242" i="46" s="1"/>
  <c r="FW240" i="46"/>
  <c r="FW242" i="46" s="1"/>
  <c r="ED241" i="46"/>
  <c r="ES240" i="46"/>
  <c r="FN240" i="46"/>
  <c r="EV241" i="46"/>
  <c r="EM240" i="46"/>
  <c r="EJ241" i="46"/>
  <c r="EJ240" i="46"/>
  <c r="EJ242" i="46" s="1"/>
  <c r="EG241" i="46"/>
  <c r="EG240" i="46"/>
  <c r="HD241" i="46"/>
  <c r="EA241" i="46"/>
  <c r="ED240" i="46"/>
  <c r="FT241" i="46"/>
  <c r="DU241" i="46"/>
  <c r="DX240" i="46"/>
  <c r="FN241" i="46"/>
  <c r="DR241" i="46"/>
  <c r="DU240" i="46"/>
  <c r="DF241" i="46"/>
  <c r="DI240" i="46"/>
  <c r="CZ241" i="46"/>
  <c r="DC240" i="46"/>
  <c r="KM241" i="46"/>
  <c r="KA241" i="46"/>
  <c r="EY240" i="46"/>
  <c r="EY242" i="46" s="1"/>
  <c r="EV240" i="46"/>
  <c r="KP241" i="46"/>
  <c r="EP240" i="46"/>
  <c r="KD241" i="46"/>
  <c r="EA240" i="46"/>
  <c r="DO240" i="46"/>
  <c r="CN241" i="46"/>
  <c r="FE241" i="46"/>
  <c r="CQ240" i="46"/>
  <c r="GL241" i="46"/>
  <c r="FB241" i="46"/>
  <c r="DO241" i="46"/>
  <c r="CW241" i="46"/>
  <c r="CB240" i="46"/>
  <c r="BY240" i="46"/>
  <c r="BV240" i="46"/>
  <c r="FK241" i="46"/>
  <c r="BS240" i="46"/>
  <c r="FH241" i="46"/>
  <c r="DX241" i="46"/>
  <c r="DC241" i="46"/>
  <c r="GC240" i="46"/>
  <c r="CQ241" i="46"/>
  <c r="DR240" i="46"/>
  <c r="DF240" i="46"/>
  <c r="BM240" i="46"/>
  <c r="CH241" i="46"/>
  <c r="CK240" i="46"/>
  <c r="IH240" i="46"/>
  <c r="AL241" i="46"/>
  <c r="AI241" i="46"/>
  <c r="CK241" i="46"/>
  <c r="BJ241" i="46"/>
  <c r="AU240" i="46"/>
  <c r="AU242" i="46" s="1"/>
  <c r="CE241" i="46"/>
  <c r="BG241" i="46"/>
  <c r="AR240" i="46"/>
  <c r="CB241" i="46"/>
  <c r="BD241" i="46"/>
  <c r="AO240" i="46"/>
  <c r="CH240" i="46"/>
  <c r="AX241" i="46"/>
  <c r="BS241" i="46"/>
  <c r="JU241" i="46"/>
  <c r="BP241" i="46"/>
  <c r="EY241" i="46"/>
  <c r="BP240" i="46"/>
  <c r="DL241" i="46"/>
  <c r="BA240" i="46"/>
  <c r="DI241" i="46"/>
  <c r="AX240" i="46"/>
  <c r="CT241" i="46"/>
  <c r="FK240" i="46"/>
  <c r="DL240" i="46"/>
  <c r="CN240" i="46"/>
  <c r="CE240" i="46"/>
  <c r="BM241" i="46"/>
  <c r="AI240" i="46"/>
  <c r="BD240" i="46"/>
  <c r="BD242" i="46" s="1"/>
  <c r="BV241" i="46"/>
  <c r="BA241" i="46"/>
  <c r="BG240" i="46"/>
  <c r="BY241" i="46"/>
  <c r="AL240" i="46"/>
  <c r="AU241" i="46"/>
  <c r="AR241" i="46"/>
  <c r="AO241" i="46"/>
  <c r="BJ240" i="46"/>
  <c r="EV238" i="46"/>
  <c r="IQ230" i="46"/>
  <c r="W40" i="48"/>
  <c r="BD238" i="46"/>
  <c r="KS230" i="46"/>
  <c r="BG238" i="46"/>
  <c r="GI238" i="46"/>
  <c r="KP238" i="46"/>
  <c r="AO230" i="46"/>
  <c r="CW230" i="46"/>
  <c r="FE230" i="46"/>
  <c r="CT230" i="46"/>
  <c r="FZ230" i="46"/>
  <c r="KJ230" i="46"/>
  <c r="LB230" i="46"/>
  <c r="Y9" i="48"/>
  <c r="V4" i="48"/>
  <c r="L21" i="48"/>
  <c r="AK34" i="48"/>
  <c r="AF28" i="48"/>
  <c r="L40" i="48"/>
  <c r="O17" i="48"/>
  <c r="AD14" i="48"/>
  <c r="AD7" i="48"/>
  <c r="W19" i="48"/>
  <c r="AJ15" i="48"/>
  <c r="U25" i="48"/>
  <c r="L26" i="48"/>
  <c r="AC21" i="48"/>
  <c r="Y26" i="48"/>
  <c r="N24" i="48"/>
  <c r="P20" i="48"/>
  <c r="M28" i="48"/>
  <c r="AF25" i="48"/>
  <c r="V21" i="48"/>
  <c r="W26" i="48"/>
  <c r="AC30" i="48"/>
  <c r="AF38" i="48"/>
  <c r="N26" i="48"/>
  <c r="AG22" i="48"/>
  <c r="AB21" i="48"/>
  <c r="U9" i="48"/>
  <c r="K28" i="48"/>
  <c r="V32" i="48"/>
  <c r="Y28" i="48"/>
  <c r="L8" i="48"/>
  <c r="T31" i="48"/>
  <c r="Y15" i="48"/>
  <c r="AH16" i="48"/>
  <c r="O19" i="48"/>
  <c r="AG29" i="48"/>
  <c r="AK36" i="48"/>
  <c r="M15" i="48"/>
  <c r="K15" i="48"/>
  <c r="N16" i="48"/>
  <c r="L35" i="48"/>
  <c r="AF37" i="48"/>
  <c r="AL6" i="48"/>
  <c r="AK37" i="48"/>
  <c r="W35" i="48"/>
  <c r="I39" i="48"/>
  <c r="AJ27" i="48"/>
  <c r="I26" i="48"/>
  <c r="AI9" i="48"/>
  <c r="V29" i="48"/>
  <c r="AI17" i="48"/>
  <c r="R13" i="48"/>
  <c r="Z13" i="48"/>
  <c r="AH5" i="48"/>
  <c r="AA9" i="48"/>
  <c r="DF234" i="46"/>
  <c r="KY234" i="46"/>
  <c r="HP234" i="46"/>
  <c r="CN234" i="46"/>
  <c r="EP234" i="46"/>
  <c r="GC238" i="46"/>
  <c r="AX230" i="46"/>
  <c r="M24" i="48"/>
  <c r="JX238" i="46"/>
  <c r="Z251" i="46"/>
  <c r="T251" i="46"/>
  <c r="AC251" i="46"/>
  <c r="W251" i="46"/>
  <c r="KP251" i="46"/>
  <c r="KM251" i="46"/>
  <c r="KJ251" i="46"/>
  <c r="JO251" i="46"/>
  <c r="JC251" i="46"/>
  <c r="IZ251" i="46"/>
  <c r="IW251" i="46"/>
  <c r="IT251" i="46"/>
  <c r="IN251" i="46"/>
  <c r="IK251" i="46"/>
  <c r="KY251" i="46"/>
  <c r="KG251" i="46"/>
  <c r="JX251" i="46"/>
  <c r="JU251" i="46"/>
  <c r="JR251" i="46"/>
  <c r="JL251" i="46"/>
  <c r="KA251" i="46"/>
  <c r="GC251" i="46"/>
  <c r="JI251" i="46"/>
  <c r="IH251" i="46"/>
  <c r="FZ251" i="46"/>
  <c r="JF251" i="46"/>
  <c r="IE251" i="46"/>
  <c r="FW251" i="46"/>
  <c r="IQ251" i="46"/>
  <c r="HA251" i="46"/>
  <c r="GX251" i="46"/>
  <c r="GU251" i="46"/>
  <c r="GI251" i="46"/>
  <c r="GF251" i="46"/>
  <c r="FT251" i="46"/>
  <c r="FQ251" i="46"/>
  <c r="LE251" i="46"/>
  <c r="KS251" i="46"/>
  <c r="HP251" i="46"/>
  <c r="DX251" i="46"/>
  <c r="KD251" i="46"/>
  <c r="HM251" i="46"/>
  <c r="DU251" i="46"/>
  <c r="HJ251" i="46"/>
  <c r="HG251" i="46"/>
  <c r="HD251" i="46"/>
  <c r="GO251" i="46"/>
  <c r="FB251" i="46"/>
  <c r="EY251" i="46"/>
  <c r="EV251" i="46"/>
  <c r="ES251" i="46"/>
  <c r="EM251" i="46"/>
  <c r="LB251" i="46"/>
  <c r="IB251" i="46"/>
  <c r="HS251" i="46"/>
  <c r="GR251" i="46"/>
  <c r="FK251" i="46"/>
  <c r="FH251" i="46"/>
  <c r="FE251" i="46"/>
  <c r="HY251" i="46"/>
  <c r="EP251" i="46"/>
  <c r="GL251" i="46"/>
  <c r="EG251" i="46"/>
  <c r="FN251" i="46"/>
  <c r="ED251" i="46"/>
  <c r="DL251" i="46"/>
  <c r="DF251" i="46"/>
  <c r="DR251" i="46"/>
  <c r="DO251" i="46"/>
  <c r="DI251" i="46"/>
  <c r="DC251" i="46"/>
  <c r="CW251" i="46"/>
  <c r="CN251" i="46"/>
  <c r="HV251" i="46"/>
  <c r="KV251" i="46"/>
  <c r="EJ251" i="46"/>
  <c r="CZ251" i="46"/>
  <c r="BS251" i="46"/>
  <c r="BP251" i="46"/>
  <c r="BM251" i="46"/>
  <c r="CT251" i="46"/>
  <c r="CQ251" i="46"/>
  <c r="AL251" i="46"/>
  <c r="AI251" i="46"/>
  <c r="BJ251" i="46"/>
  <c r="BG251" i="46"/>
  <c r="BD251" i="46"/>
  <c r="AX251" i="46"/>
  <c r="EA251" i="46"/>
  <c r="CK251" i="46"/>
  <c r="BV251" i="46"/>
  <c r="CH251" i="46"/>
  <c r="CE251" i="46"/>
  <c r="BY251" i="46"/>
  <c r="BA251" i="46"/>
  <c r="CB251" i="46"/>
  <c r="AR251" i="46"/>
  <c r="AU251" i="46"/>
  <c r="AO251" i="46"/>
  <c r="HD238" i="46"/>
  <c r="CQ238" i="46"/>
  <c r="DF238" i="46"/>
  <c r="HM238" i="46"/>
  <c r="CH230" i="46"/>
  <c r="AL230" i="46"/>
  <c r="AR230" i="46"/>
  <c r="DL230" i="46"/>
  <c r="FK230" i="46"/>
  <c r="HA230" i="46"/>
  <c r="GR230" i="46"/>
  <c r="JF230" i="46"/>
  <c r="IH230" i="46"/>
  <c r="Q14" i="48"/>
  <c r="AK11" i="48"/>
  <c r="AJ21" i="48"/>
  <c r="AC25" i="48"/>
  <c r="L7" i="48"/>
  <c r="AH33" i="48"/>
  <c r="J36" i="48"/>
  <c r="AI32" i="48"/>
  <c r="I13" i="48"/>
  <c r="S38" i="48"/>
  <c r="Q37" i="48"/>
  <c r="K40" i="48"/>
  <c r="V22" i="48"/>
  <c r="AH19" i="48"/>
  <c r="O18" i="48"/>
  <c r="AG6" i="48"/>
  <c r="X40" i="48"/>
  <c r="V18" i="48"/>
  <c r="AF4" i="48"/>
  <c r="K38" i="48"/>
  <c r="AB7" i="48"/>
  <c r="M5" i="48"/>
  <c r="Y10" i="48"/>
  <c r="AL5" i="48"/>
  <c r="O6" i="48"/>
  <c r="Z32" i="48"/>
  <c r="Q17" i="48"/>
  <c r="T22" i="48"/>
  <c r="R5" i="48"/>
  <c r="O9" i="48"/>
  <c r="Z18" i="48"/>
  <c r="AH20" i="48"/>
  <c r="W32" i="48"/>
  <c r="AA35" i="48"/>
  <c r="M38" i="48"/>
  <c r="J28" i="48"/>
  <c r="AE10" i="48"/>
  <c r="AH27" i="48"/>
  <c r="Q24" i="48"/>
  <c r="AJ39" i="48"/>
  <c r="AD31" i="48"/>
  <c r="AC29" i="48"/>
  <c r="I20" i="48"/>
  <c r="Q19" i="48"/>
  <c r="AG11" i="48"/>
  <c r="AG31" i="48"/>
  <c r="AC5" i="48"/>
  <c r="AF19" i="48"/>
  <c r="AJ16" i="48"/>
  <c r="Y13" i="48"/>
  <c r="AC40" i="48"/>
  <c r="R30" i="48"/>
  <c r="U30" i="48"/>
  <c r="AK14" i="48"/>
  <c r="O31" i="48"/>
  <c r="LE234" i="46"/>
  <c r="BP234" i="46"/>
  <c r="EG230" i="46"/>
  <c r="X37" i="48"/>
  <c r="BJ238" i="46"/>
  <c r="BY238" i="46"/>
  <c r="JU238" i="46"/>
  <c r="JC238" i="46"/>
  <c r="IK238" i="46"/>
  <c r="CQ230" i="46"/>
  <c r="KM230" i="46"/>
  <c r="JI230" i="46"/>
  <c r="KA230" i="46"/>
  <c r="AD32" i="48"/>
  <c r="AA26" i="48"/>
  <c r="AJ36" i="48"/>
  <c r="AG16" i="48"/>
  <c r="W12" i="48"/>
  <c r="Z20" i="48"/>
  <c r="AL29" i="48"/>
  <c r="Y7" i="48"/>
  <c r="N40" i="48"/>
  <c r="M25" i="48"/>
  <c r="L16" i="48"/>
  <c r="T19" i="48"/>
  <c r="N7" i="48"/>
  <c r="S39" i="48"/>
  <c r="AE40" i="48"/>
  <c r="I23" i="48"/>
  <c r="AF31" i="48"/>
  <c r="AJ38" i="48"/>
  <c r="P11" i="48"/>
  <c r="M16" i="48"/>
  <c r="AF16" i="48"/>
  <c r="AJ17" i="48"/>
  <c r="Y22" i="48"/>
  <c r="AC13" i="48"/>
  <c r="K10" i="48"/>
  <c r="AJ37" i="48"/>
  <c r="P38" i="48"/>
  <c r="I6" i="48"/>
  <c r="AI15" i="48"/>
  <c r="AI19" i="48"/>
  <c r="L6" i="48"/>
  <c r="AF36" i="48"/>
  <c r="AF5" i="48"/>
  <c r="AK9" i="48"/>
  <c r="U29" i="48"/>
  <c r="AE16" i="48"/>
  <c r="AB27" i="48"/>
  <c r="AJ12" i="48"/>
  <c r="U24" i="48"/>
  <c r="P17" i="48"/>
  <c r="AB22" i="48"/>
  <c r="O21" i="48"/>
  <c r="U26" i="48"/>
  <c r="AD19" i="48"/>
  <c r="R18" i="48"/>
  <c r="R23" i="48"/>
  <c r="R40" i="48"/>
  <c r="L39" i="48"/>
  <c r="V37" i="48"/>
  <c r="AE28" i="48"/>
  <c r="M19" i="48"/>
  <c r="U31" i="48"/>
  <c r="AA32" i="48"/>
  <c r="AE32" i="48"/>
  <c r="Q26" i="48"/>
  <c r="FW234" i="46"/>
  <c r="IK234" i="46"/>
  <c r="IQ234" i="46"/>
  <c r="BJ234" i="46"/>
  <c r="AR234" i="46"/>
  <c r="DO234" i="46"/>
  <c r="F88" i="48" a="1"/>
  <c r="F88" i="48" s="1"/>
  <c r="E89" i="48"/>
  <c r="P87" i="48"/>
  <c r="AE87" i="48"/>
  <c r="J87" i="48"/>
  <c r="S87" i="48"/>
  <c r="AK87" i="48"/>
  <c r="W87" i="48"/>
  <c r="X87" i="48"/>
  <c r="N87" i="48"/>
  <c r="AF87" i="48"/>
  <c r="AB87" i="48"/>
  <c r="O87" i="48"/>
  <c r="AL87" i="48"/>
  <c r="AJ87" i="48"/>
  <c r="R87" i="48"/>
  <c r="Y87" i="48"/>
  <c r="AD87" i="48"/>
  <c r="T87" i="48"/>
  <c r="I87" i="48"/>
  <c r="U87" i="48"/>
  <c r="H87" i="48"/>
  <c r="AG87" i="48"/>
  <c r="L87" i="48"/>
  <c r="AA87" i="48"/>
  <c r="K87" i="48"/>
  <c r="M87" i="48"/>
  <c r="AH87" i="48"/>
  <c r="AI87" i="48"/>
  <c r="V87" i="48"/>
  <c r="Z87" i="48"/>
  <c r="Q87" i="48"/>
  <c r="AC87" i="48"/>
  <c r="G87" i="48"/>
  <c r="BR269" i="46"/>
  <c r="JT269" i="46"/>
  <c r="KR269" i="46"/>
  <c r="IY269" i="46"/>
  <c r="IP269" i="46"/>
  <c r="LA269" i="46"/>
  <c r="JZ269" i="46"/>
  <c r="JQ269" i="46"/>
  <c r="KF269" i="46"/>
  <c r="KL269" i="46"/>
  <c r="IJ269" i="46"/>
  <c r="JB269" i="46"/>
  <c r="JN269" i="46"/>
  <c r="KX269" i="46"/>
  <c r="IM269" i="46"/>
  <c r="LD269" i="46"/>
  <c r="KU269" i="46"/>
  <c r="KI269" i="46"/>
  <c r="JH269" i="46"/>
  <c r="KO269" i="46"/>
  <c r="JE269" i="46"/>
  <c r="IV269" i="46"/>
  <c r="JW269" i="46"/>
  <c r="KC269" i="46"/>
  <c r="JK269" i="46"/>
  <c r="IS269" i="46"/>
  <c r="FS269" i="46"/>
  <c r="ID269" i="46"/>
  <c r="HR269" i="46"/>
  <c r="GZ269" i="46"/>
  <c r="GH269" i="46"/>
  <c r="IG269" i="46"/>
  <c r="GT269" i="46"/>
  <c r="IA269" i="46"/>
  <c r="HC269" i="46"/>
  <c r="GE269" i="46"/>
  <c r="GW269" i="46"/>
  <c r="HL269" i="46"/>
  <c r="FY269" i="46"/>
  <c r="HX269" i="46"/>
  <c r="HI269" i="46"/>
  <c r="HF269" i="46"/>
  <c r="FV269" i="46"/>
  <c r="HO269" i="46"/>
  <c r="FP269" i="46"/>
  <c r="HU269" i="46"/>
  <c r="GN269" i="46"/>
  <c r="GB269" i="46"/>
  <c r="GK269" i="46"/>
  <c r="GQ269" i="46"/>
  <c r="FM269" i="46"/>
  <c r="DQ269" i="46"/>
  <c r="EX269" i="46"/>
  <c r="DW269" i="46"/>
  <c r="DB269" i="46"/>
  <c r="DH269" i="46"/>
  <c r="CY269" i="46"/>
  <c r="EF269" i="46"/>
  <c r="FA269" i="46"/>
  <c r="FG269" i="46"/>
  <c r="FJ269" i="46"/>
  <c r="EC269" i="46"/>
  <c r="DT269" i="46"/>
  <c r="FD269" i="46"/>
  <c r="EU269" i="46"/>
  <c r="ER269" i="46"/>
  <c r="EL269" i="46"/>
  <c r="EO269" i="46"/>
  <c r="CS269" i="46"/>
  <c r="CP269" i="46"/>
  <c r="DE269" i="46"/>
  <c r="CV269" i="46"/>
  <c r="EI269" i="46"/>
  <c r="DK269" i="46"/>
  <c r="DN269" i="46"/>
  <c r="CA269" i="46"/>
  <c r="CM269" i="46"/>
  <c r="CD269" i="46"/>
  <c r="CG269" i="46"/>
  <c r="CJ269" i="46"/>
  <c r="BX269" i="46"/>
  <c r="BL269" i="46"/>
  <c r="BO269" i="46"/>
  <c r="BU269" i="46"/>
  <c r="AW269" i="46"/>
  <c r="BF269" i="46"/>
  <c r="BC269" i="46"/>
  <c r="BI269" i="46"/>
  <c r="AZ269" i="46"/>
  <c r="AT269" i="46"/>
  <c r="AH269" i="46"/>
  <c r="AK269" i="46"/>
  <c r="AN269" i="46"/>
  <c r="AQ269" i="46"/>
  <c r="BN14" i="45"/>
  <c r="BN47" i="45"/>
  <c r="BN24" i="45"/>
  <c r="BN11" i="45"/>
  <c r="BN18" i="45"/>
  <c r="BN20" i="45"/>
  <c r="BN33" i="45"/>
  <c r="BN26" i="45"/>
  <c r="BN17" i="45"/>
  <c r="BN12" i="45"/>
  <c r="BN42" i="45"/>
  <c r="BN40" i="45"/>
  <c r="BN49" i="45"/>
  <c r="BN31" i="45"/>
  <c r="BN21" i="45"/>
  <c r="BN34" i="45"/>
  <c r="BN39" i="45"/>
  <c r="BN19" i="45"/>
  <c r="BN32" i="45"/>
  <c r="BN37" i="45"/>
  <c r="BN28" i="45"/>
  <c r="BN43" i="45"/>
  <c r="BN22" i="45"/>
  <c r="BN15" i="45"/>
  <c r="BN51" i="45"/>
  <c r="BN44" i="45"/>
  <c r="BN50" i="45"/>
  <c r="BN45" i="45"/>
  <c r="BN27" i="45"/>
  <c r="BN4" i="45"/>
  <c r="BN7" i="45"/>
  <c r="BN25" i="45"/>
  <c r="BN5" i="45"/>
  <c r="BN36" i="45"/>
  <c r="BN9" i="45"/>
  <c r="BN8" i="45"/>
  <c r="BN35" i="45"/>
  <c r="BN6" i="45"/>
  <c r="BN13" i="45"/>
  <c r="BN48" i="45"/>
  <c r="BN10" i="45"/>
  <c r="BN38" i="45"/>
  <c r="BN16" i="45"/>
  <c r="BN41" i="45"/>
  <c r="BN46" i="45"/>
  <c r="BN23" i="45"/>
  <c r="BN29" i="45"/>
  <c r="BN30" i="45"/>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9" i="46"/>
  <c r="V269" i="46"/>
  <c r="AB269" i="46"/>
  <c r="S269" i="46"/>
  <c r="Y269" i="46"/>
  <c r="AF247" i="46"/>
  <c r="AF248" i="46" s="1"/>
  <c r="AF252" i="46"/>
  <c r="AF230" i="46"/>
  <c r="AF238" i="46"/>
  <c r="AF234" i="46"/>
  <c r="AF240" i="46"/>
  <c r="AF241" i="46"/>
  <c r="AF251" i="46"/>
  <c r="S3" i="47"/>
  <c r="R2" i="47"/>
  <c r="M238" i="46"/>
  <c r="O3" i="47" s="1"/>
  <c r="S2" i="47"/>
  <c r="R3" i="47"/>
  <c r="M230" i="46"/>
  <c r="M3" i="47" s="1"/>
  <c r="L5" i="51"/>
  <c r="AG150" i="3"/>
  <c r="AJ155" i="3" s="1"/>
  <c r="M250" i="46"/>
  <c r="BA21" i="45"/>
  <c r="DU242" i="46" l="1"/>
  <c r="HM242" i="46"/>
  <c r="LB242" i="46"/>
  <c r="BJ242" i="46"/>
  <c r="CK242" i="46"/>
  <c r="CW242" i="46"/>
  <c r="GI242" i="46"/>
  <c r="BP242" i="46"/>
  <c r="DO242" i="46"/>
  <c r="JL242" i="46"/>
  <c r="HD242" i="46"/>
  <c r="KD242" i="46"/>
  <c r="AO242" i="46"/>
  <c r="EM242" i="46"/>
  <c r="IE242" i="46"/>
  <c r="GR242" i="46"/>
  <c r="KG242" i="46"/>
  <c r="JU242" i="46"/>
  <c r="AI242" i="46"/>
  <c r="BS242" i="46"/>
  <c r="FN242" i="46"/>
  <c r="KY242" i="46"/>
  <c r="AR242" i="46"/>
  <c r="DC242" i="46"/>
  <c r="ES242" i="46"/>
  <c r="AC242" i="46"/>
  <c r="CE242" i="46"/>
  <c r="HJ242" i="46"/>
  <c r="HI4" i="46" s="1"/>
  <c r="HI2" i="46" s="1"/>
  <c r="CN242" i="46"/>
  <c r="BY242" i="46"/>
  <c r="DI242" i="46"/>
  <c r="HY242" i="46"/>
  <c r="BI4" i="46"/>
  <c r="BI2" i="46" s="1"/>
  <c r="T250" i="46"/>
  <c r="T259" i="46" s="1"/>
  <c r="Z250" i="46"/>
  <c r="AC250" i="46"/>
  <c r="W250" i="46"/>
  <c r="LE250" i="46"/>
  <c r="LE259" i="46" s="1"/>
  <c r="LD4" i="46" s="1"/>
  <c r="LD2" i="46" s="1"/>
  <c r="IW250" i="46"/>
  <c r="IW259" i="46" s="1"/>
  <c r="LB250" i="46"/>
  <c r="LB259" i="46" s="1"/>
  <c r="LA4" i="46" s="1"/>
  <c r="LA2" i="46" s="1"/>
  <c r="IT250" i="46"/>
  <c r="IT259" i="46" s="1"/>
  <c r="KY250" i="46"/>
  <c r="KY259" i="46" s="1"/>
  <c r="KX4" i="46" s="1"/>
  <c r="KX2" i="46" s="1"/>
  <c r="IQ250" i="46"/>
  <c r="IQ259" i="46" s="1"/>
  <c r="IP4" i="46" s="1"/>
  <c r="IP2" i="46" s="1"/>
  <c r="KD250" i="46"/>
  <c r="KD259" i="46" s="1"/>
  <c r="JF250" i="46"/>
  <c r="JF259" i="46" s="1"/>
  <c r="JE4" i="46" s="1"/>
  <c r="JE2" i="46" s="1"/>
  <c r="JC250" i="46"/>
  <c r="JC259" i="46" s="1"/>
  <c r="IZ250" i="46"/>
  <c r="IZ259" i="46" s="1"/>
  <c r="IN250" i="46"/>
  <c r="IN259" i="46" s="1"/>
  <c r="IM4" i="46" s="1"/>
  <c r="IM2" i="46" s="1"/>
  <c r="KV250" i="46"/>
  <c r="KV259" i="46" s="1"/>
  <c r="KU4" i="46" s="1"/>
  <c r="KU2" i="46" s="1"/>
  <c r="KG250" i="46"/>
  <c r="KG259" i="46" s="1"/>
  <c r="JU250" i="46"/>
  <c r="JU259" i="46" s="1"/>
  <c r="JT4" i="46" s="1"/>
  <c r="JT2" i="46" s="1"/>
  <c r="KM250" i="46"/>
  <c r="GR250" i="46"/>
  <c r="GR259" i="46" s="1"/>
  <c r="GO250" i="46"/>
  <c r="GO259" i="46" s="1"/>
  <c r="GL250" i="46"/>
  <c r="GL259" i="46" s="1"/>
  <c r="KS250" i="46"/>
  <c r="KS259" i="46" s="1"/>
  <c r="KR4" i="46" s="1"/>
  <c r="KR2" i="46" s="1"/>
  <c r="HG250" i="46"/>
  <c r="HG259" i="46" s="1"/>
  <c r="HF4" i="46" s="1"/>
  <c r="HF2" i="46" s="1"/>
  <c r="HD250" i="46"/>
  <c r="HD259" i="46" s="1"/>
  <c r="HC4" i="46" s="1"/>
  <c r="HC2" i="46" s="1"/>
  <c r="HA250" i="46"/>
  <c r="HA259" i="46" s="1"/>
  <c r="KP250" i="46"/>
  <c r="KP259" i="46" s="1"/>
  <c r="FW250" i="46"/>
  <c r="FW259" i="46" s="1"/>
  <c r="FV4" i="46" s="1"/>
  <c r="FV2" i="46" s="1"/>
  <c r="FT250" i="46"/>
  <c r="FT259" i="46" s="1"/>
  <c r="FQ250" i="46"/>
  <c r="FQ259" i="46" s="1"/>
  <c r="FN250" i="46"/>
  <c r="FN259" i="46" s="1"/>
  <c r="IH250" i="46"/>
  <c r="IH259" i="46" s="1"/>
  <c r="IG4" i="46" s="1"/>
  <c r="IG2" i="46" s="1"/>
  <c r="KJ250" i="46"/>
  <c r="KJ259" i="46" s="1"/>
  <c r="KI4" i="46" s="1"/>
  <c r="KI2" i="46" s="1"/>
  <c r="JO250" i="46"/>
  <c r="JO259" i="46" s="1"/>
  <c r="JN4" i="46" s="1"/>
  <c r="JN2" i="46" s="1"/>
  <c r="IE250" i="46"/>
  <c r="IE259" i="46" s="1"/>
  <c r="ID4" i="46" s="1"/>
  <c r="ID2" i="46" s="1"/>
  <c r="JL250" i="46"/>
  <c r="JL259" i="46" s="1"/>
  <c r="IB250" i="46"/>
  <c r="IB259" i="46" s="1"/>
  <c r="IA4" i="46" s="1"/>
  <c r="IA2" i="46" s="1"/>
  <c r="JI250" i="46"/>
  <c r="JI259" i="46" s="1"/>
  <c r="HY250" i="46"/>
  <c r="HY259" i="46" s="1"/>
  <c r="IK250" i="46"/>
  <c r="IK259" i="46" s="1"/>
  <c r="HV250" i="46"/>
  <c r="HV259" i="46" s="1"/>
  <c r="HP250" i="46"/>
  <c r="HP259" i="46" s="1"/>
  <c r="EM250" i="46"/>
  <c r="EM259" i="46" s="1"/>
  <c r="EJ250" i="46"/>
  <c r="EJ259" i="46" s="1"/>
  <c r="EI4" i="46" s="1"/>
  <c r="EI2" i="46" s="1"/>
  <c r="KA250" i="46"/>
  <c r="KA259" i="46" s="1"/>
  <c r="JZ4" i="46" s="1"/>
  <c r="JZ2" i="46" s="1"/>
  <c r="JX250" i="46"/>
  <c r="JX259" i="46" s="1"/>
  <c r="JR250" i="46"/>
  <c r="JR259" i="46" s="1"/>
  <c r="GC250" i="46"/>
  <c r="GC259" i="46" s="1"/>
  <c r="FK250" i="46"/>
  <c r="FK259" i="46" s="1"/>
  <c r="CW250" i="46"/>
  <c r="CW259" i="46" s="1"/>
  <c r="CV4" i="46" s="1"/>
  <c r="CV2" i="46" s="1"/>
  <c r="FZ250" i="46"/>
  <c r="FZ259" i="46" s="1"/>
  <c r="FY4" i="46" s="1"/>
  <c r="FY2" i="46" s="1"/>
  <c r="FH250" i="46"/>
  <c r="FH259" i="46" s="1"/>
  <c r="FG4" i="46" s="1"/>
  <c r="FG2" i="46" s="1"/>
  <c r="CT250" i="46"/>
  <c r="CT259" i="46" s="1"/>
  <c r="CS4" i="46" s="1"/>
  <c r="CS2" i="46" s="1"/>
  <c r="FE250" i="46"/>
  <c r="FE259" i="46" s="1"/>
  <c r="FD4" i="46" s="1"/>
  <c r="FD2" i="46" s="1"/>
  <c r="CQ250" i="46"/>
  <c r="CQ259" i="46" s="1"/>
  <c r="FB250" i="46"/>
  <c r="FB259" i="46" s="1"/>
  <c r="EV250" i="46"/>
  <c r="EV259" i="46" s="1"/>
  <c r="EP250" i="46"/>
  <c r="EP259" i="46" s="1"/>
  <c r="EG250" i="46"/>
  <c r="EG259" i="46" s="1"/>
  <c r="ED250" i="46"/>
  <c r="ED259" i="46" s="1"/>
  <c r="EA250" i="46"/>
  <c r="EA259" i="46" s="1"/>
  <c r="DU250" i="46"/>
  <c r="DU259" i="46" s="1"/>
  <c r="DT4" i="46" s="1"/>
  <c r="DT2" i="46" s="1"/>
  <c r="DR250" i="46"/>
  <c r="DR259" i="46" s="1"/>
  <c r="GX250" i="46"/>
  <c r="GX259" i="46" s="1"/>
  <c r="DF250" i="46"/>
  <c r="DF259" i="46" s="1"/>
  <c r="GI250" i="46"/>
  <c r="GI259" i="46" s="1"/>
  <c r="CZ250" i="46"/>
  <c r="CZ259" i="46" s="1"/>
  <c r="CY4" i="46" s="1"/>
  <c r="CY2" i="46" s="1"/>
  <c r="GU250" i="46"/>
  <c r="GU259" i="46" s="1"/>
  <c r="GT4" i="46" s="1"/>
  <c r="GT2" i="46" s="1"/>
  <c r="GF250" i="46"/>
  <c r="GF259" i="46" s="1"/>
  <c r="EY250" i="46"/>
  <c r="EY259" i="46" s="1"/>
  <c r="EX4" i="46" s="1"/>
  <c r="EX2" i="46" s="1"/>
  <c r="ES250" i="46"/>
  <c r="ES259" i="46" s="1"/>
  <c r="ER4" i="46" s="1"/>
  <c r="ER2" i="46" s="1"/>
  <c r="DL250" i="46"/>
  <c r="DL259" i="46" s="1"/>
  <c r="HM250" i="46"/>
  <c r="HM259" i="46" s="1"/>
  <c r="HL4" i="46" s="1"/>
  <c r="HL2" i="46" s="1"/>
  <c r="CN250" i="46"/>
  <c r="CN259" i="46" s="1"/>
  <c r="CM4" i="46" s="1"/>
  <c r="CM2" i="46" s="1"/>
  <c r="BY250" i="46"/>
  <c r="BY259" i="46" s="1"/>
  <c r="BX4" i="46" s="1"/>
  <c r="BX2" i="46" s="1"/>
  <c r="HS250" i="46"/>
  <c r="HS259" i="46" s="1"/>
  <c r="CK250" i="46"/>
  <c r="CK259" i="46" s="1"/>
  <c r="CJ4" i="46" s="1"/>
  <c r="CJ2" i="46" s="1"/>
  <c r="BV250" i="46"/>
  <c r="BV259" i="46" s="1"/>
  <c r="BU4" i="46" s="1"/>
  <c r="BU2" i="46" s="1"/>
  <c r="HJ250" i="46"/>
  <c r="HJ259" i="46" s="1"/>
  <c r="CH250" i="46"/>
  <c r="CH259" i="46" s="1"/>
  <c r="CG4" i="46" s="1"/>
  <c r="CG2" i="46" s="1"/>
  <c r="BS250" i="46"/>
  <c r="BS259" i="46" s="1"/>
  <c r="BR4" i="46" s="1"/>
  <c r="BR2" i="46" s="1"/>
  <c r="CE250" i="46"/>
  <c r="CE259" i="46" s="1"/>
  <c r="CD4" i="46" s="1"/>
  <c r="CD2" i="46" s="1"/>
  <c r="DO250" i="46"/>
  <c r="DO259" i="46" s="1"/>
  <c r="AU250" i="46"/>
  <c r="AU259" i="46" s="1"/>
  <c r="AT4" i="46" s="1"/>
  <c r="AT2" i="46" s="1"/>
  <c r="AR250" i="46"/>
  <c r="AR259" i="46" s="1"/>
  <c r="AQ4" i="46" s="1"/>
  <c r="AQ2" i="46" s="1"/>
  <c r="AO250" i="46"/>
  <c r="AO259" i="46" s="1"/>
  <c r="BD250" i="46"/>
  <c r="BD259" i="46" s="1"/>
  <c r="BC4" i="46" s="1"/>
  <c r="BC2" i="46" s="1"/>
  <c r="DX250" i="46"/>
  <c r="DX259" i="46" s="1"/>
  <c r="DI250" i="46"/>
  <c r="DI259" i="46" s="1"/>
  <c r="DH4" i="46" s="1"/>
  <c r="DH2" i="46" s="1"/>
  <c r="BJ250" i="46"/>
  <c r="BJ259" i="46" s="1"/>
  <c r="DC250" i="46"/>
  <c r="DC259" i="46" s="1"/>
  <c r="DB4" i="46" s="1"/>
  <c r="DB2" i="46" s="1"/>
  <c r="BM250" i="46"/>
  <c r="BM259" i="46" s="1"/>
  <c r="BL4" i="46" s="1"/>
  <c r="BL2" i="46" s="1"/>
  <c r="BA250" i="46"/>
  <c r="BA259" i="46" s="1"/>
  <c r="CB250" i="46"/>
  <c r="CB259" i="46" s="1"/>
  <c r="CA4" i="46" s="1"/>
  <c r="CA2" i="46" s="1"/>
  <c r="BP250" i="46"/>
  <c r="BP259" i="46" s="1"/>
  <c r="BO4" i="46" s="1"/>
  <c r="BO2" i="46" s="1"/>
  <c r="BG250" i="46"/>
  <c r="BG259" i="46" s="1"/>
  <c r="BF4" i="46" s="1"/>
  <c r="BF2" i="46" s="1"/>
  <c r="AX250" i="46"/>
  <c r="AX259" i="46" s="1"/>
  <c r="AL250" i="46"/>
  <c r="AL259" i="46" s="1"/>
  <c r="AI250" i="46"/>
  <c r="AI259" i="46" s="1"/>
  <c r="AH4" i="46" s="1"/>
  <c r="AH2" i="46" s="1"/>
  <c r="ED242" i="46"/>
  <c r="FE242" i="46"/>
  <c r="BM242" i="46"/>
  <c r="GL242" i="46"/>
  <c r="HA242" i="46"/>
  <c r="DF242" i="46"/>
  <c r="DE4" i="46" s="1"/>
  <c r="DE2" i="46" s="1"/>
  <c r="EA242" i="46"/>
  <c r="HV242" i="46"/>
  <c r="IH242" i="46"/>
  <c r="JO242" i="46"/>
  <c r="AL242" i="46"/>
  <c r="DR242" i="46"/>
  <c r="EG242" i="46"/>
  <c r="EF4" i="46" s="1"/>
  <c r="EF2" i="46" s="1"/>
  <c r="JC242" i="46"/>
  <c r="IT242" i="46"/>
  <c r="KP242" i="46"/>
  <c r="JR242" i="46"/>
  <c r="KA242" i="46"/>
  <c r="EP242" i="46"/>
  <c r="EO4" i="46" s="1"/>
  <c r="EO2" i="46" s="1"/>
  <c r="CZ242" i="46"/>
  <c r="GO242" i="46"/>
  <c r="JX242" i="46"/>
  <c r="BG242" i="46"/>
  <c r="GC242" i="46"/>
  <c r="GB4" i="46" s="1"/>
  <c r="GB2" i="46" s="1"/>
  <c r="FH242" i="46"/>
  <c r="IW242" i="46"/>
  <c r="CH242" i="46"/>
  <c r="EV242" i="46"/>
  <c r="KS242" i="46"/>
  <c r="KJ242" i="46"/>
  <c r="JK4" i="46"/>
  <c r="JK2" i="46" s="1"/>
  <c r="BV242" i="46"/>
  <c r="FQ242" i="46"/>
  <c r="Z242" i="46"/>
  <c r="CB242" i="46"/>
  <c r="FK242" i="46"/>
  <c r="T242" i="46"/>
  <c r="FB242" i="46"/>
  <c r="FZ242" i="46"/>
  <c r="HP242" i="46"/>
  <c r="FT242" i="46"/>
  <c r="IK242" i="46"/>
  <c r="DL242" i="46"/>
  <c r="AX242" i="46"/>
  <c r="IB242" i="46"/>
  <c r="LE242" i="46"/>
  <c r="W242" i="46"/>
  <c r="DX242" i="46"/>
  <c r="HS242" i="46"/>
  <c r="GF242" i="46"/>
  <c r="JI242" i="46"/>
  <c r="BA242" i="46"/>
  <c r="CQ242" i="46"/>
  <c r="IZ242" i="46"/>
  <c r="GX242" i="46"/>
  <c r="IN242" i="46"/>
  <c r="E8" i="50"/>
  <c r="F9" i="50"/>
  <c r="F89" i="48" a="1"/>
  <c r="F89" i="48" s="1"/>
  <c r="E90" i="48"/>
  <c r="T88" i="48"/>
  <c r="AF88" i="48"/>
  <c r="AH88" i="48"/>
  <c r="AJ88" i="48"/>
  <c r="AA88" i="48"/>
  <c r="J88" i="48"/>
  <c r="AD88" i="48"/>
  <c r="X88" i="48"/>
  <c r="R88" i="48"/>
  <c r="O88" i="48"/>
  <c r="AL88" i="48"/>
  <c r="AB88" i="48"/>
  <c r="W88" i="48"/>
  <c r="H88" i="48"/>
  <c r="K88" i="48"/>
  <c r="AI88" i="48"/>
  <c r="AG88" i="48"/>
  <c r="Z88" i="48"/>
  <c r="V88" i="48"/>
  <c r="M88" i="48"/>
  <c r="Y88" i="48"/>
  <c r="Q88" i="48"/>
  <c r="I88" i="48"/>
  <c r="N88" i="48"/>
  <c r="S88" i="48"/>
  <c r="L88" i="48"/>
  <c r="AE88" i="48"/>
  <c r="U88" i="48"/>
  <c r="AK88" i="48"/>
  <c r="AC88" i="48"/>
  <c r="P88" i="48"/>
  <c r="G88" i="48"/>
  <c r="E5" i="50"/>
  <c r="E9" i="50"/>
  <c r="E13" i="50"/>
  <c r="E17" i="50"/>
  <c r="E12" i="50"/>
  <c r="E16" i="50"/>
  <c r="E20" i="50"/>
  <c r="F8" i="50"/>
  <c r="F12" i="50"/>
  <c r="G8" i="50"/>
  <c r="G12" i="50"/>
  <c r="F6" i="50"/>
  <c r="F10" i="50"/>
  <c r="F14" i="50"/>
  <c r="G5" i="50"/>
  <c r="E6" i="50"/>
  <c r="F20" i="50"/>
  <c r="F23" i="50"/>
  <c r="F26" i="50"/>
  <c r="F29" i="50"/>
  <c r="G32" i="50"/>
  <c r="G35" i="50"/>
  <c r="G38" i="50"/>
  <c r="G41" i="50"/>
  <c r="G6" i="50"/>
  <c r="F11" i="50"/>
  <c r="E14" i="50"/>
  <c r="F56" i="50"/>
  <c r="G7" i="50"/>
  <c r="G15" i="50"/>
  <c r="E18" i="50"/>
  <c r="E15" i="50"/>
  <c r="F18" i="50"/>
  <c r="E43" i="50"/>
  <c r="E49" i="50"/>
  <c r="E51" i="50"/>
  <c r="E58" i="50"/>
  <c r="E31" i="50"/>
  <c r="E37" i="50"/>
  <c r="E39" i="50"/>
  <c r="F43" i="50"/>
  <c r="E45" i="50"/>
  <c r="E47" i="50"/>
  <c r="F49" i="50"/>
  <c r="F51" i="50"/>
  <c r="E53" i="50"/>
  <c r="F58" i="50"/>
  <c r="G62" i="50"/>
  <c r="E7" i="50"/>
  <c r="F16" i="50"/>
  <c r="E11" i="50"/>
  <c r="G19" i="50"/>
  <c r="G9" i="50"/>
  <c r="E10" i="50"/>
  <c r="G11" i="50"/>
  <c r="F5" i="50"/>
  <c r="F17" i="50"/>
  <c r="F19" i="50"/>
  <c r="E21" i="50"/>
  <c r="F33" i="50"/>
  <c r="G17" i="50"/>
  <c r="G20" i="50"/>
  <c r="F21" i="50"/>
  <c r="E22" i="50"/>
  <c r="G33" i="50"/>
  <c r="G18" i="50"/>
  <c r="G21" i="50"/>
  <c r="G16" i="50"/>
  <c r="G22" i="50"/>
  <c r="G23" i="50"/>
  <c r="E24" i="50"/>
  <c r="E25" i="50"/>
  <c r="F34" i="50"/>
  <c r="F42" i="50"/>
  <c r="F50" i="50"/>
  <c r="E57" i="50"/>
  <c r="G64" i="50"/>
  <c r="E66" i="50"/>
  <c r="F71" i="50"/>
  <c r="F66" i="50"/>
  <c r="G71" i="50"/>
  <c r="G25" i="50"/>
  <c r="E27" i="50"/>
  <c r="F24" i="50"/>
  <c r="F25" i="50"/>
  <c r="G34" i="50"/>
  <c r="E35" i="50"/>
  <c r="G42" i="50"/>
  <c r="G43" i="50"/>
  <c r="G50" i="50"/>
  <c r="G51" i="50"/>
  <c r="F57" i="50"/>
  <c r="E60" i="50"/>
  <c r="E73" i="50"/>
  <c r="G24" i="50"/>
  <c r="E26" i="50"/>
  <c r="G26" i="50"/>
  <c r="G27" i="50"/>
  <c r="E28" i="50"/>
  <c r="E36" i="50"/>
  <c r="E44" i="50"/>
  <c r="G52" i="50"/>
  <c r="E68" i="50"/>
  <c r="F15" i="50"/>
  <c r="F28" i="50"/>
  <c r="F36" i="50"/>
  <c r="F44" i="50"/>
  <c r="F68" i="50"/>
  <c r="E75" i="50"/>
  <c r="E29" i="50"/>
  <c r="G37" i="50"/>
  <c r="G45" i="50"/>
  <c r="G53" i="50"/>
  <c r="F70" i="50"/>
  <c r="G29" i="50"/>
  <c r="E46" i="50"/>
  <c r="F30" i="50"/>
  <c r="F31" i="50"/>
  <c r="F38" i="50"/>
  <c r="F39" i="50"/>
  <c r="F47" i="50"/>
  <c r="G54" i="50"/>
  <c r="G10" i="50"/>
  <c r="E34" i="50"/>
  <c r="G39" i="50"/>
  <c r="F45" i="50"/>
  <c r="E48" i="50"/>
  <c r="G57" i="50"/>
  <c r="F59" i="50"/>
  <c r="F60" i="50"/>
  <c r="G61" i="50"/>
  <c r="G67" i="50"/>
  <c r="G72" i="50"/>
  <c r="E76" i="50"/>
  <c r="G59" i="50"/>
  <c r="G31" i="50"/>
  <c r="E42" i="50"/>
  <c r="F48" i="50"/>
  <c r="E55" i="50"/>
  <c r="G60" i="50"/>
  <c r="F76" i="50"/>
  <c r="G56" i="50"/>
  <c r="F7" i="50"/>
  <c r="G48" i="50"/>
  <c r="F55" i="50"/>
  <c r="E56" i="50"/>
  <c r="G68" i="50"/>
  <c r="G76" i="50"/>
  <c r="E62" i="50"/>
  <c r="G55" i="50"/>
  <c r="G36" i="50"/>
  <c r="F54" i="50"/>
  <c r="G63" i="50"/>
  <c r="F69" i="50"/>
  <c r="F13" i="50"/>
  <c r="F22" i="50"/>
  <c r="E30" i="50"/>
  <c r="F35" i="50"/>
  <c r="G65" i="50"/>
  <c r="E40" i="50"/>
  <c r="E52" i="50"/>
  <c r="E54" i="50"/>
  <c r="G70" i="50"/>
  <c r="E71" i="50"/>
  <c r="E38" i="50"/>
  <c r="F75" i="50"/>
  <c r="E50" i="50"/>
  <c r="F52" i="50"/>
  <c r="E64" i="50"/>
  <c r="G28" i="50"/>
  <c r="F64" i="50"/>
  <c r="G44" i="50"/>
  <c r="E23" i="50"/>
  <c r="E41" i="50"/>
  <c r="F46" i="50"/>
  <c r="E69" i="50"/>
  <c r="G69" i="50"/>
  <c r="F41" i="50"/>
  <c r="G46" i="50"/>
  <c r="E63" i="50"/>
  <c r="F63" i="50"/>
  <c r="E32" i="50"/>
  <c r="E19" i="50"/>
  <c r="F32" i="50"/>
  <c r="E59" i="50"/>
  <c r="F53" i="50"/>
  <c r="F37" i="50"/>
  <c r="F40" i="50"/>
  <c r="F61" i="50"/>
  <c r="G66" i="50"/>
  <c r="E61" i="50"/>
  <c r="G74" i="50"/>
  <c r="F65" i="50"/>
  <c r="E33" i="50"/>
  <c r="G40" i="50"/>
  <c r="F74" i="50"/>
  <c r="G13" i="50"/>
  <c r="G49" i="50"/>
  <c r="G58" i="50"/>
  <c r="E67" i="50"/>
  <c r="G14" i="50"/>
  <c r="E65" i="50"/>
  <c r="G30" i="50"/>
  <c r="F73" i="50"/>
  <c r="F27" i="50"/>
  <c r="F67" i="50"/>
  <c r="G75" i="50"/>
  <c r="G47" i="50"/>
  <c r="F62" i="50"/>
  <c r="E72" i="50"/>
  <c r="F72" i="50"/>
  <c r="E70" i="50"/>
  <c r="G73" i="50"/>
  <c r="E74"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G4" i="50"/>
  <c r="F4" i="50"/>
  <c r="E4" i="50"/>
  <c r="AF242" i="46"/>
  <c r="W259" i="46"/>
  <c r="AC259" i="46"/>
  <c r="AF250" i="46"/>
  <c r="AF259" i="46" s="1"/>
  <c r="Z259"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M242" i="46"/>
  <c r="P3" i="47" s="1"/>
  <c r="DK4" i="46" l="1"/>
  <c r="DK2" i="46" s="1"/>
  <c r="DN4" i="46"/>
  <c r="DN2" i="46" s="1"/>
  <c r="EL4" i="46"/>
  <c r="EL2" i="46" s="1"/>
  <c r="HU4" i="46"/>
  <c r="HU2" i="46" s="1"/>
  <c r="HX4" i="46"/>
  <c r="HX2" i="46" s="1"/>
  <c r="AW4" i="46"/>
  <c r="AW2" i="46" s="1"/>
  <c r="EU4" i="46"/>
  <c r="EU2" i="46" s="1"/>
  <c r="KF4" i="46"/>
  <c r="KF2" i="46" s="1"/>
  <c r="GQ4" i="46"/>
  <c r="GQ2" i="46" s="1"/>
  <c r="CP4" i="46"/>
  <c r="CP2" i="46" s="1"/>
  <c r="IY4" i="46"/>
  <c r="IY2" i="46" s="1"/>
  <c r="JB4" i="46"/>
  <c r="JB2" i="46" s="1"/>
  <c r="FS4" i="46"/>
  <c r="FS2" i="46" s="1"/>
  <c r="FM4" i="46"/>
  <c r="FM2" i="46" s="1"/>
  <c r="KC4" i="46"/>
  <c r="KC2" i="46" s="1"/>
  <c r="DW4" i="46"/>
  <c r="DW2" i="46" s="1"/>
  <c r="KO4" i="46"/>
  <c r="KO2" i="46" s="1"/>
  <c r="AN4" i="46"/>
  <c r="AN2" i="46" s="1"/>
  <c r="GH4" i="46"/>
  <c r="GH2" i="46" s="1"/>
  <c r="GW4" i="46"/>
  <c r="GW2" i="46" s="1"/>
  <c r="DQ4" i="46"/>
  <c r="DQ2" i="46" s="1"/>
  <c r="HO4" i="46"/>
  <c r="HO2" i="46" s="1"/>
  <c r="GK4" i="46"/>
  <c r="GK2" i="46" s="1"/>
  <c r="DZ4" i="46"/>
  <c r="GN4" i="46"/>
  <c r="GN2" i="46" s="1"/>
  <c r="S4" i="46"/>
  <c r="EC4" i="46"/>
  <c r="EC2" i="46" s="1"/>
  <c r="IJ4" i="46"/>
  <c r="IJ2" i="46" s="1"/>
  <c r="KM259" i="46"/>
  <c r="KL4" i="46" s="1"/>
  <c r="KL2" i="46" s="1"/>
  <c r="AK4" i="46"/>
  <c r="AK2" i="46" s="1"/>
  <c r="JH4" i="46"/>
  <c r="JH2" i="46" s="1"/>
  <c r="HR4" i="46"/>
  <c r="HR2" i="46" s="1"/>
  <c r="FA4" i="46"/>
  <c r="FA2" i="46" s="1"/>
  <c r="AZ4" i="46"/>
  <c r="AZ2" i="46" s="1"/>
  <c r="FP4" i="46"/>
  <c r="FP2" i="46" s="1"/>
  <c r="GE4" i="46"/>
  <c r="GE2" i="46" s="1"/>
  <c r="FJ4" i="46"/>
  <c r="FJ2" i="46" s="1"/>
  <c r="IS4" i="46"/>
  <c r="IS2" i="46" s="1"/>
  <c r="JQ4" i="46"/>
  <c r="JQ2" i="46" s="1"/>
  <c r="JW4" i="46"/>
  <c r="JW2" i="46" s="1"/>
  <c r="GZ4" i="46"/>
  <c r="GZ2" i="46" s="1"/>
  <c r="IV4" i="46"/>
  <c r="IV2" i="46" s="1"/>
  <c r="E91" i="48"/>
  <c r="F90" i="48" a="1"/>
  <c r="F90" i="48" s="1"/>
  <c r="N89" i="48"/>
  <c r="O89" i="48"/>
  <c r="U89" i="48"/>
  <c r="V89" i="48"/>
  <c r="P89" i="48"/>
  <c r="R89" i="48"/>
  <c r="H89" i="48"/>
  <c r="AG89" i="48"/>
  <c r="AC89" i="48"/>
  <c r="AF89" i="48"/>
  <c r="L89" i="48"/>
  <c r="Z89" i="48"/>
  <c r="I89" i="48"/>
  <c r="J89" i="48"/>
  <c r="AL89" i="48"/>
  <c r="AJ89" i="48"/>
  <c r="AK89" i="48"/>
  <c r="AA89" i="48"/>
  <c r="M89" i="48"/>
  <c r="G89" i="48"/>
  <c r="S89" i="48"/>
  <c r="W89" i="48"/>
  <c r="T89" i="48"/>
  <c r="AE89" i="48"/>
  <c r="AI89" i="48"/>
  <c r="AD89" i="48"/>
  <c r="AH89" i="48"/>
  <c r="Q89" i="48"/>
  <c r="AB89" i="48"/>
  <c r="Y89" i="48"/>
  <c r="X89" i="48"/>
  <c r="K89" i="48"/>
  <c r="S69" i="50"/>
  <c r="Q69" i="50"/>
  <c r="J69" i="50"/>
  <c r="AF69" i="50"/>
  <c r="AA69" i="50"/>
  <c r="R69" i="50"/>
  <c r="AL69" i="50"/>
  <c r="AM69" i="50"/>
  <c r="M69" i="50"/>
  <c r="W69" i="50"/>
  <c r="AG69" i="50"/>
  <c r="V69" i="50"/>
  <c r="AB69" i="50"/>
  <c r="O69" i="50"/>
  <c r="AC69" i="50"/>
  <c r="AI69" i="50"/>
  <c r="AK69" i="50"/>
  <c r="I69" i="50"/>
  <c r="AE69" i="50"/>
  <c r="N69" i="50"/>
  <c r="Y69" i="50"/>
  <c r="AD69" i="50"/>
  <c r="AJ69" i="50"/>
  <c r="X69" i="50"/>
  <c r="Z69" i="50"/>
  <c r="K69" i="50"/>
  <c r="P69" i="50"/>
  <c r="AH69" i="50"/>
  <c r="T69" i="50"/>
  <c r="L69" i="50"/>
  <c r="U69" i="50"/>
  <c r="H69" i="50"/>
  <c r="T70" i="50"/>
  <c r="S70" i="50"/>
  <c r="W70" i="50"/>
  <c r="AB70" i="50"/>
  <c r="J70" i="50"/>
  <c r="AJ70" i="50"/>
  <c r="M70" i="50"/>
  <c r="AI70" i="50"/>
  <c r="AH70" i="50"/>
  <c r="X70" i="50"/>
  <c r="V70" i="50"/>
  <c r="AF70" i="50"/>
  <c r="O70" i="50"/>
  <c r="AA70" i="50"/>
  <c r="AE70" i="50"/>
  <c r="Z70" i="50"/>
  <c r="AG70" i="50"/>
  <c r="Y70" i="50"/>
  <c r="U70" i="50"/>
  <c r="Q70" i="50"/>
  <c r="AC70" i="50"/>
  <c r="AM70" i="50"/>
  <c r="L70" i="50"/>
  <c r="N70" i="50"/>
  <c r="AL70" i="50"/>
  <c r="AK70" i="50"/>
  <c r="K70" i="50"/>
  <c r="R70" i="50"/>
  <c r="I70" i="50"/>
  <c r="P70" i="50"/>
  <c r="AD70" i="50"/>
  <c r="H70" i="50"/>
  <c r="P42" i="50"/>
  <c r="N42" i="50"/>
  <c r="O42" i="50"/>
  <c r="AH42" i="50"/>
  <c r="AJ42" i="50"/>
  <c r="AF42" i="50"/>
  <c r="L42" i="50"/>
  <c r="I42" i="50"/>
  <c r="AK42" i="50"/>
  <c r="J42" i="50"/>
  <c r="K42" i="50"/>
  <c r="AI42" i="50"/>
  <c r="M42" i="50"/>
  <c r="Q42" i="50"/>
  <c r="AG42" i="50"/>
  <c r="AD42" i="50"/>
  <c r="Z42" i="50"/>
  <c r="W42" i="50"/>
  <c r="AL42" i="50"/>
  <c r="AB42" i="50"/>
  <c r="AC42" i="50"/>
  <c r="R42" i="50"/>
  <c r="T42" i="50"/>
  <c r="U42" i="50"/>
  <c r="X42" i="50"/>
  <c r="AM42" i="50"/>
  <c r="Y42" i="50"/>
  <c r="V42" i="50"/>
  <c r="AA42" i="50"/>
  <c r="AE42" i="50"/>
  <c r="S42" i="50"/>
  <c r="H42" i="50"/>
  <c r="I35" i="50"/>
  <c r="AD35" i="50"/>
  <c r="R35" i="50"/>
  <c r="AC35" i="50"/>
  <c r="AL35" i="50"/>
  <c r="AA35" i="50"/>
  <c r="N35" i="50"/>
  <c r="K35" i="50"/>
  <c r="AE35" i="50"/>
  <c r="AH35" i="50"/>
  <c r="AJ35" i="50"/>
  <c r="AI35" i="50"/>
  <c r="Z35" i="50"/>
  <c r="S35" i="50"/>
  <c r="U35" i="50"/>
  <c r="Y35" i="50"/>
  <c r="O35" i="50"/>
  <c r="AF35" i="50"/>
  <c r="AG35" i="50"/>
  <c r="L35" i="50"/>
  <c r="M35" i="50"/>
  <c r="X35" i="50"/>
  <c r="AK35" i="50"/>
  <c r="J35" i="50"/>
  <c r="AM35" i="50"/>
  <c r="W35" i="50"/>
  <c r="AB35" i="50"/>
  <c r="T35" i="50"/>
  <c r="V35" i="50"/>
  <c r="Q35" i="50"/>
  <c r="P35" i="50"/>
  <c r="H35" i="50"/>
  <c r="AA17" i="50"/>
  <c r="O17" i="50"/>
  <c r="S17" i="50"/>
  <c r="I17" i="50"/>
  <c r="AI17" i="50"/>
  <c r="AJ17" i="50"/>
  <c r="N17" i="50"/>
  <c r="X17" i="50"/>
  <c r="J17" i="50"/>
  <c r="U17" i="50"/>
  <c r="AD17" i="50"/>
  <c r="P17" i="50"/>
  <c r="AC17" i="50"/>
  <c r="AL17" i="50"/>
  <c r="R17" i="50"/>
  <c r="AG17" i="50"/>
  <c r="M17" i="50"/>
  <c r="AB17" i="50"/>
  <c r="V17" i="50"/>
  <c r="Y17" i="50"/>
  <c r="W17" i="50"/>
  <c r="Z17" i="50"/>
  <c r="AH17" i="50"/>
  <c r="AK17" i="50"/>
  <c r="Q17" i="50"/>
  <c r="L17" i="50"/>
  <c r="AF17" i="50"/>
  <c r="T17" i="50"/>
  <c r="AM17" i="50"/>
  <c r="K17" i="50"/>
  <c r="AE17" i="50"/>
  <c r="H17" i="50"/>
  <c r="R65" i="50"/>
  <c r="T65" i="50"/>
  <c r="AL65" i="50"/>
  <c r="U65" i="50"/>
  <c r="S65" i="50"/>
  <c r="V65" i="50"/>
  <c r="AE65" i="50"/>
  <c r="P65" i="50"/>
  <c r="X65" i="50"/>
  <c r="AC65" i="50"/>
  <c r="AA65" i="50"/>
  <c r="W65" i="50"/>
  <c r="AK65" i="50"/>
  <c r="Y65" i="50"/>
  <c r="AF65" i="50"/>
  <c r="N65" i="50"/>
  <c r="AD65" i="50"/>
  <c r="M65" i="50"/>
  <c r="AI65" i="50"/>
  <c r="J65" i="50"/>
  <c r="O65" i="50"/>
  <c r="L65" i="50"/>
  <c r="Z65" i="50"/>
  <c r="I65" i="50"/>
  <c r="AH65" i="50"/>
  <c r="AJ65" i="50"/>
  <c r="AM65" i="50"/>
  <c r="AG65" i="50"/>
  <c r="Q65" i="50"/>
  <c r="K65" i="50"/>
  <c r="AB65" i="50"/>
  <c r="H65" i="50"/>
  <c r="W34" i="50"/>
  <c r="M34" i="50"/>
  <c r="AG34" i="50"/>
  <c r="P34" i="50"/>
  <c r="AM34" i="50"/>
  <c r="R34" i="50"/>
  <c r="V34" i="50"/>
  <c r="AE34" i="50"/>
  <c r="AK34" i="50"/>
  <c r="O34" i="50"/>
  <c r="AL34" i="50"/>
  <c r="U34" i="50"/>
  <c r="K34" i="50"/>
  <c r="S34" i="50"/>
  <c r="AF34" i="50"/>
  <c r="AD34" i="50"/>
  <c r="AB34" i="50"/>
  <c r="AA34" i="50"/>
  <c r="I34" i="50"/>
  <c r="AH34" i="50"/>
  <c r="N34" i="50"/>
  <c r="Y34" i="50"/>
  <c r="T34" i="50"/>
  <c r="L34" i="50"/>
  <c r="Z34" i="50"/>
  <c r="AJ34" i="50"/>
  <c r="Q34" i="50"/>
  <c r="J34" i="50"/>
  <c r="X34" i="50"/>
  <c r="AI34" i="50"/>
  <c r="AC34" i="50"/>
  <c r="H34" i="50"/>
  <c r="N14" i="50"/>
  <c r="AC14" i="50"/>
  <c r="AK14" i="50"/>
  <c r="U14" i="50"/>
  <c r="X14" i="50"/>
  <c r="O14" i="50"/>
  <c r="AB14" i="50"/>
  <c r="AI14" i="50"/>
  <c r="I14" i="50"/>
  <c r="AM14" i="50"/>
  <c r="W14" i="50"/>
  <c r="S14" i="50"/>
  <c r="Y14" i="50"/>
  <c r="Z14" i="50"/>
  <c r="K14" i="50"/>
  <c r="M14" i="50"/>
  <c r="AG14" i="50"/>
  <c r="J14" i="50"/>
  <c r="AD14" i="50"/>
  <c r="L14" i="50"/>
  <c r="AL14" i="50"/>
  <c r="AJ14" i="50"/>
  <c r="V14" i="50"/>
  <c r="AE14" i="50"/>
  <c r="AH14" i="50"/>
  <c r="P14" i="50"/>
  <c r="AA14" i="50"/>
  <c r="Q14" i="50"/>
  <c r="AF14" i="50"/>
  <c r="R14" i="50"/>
  <c r="T14" i="50"/>
  <c r="H14" i="50"/>
  <c r="AA26" i="50"/>
  <c r="Q26" i="50"/>
  <c r="AB26" i="50"/>
  <c r="K26" i="50"/>
  <c r="T26" i="50"/>
  <c r="AI26" i="50"/>
  <c r="V26" i="50"/>
  <c r="AE26" i="50"/>
  <c r="I26" i="50"/>
  <c r="J26" i="50"/>
  <c r="L26" i="50"/>
  <c r="AJ26" i="50"/>
  <c r="AC26" i="50"/>
  <c r="M26" i="50"/>
  <c r="AG26" i="50"/>
  <c r="S26" i="50"/>
  <c r="AK26" i="50"/>
  <c r="N26" i="50"/>
  <c r="R26" i="50"/>
  <c r="AH26" i="50"/>
  <c r="AD26" i="50"/>
  <c r="O26" i="50"/>
  <c r="AL26" i="50"/>
  <c r="U26" i="50"/>
  <c r="AF26" i="50"/>
  <c r="Y26" i="50"/>
  <c r="P26" i="50"/>
  <c r="X26" i="50"/>
  <c r="AM26" i="50"/>
  <c r="Z26" i="50"/>
  <c r="W26" i="50"/>
  <c r="H26" i="50"/>
  <c r="AC20" i="50"/>
  <c r="W20" i="50"/>
  <c r="O20" i="50"/>
  <c r="AL20" i="50"/>
  <c r="T20" i="50"/>
  <c r="R20" i="50"/>
  <c r="I20" i="50"/>
  <c r="N20" i="50"/>
  <c r="AK20" i="50"/>
  <c r="AH20" i="50"/>
  <c r="AI20" i="50"/>
  <c r="J20" i="50"/>
  <c r="S20" i="50"/>
  <c r="AG20" i="50"/>
  <c r="K20" i="50"/>
  <c r="AE20" i="50"/>
  <c r="AA20" i="50"/>
  <c r="AB20" i="50"/>
  <c r="P20" i="50"/>
  <c r="AF20" i="50"/>
  <c r="Y20" i="50"/>
  <c r="Q20" i="50"/>
  <c r="AJ20" i="50"/>
  <c r="V20" i="50"/>
  <c r="U20" i="50"/>
  <c r="Z20" i="50"/>
  <c r="X20" i="50"/>
  <c r="L20" i="50"/>
  <c r="M20" i="50"/>
  <c r="AD20" i="50"/>
  <c r="AM20" i="50"/>
  <c r="H20" i="50"/>
  <c r="R50" i="50"/>
  <c r="AM50" i="50"/>
  <c r="Y50" i="50"/>
  <c r="U50" i="50"/>
  <c r="M50" i="50"/>
  <c r="AG50" i="50"/>
  <c r="J50" i="50"/>
  <c r="AE50" i="50"/>
  <c r="P50" i="50"/>
  <c r="W50" i="50"/>
  <c r="AL50" i="50"/>
  <c r="Q50" i="50"/>
  <c r="O50" i="50"/>
  <c r="X50" i="50"/>
  <c r="Z50" i="50"/>
  <c r="AC50" i="50"/>
  <c r="N50" i="50"/>
  <c r="AH50" i="50"/>
  <c r="AK50" i="50"/>
  <c r="I50" i="50"/>
  <c r="K50" i="50"/>
  <c r="AD50" i="50"/>
  <c r="AA50" i="50"/>
  <c r="AB50" i="50"/>
  <c r="AI50" i="50"/>
  <c r="AF50" i="50"/>
  <c r="S50" i="50"/>
  <c r="AJ50" i="50"/>
  <c r="L50" i="50"/>
  <c r="T50" i="50"/>
  <c r="V50" i="50"/>
  <c r="H50" i="50"/>
  <c r="AD54" i="50"/>
  <c r="K54" i="50"/>
  <c r="X54" i="50"/>
  <c r="AG54" i="50"/>
  <c r="Q54" i="50"/>
  <c r="AM54" i="50"/>
  <c r="W54" i="50"/>
  <c r="P54" i="50"/>
  <c r="AI54" i="50"/>
  <c r="AA54" i="50"/>
  <c r="M54" i="50"/>
  <c r="S54" i="50"/>
  <c r="T54" i="50"/>
  <c r="U54" i="50"/>
  <c r="AF54" i="50"/>
  <c r="O54" i="50"/>
  <c r="AK54" i="50"/>
  <c r="I54" i="50"/>
  <c r="N54" i="50"/>
  <c r="AL54" i="50"/>
  <c r="AH54" i="50"/>
  <c r="AE54" i="50"/>
  <c r="R54" i="50"/>
  <c r="Y54" i="50"/>
  <c r="V54" i="50"/>
  <c r="Z54" i="50"/>
  <c r="AJ54" i="50"/>
  <c r="L54" i="50"/>
  <c r="J54" i="50"/>
  <c r="AB54" i="50"/>
  <c r="AC54" i="50"/>
  <c r="H54" i="50"/>
  <c r="S57" i="50"/>
  <c r="Y57" i="50"/>
  <c r="AJ57" i="50"/>
  <c r="AA57" i="50"/>
  <c r="N57" i="50"/>
  <c r="M57" i="50"/>
  <c r="AG57" i="50"/>
  <c r="P57" i="50"/>
  <c r="AK57" i="50"/>
  <c r="T57" i="50"/>
  <c r="AF57" i="50"/>
  <c r="AM57" i="50"/>
  <c r="L57" i="50"/>
  <c r="AI57" i="50"/>
  <c r="X57" i="50"/>
  <c r="Q57" i="50"/>
  <c r="I57" i="50"/>
  <c r="W57" i="50"/>
  <c r="Z57" i="50"/>
  <c r="O57" i="50"/>
  <c r="R57" i="50"/>
  <c r="AH57" i="50"/>
  <c r="AC57" i="50"/>
  <c r="AD57" i="50"/>
  <c r="AL57" i="50"/>
  <c r="AE57" i="50"/>
  <c r="K57" i="50"/>
  <c r="U57" i="50"/>
  <c r="J57" i="50"/>
  <c r="AB57" i="50"/>
  <c r="V57" i="50"/>
  <c r="H57" i="50"/>
  <c r="K18" i="50"/>
  <c r="AK18" i="50"/>
  <c r="Y18" i="50"/>
  <c r="R18" i="50"/>
  <c r="T18" i="50"/>
  <c r="I18" i="50"/>
  <c r="AJ18" i="50"/>
  <c r="V18" i="50"/>
  <c r="Q18" i="50"/>
  <c r="AD18" i="50"/>
  <c r="O18" i="50"/>
  <c r="AC18" i="50"/>
  <c r="L18" i="50"/>
  <c r="U18" i="50"/>
  <c r="AB18" i="50"/>
  <c r="AI18" i="50"/>
  <c r="P18" i="50"/>
  <c r="M18" i="50"/>
  <c r="AG18" i="50"/>
  <c r="X18" i="50"/>
  <c r="J18" i="50"/>
  <c r="AH18" i="50"/>
  <c r="AF18" i="50"/>
  <c r="S18" i="50"/>
  <c r="W18" i="50"/>
  <c r="AE18" i="50"/>
  <c r="N18" i="50"/>
  <c r="AA18" i="50"/>
  <c r="AL18" i="50"/>
  <c r="Z18" i="50"/>
  <c r="AM18" i="50"/>
  <c r="H18" i="50"/>
  <c r="AI10" i="50"/>
  <c r="AM10" i="50"/>
  <c r="AA10" i="50"/>
  <c r="AL10" i="50"/>
  <c r="P10" i="50"/>
  <c r="W10" i="50"/>
  <c r="AJ10" i="50"/>
  <c r="R10" i="50"/>
  <c r="AF10" i="50"/>
  <c r="Z10" i="50"/>
  <c r="M10" i="50"/>
  <c r="AG10" i="50"/>
  <c r="Y10" i="50"/>
  <c r="S10" i="50"/>
  <c r="AH10" i="50"/>
  <c r="J10" i="50"/>
  <c r="K10" i="50"/>
  <c r="AE10" i="50"/>
  <c r="AD10" i="50"/>
  <c r="V10" i="50"/>
  <c r="X10" i="50"/>
  <c r="AC10" i="50"/>
  <c r="AK10" i="50"/>
  <c r="AB10" i="50"/>
  <c r="O10" i="50"/>
  <c r="I10" i="50"/>
  <c r="U10" i="50"/>
  <c r="T10" i="50"/>
  <c r="Q10" i="50"/>
  <c r="L10" i="50"/>
  <c r="N10" i="50"/>
  <c r="H10" i="50"/>
  <c r="R19" i="50"/>
  <c r="I19" i="50"/>
  <c r="AL19" i="50"/>
  <c r="AB19" i="50"/>
  <c r="Z19" i="50"/>
  <c r="AE19" i="50"/>
  <c r="O19" i="50"/>
  <c r="J19" i="50"/>
  <c r="Y19" i="50"/>
  <c r="N19" i="50"/>
  <c r="X19" i="50"/>
  <c r="Q19" i="50"/>
  <c r="K19" i="50"/>
  <c r="AM19" i="50"/>
  <c r="P19" i="50"/>
  <c r="V19" i="50"/>
  <c r="AG19" i="50"/>
  <c r="AJ19" i="50"/>
  <c r="T19" i="50"/>
  <c r="M19" i="50"/>
  <c r="AI19" i="50"/>
  <c r="S19" i="50"/>
  <c r="AA19" i="50"/>
  <c r="AH19" i="50"/>
  <c r="AF19" i="50"/>
  <c r="U19" i="50"/>
  <c r="AC19" i="50"/>
  <c r="W19" i="50"/>
  <c r="L19" i="50"/>
  <c r="AD19" i="50"/>
  <c r="AK19" i="50"/>
  <c r="H19" i="50"/>
  <c r="U72" i="50"/>
  <c r="R72" i="50"/>
  <c r="N72" i="50"/>
  <c r="Q72" i="50"/>
  <c r="M72" i="50"/>
  <c r="AL72" i="50"/>
  <c r="S72" i="50"/>
  <c r="AB72" i="50"/>
  <c r="AE72" i="50"/>
  <c r="K72" i="50"/>
  <c r="AM72" i="50"/>
  <c r="X72" i="50"/>
  <c r="AA72" i="50"/>
  <c r="Y72" i="50"/>
  <c r="AF72" i="50"/>
  <c r="AJ72" i="50"/>
  <c r="AH72" i="50"/>
  <c r="AC72" i="50"/>
  <c r="I72" i="50"/>
  <c r="O72" i="50"/>
  <c r="AG72" i="50"/>
  <c r="AK72" i="50"/>
  <c r="V72" i="50"/>
  <c r="AI72" i="50"/>
  <c r="W72" i="50"/>
  <c r="J72" i="50"/>
  <c r="AD72" i="50"/>
  <c r="L72" i="50"/>
  <c r="T72" i="50"/>
  <c r="P72" i="50"/>
  <c r="Z72" i="50"/>
  <c r="H72" i="50"/>
  <c r="AG64" i="50"/>
  <c r="X64" i="50"/>
  <c r="Y64" i="50"/>
  <c r="L64" i="50"/>
  <c r="AH64" i="50"/>
  <c r="AJ64" i="50"/>
  <c r="K64" i="50"/>
  <c r="V64" i="50"/>
  <c r="AC64" i="50"/>
  <c r="Z64" i="50"/>
  <c r="AF64" i="50"/>
  <c r="P64" i="50"/>
  <c r="AI64" i="50"/>
  <c r="AL64" i="50"/>
  <c r="O64" i="50"/>
  <c r="R64" i="50"/>
  <c r="AK64" i="50"/>
  <c r="I64" i="50"/>
  <c r="AB64" i="50"/>
  <c r="Q64" i="50"/>
  <c r="AE64" i="50"/>
  <c r="J64" i="50"/>
  <c r="M64" i="50"/>
  <c r="U64" i="50"/>
  <c r="W64" i="50"/>
  <c r="AD64" i="50"/>
  <c r="T64" i="50"/>
  <c r="AM64" i="50"/>
  <c r="S64" i="50"/>
  <c r="N64" i="50"/>
  <c r="AA64" i="50"/>
  <c r="H64" i="50"/>
  <c r="M6" i="50"/>
  <c r="AG6" i="50"/>
  <c r="S6" i="50"/>
  <c r="J6" i="50"/>
  <c r="L6" i="50"/>
  <c r="R6" i="50"/>
  <c r="U6" i="50"/>
  <c r="AL6" i="50"/>
  <c r="AD6" i="50"/>
  <c r="AB6" i="50"/>
  <c r="T6" i="50"/>
  <c r="AM6" i="50"/>
  <c r="N6" i="50"/>
  <c r="V6" i="50"/>
  <c r="X6" i="50"/>
  <c r="Q6" i="50"/>
  <c r="AF6" i="50"/>
  <c r="AK6" i="50"/>
  <c r="AC6" i="50"/>
  <c r="AI6" i="50"/>
  <c r="O6" i="50"/>
  <c r="AA6" i="50"/>
  <c r="AH6" i="50"/>
  <c r="P6" i="50"/>
  <c r="AJ6" i="50"/>
  <c r="W6" i="50"/>
  <c r="K6" i="50"/>
  <c r="Y6" i="50"/>
  <c r="AE6" i="50"/>
  <c r="I6" i="50"/>
  <c r="Z6" i="50"/>
  <c r="H6" i="50"/>
  <c r="N48" i="50"/>
  <c r="AE48" i="50"/>
  <c r="AB48" i="50"/>
  <c r="W48" i="50"/>
  <c r="Q48" i="50"/>
  <c r="AL48" i="50"/>
  <c r="X48" i="50"/>
  <c r="Y48" i="50"/>
  <c r="P48" i="50"/>
  <c r="J48" i="50"/>
  <c r="O48" i="50"/>
  <c r="M48" i="50"/>
  <c r="AK48" i="50"/>
  <c r="AJ48" i="50"/>
  <c r="V48" i="50"/>
  <c r="AI48" i="50"/>
  <c r="AF48" i="50"/>
  <c r="AD48" i="50"/>
  <c r="AG48" i="50"/>
  <c r="T48" i="50"/>
  <c r="I48" i="50"/>
  <c r="R48" i="50"/>
  <c r="S48" i="50"/>
  <c r="AA48" i="50"/>
  <c r="AH48" i="50"/>
  <c r="K48" i="50"/>
  <c r="AM48" i="50"/>
  <c r="L48" i="50"/>
  <c r="AC48" i="50"/>
  <c r="U48" i="50"/>
  <c r="Z48" i="50"/>
  <c r="H48" i="50"/>
  <c r="AI60" i="50"/>
  <c r="N60" i="50"/>
  <c r="S60" i="50"/>
  <c r="J60" i="50"/>
  <c r="AF60" i="50"/>
  <c r="P60" i="50"/>
  <c r="AJ60" i="50"/>
  <c r="AC60" i="50"/>
  <c r="AM60" i="50"/>
  <c r="AG60" i="50"/>
  <c r="V60" i="50"/>
  <c r="I60" i="50"/>
  <c r="T60" i="50"/>
  <c r="U60" i="50"/>
  <c r="M60" i="50"/>
  <c r="R60" i="50"/>
  <c r="AA60" i="50"/>
  <c r="X60" i="50"/>
  <c r="O60" i="50"/>
  <c r="W60" i="50"/>
  <c r="Y60" i="50"/>
  <c r="L60" i="50"/>
  <c r="AH60" i="50"/>
  <c r="AL60" i="50"/>
  <c r="Q60" i="50"/>
  <c r="Z60" i="50"/>
  <c r="AK60" i="50"/>
  <c r="AE60" i="50"/>
  <c r="AB60" i="50"/>
  <c r="K60" i="50"/>
  <c r="AD60" i="50"/>
  <c r="H60" i="50"/>
  <c r="K9" i="50"/>
  <c r="O9" i="50"/>
  <c r="AE9" i="50"/>
  <c r="X9" i="50"/>
  <c r="T9" i="50"/>
  <c r="V9" i="50"/>
  <c r="AJ9" i="50"/>
  <c r="U9" i="50"/>
  <c r="N9" i="50"/>
  <c r="AB9" i="50"/>
  <c r="W9" i="50"/>
  <c r="Z9" i="50"/>
  <c r="Y9" i="50"/>
  <c r="R9" i="50"/>
  <c r="M9" i="50"/>
  <c r="I9" i="50"/>
  <c r="AG9" i="50"/>
  <c r="AA9" i="50"/>
  <c r="AH9" i="50"/>
  <c r="L9" i="50"/>
  <c r="Q9" i="50"/>
  <c r="AC9" i="50"/>
  <c r="J9" i="50"/>
  <c r="AM9" i="50"/>
  <c r="AD9" i="50"/>
  <c r="P9" i="50"/>
  <c r="AI9" i="50"/>
  <c r="S9" i="50"/>
  <c r="AL9" i="50"/>
  <c r="AF9" i="50"/>
  <c r="AK9" i="50"/>
  <c r="H9" i="50"/>
  <c r="J31" i="50"/>
  <c r="AG31" i="50"/>
  <c r="AD31" i="50"/>
  <c r="O31" i="50"/>
  <c r="M31" i="50"/>
  <c r="AA31" i="50"/>
  <c r="P31" i="50"/>
  <c r="Q31" i="50"/>
  <c r="AE31" i="50"/>
  <c r="U31" i="50"/>
  <c r="X31" i="50"/>
  <c r="N31" i="50"/>
  <c r="S31" i="50"/>
  <c r="Y31" i="50"/>
  <c r="AI31" i="50"/>
  <c r="Z31" i="50"/>
  <c r="I31" i="50"/>
  <c r="AB31" i="50"/>
  <c r="K31" i="50"/>
  <c r="T31" i="50"/>
  <c r="V31" i="50"/>
  <c r="R31" i="50"/>
  <c r="AL31" i="50"/>
  <c r="AH31" i="50"/>
  <c r="AF31" i="50"/>
  <c r="L31" i="50"/>
  <c r="W31" i="50"/>
  <c r="AK31" i="50"/>
  <c r="AC31" i="50"/>
  <c r="AJ31" i="50"/>
  <c r="AM31" i="50"/>
  <c r="H31" i="50"/>
  <c r="K22" i="50"/>
  <c r="AI22" i="50"/>
  <c r="AM22" i="50"/>
  <c r="Q22" i="50"/>
  <c r="AE22" i="50"/>
  <c r="V22" i="50"/>
  <c r="M22" i="50"/>
  <c r="AG22" i="50"/>
  <c r="O22" i="50"/>
  <c r="P22" i="50"/>
  <c r="AL22" i="50"/>
  <c r="U22" i="50"/>
  <c r="N22" i="50"/>
  <c r="AK22" i="50"/>
  <c r="AC22" i="50"/>
  <c r="AA22" i="50"/>
  <c r="AJ22" i="50"/>
  <c r="J22" i="50"/>
  <c r="AH22" i="50"/>
  <c r="R22" i="50"/>
  <c r="AB22" i="50"/>
  <c r="T22" i="50"/>
  <c r="AF22" i="50"/>
  <c r="I22" i="50"/>
  <c r="Z22" i="50"/>
  <c r="Y22" i="50"/>
  <c r="L22" i="50"/>
  <c r="X22" i="50"/>
  <c r="W22" i="50"/>
  <c r="S22" i="50"/>
  <c r="AD22" i="50"/>
  <c r="H22" i="50"/>
  <c r="AH62" i="50"/>
  <c r="M62" i="50"/>
  <c r="AJ62" i="50"/>
  <c r="L62" i="50"/>
  <c r="AK62" i="50"/>
  <c r="AI62" i="50"/>
  <c r="AE62" i="50"/>
  <c r="O62" i="50"/>
  <c r="K62" i="50"/>
  <c r="AL62" i="50"/>
  <c r="Q62" i="50"/>
  <c r="V62" i="50"/>
  <c r="T62" i="50"/>
  <c r="AD62" i="50"/>
  <c r="W62" i="50"/>
  <c r="Z62" i="50"/>
  <c r="U62" i="50"/>
  <c r="P62" i="50"/>
  <c r="AG62" i="50"/>
  <c r="I62" i="50"/>
  <c r="R62" i="50"/>
  <c r="Y62" i="50"/>
  <c r="AC62" i="50"/>
  <c r="AM62" i="50"/>
  <c r="S62" i="50"/>
  <c r="X62" i="50"/>
  <c r="AB62" i="50"/>
  <c r="AF62" i="50"/>
  <c r="N62" i="50"/>
  <c r="AA62" i="50"/>
  <c r="J62" i="50"/>
  <c r="H62" i="50"/>
  <c r="Y61" i="50"/>
  <c r="S61" i="50"/>
  <c r="M61" i="50"/>
  <c r="AM61" i="50"/>
  <c r="I61" i="50"/>
  <c r="X61" i="50"/>
  <c r="AK61" i="50"/>
  <c r="AE61" i="50"/>
  <c r="AJ61" i="50"/>
  <c r="AC61" i="50"/>
  <c r="R61" i="50"/>
  <c r="AB61" i="50"/>
  <c r="AG61" i="50"/>
  <c r="AL61" i="50"/>
  <c r="P61" i="50"/>
  <c r="AI61" i="50"/>
  <c r="AD61" i="50"/>
  <c r="L61" i="50"/>
  <c r="T61" i="50"/>
  <c r="O61" i="50"/>
  <c r="W61" i="50"/>
  <c r="AF61" i="50"/>
  <c r="U61" i="50"/>
  <c r="J61" i="50"/>
  <c r="Z61" i="50"/>
  <c r="V61" i="50"/>
  <c r="Q61" i="50"/>
  <c r="AA61" i="50"/>
  <c r="K61" i="50"/>
  <c r="N61" i="50"/>
  <c r="AH61" i="50"/>
  <c r="H61" i="50"/>
  <c r="AC59" i="50"/>
  <c r="R59" i="50"/>
  <c r="J59" i="50"/>
  <c r="K59" i="50"/>
  <c r="S59" i="50"/>
  <c r="Z59" i="50"/>
  <c r="AE59" i="50"/>
  <c r="M59" i="50"/>
  <c r="V59" i="50"/>
  <c r="T59" i="50"/>
  <c r="AH59" i="50"/>
  <c r="AB59" i="50"/>
  <c r="I59" i="50"/>
  <c r="Y59" i="50"/>
  <c r="AK59" i="50"/>
  <c r="N59" i="50"/>
  <c r="Q59" i="50"/>
  <c r="AA59" i="50"/>
  <c r="AJ59" i="50"/>
  <c r="AD59" i="50"/>
  <c r="W59" i="50"/>
  <c r="AL59" i="50"/>
  <c r="AI59" i="50"/>
  <c r="AF59" i="50"/>
  <c r="L59" i="50"/>
  <c r="P59" i="50"/>
  <c r="AG59" i="50"/>
  <c r="X59" i="50"/>
  <c r="O59" i="50"/>
  <c r="U59" i="50"/>
  <c r="AM59" i="50"/>
  <c r="H59" i="50"/>
  <c r="AK16" i="50"/>
  <c r="O16" i="50"/>
  <c r="X16" i="50"/>
  <c r="AC16" i="50"/>
  <c r="N16" i="50"/>
  <c r="I16" i="50"/>
  <c r="Y16" i="50"/>
  <c r="AG16" i="50"/>
  <c r="Z16" i="50"/>
  <c r="L16" i="50"/>
  <c r="AL16" i="50"/>
  <c r="M16" i="50"/>
  <c r="U16" i="50"/>
  <c r="P16" i="50"/>
  <c r="K16" i="50"/>
  <c r="AE16" i="50"/>
  <c r="T16" i="50"/>
  <c r="AM16" i="50"/>
  <c r="W16" i="50"/>
  <c r="AJ16" i="50"/>
  <c r="J16" i="50"/>
  <c r="AA16" i="50"/>
  <c r="S16" i="50"/>
  <c r="AI16" i="50"/>
  <c r="AH16" i="50"/>
  <c r="AB16" i="50"/>
  <c r="AF16" i="50"/>
  <c r="AD16" i="50"/>
  <c r="R16" i="50"/>
  <c r="Q16" i="50"/>
  <c r="V16" i="50"/>
  <c r="H16" i="50"/>
  <c r="K40" i="50"/>
  <c r="AJ40" i="50"/>
  <c r="T40" i="50"/>
  <c r="L40" i="50"/>
  <c r="AI40" i="50"/>
  <c r="M40" i="50"/>
  <c r="P40" i="50"/>
  <c r="X40" i="50"/>
  <c r="AM40" i="50"/>
  <c r="U40" i="50"/>
  <c r="AL40" i="50"/>
  <c r="V40" i="50"/>
  <c r="R40" i="50"/>
  <c r="S40" i="50"/>
  <c r="AG40" i="50"/>
  <c r="I40" i="50"/>
  <c r="Q40" i="50"/>
  <c r="AB40" i="50"/>
  <c r="J40" i="50"/>
  <c r="AA40" i="50"/>
  <c r="AC40" i="50"/>
  <c r="AK40" i="50"/>
  <c r="N40" i="50"/>
  <c r="AF40" i="50"/>
  <c r="AE40" i="50"/>
  <c r="AH40" i="50"/>
  <c r="Y40" i="50"/>
  <c r="AD40" i="50"/>
  <c r="W40" i="50"/>
  <c r="Z40" i="50"/>
  <c r="O40" i="50"/>
  <c r="H40" i="50"/>
  <c r="M52" i="50"/>
  <c r="J52" i="50"/>
  <c r="AJ52" i="50"/>
  <c r="AF52" i="50"/>
  <c r="Q52" i="50"/>
  <c r="AE52" i="50"/>
  <c r="R52" i="50"/>
  <c r="W52" i="50"/>
  <c r="AL52" i="50"/>
  <c r="Y52" i="50"/>
  <c r="N52" i="50"/>
  <c r="S52" i="50"/>
  <c r="L52" i="50"/>
  <c r="Z52" i="50"/>
  <c r="AA52" i="50"/>
  <c r="P52" i="50"/>
  <c r="V52" i="50"/>
  <c r="AM52" i="50"/>
  <c r="O52" i="50"/>
  <c r="AD52" i="50"/>
  <c r="X52" i="50"/>
  <c r="AG52" i="50"/>
  <c r="U52" i="50"/>
  <c r="I52" i="50"/>
  <c r="AH52" i="50"/>
  <c r="AB52" i="50"/>
  <c r="AC52" i="50"/>
  <c r="K52" i="50"/>
  <c r="AI52" i="50"/>
  <c r="T52" i="50"/>
  <c r="AK52" i="50"/>
  <c r="H52" i="50"/>
  <c r="AJ68" i="50"/>
  <c r="N68" i="50"/>
  <c r="AD68" i="50"/>
  <c r="W68" i="50"/>
  <c r="AI68" i="50"/>
  <c r="M68" i="50"/>
  <c r="AG68" i="50"/>
  <c r="AH68" i="50"/>
  <c r="X68" i="50"/>
  <c r="R68" i="50"/>
  <c r="V68" i="50"/>
  <c r="AB68" i="50"/>
  <c r="AK68" i="50"/>
  <c r="L68" i="50"/>
  <c r="J68" i="50"/>
  <c r="U68" i="50"/>
  <c r="AA68" i="50"/>
  <c r="K68" i="50"/>
  <c r="O68" i="50"/>
  <c r="Y68" i="50"/>
  <c r="AE68" i="50"/>
  <c r="AM68" i="50"/>
  <c r="AC68" i="50"/>
  <c r="T68" i="50"/>
  <c r="I68" i="50"/>
  <c r="AF68" i="50"/>
  <c r="AL68" i="50"/>
  <c r="S68" i="50"/>
  <c r="Q68" i="50"/>
  <c r="Z68" i="50"/>
  <c r="P68" i="50"/>
  <c r="H68" i="50"/>
  <c r="Y12" i="50"/>
  <c r="X12" i="50"/>
  <c r="O12" i="50"/>
  <c r="S12" i="50"/>
  <c r="N12" i="50"/>
  <c r="AC12" i="50"/>
  <c r="AH12" i="50"/>
  <c r="AD12" i="50"/>
  <c r="P12" i="50"/>
  <c r="AJ12" i="50"/>
  <c r="U12" i="50"/>
  <c r="W12" i="50"/>
  <c r="AA12" i="50"/>
  <c r="K12" i="50"/>
  <c r="AL12" i="50"/>
  <c r="AM12" i="50"/>
  <c r="T12" i="50"/>
  <c r="AK12" i="50"/>
  <c r="Q12" i="50"/>
  <c r="Z12" i="50"/>
  <c r="AG12" i="50"/>
  <c r="AE12" i="50"/>
  <c r="AB12" i="50"/>
  <c r="AF12" i="50"/>
  <c r="I12" i="50"/>
  <c r="M12" i="50"/>
  <c r="AI12" i="50"/>
  <c r="J12" i="50"/>
  <c r="L12" i="50"/>
  <c r="R12" i="50"/>
  <c r="V12" i="50"/>
  <c r="H12" i="50"/>
  <c r="Y37" i="50"/>
  <c r="P37" i="50"/>
  <c r="W37" i="50"/>
  <c r="AK37" i="50"/>
  <c r="AB37" i="50"/>
  <c r="AC37" i="50"/>
  <c r="S37" i="50"/>
  <c r="K37" i="50"/>
  <c r="AH37" i="50"/>
  <c r="Z37" i="50"/>
  <c r="J37" i="50"/>
  <c r="I37" i="50"/>
  <c r="AL37" i="50"/>
  <c r="T37" i="50"/>
  <c r="AD37" i="50"/>
  <c r="AE37" i="50"/>
  <c r="AJ37" i="50"/>
  <c r="AM37" i="50"/>
  <c r="V37" i="50"/>
  <c r="M37" i="50"/>
  <c r="AI37" i="50"/>
  <c r="R37" i="50"/>
  <c r="AA37" i="50"/>
  <c r="AG37" i="50"/>
  <c r="L37" i="50"/>
  <c r="U37" i="50"/>
  <c r="X37" i="50"/>
  <c r="N37" i="50"/>
  <c r="Q37" i="50"/>
  <c r="AF37" i="50"/>
  <c r="O37" i="50"/>
  <c r="H37" i="50"/>
  <c r="V44" i="50"/>
  <c r="AG44" i="50"/>
  <c r="P44" i="50"/>
  <c r="AL44" i="50"/>
  <c r="AM44" i="50"/>
  <c r="AC44" i="50"/>
  <c r="AA44" i="50"/>
  <c r="AK44" i="50"/>
  <c r="N44" i="50"/>
  <c r="AI44" i="50"/>
  <c r="M44" i="50"/>
  <c r="AJ44" i="50"/>
  <c r="S44" i="50"/>
  <c r="AB44" i="50"/>
  <c r="U44" i="50"/>
  <c r="T44" i="50"/>
  <c r="J44" i="50"/>
  <c r="L44" i="50"/>
  <c r="X44" i="50"/>
  <c r="AE44" i="50"/>
  <c r="O44" i="50"/>
  <c r="Q44" i="50"/>
  <c r="AF44" i="50"/>
  <c r="Z44" i="50"/>
  <c r="I44" i="50"/>
  <c r="K44" i="50"/>
  <c r="AH44" i="50"/>
  <c r="AD44" i="50"/>
  <c r="R44" i="50"/>
  <c r="W44" i="50"/>
  <c r="Y44" i="50"/>
  <c r="H44" i="50"/>
  <c r="U56" i="50"/>
  <c r="N56" i="50"/>
  <c r="I56" i="50"/>
  <c r="AD56" i="50"/>
  <c r="M56" i="50"/>
  <c r="AH56" i="50"/>
  <c r="K56" i="50"/>
  <c r="W56" i="50"/>
  <c r="AA56" i="50"/>
  <c r="AE56" i="50"/>
  <c r="Q56" i="50"/>
  <c r="L56" i="50"/>
  <c r="AL56" i="50"/>
  <c r="AF56" i="50"/>
  <c r="AI56" i="50"/>
  <c r="AG56" i="50"/>
  <c r="O56" i="50"/>
  <c r="AB56" i="50"/>
  <c r="Y56" i="50"/>
  <c r="T56" i="50"/>
  <c r="V56" i="50"/>
  <c r="AC56" i="50"/>
  <c r="J56" i="50"/>
  <c r="R56" i="50"/>
  <c r="Z56" i="50"/>
  <c r="AM56" i="50"/>
  <c r="X56" i="50"/>
  <c r="P56" i="50"/>
  <c r="S56" i="50"/>
  <c r="AK56" i="50"/>
  <c r="AJ56" i="50"/>
  <c r="H56" i="50"/>
  <c r="AC8" i="50"/>
  <c r="AE8" i="50"/>
  <c r="P8" i="50"/>
  <c r="AI8" i="50"/>
  <c r="AJ8" i="50"/>
  <c r="K8" i="50"/>
  <c r="W8" i="50"/>
  <c r="L8" i="50"/>
  <c r="AD8" i="50"/>
  <c r="T8" i="50"/>
  <c r="X8" i="50"/>
  <c r="AH8" i="50"/>
  <c r="J8" i="50"/>
  <c r="AK8" i="50"/>
  <c r="AG8" i="50"/>
  <c r="AA8" i="50"/>
  <c r="AF8" i="50"/>
  <c r="R8" i="50"/>
  <c r="Y8" i="50"/>
  <c r="I8" i="50"/>
  <c r="U8" i="50"/>
  <c r="V8" i="50"/>
  <c r="AB8" i="50"/>
  <c r="O8" i="50"/>
  <c r="Z8" i="50"/>
  <c r="AL8" i="50"/>
  <c r="N8" i="50"/>
  <c r="AM8" i="50"/>
  <c r="M8" i="50"/>
  <c r="S8" i="50"/>
  <c r="Q8" i="50"/>
  <c r="H8" i="50"/>
  <c r="I67" i="50"/>
  <c r="U67" i="50"/>
  <c r="N67" i="50"/>
  <c r="AJ67" i="50"/>
  <c r="AL67" i="50"/>
  <c r="AB67" i="50"/>
  <c r="J67" i="50"/>
  <c r="AM67" i="50"/>
  <c r="AC67" i="50"/>
  <c r="S67" i="50"/>
  <c r="O67" i="50"/>
  <c r="M67" i="50"/>
  <c r="AK67" i="50"/>
  <c r="AH67" i="50"/>
  <c r="W67" i="50"/>
  <c r="K67" i="50"/>
  <c r="Q67" i="50"/>
  <c r="R67" i="50"/>
  <c r="T67" i="50"/>
  <c r="AF67" i="50"/>
  <c r="L67" i="50"/>
  <c r="P67" i="50"/>
  <c r="AE67" i="50"/>
  <c r="Z67" i="50"/>
  <c r="AG67" i="50"/>
  <c r="V67" i="50"/>
  <c r="X67" i="50"/>
  <c r="AA67" i="50"/>
  <c r="AI67" i="50"/>
  <c r="Y67" i="50"/>
  <c r="AD67" i="50"/>
  <c r="H67" i="50"/>
  <c r="AL53" i="50"/>
  <c r="X53" i="50"/>
  <c r="AD53" i="50"/>
  <c r="AB53" i="50"/>
  <c r="AK53" i="50"/>
  <c r="Z53" i="50"/>
  <c r="AF53" i="50"/>
  <c r="I53" i="50"/>
  <c r="AA53" i="50"/>
  <c r="W53" i="50"/>
  <c r="AC53" i="50"/>
  <c r="S53" i="50"/>
  <c r="M53" i="50"/>
  <c r="J53" i="50"/>
  <c r="U53" i="50"/>
  <c r="AI53" i="50"/>
  <c r="L53" i="50"/>
  <c r="K53" i="50"/>
  <c r="AE53" i="50"/>
  <c r="Y53" i="50"/>
  <c r="N53" i="50"/>
  <c r="V53" i="50"/>
  <c r="P53" i="50"/>
  <c r="AJ53" i="50"/>
  <c r="O53" i="50"/>
  <c r="T53" i="50"/>
  <c r="Q53" i="50"/>
  <c r="AM53" i="50"/>
  <c r="AH53" i="50"/>
  <c r="AG53" i="50"/>
  <c r="R53" i="50"/>
  <c r="H53" i="50"/>
  <c r="W75" i="50"/>
  <c r="Z75" i="50"/>
  <c r="I75" i="50"/>
  <c r="AA75" i="50"/>
  <c r="L75" i="50"/>
  <c r="AD75" i="50"/>
  <c r="AH75" i="50"/>
  <c r="Q75" i="50"/>
  <c r="AG75" i="50"/>
  <c r="AL75" i="50"/>
  <c r="M75" i="50"/>
  <c r="K75" i="50"/>
  <c r="AM75" i="50"/>
  <c r="S75" i="50"/>
  <c r="V75" i="50"/>
  <c r="AE75" i="50"/>
  <c r="O75" i="50"/>
  <c r="Y75" i="50"/>
  <c r="U75" i="50"/>
  <c r="AC75" i="50"/>
  <c r="AJ75" i="50"/>
  <c r="J75" i="50"/>
  <c r="AB75" i="50"/>
  <c r="P75" i="50"/>
  <c r="T75" i="50"/>
  <c r="N75" i="50"/>
  <c r="AI75" i="50"/>
  <c r="AK75" i="50"/>
  <c r="X75" i="50"/>
  <c r="AF75" i="50"/>
  <c r="R75" i="50"/>
  <c r="H75" i="50"/>
  <c r="AL45" i="50"/>
  <c r="I45" i="50"/>
  <c r="K45" i="50"/>
  <c r="N45" i="50"/>
  <c r="AH45" i="50"/>
  <c r="T45" i="50"/>
  <c r="AI45" i="50"/>
  <c r="AA45" i="50"/>
  <c r="O45" i="50"/>
  <c r="V45" i="50"/>
  <c r="AJ45" i="50"/>
  <c r="Y45" i="50"/>
  <c r="AG45" i="50"/>
  <c r="X45" i="50"/>
  <c r="U45" i="50"/>
  <c r="AF45" i="50"/>
  <c r="AE45" i="50"/>
  <c r="P45" i="50"/>
  <c r="W45" i="50"/>
  <c r="Q45" i="50"/>
  <c r="J45" i="50"/>
  <c r="M45" i="50"/>
  <c r="AC45" i="50"/>
  <c r="AD45" i="50"/>
  <c r="S45" i="50"/>
  <c r="AM45" i="50"/>
  <c r="AK45" i="50"/>
  <c r="Z45" i="50"/>
  <c r="L45" i="50"/>
  <c r="R45" i="50"/>
  <c r="AB45" i="50"/>
  <c r="H45" i="50"/>
  <c r="AJ36" i="50"/>
  <c r="L36" i="50"/>
  <c r="P36" i="50"/>
  <c r="M36" i="50"/>
  <c r="AK36" i="50"/>
  <c r="W36" i="50"/>
  <c r="Q36" i="50"/>
  <c r="Z36" i="50"/>
  <c r="V36" i="50"/>
  <c r="AD36" i="50"/>
  <c r="AC36" i="50"/>
  <c r="I36" i="50"/>
  <c r="O36" i="50"/>
  <c r="AI36" i="50"/>
  <c r="U36" i="50"/>
  <c r="AA36" i="50"/>
  <c r="AB36" i="50"/>
  <c r="AF36" i="50"/>
  <c r="R36" i="50"/>
  <c r="AL36" i="50"/>
  <c r="J36" i="50"/>
  <c r="S36" i="50"/>
  <c r="AH36" i="50"/>
  <c r="AG36" i="50"/>
  <c r="N36" i="50"/>
  <c r="K36" i="50"/>
  <c r="AM36" i="50"/>
  <c r="Y36" i="50"/>
  <c r="T36" i="50"/>
  <c r="X36" i="50"/>
  <c r="AE36" i="50"/>
  <c r="H36" i="50"/>
  <c r="P58" i="50"/>
  <c r="M58" i="50"/>
  <c r="Z58" i="50"/>
  <c r="AD58" i="50"/>
  <c r="AC58" i="50"/>
  <c r="Y58" i="50"/>
  <c r="W58" i="50"/>
  <c r="AA58" i="50"/>
  <c r="AE58" i="50"/>
  <c r="U58" i="50"/>
  <c r="L58" i="50"/>
  <c r="AK58" i="50"/>
  <c r="X58" i="50"/>
  <c r="AJ58" i="50"/>
  <c r="AF58" i="50"/>
  <c r="AM58" i="50"/>
  <c r="S58" i="50"/>
  <c r="K58" i="50"/>
  <c r="J58" i="50"/>
  <c r="AL58" i="50"/>
  <c r="I58" i="50"/>
  <c r="AB58" i="50"/>
  <c r="Q58" i="50"/>
  <c r="AH58" i="50"/>
  <c r="O58" i="50"/>
  <c r="N58" i="50"/>
  <c r="T58" i="50"/>
  <c r="V58" i="50"/>
  <c r="AI58" i="50"/>
  <c r="AG58" i="50"/>
  <c r="R58" i="50"/>
  <c r="H58" i="50"/>
  <c r="AD30" i="50"/>
  <c r="O30" i="50"/>
  <c r="S30" i="50"/>
  <c r="AL30" i="50"/>
  <c r="AM30" i="50"/>
  <c r="W30" i="50"/>
  <c r="X30" i="50"/>
  <c r="AE30" i="50"/>
  <c r="N30" i="50"/>
  <c r="AI30" i="50"/>
  <c r="J30" i="50"/>
  <c r="AB30" i="50"/>
  <c r="AH30" i="50"/>
  <c r="T30" i="50"/>
  <c r="K30" i="50"/>
  <c r="P30" i="50"/>
  <c r="U30" i="50"/>
  <c r="AJ30" i="50"/>
  <c r="Z30" i="50"/>
  <c r="Q30" i="50"/>
  <c r="AA30" i="50"/>
  <c r="Y30" i="50"/>
  <c r="AF30" i="50"/>
  <c r="M30" i="50"/>
  <c r="R30" i="50"/>
  <c r="AG30" i="50"/>
  <c r="AC30" i="50"/>
  <c r="I30" i="50"/>
  <c r="AK30" i="50"/>
  <c r="V30" i="50"/>
  <c r="L30" i="50"/>
  <c r="H30" i="50"/>
  <c r="R13" i="50"/>
  <c r="K13" i="50"/>
  <c r="J13" i="50"/>
  <c r="N13" i="50"/>
  <c r="AF13" i="50"/>
  <c r="AD13" i="50"/>
  <c r="AL13" i="50"/>
  <c r="O13" i="50"/>
  <c r="AJ13" i="50"/>
  <c r="AE13" i="50"/>
  <c r="W13" i="50"/>
  <c r="L13" i="50"/>
  <c r="Z13" i="50"/>
  <c r="AK13" i="50"/>
  <c r="U13" i="50"/>
  <c r="Q13" i="50"/>
  <c r="X13" i="50"/>
  <c r="AB13" i="50"/>
  <c r="P13" i="50"/>
  <c r="Y13" i="50"/>
  <c r="AG13" i="50"/>
  <c r="AI13" i="50"/>
  <c r="S13" i="50"/>
  <c r="AC13" i="50"/>
  <c r="M13" i="50"/>
  <c r="I13" i="50"/>
  <c r="T13" i="50"/>
  <c r="V13" i="50"/>
  <c r="AA13" i="50"/>
  <c r="AH13" i="50"/>
  <c r="AM13" i="50"/>
  <c r="H13" i="50"/>
  <c r="AG27" i="50"/>
  <c r="AI27" i="50"/>
  <c r="Y27" i="50"/>
  <c r="M27" i="50"/>
  <c r="N27" i="50"/>
  <c r="AH27" i="50"/>
  <c r="S27" i="50"/>
  <c r="W27" i="50"/>
  <c r="J27" i="50"/>
  <c r="AE27" i="50"/>
  <c r="AD27" i="50"/>
  <c r="O27" i="50"/>
  <c r="AJ27" i="50"/>
  <c r="R27" i="50"/>
  <c r="AA27" i="50"/>
  <c r="P27" i="50"/>
  <c r="AB27" i="50"/>
  <c r="AK27" i="50"/>
  <c r="L27" i="50"/>
  <c r="T27" i="50"/>
  <c r="K27" i="50"/>
  <c r="V27" i="50"/>
  <c r="AL27" i="50"/>
  <c r="AC27" i="50"/>
  <c r="Z27" i="50"/>
  <c r="I27" i="50"/>
  <c r="U27" i="50"/>
  <c r="AF27" i="50"/>
  <c r="AM27" i="50"/>
  <c r="Q27" i="50"/>
  <c r="X27" i="50"/>
  <c r="H27" i="50"/>
  <c r="S55" i="50"/>
  <c r="AM55" i="50"/>
  <c r="AB55" i="50"/>
  <c r="P55" i="50"/>
  <c r="V55" i="50"/>
  <c r="Z55" i="50"/>
  <c r="O55" i="50"/>
  <c r="N55" i="50"/>
  <c r="W55" i="50"/>
  <c r="T55" i="50"/>
  <c r="AL55" i="50"/>
  <c r="AH55" i="50"/>
  <c r="AI55" i="50"/>
  <c r="AD55" i="50"/>
  <c r="Q55" i="50"/>
  <c r="AK55" i="50"/>
  <c r="Y55" i="50"/>
  <c r="AC55" i="50"/>
  <c r="M55" i="50"/>
  <c r="L55" i="50"/>
  <c r="R55" i="50"/>
  <c r="I55" i="50"/>
  <c r="AF55" i="50"/>
  <c r="AG55" i="50"/>
  <c r="AE55" i="50"/>
  <c r="U55" i="50"/>
  <c r="AJ55" i="50"/>
  <c r="J55" i="50"/>
  <c r="K55" i="50"/>
  <c r="X55" i="50"/>
  <c r="AA55" i="50"/>
  <c r="H55" i="50"/>
  <c r="AK28" i="50"/>
  <c r="Z28" i="50"/>
  <c r="AC28" i="50"/>
  <c r="AD28" i="50"/>
  <c r="I28" i="50"/>
  <c r="X28" i="50"/>
  <c r="T28" i="50"/>
  <c r="P28" i="50"/>
  <c r="K28" i="50"/>
  <c r="AH28" i="50"/>
  <c r="AJ28" i="50"/>
  <c r="AA28" i="50"/>
  <c r="L28" i="50"/>
  <c r="AI28" i="50"/>
  <c r="AG28" i="50"/>
  <c r="V28" i="50"/>
  <c r="W28" i="50"/>
  <c r="O28" i="50"/>
  <c r="AL28" i="50"/>
  <c r="J28" i="50"/>
  <c r="AF28" i="50"/>
  <c r="AM28" i="50"/>
  <c r="N28" i="50"/>
  <c r="Y28" i="50"/>
  <c r="M28" i="50"/>
  <c r="U28" i="50"/>
  <c r="S28" i="50"/>
  <c r="Q28" i="50"/>
  <c r="R28" i="50"/>
  <c r="AB28" i="50"/>
  <c r="AE28" i="50"/>
  <c r="H28" i="50"/>
  <c r="W25" i="50"/>
  <c r="K25" i="50"/>
  <c r="S25" i="50"/>
  <c r="AH25" i="50"/>
  <c r="AI25" i="50"/>
  <c r="M25" i="50"/>
  <c r="AJ25" i="50"/>
  <c r="X25" i="50"/>
  <c r="V25" i="50"/>
  <c r="AB25" i="50"/>
  <c r="AA25" i="50"/>
  <c r="J25" i="50"/>
  <c r="AE25" i="50"/>
  <c r="AM25" i="50"/>
  <c r="AL25" i="50"/>
  <c r="O25" i="50"/>
  <c r="AK25" i="50"/>
  <c r="L25" i="50"/>
  <c r="AC25" i="50"/>
  <c r="Q25" i="50"/>
  <c r="AF25" i="50"/>
  <c r="Z25" i="50"/>
  <c r="N25" i="50"/>
  <c r="AG25" i="50"/>
  <c r="Y25" i="50"/>
  <c r="T25" i="50"/>
  <c r="R25" i="50"/>
  <c r="AD25" i="50"/>
  <c r="U25" i="50"/>
  <c r="I25" i="50"/>
  <c r="P25" i="50"/>
  <c r="H25" i="50"/>
  <c r="T11" i="50"/>
  <c r="AD11" i="50"/>
  <c r="X11" i="50"/>
  <c r="L11" i="50"/>
  <c r="J11" i="50"/>
  <c r="P11" i="50"/>
  <c r="U11" i="50"/>
  <c r="AM11" i="50"/>
  <c r="AF11" i="50"/>
  <c r="K11" i="50"/>
  <c r="M11" i="50"/>
  <c r="AE11" i="50"/>
  <c r="R11" i="50"/>
  <c r="Y11" i="50"/>
  <c r="AL11" i="50"/>
  <c r="AG11" i="50"/>
  <c r="O11" i="50"/>
  <c r="AI11" i="50"/>
  <c r="AA11" i="50"/>
  <c r="AK11" i="50"/>
  <c r="AJ11" i="50"/>
  <c r="Z11" i="50"/>
  <c r="AB11" i="50"/>
  <c r="N11" i="50"/>
  <c r="V11" i="50"/>
  <c r="S11" i="50"/>
  <c r="Q11" i="50"/>
  <c r="I11" i="50"/>
  <c r="AC11" i="50"/>
  <c r="AH11" i="50"/>
  <c r="W11" i="50"/>
  <c r="H11" i="50"/>
  <c r="AD73" i="50"/>
  <c r="AC73" i="50"/>
  <c r="AM73" i="50"/>
  <c r="Z73" i="50"/>
  <c r="AL73" i="50"/>
  <c r="AI73" i="50"/>
  <c r="O73" i="50"/>
  <c r="U73" i="50"/>
  <c r="AK73" i="50"/>
  <c r="S73" i="50"/>
  <c r="AH73" i="50"/>
  <c r="M73" i="50"/>
  <c r="N73" i="50"/>
  <c r="X73" i="50"/>
  <c r="J73" i="50"/>
  <c r="L73" i="50"/>
  <c r="R73" i="50"/>
  <c r="AF73" i="50"/>
  <c r="AJ73" i="50"/>
  <c r="AA73" i="50"/>
  <c r="I73" i="50"/>
  <c r="AE73" i="50"/>
  <c r="AB73" i="50"/>
  <c r="P73" i="50"/>
  <c r="T73" i="50"/>
  <c r="Y73" i="50"/>
  <c r="AG73" i="50"/>
  <c r="K73" i="50"/>
  <c r="Q73" i="50"/>
  <c r="V73" i="50"/>
  <c r="W73" i="50"/>
  <c r="H73" i="50"/>
  <c r="W32" i="50"/>
  <c r="P32" i="50"/>
  <c r="AM32" i="50"/>
  <c r="U32" i="50"/>
  <c r="Y32" i="50"/>
  <c r="AK32" i="50"/>
  <c r="X32" i="50"/>
  <c r="O32" i="50"/>
  <c r="N32" i="50"/>
  <c r="Q32" i="50"/>
  <c r="AL32" i="50"/>
  <c r="Z32" i="50"/>
  <c r="AB32" i="50"/>
  <c r="V32" i="50"/>
  <c r="L32" i="50"/>
  <c r="AD32" i="50"/>
  <c r="M32" i="50"/>
  <c r="AE32" i="50"/>
  <c r="AA32" i="50"/>
  <c r="K32" i="50"/>
  <c r="AJ32" i="50"/>
  <c r="AF32" i="50"/>
  <c r="T32" i="50"/>
  <c r="AC32" i="50"/>
  <c r="S32" i="50"/>
  <c r="AI32" i="50"/>
  <c r="R32" i="50"/>
  <c r="AG32" i="50"/>
  <c r="AH32" i="50"/>
  <c r="I32" i="50"/>
  <c r="J32" i="50"/>
  <c r="H32" i="50"/>
  <c r="W15" i="50"/>
  <c r="AJ15" i="50"/>
  <c r="AM15" i="50"/>
  <c r="U15" i="50"/>
  <c r="AA15" i="50"/>
  <c r="S15" i="50"/>
  <c r="M15" i="50"/>
  <c r="T15" i="50"/>
  <c r="AF15" i="50"/>
  <c r="Q15" i="50"/>
  <c r="L15" i="50"/>
  <c r="AD15" i="50"/>
  <c r="R15" i="50"/>
  <c r="AL15" i="50"/>
  <c r="K15" i="50"/>
  <c r="O15" i="50"/>
  <c r="AE15" i="50"/>
  <c r="Y15" i="50"/>
  <c r="AI15" i="50"/>
  <c r="P15" i="50"/>
  <c r="V15" i="50"/>
  <c r="N15" i="50"/>
  <c r="AK15" i="50"/>
  <c r="AB15" i="50"/>
  <c r="J15" i="50"/>
  <c r="AG15" i="50"/>
  <c r="I15" i="50"/>
  <c r="X15" i="50"/>
  <c r="AH15" i="50"/>
  <c r="Z15" i="50"/>
  <c r="AC15" i="50"/>
  <c r="H15" i="50"/>
  <c r="AG24" i="50"/>
  <c r="V24" i="50"/>
  <c r="Y24" i="50"/>
  <c r="AC24" i="50"/>
  <c r="Z24" i="50"/>
  <c r="AA24" i="50"/>
  <c r="K24" i="50"/>
  <c r="AF24" i="50"/>
  <c r="L24" i="50"/>
  <c r="AI24" i="50"/>
  <c r="O24" i="50"/>
  <c r="AJ24" i="50"/>
  <c r="W24" i="50"/>
  <c r="I24" i="50"/>
  <c r="P24" i="50"/>
  <c r="AM24" i="50"/>
  <c r="U24" i="50"/>
  <c r="R24" i="50"/>
  <c r="Q24" i="50"/>
  <c r="AK24" i="50"/>
  <c r="AE24" i="50"/>
  <c r="N24" i="50"/>
  <c r="AL24" i="50"/>
  <c r="J24" i="50"/>
  <c r="M24" i="50"/>
  <c r="AD24" i="50"/>
  <c r="AH24" i="50"/>
  <c r="T24" i="50"/>
  <c r="S24" i="50"/>
  <c r="X24" i="50"/>
  <c r="AB24" i="50"/>
  <c r="H24" i="50"/>
  <c r="Y51" i="50"/>
  <c r="N51" i="50"/>
  <c r="AK51" i="50"/>
  <c r="AC51" i="50"/>
  <c r="AI51" i="50"/>
  <c r="U51" i="50"/>
  <c r="I51" i="50"/>
  <c r="R51" i="50"/>
  <c r="AL51" i="50"/>
  <c r="Q51" i="50"/>
  <c r="AM51" i="50"/>
  <c r="K51" i="50"/>
  <c r="AB51" i="50"/>
  <c r="AH51" i="50"/>
  <c r="AJ51" i="50"/>
  <c r="AE51" i="50"/>
  <c r="O51" i="50"/>
  <c r="AG51" i="50"/>
  <c r="X51" i="50"/>
  <c r="AA51" i="50"/>
  <c r="M51" i="50"/>
  <c r="W51" i="50"/>
  <c r="AF51" i="50"/>
  <c r="AD51" i="50"/>
  <c r="T51" i="50"/>
  <c r="L51" i="50"/>
  <c r="S51" i="50"/>
  <c r="J51" i="50"/>
  <c r="V51" i="50"/>
  <c r="Z51" i="50"/>
  <c r="P51" i="50"/>
  <c r="H51" i="50"/>
  <c r="K7" i="50"/>
  <c r="AE7" i="50"/>
  <c r="AK7" i="50"/>
  <c r="R7" i="50"/>
  <c r="J7" i="50"/>
  <c r="AL7" i="50"/>
  <c r="O7" i="50"/>
  <c r="AC7" i="50"/>
  <c r="AI7" i="50"/>
  <c r="AD7" i="50"/>
  <c r="M7" i="50"/>
  <c r="W7" i="50"/>
  <c r="X7" i="50"/>
  <c r="N7" i="50"/>
  <c r="S7" i="50"/>
  <c r="AH7" i="50"/>
  <c r="V7" i="50"/>
  <c r="AF7" i="50"/>
  <c r="AJ7" i="50"/>
  <c r="I7" i="50"/>
  <c r="T7" i="50"/>
  <c r="AA7" i="50"/>
  <c r="AB7" i="50"/>
  <c r="L7" i="50"/>
  <c r="U7" i="50"/>
  <c r="P7" i="50"/>
  <c r="Q7" i="50"/>
  <c r="Y7" i="50"/>
  <c r="AM7" i="50"/>
  <c r="AG7" i="50"/>
  <c r="Z7" i="50"/>
  <c r="H7" i="50"/>
  <c r="R21" i="50"/>
  <c r="AA21" i="50"/>
  <c r="O21" i="50"/>
  <c r="AJ21" i="50"/>
  <c r="S21" i="50"/>
  <c r="AB21" i="50"/>
  <c r="Z21" i="50"/>
  <c r="I21" i="50"/>
  <c r="Q21" i="50"/>
  <c r="AF21" i="50"/>
  <c r="Y21" i="50"/>
  <c r="P21" i="50"/>
  <c r="AH21" i="50"/>
  <c r="L21" i="50"/>
  <c r="AC21" i="50"/>
  <c r="AI21" i="50"/>
  <c r="W21" i="50"/>
  <c r="AM21" i="50"/>
  <c r="K21" i="50"/>
  <c r="AK21" i="50"/>
  <c r="V21" i="50"/>
  <c r="AD21" i="50"/>
  <c r="M21" i="50"/>
  <c r="N21" i="50"/>
  <c r="AL21" i="50"/>
  <c r="U21" i="50"/>
  <c r="J21" i="50"/>
  <c r="AE21" i="50"/>
  <c r="AG21" i="50"/>
  <c r="T21" i="50"/>
  <c r="X21" i="50"/>
  <c r="H21" i="50"/>
  <c r="AD49" i="50"/>
  <c r="N49" i="50"/>
  <c r="M49" i="50"/>
  <c r="AE49" i="50"/>
  <c r="AF49" i="50"/>
  <c r="U49" i="50"/>
  <c r="AB49" i="50"/>
  <c r="X49" i="50"/>
  <c r="L49" i="50"/>
  <c r="R49" i="50"/>
  <c r="AI49" i="50"/>
  <c r="AC49" i="50"/>
  <c r="J49" i="50"/>
  <c r="Z49" i="50"/>
  <c r="AM49" i="50"/>
  <c r="V49" i="50"/>
  <c r="AK49" i="50"/>
  <c r="Y49" i="50"/>
  <c r="S49" i="50"/>
  <c r="AG49" i="50"/>
  <c r="P49" i="50"/>
  <c r="AL49" i="50"/>
  <c r="K49" i="50"/>
  <c r="I49" i="50"/>
  <c r="O49" i="50"/>
  <c r="Q49" i="50"/>
  <c r="T49" i="50"/>
  <c r="AJ49" i="50"/>
  <c r="AH49" i="50"/>
  <c r="AA49" i="50"/>
  <c r="W49" i="50"/>
  <c r="H49" i="50"/>
  <c r="AC41" i="50"/>
  <c r="I41" i="50"/>
  <c r="AM41" i="50"/>
  <c r="Q41" i="50"/>
  <c r="W41" i="50"/>
  <c r="X41" i="50"/>
  <c r="T41" i="50"/>
  <c r="AK41" i="50"/>
  <c r="Z41" i="50"/>
  <c r="L41" i="50"/>
  <c r="AJ41" i="50"/>
  <c r="S41" i="50"/>
  <c r="J41" i="50"/>
  <c r="AI41" i="50"/>
  <c r="V41" i="50"/>
  <c r="AE41" i="50"/>
  <c r="K41" i="50"/>
  <c r="AA41" i="50"/>
  <c r="N41" i="50"/>
  <c r="U41" i="50"/>
  <c r="Y41" i="50"/>
  <c r="M41" i="50"/>
  <c r="AB41" i="50"/>
  <c r="AG41" i="50"/>
  <c r="AD41" i="50"/>
  <c r="O41" i="50"/>
  <c r="R41" i="50"/>
  <c r="AH41" i="50"/>
  <c r="AL41" i="50"/>
  <c r="P41" i="50"/>
  <c r="AF41" i="50"/>
  <c r="H41" i="50"/>
  <c r="N74" i="50"/>
  <c r="R74" i="50"/>
  <c r="AJ74" i="50"/>
  <c r="Q74" i="50"/>
  <c r="AM74" i="50"/>
  <c r="T74" i="50"/>
  <c r="AD74" i="50"/>
  <c r="Z74" i="50"/>
  <c r="AB74" i="50"/>
  <c r="AK74" i="50"/>
  <c r="AL74" i="50"/>
  <c r="I74" i="50"/>
  <c r="M74" i="50"/>
  <c r="AG74" i="50"/>
  <c r="AI74" i="50"/>
  <c r="AH74" i="50"/>
  <c r="AF74" i="50"/>
  <c r="P74" i="50"/>
  <c r="V74" i="50"/>
  <c r="O74" i="50"/>
  <c r="X74" i="50"/>
  <c r="K74" i="50"/>
  <c r="U74" i="50"/>
  <c r="L74" i="50"/>
  <c r="W74" i="50"/>
  <c r="Y74" i="50"/>
  <c r="AC74" i="50"/>
  <c r="J74" i="50"/>
  <c r="AE74" i="50"/>
  <c r="AA74" i="50"/>
  <c r="S74" i="50"/>
  <c r="H74" i="50"/>
  <c r="M46" i="50"/>
  <c r="AG46" i="50"/>
  <c r="X46" i="50"/>
  <c r="AH46" i="50"/>
  <c r="O46" i="50"/>
  <c r="AB46" i="50"/>
  <c r="W46" i="50"/>
  <c r="AD46" i="50"/>
  <c r="P46" i="50"/>
  <c r="AM46" i="50"/>
  <c r="T46" i="50"/>
  <c r="V46" i="50"/>
  <c r="N46" i="50"/>
  <c r="AK46" i="50"/>
  <c r="AC46" i="50"/>
  <c r="S46" i="50"/>
  <c r="J46" i="50"/>
  <c r="K46" i="50"/>
  <c r="R46" i="50"/>
  <c r="U46" i="50"/>
  <c r="Q46" i="50"/>
  <c r="Z46" i="50"/>
  <c r="AL46" i="50"/>
  <c r="AF46" i="50"/>
  <c r="Y46" i="50"/>
  <c r="AE46" i="50"/>
  <c r="AA46" i="50"/>
  <c r="L46" i="50"/>
  <c r="AJ46" i="50"/>
  <c r="I46" i="50"/>
  <c r="AI46" i="50"/>
  <c r="H46" i="50"/>
  <c r="AB23" i="50"/>
  <c r="W23" i="50"/>
  <c r="AK23" i="50"/>
  <c r="O23" i="50"/>
  <c r="AE23" i="50"/>
  <c r="AC23" i="50"/>
  <c r="R23" i="50"/>
  <c r="AL23" i="50"/>
  <c r="N23" i="50"/>
  <c r="Z23" i="50"/>
  <c r="J23" i="50"/>
  <c r="AG23" i="50"/>
  <c r="K23" i="50"/>
  <c r="Q23" i="50"/>
  <c r="AD23" i="50"/>
  <c r="AF23" i="50"/>
  <c r="AH23" i="50"/>
  <c r="I23" i="50"/>
  <c r="X23" i="50"/>
  <c r="T23" i="50"/>
  <c r="AJ23" i="50"/>
  <c r="Y23" i="50"/>
  <c r="V23" i="50"/>
  <c r="AA23" i="50"/>
  <c r="P23" i="50"/>
  <c r="L23" i="50"/>
  <c r="AI23" i="50"/>
  <c r="U23" i="50"/>
  <c r="M23" i="50"/>
  <c r="S23" i="50"/>
  <c r="AM23" i="50"/>
  <c r="H23" i="50"/>
  <c r="AG63" i="50"/>
  <c r="I63" i="50"/>
  <c r="X63" i="50"/>
  <c r="AC63" i="50"/>
  <c r="W63" i="50"/>
  <c r="L63" i="50"/>
  <c r="AD63" i="50"/>
  <c r="AF63" i="50"/>
  <c r="S63" i="50"/>
  <c r="AH63" i="50"/>
  <c r="AL63" i="50"/>
  <c r="AJ63" i="50"/>
  <c r="AA63" i="50"/>
  <c r="Z63" i="50"/>
  <c r="Q63" i="50"/>
  <c r="V63" i="50"/>
  <c r="J63" i="50"/>
  <c r="R63" i="50"/>
  <c r="AB63" i="50"/>
  <c r="AM63" i="50"/>
  <c r="AE63" i="50"/>
  <c r="M63" i="50"/>
  <c r="AI63" i="50"/>
  <c r="N63" i="50"/>
  <c r="Y63" i="50"/>
  <c r="AK63" i="50"/>
  <c r="K63" i="50"/>
  <c r="O63" i="50"/>
  <c r="U63" i="50"/>
  <c r="T63" i="50"/>
  <c r="P63" i="50"/>
  <c r="H63" i="50"/>
  <c r="AL76" i="50"/>
  <c r="V76" i="50"/>
  <c r="AF76" i="50"/>
  <c r="J76" i="50"/>
  <c r="O76" i="50"/>
  <c r="AK76" i="50"/>
  <c r="N76" i="50"/>
  <c r="P76" i="50"/>
  <c r="AB76" i="50"/>
  <c r="R76" i="50"/>
  <c r="W76" i="50"/>
  <c r="L76" i="50"/>
  <c r="AD76" i="50"/>
  <c r="T76" i="50"/>
  <c r="AA76" i="50"/>
  <c r="S76" i="50"/>
  <c r="I76" i="50"/>
  <c r="AE76" i="50"/>
  <c r="AJ76" i="50"/>
  <c r="Y76" i="50"/>
  <c r="AM76" i="50"/>
  <c r="AH76" i="50"/>
  <c r="K76" i="50"/>
  <c r="X76" i="50"/>
  <c r="M76" i="50"/>
  <c r="Q76" i="50"/>
  <c r="U76" i="50"/>
  <c r="AG76" i="50"/>
  <c r="AI76" i="50"/>
  <c r="Z76" i="50"/>
  <c r="AC76" i="50"/>
  <c r="H76" i="50"/>
  <c r="S47" i="50"/>
  <c r="AK47" i="50"/>
  <c r="R47" i="50"/>
  <c r="J47" i="50"/>
  <c r="AG47" i="50"/>
  <c r="AL47" i="50"/>
  <c r="AE47" i="50"/>
  <c r="L47" i="50"/>
  <c r="AI47" i="50"/>
  <c r="Z47" i="50"/>
  <c r="AA47" i="50"/>
  <c r="P47" i="50"/>
  <c r="AC47" i="50"/>
  <c r="Y47" i="50"/>
  <c r="X47" i="50"/>
  <c r="AJ47" i="50"/>
  <c r="N47" i="50"/>
  <c r="Q47" i="50"/>
  <c r="AH47" i="50"/>
  <c r="I47" i="50"/>
  <c r="U47" i="50"/>
  <c r="K47" i="50"/>
  <c r="AM47" i="50"/>
  <c r="AB47" i="50"/>
  <c r="T47" i="50"/>
  <c r="M47" i="50"/>
  <c r="V47" i="50"/>
  <c r="AF47" i="50"/>
  <c r="AD47" i="50"/>
  <c r="W47" i="50"/>
  <c r="O47" i="50"/>
  <c r="H47" i="50"/>
  <c r="Y39" i="50"/>
  <c r="W39" i="50"/>
  <c r="K39" i="50"/>
  <c r="X39" i="50"/>
  <c r="AD39" i="50"/>
  <c r="P39" i="50"/>
  <c r="AB39" i="50"/>
  <c r="R39" i="50"/>
  <c r="AK39" i="50"/>
  <c r="M39" i="50"/>
  <c r="AL39" i="50"/>
  <c r="AF39" i="50"/>
  <c r="AC39" i="50"/>
  <c r="T39" i="50"/>
  <c r="AE39" i="50"/>
  <c r="O39" i="50"/>
  <c r="U39" i="50"/>
  <c r="S39" i="50"/>
  <c r="AJ39" i="50"/>
  <c r="Z39" i="50"/>
  <c r="I39" i="50"/>
  <c r="V39" i="50"/>
  <c r="N39" i="50"/>
  <c r="AA39" i="50"/>
  <c r="J39" i="50"/>
  <c r="AM39" i="50"/>
  <c r="AH39" i="50"/>
  <c r="AI39" i="50"/>
  <c r="AG39" i="50"/>
  <c r="Q39" i="50"/>
  <c r="L39" i="50"/>
  <c r="H39" i="50"/>
  <c r="AA66" i="50"/>
  <c r="O66" i="50"/>
  <c r="W66" i="50"/>
  <c r="X66" i="50"/>
  <c r="J66" i="50"/>
  <c r="AG66" i="50"/>
  <c r="AM66" i="50"/>
  <c r="Q66" i="50"/>
  <c r="U66" i="50"/>
  <c r="AJ66" i="50"/>
  <c r="AL66" i="50"/>
  <c r="I66" i="50"/>
  <c r="AF66" i="50"/>
  <c r="AE66" i="50"/>
  <c r="L66" i="50"/>
  <c r="AH66" i="50"/>
  <c r="Z66" i="50"/>
  <c r="M66" i="50"/>
  <c r="Y66" i="50"/>
  <c r="S66" i="50"/>
  <c r="AC66" i="50"/>
  <c r="P66" i="50"/>
  <c r="AK66" i="50"/>
  <c r="K66" i="50"/>
  <c r="V66" i="50"/>
  <c r="T66" i="50"/>
  <c r="AI66" i="50"/>
  <c r="R66" i="50"/>
  <c r="AD66" i="50"/>
  <c r="AB66" i="50"/>
  <c r="N66" i="50"/>
  <c r="H66" i="50"/>
  <c r="AK33" i="50"/>
  <c r="AB33" i="50"/>
  <c r="AA33" i="50"/>
  <c r="J33" i="50"/>
  <c r="T33" i="50"/>
  <c r="AG33" i="50"/>
  <c r="AL33" i="50"/>
  <c r="K33" i="50"/>
  <c r="L33" i="50"/>
  <c r="Z33" i="50"/>
  <c r="N33" i="50"/>
  <c r="AI33" i="50"/>
  <c r="AM33" i="50"/>
  <c r="M33" i="50"/>
  <c r="AE33" i="50"/>
  <c r="O33" i="50"/>
  <c r="P33" i="50"/>
  <c r="R33" i="50"/>
  <c r="AC33" i="50"/>
  <c r="X33" i="50"/>
  <c r="Y33" i="50"/>
  <c r="Q33" i="50"/>
  <c r="W33" i="50"/>
  <c r="AH33" i="50"/>
  <c r="I33" i="50"/>
  <c r="AD33" i="50"/>
  <c r="S33" i="50"/>
  <c r="AJ33" i="50"/>
  <c r="V33" i="50"/>
  <c r="AF33" i="50"/>
  <c r="U33" i="50"/>
  <c r="H33" i="50"/>
  <c r="AD43" i="50"/>
  <c r="AB43" i="50"/>
  <c r="L43" i="50"/>
  <c r="V43" i="50"/>
  <c r="AF43" i="50"/>
  <c r="Z43" i="50"/>
  <c r="J43" i="50"/>
  <c r="Y43" i="50"/>
  <c r="Q43" i="50"/>
  <c r="AG43" i="50"/>
  <c r="AM43" i="50"/>
  <c r="K43" i="50"/>
  <c r="X43" i="50"/>
  <c r="AH43" i="50"/>
  <c r="I43" i="50"/>
  <c r="AC43" i="50"/>
  <c r="AJ43" i="50"/>
  <c r="W43" i="50"/>
  <c r="M43" i="50"/>
  <c r="N43" i="50"/>
  <c r="O43" i="50"/>
  <c r="AK43" i="50"/>
  <c r="AI43" i="50"/>
  <c r="S43" i="50"/>
  <c r="AA43" i="50"/>
  <c r="R43" i="50"/>
  <c r="AL43" i="50"/>
  <c r="P43" i="50"/>
  <c r="AE43" i="50"/>
  <c r="T43" i="50"/>
  <c r="U43" i="50"/>
  <c r="H43" i="50"/>
  <c r="AI5" i="50"/>
  <c r="Y5" i="50"/>
  <c r="R5" i="50"/>
  <c r="AM5" i="50"/>
  <c r="M5" i="50"/>
  <c r="X5" i="50"/>
  <c r="O5" i="50"/>
  <c r="S5" i="50"/>
  <c r="L5" i="50"/>
  <c r="AA5" i="50"/>
  <c r="AH5" i="50"/>
  <c r="AJ5" i="50"/>
  <c r="AF5" i="50"/>
  <c r="AG5" i="50"/>
  <c r="V5" i="50"/>
  <c r="AL5" i="50"/>
  <c r="J5" i="50"/>
  <c r="AC5" i="50"/>
  <c r="K5" i="50"/>
  <c r="AD5" i="50"/>
  <c r="W5" i="50"/>
  <c r="I5" i="50"/>
  <c r="AB5" i="50"/>
  <c r="AE5" i="50"/>
  <c r="P5" i="50"/>
  <c r="Q5" i="50"/>
  <c r="AK5" i="50"/>
  <c r="Z5" i="50"/>
  <c r="N5" i="50"/>
  <c r="T5" i="50"/>
  <c r="U5" i="50"/>
  <c r="H5" i="50"/>
  <c r="L38" i="50"/>
  <c r="AA38" i="50"/>
  <c r="AJ38" i="50"/>
  <c r="N38" i="50"/>
  <c r="AK38" i="50"/>
  <c r="I38" i="50"/>
  <c r="M38" i="50"/>
  <c r="AD38" i="50"/>
  <c r="Q38" i="50"/>
  <c r="AG38" i="50"/>
  <c r="S38" i="50"/>
  <c r="X38" i="50"/>
  <c r="V38" i="50"/>
  <c r="R38" i="50"/>
  <c r="Z38" i="50"/>
  <c r="AH38" i="50"/>
  <c r="T38" i="50"/>
  <c r="W38" i="50"/>
  <c r="AF38" i="50"/>
  <c r="AL38" i="50"/>
  <c r="AE38" i="50"/>
  <c r="U38" i="50"/>
  <c r="AC38" i="50"/>
  <c r="P38" i="50"/>
  <c r="J38" i="50"/>
  <c r="AB38" i="50"/>
  <c r="AM38" i="50"/>
  <c r="K38" i="50"/>
  <c r="O38" i="50"/>
  <c r="Y38" i="50"/>
  <c r="AI38" i="50"/>
  <c r="H38" i="50"/>
  <c r="AE71" i="50"/>
  <c r="Q71" i="50"/>
  <c r="I71" i="50"/>
  <c r="S71" i="50"/>
  <c r="AD71" i="50"/>
  <c r="AB71" i="50"/>
  <c r="K71" i="50"/>
  <c r="X71" i="50"/>
  <c r="AF71" i="50"/>
  <c r="AL71" i="50"/>
  <c r="W71" i="50"/>
  <c r="AJ71" i="50"/>
  <c r="AA71" i="50"/>
  <c r="AG71" i="50"/>
  <c r="Z71" i="50"/>
  <c r="AC71" i="50"/>
  <c r="R71" i="50"/>
  <c r="V71" i="50"/>
  <c r="T71" i="50"/>
  <c r="M71" i="50"/>
  <c r="AI71" i="50"/>
  <c r="L71" i="50"/>
  <c r="P71" i="50"/>
  <c r="AM71" i="50"/>
  <c r="AK71" i="50"/>
  <c r="AH71" i="50"/>
  <c r="O71" i="50"/>
  <c r="Y71" i="50"/>
  <c r="J71" i="50"/>
  <c r="U71" i="50"/>
  <c r="N71" i="50"/>
  <c r="H71" i="50"/>
  <c r="AF29" i="50"/>
  <c r="Y29" i="50"/>
  <c r="S29" i="50"/>
  <c r="O29" i="50"/>
  <c r="U29" i="50"/>
  <c r="X29" i="50"/>
  <c r="AC29" i="50"/>
  <c r="AL29" i="50"/>
  <c r="AA29" i="50"/>
  <c r="M29" i="50"/>
  <c r="V29" i="50"/>
  <c r="AI29" i="50"/>
  <c r="T29" i="50"/>
  <c r="W29" i="50"/>
  <c r="AB29" i="50"/>
  <c r="AE29" i="50"/>
  <c r="Z29" i="50"/>
  <c r="P29" i="50"/>
  <c r="R29" i="50"/>
  <c r="J29" i="50"/>
  <c r="AG29" i="50"/>
  <c r="AK29" i="50"/>
  <c r="N29" i="50"/>
  <c r="Q29" i="50"/>
  <c r="AM29" i="50"/>
  <c r="K29" i="50"/>
  <c r="L29" i="50"/>
  <c r="AJ29" i="50"/>
  <c r="AD29" i="50"/>
  <c r="AH29" i="50"/>
  <c r="I29" i="50"/>
  <c r="H29" i="50"/>
  <c r="BL5" i="45"/>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Y4" i="46"/>
  <c r="Y2" i="46" s="1"/>
  <c r="AE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DZ2" i="46" l="1"/>
  <c r="O90" i="48"/>
  <c r="AA90" i="48"/>
  <c r="X90" i="48"/>
  <c r="S90" i="48"/>
  <c r="AJ90" i="48"/>
  <c r="Y90" i="48"/>
  <c r="AB90" i="48"/>
  <c r="K90" i="48"/>
  <c r="P90" i="48"/>
  <c r="AE90" i="48"/>
  <c r="W90" i="48"/>
  <c r="AH90" i="48"/>
  <c r="V90" i="48"/>
  <c r="AK90" i="48"/>
  <c r="N90" i="48"/>
  <c r="J90" i="48"/>
  <c r="L90" i="48"/>
  <c r="AL90" i="48"/>
  <c r="U90" i="48"/>
  <c r="Z90" i="48"/>
  <c r="AI90" i="48"/>
  <c r="M90" i="48"/>
  <c r="AF90" i="48"/>
  <c r="Q90" i="48"/>
  <c r="R90" i="48"/>
  <c r="G90" i="48"/>
  <c r="AG90" i="48"/>
  <c r="AD90" i="48"/>
  <c r="I90" i="48"/>
  <c r="AC90" i="48"/>
  <c r="H90" i="48"/>
  <c r="T90" i="48"/>
  <c r="F91" i="48" a="1"/>
  <c r="F91" i="48" s="1"/>
  <c r="E92" i="48"/>
  <c r="AE2" i="46"/>
  <c r="AB2" i="46"/>
  <c r="S2" i="46"/>
  <c r="X35" i="51" a="1"/>
  <c r="X35" i="51" s="1"/>
  <c r="E93" i="48" l="1"/>
  <c r="F92" i="48" a="1"/>
  <c r="F92" i="48" s="1"/>
  <c r="AD91" i="48"/>
  <c r="P91" i="48"/>
  <c r="AG91" i="48"/>
  <c r="AB91" i="48"/>
  <c r="AA91" i="48"/>
  <c r="Z91" i="48"/>
  <c r="T91" i="48"/>
  <c r="V91" i="48"/>
  <c r="AF91" i="48"/>
  <c r="U91" i="48"/>
  <c r="AJ91" i="48"/>
  <c r="G91" i="48"/>
  <c r="Y91" i="48"/>
  <c r="AE91" i="48"/>
  <c r="L91" i="48"/>
  <c r="Q91" i="48"/>
  <c r="I91" i="48"/>
  <c r="N91" i="48"/>
  <c r="AK91" i="48"/>
  <c r="AI91" i="48"/>
  <c r="R91" i="48"/>
  <c r="AC91" i="48"/>
  <c r="AH91" i="48"/>
  <c r="X91" i="48"/>
  <c r="J91" i="48"/>
  <c r="H91" i="48"/>
  <c r="O91" i="48"/>
  <c r="S91" i="48"/>
  <c r="AL91" i="48"/>
  <c r="M91" i="48"/>
  <c r="W91" i="48"/>
  <c r="K91" i="48"/>
  <c r="N92" i="48" l="1"/>
  <c r="AB92" i="48"/>
  <c r="U92" i="48"/>
  <c r="AL92" i="48"/>
  <c r="W92" i="48"/>
  <c r="I92" i="48"/>
  <c r="Q92" i="48"/>
  <c r="AH92" i="48"/>
  <c r="S92" i="48"/>
  <c r="O92" i="48"/>
  <c r="G92" i="48"/>
  <c r="Y92" i="48"/>
  <c r="AD92" i="48"/>
  <c r="AI92" i="48"/>
  <c r="M92" i="48"/>
  <c r="V92" i="48"/>
  <c r="AA92" i="48"/>
  <c r="P92" i="48"/>
  <c r="X92" i="48"/>
  <c r="AJ92" i="48"/>
  <c r="AK92" i="48"/>
  <c r="AC92" i="48"/>
  <c r="AG92" i="48"/>
  <c r="L92" i="48"/>
  <c r="J92" i="48"/>
  <c r="Z92" i="48"/>
  <c r="K92" i="48"/>
  <c r="T92" i="48"/>
  <c r="H92" i="48"/>
  <c r="AE92" i="48"/>
  <c r="R92" i="48"/>
  <c r="AF92" i="48"/>
  <c r="F93" i="48" a="1"/>
  <c r="F93" i="48" s="1"/>
  <c r="E94" i="48"/>
  <c r="E95" i="48" l="1"/>
  <c r="F94" i="48" a="1"/>
  <c r="F94" i="48" s="1"/>
  <c r="K93" i="48"/>
  <c r="AC93" i="48"/>
  <c r="AI93" i="48"/>
  <c r="I93" i="48"/>
  <c r="AF93" i="48"/>
  <c r="T93" i="48"/>
  <c r="Q93" i="48"/>
  <c r="G93" i="48"/>
  <c r="AL93" i="48"/>
  <c r="N93" i="48"/>
  <c r="U93" i="48"/>
  <c r="AK93" i="48"/>
  <c r="L93" i="48"/>
  <c r="X93" i="48"/>
  <c r="AD93" i="48"/>
  <c r="H93" i="48"/>
  <c r="AA93" i="48"/>
  <c r="J93" i="48"/>
  <c r="P93" i="48"/>
  <c r="AB93" i="48"/>
  <c r="R93" i="48"/>
  <c r="AG93" i="48"/>
  <c r="Y93" i="48"/>
  <c r="O93" i="48"/>
  <c r="Z93" i="48"/>
  <c r="V93" i="48"/>
  <c r="M93" i="48"/>
  <c r="W93" i="48"/>
  <c r="AJ93" i="48"/>
  <c r="AE93" i="48"/>
  <c r="S93" i="48"/>
  <c r="AH93" i="48"/>
  <c r="V4" i="46"/>
  <c r="DZ3" i="46" s="1"/>
  <c r="AL94" i="48" l="1"/>
  <c r="AD94" i="48"/>
  <c r="S94" i="48"/>
  <c r="AE94" i="48"/>
  <c r="G94" i="48"/>
  <c r="X94" i="48"/>
  <c r="AI94" i="48"/>
  <c r="N94" i="48"/>
  <c r="AA94" i="48"/>
  <c r="P94" i="48"/>
  <c r="AC94" i="48"/>
  <c r="AK94" i="48"/>
  <c r="AG94" i="48"/>
  <c r="Q94" i="48"/>
  <c r="V94" i="48"/>
  <c r="AH94" i="48"/>
  <c r="Y94" i="48"/>
  <c r="W94" i="48"/>
  <c r="K94" i="48"/>
  <c r="L94" i="48"/>
  <c r="T94" i="48"/>
  <c r="AJ94" i="48"/>
  <c r="I94" i="48"/>
  <c r="H94" i="48"/>
  <c r="M94" i="48"/>
  <c r="AB94" i="48"/>
  <c r="R94" i="48"/>
  <c r="J94" i="48"/>
  <c r="U94" i="48"/>
  <c r="AF94" i="48"/>
  <c r="O94" i="48"/>
  <c r="Z94" i="48"/>
  <c r="F95" i="48" a="1"/>
  <c r="F95" i="48" s="1"/>
  <c r="E96" i="48"/>
  <c r="AI35" i="51" a="1"/>
  <c r="AI35" i="51" s="1"/>
  <c r="AJ35" i="51" a="1"/>
  <c r="AJ35" i="51" s="1"/>
  <c r="Y35" i="51" a="1"/>
  <c r="KL3" i="46"/>
  <c r="KC3" i="46"/>
  <c r="KF3" i="46"/>
  <c r="JH3" i="46"/>
  <c r="IS3" i="46"/>
  <c r="IM3" i="46"/>
  <c r="KO3" i="46"/>
  <c r="JN3" i="46"/>
  <c r="IP3" i="46"/>
  <c r="JW3" i="46"/>
  <c r="KR3" i="46"/>
  <c r="KU3" i="46"/>
  <c r="JE3" i="46"/>
  <c r="JT3" i="46"/>
  <c r="IJ3" i="46"/>
  <c r="IV3" i="46"/>
  <c r="LA3" i="46"/>
  <c r="JB3" i="46"/>
  <c r="JZ3" i="46"/>
  <c r="KI3" i="46"/>
  <c r="IY3" i="46"/>
  <c r="JK3" i="46"/>
  <c r="LD3" i="46"/>
  <c r="JQ3" i="46"/>
  <c r="KX3" i="46"/>
  <c r="FV3" i="46"/>
  <c r="FP3" i="46"/>
  <c r="HR3" i="46"/>
  <c r="GT3" i="46"/>
  <c r="GZ3" i="46"/>
  <c r="FS3" i="46"/>
  <c r="IA3" i="46"/>
  <c r="GW3" i="46"/>
  <c r="GQ3" i="46"/>
  <c r="GN3" i="46"/>
  <c r="FM3" i="46"/>
  <c r="HX3" i="46"/>
  <c r="HF3" i="46"/>
  <c r="HL3" i="46"/>
  <c r="HC3" i="46"/>
  <c r="FY3" i="46"/>
  <c r="HO3" i="46"/>
  <c r="GB3" i="46"/>
  <c r="HI3" i="46"/>
  <c r="GH3" i="46"/>
  <c r="GE3" i="46"/>
  <c r="GK3" i="46"/>
  <c r="IG3" i="46"/>
  <c r="ID3" i="46"/>
  <c r="HU3" i="46"/>
  <c r="ER3" i="46"/>
  <c r="DB3" i="46"/>
  <c r="EX3" i="46"/>
  <c r="FJ3" i="46"/>
  <c r="EF3" i="46"/>
  <c r="DE3" i="46"/>
  <c r="EI3" i="46"/>
  <c r="FG3" i="46"/>
  <c r="EL3" i="46"/>
  <c r="DT3" i="46"/>
  <c r="DW3" i="46"/>
  <c r="CS3" i="46"/>
  <c r="FD3" i="46"/>
  <c r="EU3" i="46"/>
  <c r="EC3" i="46"/>
  <c r="DK3" i="46"/>
  <c r="EO3" i="46"/>
  <c r="CP3" i="46"/>
  <c r="CY3" i="46"/>
  <c r="DN3" i="46"/>
  <c r="DQ3" i="46"/>
  <c r="CV3" i="46"/>
  <c r="FA3" i="46"/>
  <c r="DH3" i="46"/>
  <c r="CD3" i="46"/>
  <c r="CA3" i="46"/>
  <c r="CJ3" i="46"/>
  <c r="CG3" i="46"/>
  <c r="CM3" i="46"/>
  <c r="BO3" i="46"/>
  <c r="BX3" i="46"/>
  <c r="BR3" i="46"/>
  <c r="BU3" i="46"/>
  <c r="BL3" i="46"/>
  <c r="BC3" i="46"/>
  <c r="AW3" i="46"/>
  <c r="BF3" i="46"/>
  <c r="BI3" i="46"/>
  <c r="AZ3" i="46"/>
  <c r="AN3" i="46"/>
  <c r="AK3" i="46"/>
  <c r="AQ3" i="46"/>
  <c r="AT3" i="46"/>
  <c r="AH3" i="46"/>
  <c r="S3" i="46"/>
  <c r="AB3" i="46"/>
  <c r="AE3" i="46"/>
  <c r="V3" i="46"/>
  <c r="V2" i="46"/>
  <c r="Y3" i="46"/>
  <c r="E97" i="48" l="1"/>
  <c r="F96" i="48" a="1"/>
  <c r="F96" i="48" s="1"/>
  <c r="H95" i="48"/>
  <c r="AI95" i="48"/>
  <c r="P95" i="48"/>
  <c r="M95" i="48"/>
  <c r="X95" i="48"/>
  <c r="Y95" i="48"/>
  <c r="AJ95" i="48"/>
  <c r="AF95" i="48"/>
  <c r="AE95" i="48"/>
  <c r="AL95" i="48"/>
  <c r="L95" i="48"/>
  <c r="T95" i="48"/>
  <c r="N95" i="48"/>
  <c r="Z95" i="48"/>
  <c r="R95" i="48"/>
  <c r="AB95" i="48"/>
  <c r="Q95" i="48"/>
  <c r="I95" i="48"/>
  <c r="V95" i="48"/>
  <c r="S95" i="48"/>
  <c r="AA95" i="48"/>
  <c r="AC95" i="48"/>
  <c r="G95" i="48"/>
  <c r="K95" i="48"/>
  <c r="J95" i="48"/>
  <c r="AG95" i="48"/>
  <c r="W95" i="48"/>
  <c r="AH95" i="48"/>
  <c r="AK95" i="48"/>
  <c r="U95" i="48"/>
  <c r="AD95" i="48"/>
  <c r="O95" i="48"/>
  <c r="Y35" i="51"/>
  <c r="Z35" i="51" s="1" a="1"/>
  <c r="KH1" i="46"/>
  <c r="JQ1" i="46"/>
  <c r="JE1" i="46"/>
  <c r="JR1" i="46"/>
  <c r="JP1" i="46"/>
  <c r="KV1" i="46"/>
  <c r="IV1" i="46"/>
  <c r="KG1" i="46"/>
  <c r="KD1" i="46"/>
  <c r="LD1" i="46"/>
  <c r="JN1" i="46"/>
  <c r="IJ1" i="46"/>
  <c r="JB1" i="46"/>
  <c r="IZ1" i="46"/>
  <c r="KU1" i="46"/>
  <c r="JA1" i="46"/>
  <c r="IN1" i="46"/>
  <c r="IS1" i="46"/>
  <c r="KO1" i="46"/>
  <c r="IL1" i="46"/>
  <c r="JT1" i="46"/>
  <c r="KF1" i="46"/>
  <c r="JS1" i="46"/>
  <c r="KX1" i="46"/>
  <c r="JZ1" i="46"/>
  <c r="JK1" i="46"/>
  <c r="KT1" i="46"/>
  <c r="KC1" i="46"/>
  <c r="KW1" i="46"/>
  <c r="KI1" i="46"/>
  <c r="KE1" i="46"/>
  <c r="JD1" i="46"/>
  <c r="LA1" i="46"/>
  <c r="IM1" i="46"/>
  <c r="IK1" i="46"/>
  <c r="KL1" i="46"/>
  <c r="JC1" i="46"/>
  <c r="IO1" i="46"/>
  <c r="JO1" i="46"/>
  <c r="IY1" i="46"/>
  <c r="IP1" i="46"/>
  <c r="KR1" i="46"/>
  <c r="JH1" i="46"/>
  <c r="KS1" i="46"/>
  <c r="JW1" i="46"/>
  <c r="HZ1" i="46"/>
  <c r="FP1" i="46"/>
  <c r="IG1" i="46"/>
  <c r="HX1" i="46"/>
  <c r="GD1" i="46"/>
  <c r="FN1" i="46"/>
  <c r="GN1" i="46"/>
  <c r="GK1" i="46"/>
  <c r="FO1" i="46"/>
  <c r="HK1" i="46"/>
  <c r="GG1" i="46"/>
  <c r="HY1" i="46"/>
  <c r="HI1" i="46"/>
  <c r="GE1" i="46"/>
  <c r="GF1" i="46"/>
  <c r="HR1" i="46"/>
  <c r="FS1" i="46"/>
  <c r="FR1" i="46"/>
  <c r="HV1" i="46"/>
  <c r="IA1" i="46"/>
  <c r="GU1" i="46"/>
  <c r="GS1" i="46"/>
  <c r="GQ1" i="46"/>
  <c r="GH1" i="46"/>
  <c r="HO1" i="46"/>
  <c r="HJ1" i="46"/>
  <c r="GB1" i="46"/>
  <c r="GT1" i="46"/>
  <c r="GR1" i="46"/>
  <c r="FV1" i="46"/>
  <c r="HU1" i="46"/>
  <c r="HG1" i="46"/>
  <c r="HC1" i="46"/>
  <c r="GZ1" i="46"/>
  <c r="GC1" i="46"/>
  <c r="GW1" i="46"/>
  <c r="HL1" i="46"/>
  <c r="HW1" i="46"/>
  <c r="FQ1" i="46"/>
  <c r="FY1" i="46"/>
  <c r="HH1" i="46"/>
  <c r="GV1" i="46"/>
  <c r="HF1" i="46"/>
  <c r="ID1" i="46"/>
  <c r="FM1" i="46"/>
  <c r="EY1" i="46"/>
  <c r="DZ1" i="46"/>
  <c r="FD1" i="46"/>
  <c r="DQ1" i="46"/>
  <c r="DE1" i="46"/>
  <c r="DI1" i="46"/>
  <c r="DJ1" i="46"/>
  <c r="FG1" i="46"/>
  <c r="DT1" i="46"/>
  <c r="DY1" i="46"/>
  <c r="CP1" i="46"/>
  <c r="DB1" i="46"/>
  <c r="DK1" i="46"/>
  <c r="CU1" i="46"/>
  <c r="DF1" i="46"/>
  <c r="EL1" i="46"/>
  <c r="CS1" i="46"/>
  <c r="CV1" i="46"/>
  <c r="FA1" i="46"/>
  <c r="EF1" i="46"/>
  <c r="DN1" i="46"/>
  <c r="FB1" i="46"/>
  <c r="EN1" i="46"/>
  <c r="EK1" i="46"/>
  <c r="EJ1" i="46"/>
  <c r="DH1" i="46"/>
  <c r="EX1" i="46"/>
  <c r="CR1" i="46"/>
  <c r="EM1" i="46"/>
  <c r="CT1" i="46"/>
  <c r="CQ1" i="46"/>
  <c r="EO1" i="46"/>
  <c r="DX1" i="46"/>
  <c r="FJ1" i="46"/>
  <c r="EC1" i="46"/>
  <c r="EZ1" i="46"/>
  <c r="DW1" i="46"/>
  <c r="DU1" i="46"/>
  <c r="CY1" i="46"/>
  <c r="FC1" i="46"/>
  <c r="EU1" i="46"/>
  <c r="DV1" i="46"/>
  <c r="DG1" i="46"/>
  <c r="EI1" i="46"/>
  <c r="ER1" i="46"/>
  <c r="CF1" i="46"/>
  <c r="CA1" i="46"/>
  <c r="CC1" i="46"/>
  <c r="CJ1" i="46"/>
  <c r="CB1" i="46"/>
  <c r="CE1" i="46"/>
  <c r="CD1" i="46"/>
  <c r="CG1" i="46"/>
  <c r="CM1" i="46"/>
  <c r="BN1" i="46"/>
  <c r="BQ1" i="46"/>
  <c r="BM1" i="46"/>
  <c r="BP1" i="46"/>
  <c r="BL1" i="46"/>
  <c r="BU1" i="46"/>
  <c r="BR1" i="46"/>
  <c r="BX1" i="46"/>
  <c r="BO1" i="46"/>
  <c r="BB1" i="46"/>
  <c r="BF1" i="46"/>
  <c r="BA1" i="46"/>
  <c r="AW1" i="46"/>
  <c r="AY1" i="46"/>
  <c r="BI1" i="46"/>
  <c r="AX1" i="46"/>
  <c r="BC1" i="46"/>
  <c r="AZ1" i="46"/>
  <c r="AM1" i="46"/>
  <c r="AL1" i="46"/>
  <c r="AQ1" i="46"/>
  <c r="AJ1" i="46"/>
  <c r="AH1" i="46"/>
  <c r="AI1" i="46"/>
  <c r="AN1" i="46"/>
  <c r="AT1" i="46"/>
  <c r="AK1" i="46"/>
  <c r="S1" i="46"/>
  <c r="V1" i="46"/>
  <c r="T1" i="46"/>
  <c r="X1" i="46"/>
  <c r="U1" i="46"/>
  <c r="W1" i="46"/>
  <c r="AB1" i="46"/>
  <c r="AE1" i="46"/>
  <c r="Y1" i="46"/>
  <c r="B6" i="47" l="1"/>
  <c r="C9" i="47"/>
  <c r="C6" i="47"/>
  <c r="D9" i="47"/>
  <c r="D6" i="47"/>
  <c r="B8" i="47"/>
  <c r="C8" i="47"/>
  <c r="D8" i="47"/>
  <c r="B7" i="47"/>
  <c r="C7" i="47"/>
  <c r="D7" i="47"/>
  <c r="B9" i="47"/>
  <c r="G7" i="47" a="1"/>
  <c r="G7" i="47" s="1"/>
  <c r="G9" i="47" a="1"/>
  <c r="G9" i="47" s="1"/>
  <c r="G6" i="47" a="1"/>
  <c r="G6" i="47" s="1"/>
  <c r="G8" i="47" a="1"/>
  <c r="G8" i="47" s="1"/>
  <c r="F9" i="47" a="1"/>
  <c r="F9" i="47" s="1"/>
  <c r="F6" i="47" a="1"/>
  <c r="F6" i="47" s="1"/>
  <c r="F8" i="47" a="1"/>
  <c r="F8" i="47" s="1"/>
  <c r="F7" i="47" a="1"/>
  <c r="F7" i="47" s="1"/>
  <c r="E9" i="47" a="1"/>
  <c r="E9" i="47" s="1"/>
  <c r="E6" i="47" a="1"/>
  <c r="E6" i="47" s="1"/>
  <c r="E8" i="47" a="1"/>
  <c r="E8" i="47" s="1"/>
  <c r="E7" i="47" a="1"/>
  <c r="E7" i="47" s="1"/>
  <c r="I7" i="47" a="1"/>
  <c r="I7" i="47" s="1"/>
  <c r="I9" i="47" a="1"/>
  <c r="I9" i="47" s="1"/>
  <c r="I6" i="47" a="1"/>
  <c r="I6" i="47" s="1"/>
  <c r="I8" i="47" a="1"/>
  <c r="I8" i="47" s="1"/>
  <c r="H7" i="47" a="1"/>
  <c r="H7" i="47" s="1"/>
  <c r="H9" i="47" a="1"/>
  <c r="H9" i="47" s="1"/>
  <c r="H6" i="47" a="1"/>
  <c r="H6" i="47" s="1"/>
  <c r="H8" i="47" a="1"/>
  <c r="H8" i="47" s="1"/>
  <c r="J7" i="47" a="1"/>
  <c r="J7" i="47" s="1"/>
  <c r="J6" i="47" a="1"/>
  <c r="J6" i="47" s="1"/>
  <c r="J8" i="47" a="1"/>
  <c r="J8" i="47" s="1"/>
  <c r="J9" i="47" a="1"/>
  <c r="J9" i="47" s="1"/>
  <c r="K8" i="47" a="1"/>
  <c r="K8" i="47" s="1"/>
  <c r="K7" i="47" a="1"/>
  <c r="K7" i="47" s="1"/>
  <c r="K9" i="47" a="1"/>
  <c r="K9" i="47" s="1"/>
  <c r="K6" i="47" a="1"/>
  <c r="K6" i="47" s="1"/>
  <c r="L8" i="47" a="1"/>
  <c r="L8" i="47" s="1"/>
  <c r="L7" i="47" a="1"/>
  <c r="L7" i="47" s="1"/>
  <c r="L9" i="47" a="1"/>
  <c r="L9" i="47" s="1"/>
  <c r="L6" i="47" a="1"/>
  <c r="L6" i="47" s="1"/>
  <c r="M8" i="47" a="1"/>
  <c r="M8" i="47" s="1"/>
  <c r="M9" i="47" a="1"/>
  <c r="M9" i="47" s="1"/>
  <c r="M6" i="47" a="1"/>
  <c r="M6" i="47" s="1"/>
  <c r="M7" i="47" a="1"/>
  <c r="M7" i="47" s="1"/>
  <c r="P9" i="47" a="1"/>
  <c r="P9" i="47" s="1"/>
  <c r="P6" i="47" a="1"/>
  <c r="P6" i="47" s="1"/>
  <c r="P8" i="47" a="1"/>
  <c r="P8" i="47" s="1"/>
  <c r="O6" i="47" a="1"/>
  <c r="O6" i="47" s="1"/>
  <c r="O7" i="47" a="1"/>
  <c r="O7" i="47" s="1"/>
  <c r="P7" i="47" a="1"/>
  <c r="P7" i="47" s="1"/>
  <c r="N6" i="47" a="1"/>
  <c r="N6" i="47" s="1"/>
  <c r="O9" i="47" a="1"/>
  <c r="O9" i="47" s="1"/>
  <c r="O8" i="47" a="1"/>
  <c r="O8" i="47" s="1"/>
  <c r="Q7" i="47" a="1"/>
  <c r="Q7" i="47" s="1"/>
  <c r="Q9" i="47" a="1"/>
  <c r="Q9" i="47" s="1"/>
  <c r="Q6" i="47" a="1"/>
  <c r="Q6" i="47" s="1"/>
  <c r="Q8" i="47" a="1"/>
  <c r="Q8" i="47" s="1"/>
  <c r="N9" i="47" a="1"/>
  <c r="N9" i="47" s="1"/>
  <c r="N8" i="47" a="1"/>
  <c r="N8" i="47" s="1"/>
  <c r="N7" i="47" a="1"/>
  <c r="N7" i="47" s="1"/>
  <c r="R7" i="47" a="1"/>
  <c r="R7" i="47" s="1"/>
  <c r="R9" i="47" a="1"/>
  <c r="R9" i="47" s="1"/>
  <c r="R6" i="47" a="1"/>
  <c r="R6" i="47" s="1"/>
  <c r="R8" i="47" a="1"/>
  <c r="R8" i="47" s="1"/>
  <c r="S6" i="47" a="1"/>
  <c r="S6" i="47" s="1"/>
  <c r="S7" i="47" a="1"/>
  <c r="S7" i="47" s="1"/>
  <c r="S9" i="47" a="1"/>
  <c r="S9" i="47" s="1"/>
  <c r="S8" i="47" a="1"/>
  <c r="S8" i="47" s="1"/>
  <c r="C5" i="47"/>
  <c r="D5" i="47"/>
  <c r="C10" i="47"/>
  <c r="D10" i="47"/>
  <c r="E5" i="47" a="1"/>
  <c r="E5" i="47" s="1"/>
  <c r="F5" i="47" a="1"/>
  <c r="F5" i="47" s="1"/>
  <c r="E10" i="47" a="1"/>
  <c r="E10" i="47" s="1"/>
  <c r="F10" i="47" a="1"/>
  <c r="F10" i="47" s="1"/>
  <c r="G5" i="47" a="1"/>
  <c r="G5" i="47" s="1"/>
  <c r="G10" i="47" a="1"/>
  <c r="G10" i="47" s="1"/>
  <c r="I5" i="47" a="1"/>
  <c r="I5" i="47" s="1"/>
  <c r="I10" i="47" a="1"/>
  <c r="I10" i="47" s="1"/>
  <c r="H5" i="47" a="1"/>
  <c r="H5" i="47" s="1"/>
  <c r="H10" i="47" a="1"/>
  <c r="H10" i="47" s="1"/>
  <c r="K5" i="47" a="1"/>
  <c r="K5" i="47" s="1"/>
  <c r="J5" i="47" a="1"/>
  <c r="J5" i="47" s="1"/>
  <c r="K10" i="47" a="1"/>
  <c r="K10" i="47" s="1"/>
  <c r="J10" i="47" a="1"/>
  <c r="J10" i="47" s="1"/>
  <c r="M5" i="47" a="1"/>
  <c r="M5" i="47" s="1"/>
  <c r="M10" i="47" a="1"/>
  <c r="M10" i="47" s="1"/>
  <c r="L5" i="47" a="1"/>
  <c r="L5" i="47" s="1"/>
  <c r="L10" i="47" a="1"/>
  <c r="L10" i="47" s="1"/>
  <c r="P5" i="47" a="1"/>
  <c r="P5" i="47" s="1"/>
  <c r="Q10" i="47" a="1"/>
  <c r="Q10" i="47" s="1"/>
  <c r="P10" i="47" a="1"/>
  <c r="P10" i="47" s="1"/>
  <c r="O5" i="47" a="1"/>
  <c r="O5" i="47" s="1"/>
  <c r="Q5" i="47" a="1"/>
  <c r="Q5" i="47" s="1"/>
  <c r="N10" i="47" a="1"/>
  <c r="N10" i="47" s="1"/>
  <c r="O10" i="47" a="1"/>
  <c r="O10" i="47" s="1"/>
  <c r="N5" i="47" a="1"/>
  <c r="N5" i="47" s="1"/>
  <c r="S5" i="47" a="1"/>
  <c r="S5" i="47" s="1"/>
  <c r="R5" i="47" a="1"/>
  <c r="R5" i="47" s="1"/>
  <c r="R10" i="47" a="1"/>
  <c r="R10" i="47" s="1"/>
  <c r="S10" i="47" a="1"/>
  <c r="S10" i="47" s="1"/>
  <c r="B5" i="47"/>
  <c r="D35" i="47"/>
  <c r="D36" i="47"/>
  <c r="D37" i="47"/>
  <c r="D38" i="47"/>
  <c r="D39" i="47"/>
  <c r="D40" i="47"/>
  <c r="D41" i="47"/>
  <c r="D42" i="47"/>
  <c r="D43" i="47"/>
  <c r="D44" i="47"/>
  <c r="D45" i="47"/>
  <c r="D46" i="47"/>
  <c r="D47" i="47"/>
  <c r="D48" i="47"/>
  <c r="D49" i="47"/>
  <c r="D50" i="47"/>
  <c r="D51" i="47"/>
  <c r="D52" i="47"/>
  <c r="B43" i="47"/>
  <c r="C46" i="47"/>
  <c r="C43" i="47"/>
  <c r="B51" i="47"/>
  <c r="B50" i="47"/>
  <c r="B47" i="47"/>
  <c r="C48" i="47"/>
  <c r="C51" i="47"/>
  <c r="B48" i="47"/>
  <c r="C50" i="47"/>
  <c r="B45" i="47"/>
  <c r="C44" i="47"/>
  <c r="C47" i="47"/>
  <c r="C45" i="47"/>
  <c r="C52" i="47"/>
  <c r="B49" i="47"/>
  <c r="C49" i="47"/>
  <c r="B46" i="47"/>
  <c r="B52" i="47"/>
  <c r="B44" i="47"/>
  <c r="F52" i="47" a="1"/>
  <c r="F52" i="47" s="1"/>
  <c r="G44" i="47" a="1"/>
  <c r="G44" i="47" s="1"/>
  <c r="F49" i="47" a="1"/>
  <c r="F49" i="47" s="1"/>
  <c r="G52" i="47" a="1"/>
  <c r="G52" i="47" s="1"/>
  <c r="F46" i="47" a="1"/>
  <c r="F46" i="47" s="1"/>
  <c r="G51" i="47" a="1"/>
  <c r="G51" i="47" s="1"/>
  <c r="F45" i="47" a="1"/>
  <c r="F45" i="47" s="1"/>
  <c r="G48" i="47" a="1"/>
  <c r="G48" i="47" s="1"/>
  <c r="F50" i="47" a="1"/>
  <c r="F50" i="47" s="1"/>
  <c r="G43" i="47" a="1"/>
  <c r="G43" i="47" s="1"/>
  <c r="F47" i="47" a="1"/>
  <c r="F47" i="47" s="1"/>
  <c r="G45" i="47" a="1"/>
  <c r="G45" i="47" s="1"/>
  <c r="F43" i="47" a="1"/>
  <c r="F43" i="47" s="1"/>
  <c r="G49" i="47" a="1"/>
  <c r="G49" i="47" s="1"/>
  <c r="F44" i="47" a="1"/>
  <c r="F44" i="47" s="1"/>
  <c r="G47" i="47" a="1"/>
  <c r="G47" i="47" s="1"/>
  <c r="F48" i="47" a="1"/>
  <c r="F48" i="47" s="1"/>
  <c r="G46" i="47" a="1"/>
  <c r="G46" i="47" s="1"/>
  <c r="E51" i="47" a="1"/>
  <c r="E51" i="47" s="1"/>
  <c r="F51" i="47" a="1"/>
  <c r="F51" i="47" s="1"/>
  <c r="G50" i="47" a="1"/>
  <c r="G50" i="47" s="1"/>
  <c r="E52" i="47" a="1"/>
  <c r="E52" i="47" s="1"/>
  <c r="E49" i="47" a="1"/>
  <c r="E49" i="47" s="1"/>
  <c r="E46" i="47" a="1"/>
  <c r="E46" i="47" s="1"/>
  <c r="E43" i="47" a="1"/>
  <c r="E43" i="47" s="1"/>
  <c r="E44" i="47" a="1"/>
  <c r="E44" i="47" s="1"/>
  <c r="E47" i="47" a="1"/>
  <c r="E47" i="47" s="1"/>
  <c r="E45" i="47" a="1"/>
  <c r="E45" i="47" s="1"/>
  <c r="E50" i="47" a="1"/>
  <c r="E50" i="47" s="1"/>
  <c r="E48" i="47" a="1"/>
  <c r="E48" i="47" s="1"/>
  <c r="H50" i="47" a="1"/>
  <c r="H50" i="47" s="1"/>
  <c r="H45" i="47" a="1"/>
  <c r="H45" i="47" s="1"/>
  <c r="H47" i="47" a="1"/>
  <c r="H47" i="47" s="1"/>
  <c r="H44" i="47" a="1"/>
  <c r="H44" i="47" s="1"/>
  <c r="H49" i="47" a="1"/>
  <c r="H49" i="47" s="1"/>
  <c r="H51" i="47" a="1"/>
  <c r="H51" i="47" s="1"/>
  <c r="I44" i="47" a="1"/>
  <c r="I44" i="47" s="1"/>
  <c r="I49" i="47" a="1"/>
  <c r="I49" i="47" s="1"/>
  <c r="H43" i="47" a="1"/>
  <c r="H43" i="47" s="1"/>
  <c r="H52" i="47" a="1"/>
  <c r="H52" i="47" s="1"/>
  <c r="H48" i="47" a="1"/>
  <c r="H48" i="47" s="1"/>
  <c r="H46" i="47" a="1"/>
  <c r="H46" i="47" s="1"/>
  <c r="I50" i="47" a="1"/>
  <c r="I50" i="47" s="1"/>
  <c r="I47" i="47" a="1"/>
  <c r="I47" i="47" s="1"/>
  <c r="I43" i="47" a="1"/>
  <c r="I43" i="47" s="1"/>
  <c r="I48" i="47" a="1"/>
  <c r="I48" i="47" s="1"/>
  <c r="I51" i="47" a="1"/>
  <c r="I51" i="47" s="1"/>
  <c r="I45" i="47" a="1"/>
  <c r="I45" i="47" s="1"/>
  <c r="I46" i="47" a="1"/>
  <c r="I46" i="47" s="1"/>
  <c r="I52" i="47" a="1"/>
  <c r="I52" i="47" s="1"/>
  <c r="K48" i="47" a="1"/>
  <c r="K48" i="47" s="1"/>
  <c r="K45" i="47" a="1"/>
  <c r="K45" i="47" s="1"/>
  <c r="K52" i="47" a="1"/>
  <c r="K52" i="47" s="1"/>
  <c r="K44" i="47" a="1"/>
  <c r="K44" i="47" s="1"/>
  <c r="K43" i="47" a="1"/>
  <c r="K43" i="47" s="1"/>
  <c r="K50" i="47" a="1"/>
  <c r="K50" i="47" s="1"/>
  <c r="K46" i="47" a="1"/>
  <c r="K46" i="47" s="1"/>
  <c r="K51" i="47" a="1"/>
  <c r="K51" i="47" s="1"/>
  <c r="K47" i="47" a="1"/>
  <c r="K47" i="47" s="1"/>
  <c r="K49" i="47" a="1"/>
  <c r="K49" i="47" s="1"/>
  <c r="J50" i="47" a="1"/>
  <c r="J50" i="47" s="1"/>
  <c r="J49" i="47" a="1"/>
  <c r="J49" i="47" s="1"/>
  <c r="J47" i="47" a="1"/>
  <c r="J47" i="47" s="1"/>
  <c r="J46" i="47" a="1"/>
  <c r="J46" i="47" s="1"/>
  <c r="J52" i="47" a="1"/>
  <c r="J52" i="47" s="1"/>
  <c r="J43" i="47" a="1"/>
  <c r="J43" i="47" s="1"/>
  <c r="J44" i="47" a="1"/>
  <c r="J44" i="47" s="1"/>
  <c r="J51" i="47" a="1"/>
  <c r="J51" i="47" s="1"/>
  <c r="J45" i="47" a="1"/>
  <c r="J45" i="47" s="1"/>
  <c r="J48" i="47" a="1"/>
  <c r="J48" i="47" s="1"/>
  <c r="L51" i="47" a="1"/>
  <c r="L51" i="47" s="1"/>
  <c r="L48" i="47" a="1"/>
  <c r="L48" i="47" s="1"/>
  <c r="L45" i="47" a="1"/>
  <c r="L45" i="47" s="1"/>
  <c r="L46" i="47" a="1"/>
  <c r="L46" i="47" s="1"/>
  <c r="L43" i="47" a="1"/>
  <c r="L43" i="47" s="1"/>
  <c r="L52" i="47" a="1"/>
  <c r="L52" i="47" s="1"/>
  <c r="L47" i="47" a="1"/>
  <c r="L47" i="47" s="1"/>
  <c r="L49" i="47" a="1"/>
  <c r="L49" i="47" s="1"/>
  <c r="L50" i="47" a="1"/>
  <c r="L50" i="47" s="1"/>
  <c r="L44" i="47" a="1"/>
  <c r="L44" i="47" s="1"/>
  <c r="M50" i="47" a="1"/>
  <c r="M50" i="47" s="1"/>
  <c r="M45" i="47" a="1"/>
  <c r="M45" i="47" s="1"/>
  <c r="M51" i="47" a="1"/>
  <c r="M51" i="47" s="1"/>
  <c r="M49" i="47" a="1"/>
  <c r="M49" i="47" s="1"/>
  <c r="M46" i="47" a="1"/>
  <c r="M46" i="47" s="1"/>
  <c r="M48" i="47" a="1"/>
  <c r="M48" i="47" s="1"/>
  <c r="M47" i="47" a="1"/>
  <c r="M47" i="47" s="1"/>
  <c r="M44" i="47" a="1"/>
  <c r="M44" i="47" s="1"/>
  <c r="M52" i="47" a="1"/>
  <c r="M52" i="47" s="1"/>
  <c r="M43" i="47" a="1"/>
  <c r="M43" i="47" s="1"/>
  <c r="P52" i="47" a="1"/>
  <c r="P52" i="47" s="1"/>
  <c r="Q44" i="47" a="1"/>
  <c r="Q44" i="47" s="1"/>
  <c r="P49" i="47" a="1"/>
  <c r="P49" i="47" s="1"/>
  <c r="Q52" i="47" a="1"/>
  <c r="Q52" i="47" s="1"/>
  <c r="P46" i="47" a="1"/>
  <c r="P46" i="47" s="1"/>
  <c r="Q51" i="47" a="1"/>
  <c r="Q51" i="47" s="1"/>
  <c r="P45" i="47" a="1"/>
  <c r="P45" i="47" s="1"/>
  <c r="Q48" i="47" a="1"/>
  <c r="Q48" i="47" s="1"/>
  <c r="P50" i="47" a="1"/>
  <c r="P50" i="47" s="1"/>
  <c r="Q46" i="47" a="1"/>
  <c r="Q46" i="47" s="1"/>
  <c r="P47" i="47" a="1"/>
  <c r="P47" i="47" s="1"/>
  <c r="Q49" i="47" a="1"/>
  <c r="Q49" i="47" s="1"/>
  <c r="P48" i="47" a="1"/>
  <c r="P48" i="47" s="1"/>
  <c r="Q47" i="47" a="1"/>
  <c r="Q47" i="47" s="1"/>
  <c r="P51" i="47" a="1"/>
  <c r="P51" i="47" s="1"/>
  <c r="Q50" i="47" a="1"/>
  <c r="Q50" i="47" s="1"/>
  <c r="P43" i="47" a="1"/>
  <c r="P43" i="47" s="1"/>
  <c r="Q43" i="47" a="1"/>
  <c r="Q43" i="47" s="1"/>
  <c r="P44" i="47" a="1"/>
  <c r="P44" i="47" s="1"/>
  <c r="Q45" i="47" a="1"/>
  <c r="Q45" i="47" s="1"/>
  <c r="O52" i="47" a="1"/>
  <c r="O52" i="47" s="1"/>
  <c r="N46" i="47" a="1"/>
  <c r="N46" i="47" s="1"/>
  <c r="O49" i="47" a="1"/>
  <c r="O49" i="47" s="1"/>
  <c r="N43" i="47" a="1"/>
  <c r="N43" i="47" s="1"/>
  <c r="O46" i="47" a="1"/>
  <c r="O46" i="47" s="1"/>
  <c r="N49" i="47" a="1"/>
  <c r="N49" i="47" s="1"/>
  <c r="O43" i="47" a="1"/>
  <c r="O43" i="47" s="1"/>
  <c r="N51" i="47" a="1"/>
  <c r="N51" i="47" s="1"/>
  <c r="O44" i="47" a="1"/>
  <c r="O44" i="47" s="1"/>
  <c r="N45" i="47" a="1"/>
  <c r="N45" i="47" s="1"/>
  <c r="O48" i="47" a="1"/>
  <c r="O48" i="47" s="1"/>
  <c r="N52" i="47" a="1"/>
  <c r="N52" i="47" s="1"/>
  <c r="O51" i="47" a="1"/>
  <c r="O51" i="47" s="1"/>
  <c r="N48" i="47" a="1"/>
  <c r="N48" i="47" s="1"/>
  <c r="O47" i="47" a="1"/>
  <c r="O47" i="47" s="1"/>
  <c r="N47" i="47" a="1"/>
  <c r="N47" i="47" s="1"/>
  <c r="O50" i="47" a="1"/>
  <c r="O50" i="47" s="1"/>
  <c r="N50" i="47" a="1"/>
  <c r="N50" i="47" s="1"/>
  <c r="O45" i="47" a="1"/>
  <c r="O45" i="47" s="1"/>
  <c r="N44" i="47" a="1"/>
  <c r="N44" i="47" s="1"/>
  <c r="S50" i="47" a="1"/>
  <c r="S50" i="47" s="1"/>
  <c r="S47" i="47" a="1"/>
  <c r="S47" i="47" s="1"/>
  <c r="S44" i="47" a="1"/>
  <c r="S44" i="47" s="1"/>
  <c r="S43" i="47" a="1"/>
  <c r="S43" i="47" s="1"/>
  <c r="S48" i="47" a="1"/>
  <c r="S48" i="47" s="1"/>
  <c r="S45" i="47" a="1"/>
  <c r="S45" i="47" s="1"/>
  <c r="S51" i="47" a="1"/>
  <c r="S51" i="47" s="1"/>
  <c r="S49" i="47" a="1"/>
  <c r="S49" i="47" s="1"/>
  <c r="S52" i="47" a="1"/>
  <c r="S52" i="47" s="1"/>
  <c r="S46" i="47" a="1"/>
  <c r="S46" i="47" s="1"/>
  <c r="R50" i="47" a="1"/>
  <c r="R50" i="47" s="1"/>
  <c r="R47" i="47" a="1"/>
  <c r="R47" i="47" s="1"/>
  <c r="R44" i="47" a="1"/>
  <c r="R44" i="47" s="1"/>
  <c r="R48" i="47" a="1"/>
  <c r="R48" i="47" s="1"/>
  <c r="R46" i="47" a="1"/>
  <c r="R46" i="47" s="1"/>
  <c r="R45" i="47" a="1"/>
  <c r="R45" i="47" s="1"/>
  <c r="R49" i="47" a="1"/>
  <c r="R49" i="47" s="1"/>
  <c r="R43" i="47" a="1"/>
  <c r="R43" i="47" s="1"/>
  <c r="R51" i="47" a="1"/>
  <c r="R51" i="47" s="1"/>
  <c r="R52" i="47" a="1"/>
  <c r="R52" i="47" s="1"/>
  <c r="B35" i="47"/>
  <c r="C38" i="47"/>
  <c r="C35" i="47"/>
  <c r="B40" i="47"/>
  <c r="C37" i="47"/>
  <c r="C41" i="47"/>
  <c r="B37" i="47"/>
  <c r="C40" i="47"/>
  <c r="B41" i="47"/>
  <c r="B38" i="47"/>
  <c r="C36" i="47"/>
  <c r="B42" i="47"/>
  <c r="B39" i="47"/>
  <c r="C42" i="47"/>
  <c r="B36" i="47"/>
  <c r="C39" i="47"/>
  <c r="G36" i="47" a="1"/>
  <c r="G36" i="47" s="1"/>
  <c r="F40" i="47" a="1"/>
  <c r="F40" i="47" s="1"/>
  <c r="G38" i="47" a="1"/>
  <c r="G38" i="47" s="1"/>
  <c r="F37" i="47" a="1"/>
  <c r="F37" i="47" s="1"/>
  <c r="E36" i="47" a="1"/>
  <c r="E36" i="47" s="1"/>
  <c r="G35" i="47" a="1"/>
  <c r="G35" i="47" s="1"/>
  <c r="F42" i="47" a="1"/>
  <c r="F42" i="47" s="1"/>
  <c r="G42" i="47" a="1"/>
  <c r="G42" i="47" s="1"/>
  <c r="F36" i="47" a="1"/>
  <c r="F36" i="47" s="1"/>
  <c r="F41" i="47" a="1"/>
  <c r="F41" i="47" s="1"/>
  <c r="G41" i="47" a="1"/>
  <c r="G41" i="47" s="1"/>
  <c r="G40" i="47" a="1"/>
  <c r="G40" i="47" s="1"/>
  <c r="G39" i="47" a="1"/>
  <c r="G39" i="47" s="1"/>
  <c r="E41" i="47" a="1"/>
  <c r="E41" i="47" s="1"/>
  <c r="E40" i="47" a="1"/>
  <c r="E40" i="47" s="1"/>
  <c r="F39" i="47" a="1"/>
  <c r="F39" i="47" s="1"/>
  <c r="G37" i="47" a="1"/>
  <c r="G37" i="47" s="1"/>
  <c r="E35" i="47" a="1"/>
  <c r="E35" i="47" s="1"/>
  <c r="E38" i="47" a="1"/>
  <c r="E38" i="47" s="1"/>
  <c r="E37" i="47" a="1"/>
  <c r="E37" i="47" s="1"/>
  <c r="E42" i="47" a="1"/>
  <c r="E42" i="47" s="1"/>
  <c r="E39" i="47" a="1"/>
  <c r="E39" i="47" s="1"/>
  <c r="F38" i="47" a="1"/>
  <c r="F38" i="47" s="1"/>
  <c r="F35" i="47" a="1"/>
  <c r="F35" i="47" s="1"/>
  <c r="H42" i="47" a="1"/>
  <c r="H42" i="47" s="1"/>
  <c r="H41" i="47" a="1"/>
  <c r="H41" i="47" s="1"/>
  <c r="H37" i="47" a="1"/>
  <c r="H37" i="47" s="1"/>
  <c r="H39" i="47" a="1"/>
  <c r="H39" i="47" s="1"/>
  <c r="H36" i="47" a="1"/>
  <c r="H36" i="47" s="1"/>
  <c r="H38" i="47" a="1"/>
  <c r="H38" i="47" s="1"/>
  <c r="H35" i="47" a="1"/>
  <c r="H35" i="47" s="1"/>
  <c r="H40" i="47" a="1"/>
  <c r="H40" i="47" s="1"/>
  <c r="I42" i="47" a="1"/>
  <c r="I42" i="47" s="1"/>
  <c r="I39" i="47" a="1"/>
  <c r="I39" i="47" s="1"/>
  <c r="I36" i="47" a="1"/>
  <c r="I36" i="47" s="1"/>
  <c r="I41" i="47" a="1"/>
  <c r="I41" i="47" s="1"/>
  <c r="I37" i="47" a="1"/>
  <c r="I37" i="47" s="1"/>
  <c r="I38" i="47" a="1"/>
  <c r="I38" i="47" s="1"/>
  <c r="I35" i="47" a="1"/>
  <c r="I35" i="47" s="1"/>
  <c r="I40" i="47" a="1"/>
  <c r="I40" i="47" s="1"/>
  <c r="J42" i="47" a="1"/>
  <c r="J42" i="47" s="1"/>
  <c r="J37" i="47" a="1"/>
  <c r="J37" i="47" s="1"/>
  <c r="J36" i="47" a="1"/>
  <c r="J36" i="47" s="1"/>
  <c r="J39" i="47" a="1"/>
  <c r="J39" i="47" s="1"/>
  <c r="K36" i="47" a="1"/>
  <c r="K36" i="47" s="1"/>
  <c r="J40" i="47" a="1"/>
  <c r="J40" i="47" s="1"/>
  <c r="J41" i="47" a="1"/>
  <c r="J41" i="47" s="1"/>
  <c r="J38" i="47" a="1"/>
  <c r="J38" i="47" s="1"/>
  <c r="J35" i="47" a="1"/>
  <c r="J35" i="47" s="1"/>
  <c r="K40" i="47" a="1"/>
  <c r="K40" i="47" s="1"/>
  <c r="K37" i="47" a="1"/>
  <c r="K37" i="47" s="1"/>
  <c r="K42" i="47" a="1"/>
  <c r="K42" i="47" s="1"/>
  <c r="K39" i="47" a="1"/>
  <c r="K39" i="47" s="1"/>
  <c r="K41" i="47" a="1"/>
  <c r="K41" i="47" s="1"/>
  <c r="K38" i="47" a="1"/>
  <c r="K38" i="47" s="1"/>
  <c r="K35" i="47" a="1"/>
  <c r="K35" i="47" s="1"/>
  <c r="L37" i="47" a="1"/>
  <c r="L37" i="47" s="1"/>
  <c r="L38" i="47" a="1"/>
  <c r="L38" i="47" s="1"/>
  <c r="M42" i="47" a="1"/>
  <c r="M42" i="47" s="1"/>
  <c r="L42" i="47" a="1"/>
  <c r="L42" i="47" s="1"/>
  <c r="L39" i="47" a="1"/>
  <c r="L39" i="47" s="1"/>
  <c r="L36" i="47" a="1"/>
  <c r="L36" i="47" s="1"/>
  <c r="L41" i="47" a="1"/>
  <c r="L41" i="47" s="1"/>
  <c r="L35" i="47" a="1"/>
  <c r="L35" i="47" s="1"/>
  <c r="M37" i="47" a="1"/>
  <c r="M37" i="47" s="1"/>
  <c r="M39" i="47" a="1"/>
  <c r="M39" i="47" s="1"/>
  <c r="M40" i="47" a="1"/>
  <c r="M40" i="47" s="1"/>
  <c r="M38" i="47" a="1"/>
  <c r="M38" i="47" s="1"/>
  <c r="M35" i="47" a="1"/>
  <c r="M35" i="47" s="1"/>
  <c r="M41" i="47" a="1"/>
  <c r="M41" i="47" s="1"/>
  <c r="M36" i="47" a="1"/>
  <c r="M36" i="47" s="1"/>
  <c r="L40" i="47" a="1"/>
  <c r="L40" i="47" s="1"/>
  <c r="P41" i="47" a="1"/>
  <c r="P41" i="47" s="1"/>
  <c r="N42" i="47" a="1"/>
  <c r="N42" i="47" s="1"/>
  <c r="P35" i="47" a="1"/>
  <c r="P35" i="47" s="1"/>
  <c r="N39" i="47" a="1"/>
  <c r="N39" i="47" s="1"/>
  <c r="P38" i="47" a="1"/>
  <c r="P38" i="47" s="1"/>
  <c r="N36" i="47" a="1"/>
  <c r="N36" i="47" s="1"/>
  <c r="P36" i="47" a="1"/>
  <c r="P36" i="47" s="1"/>
  <c r="N41" i="47" a="1"/>
  <c r="N41" i="47" s="1"/>
  <c r="P42" i="47" a="1"/>
  <c r="P42" i="47" s="1"/>
  <c r="O41" i="47" a="1"/>
  <c r="O41" i="47" s="1"/>
  <c r="P40" i="47" a="1"/>
  <c r="P40" i="47" s="1"/>
  <c r="O38" i="47" a="1"/>
  <c r="O38" i="47" s="1"/>
  <c r="N40" i="47" a="1"/>
  <c r="N40" i="47" s="1"/>
  <c r="P37" i="47" a="1"/>
  <c r="P37" i="47" s="1"/>
  <c r="O35" i="47" a="1"/>
  <c r="O35" i="47" s="1"/>
  <c r="P39" i="47" a="1"/>
  <c r="P39" i="47" s="1"/>
  <c r="O40" i="47" a="1"/>
  <c r="O40" i="47" s="1"/>
  <c r="Q36" i="47" a="1"/>
  <c r="Q36" i="47" s="1"/>
  <c r="O37" i="47" a="1"/>
  <c r="O37" i="47" s="1"/>
  <c r="Q41" i="47" a="1"/>
  <c r="Q41" i="47" s="1"/>
  <c r="O42" i="47" a="1"/>
  <c r="O42" i="47" s="1"/>
  <c r="Q38" i="47" a="1"/>
  <c r="Q38" i="47" s="1"/>
  <c r="O39" i="47" a="1"/>
  <c r="O39" i="47" s="1"/>
  <c r="N35" i="47" a="1"/>
  <c r="N35" i="47" s="1"/>
  <c r="Q35" i="47" a="1"/>
  <c r="Q35" i="47" s="1"/>
  <c r="O36" i="47" a="1"/>
  <c r="O36" i="47" s="1"/>
  <c r="Q42" i="47" a="1"/>
  <c r="Q42" i="47" s="1"/>
  <c r="Q39" i="47" a="1"/>
  <c r="Q39" i="47" s="1"/>
  <c r="Q40" i="47" a="1"/>
  <c r="Q40" i="47" s="1"/>
  <c r="Q37" i="47" a="1"/>
  <c r="Q37" i="47" s="1"/>
  <c r="N38" i="47" a="1"/>
  <c r="N38" i="47" s="1"/>
  <c r="N37" i="47" a="1"/>
  <c r="N37" i="47" s="1"/>
  <c r="R42" i="47" a="1"/>
  <c r="R42" i="47" s="1"/>
  <c r="R39" i="47" a="1"/>
  <c r="R39" i="47" s="1"/>
  <c r="R41" i="47" a="1"/>
  <c r="R41" i="47" s="1"/>
  <c r="R36" i="47" a="1"/>
  <c r="R36" i="47" s="1"/>
  <c r="R38" i="47" a="1"/>
  <c r="R38" i="47" s="1"/>
  <c r="R35" i="47" a="1"/>
  <c r="R35" i="47" s="1"/>
  <c r="R37" i="47" a="1"/>
  <c r="R37" i="47" s="1"/>
  <c r="R40" i="47" a="1"/>
  <c r="R40" i="47" s="1"/>
  <c r="S42" i="47" a="1"/>
  <c r="S42" i="47" s="1"/>
  <c r="S39" i="47" a="1"/>
  <c r="S39" i="47" s="1"/>
  <c r="S36" i="47" a="1"/>
  <c r="S36" i="47" s="1"/>
  <c r="S41" i="47" a="1"/>
  <c r="S41" i="47" s="1"/>
  <c r="S40" i="47" a="1"/>
  <c r="S40" i="47" s="1"/>
  <c r="S38" i="47" a="1"/>
  <c r="S38" i="47" s="1"/>
  <c r="S35" i="47" a="1"/>
  <c r="S35" i="47" s="1"/>
  <c r="S37" i="47" a="1"/>
  <c r="S37" i="47" s="1"/>
  <c r="D26" i="47"/>
  <c r="D32" i="47"/>
  <c r="D34" i="47"/>
  <c r="D27" i="47"/>
  <c r="D28" i="47"/>
  <c r="D31" i="47"/>
  <c r="D33" i="47"/>
  <c r="D29" i="47"/>
  <c r="D19" i="47"/>
  <c r="D30" i="47"/>
  <c r="D11" i="47"/>
  <c r="D12" i="47"/>
  <c r="D13" i="47"/>
  <c r="D14" i="47"/>
  <c r="D18" i="47"/>
  <c r="D20" i="47"/>
  <c r="D15" i="47"/>
  <c r="D16" i="47"/>
  <c r="D17" i="47"/>
  <c r="D21" i="47"/>
  <c r="D25" i="47"/>
  <c r="D22" i="47"/>
  <c r="D24" i="47"/>
  <c r="D23" i="47"/>
  <c r="Y96" i="48"/>
  <c r="H96" i="48"/>
  <c r="I96" i="48"/>
  <c r="AI96" i="48"/>
  <c r="O96" i="48"/>
  <c r="V96" i="48"/>
  <c r="AD96" i="48"/>
  <c r="AL96" i="48"/>
  <c r="W96" i="48"/>
  <c r="AC96" i="48"/>
  <c r="G96" i="48"/>
  <c r="AB96" i="48"/>
  <c r="R96" i="48"/>
  <c r="N96" i="48"/>
  <c r="Q96" i="48"/>
  <c r="AG96" i="48"/>
  <c r="T96" i="48"/>
  <c r="AA96" i="48"/>
  <c r="Z96" i="48"/>
  <c r="AK96" i="48"/>
  <c r="P96" i="48"/>
  <c r="AH96" i="48"/>
  <c r="AJ96" i="48"/>
  <c r="AF96" i="48"/>
  <c r="X96" i="48"/>
  <c r="AE96" i="48"/>
  <c r="S96" i="48"/>
  <c r="K96" i="48"/>
  <c r="U96" i="48"/>
  <c r="J96" i="48"/>
  <c r="L96" i="48"/>
  <c r="M96" i="48"/>
  <c r="F97" i="48" a="1"/>
  <c r="F97" i="48" s="1"/>
  <c r="E98" i="48"/>
  <c r="AH35" i="51" a="1"/>
  <c r="AH35" i="51" s="1"/>
  <c r="W35" i="51" a="1"/>
  <c r="W35" i="51" s="1"/>
  <c r="Z35" i="51"/>
  <c r="H8" i="51" s="1" a="1"/>
  <c r="C20" i="47"/>
  <c r="C21" i="47"/>
  <c r="B10" i="47"/>
  <c r="B30" i="47"/>
  <c r="C33" i="47"/>
  <c r="B21" i="47"/>
  <c r="C24" i="47"/>
  <c r="B25" i="47"/>
  <c r="C28" i="47"/>
  <c r="C14" i="47"/>
  <c r="B11" i="47"/>
  <c r="B18" i="47"/>
  <c r="C23" i="47"/>
  <c r="B28" i="47"/>
  <c r="B33" i="47"/>
  <c r="C11" i="47"/>
  <c r="B15" i="47"/>
  <c r="C18" i="47"/>
  <c r="C12" i="47"/>
  <c r="B26" i="47"/>
  <c r="C27" i="47"/>
  <c r="B34" i="47"/>
  <c r="B29" i="47"/>
  <c r="C34" i="47"/>
  <c r="C30" i="47"/>
  <c r="B31" i="47"/>
  <c r="C32" i="47"/>
  <c r="C31" i="47"/>
  <c r="B14" i="47"/>
  <c r="B17" i="47"/>
  <c r="C17" i="47"/>
  <c r="B13" i="47"/>
  <c r="B20" i="47"/>
  <c r="B27" i="47"/>
  <c r="B22" i="47"/>
  <c r="B16" i="47"/>
  <c r="C16" i="47"/>
  <c r="B24" i="47"/>
  <c r="C22" i="47"/>
  <c r="C15" i="47"/>
  <c r="C29" i="47"/>
  <c r="B12" i="47"/>
  <c r="C26" i="47"/>
  <c r="B19" i="47"/>
  <c r="C19" i="47"/>
  <c r="B23" i="47"/>
  <c r="C25" i="47"/>
  <c r="B32" i="47"/>
  <c r="F25" i="47" a="1"/>
  <c r="F25" i="47" s="1"/>
  <c r="F23" i="47" a="1"/>
  <c r="F23" i="47" s="1"/>
  <c r="E27" i="47" a="1"/>
  <c r="E27" i="47" s="1"/>
  <c r="E12" i="47" a="1"/>
  <c r="E12" i="47" s="1"/>
  <c r="G24" i="47" a="1"/>
  <c r="G24" i="47" s="1"/>
  <c r="G30" i="47" a="1"/>
  <c r="G30" i="47" s="1"/>
  <c r="E28" i="47" a="1"/>
  <c r="E28" i="47" s="1"/>
  <c r="E15" i="47" a="1"/>
  <c r="E15" i="47" s="1"/>
  <c r="G28" i="47" a="1"/>
  <c r="G28" i="47" s="1"/>
  <c r="F16" i="47" a="1"/>
  <c r="F16" i="47" s="1"/>
  <c r="F32" i="47" a="1"/>
  <c r="F32" i="47" s="1"/>
  <c r="G34" i="47" a="1"/>
  <c r="G34" i="47" s="1"/>
  <c r="F26" i="47" a="1"/>
  <c r="F26" i="47" s="1"/>
  <c r="F30" i="47" a="1"/>
  <c r="F30" i="47" s="1"/>
  <c r="E19" i="47" a="1"/>
  <c r="E19" i="47" s="1"/>
  <c r="E13" i="47" a="1"/>
  <c r="E13" i="47" s="1"/>
  <c r="G19" i="47" a="1"/>
  <c r="G19" i="47" s="1"/>
  <c r="E20" i="47" a="1"/>
  <c r="E20" i="47" s="1"/>
  <c r="F20" i="47" a="1"/>
  <c r="F20" i="47" s="1"/>
  <c r="F31" i="47" a="1"/>
  <c r="F31" i="47" s="1"/>
  <c r="E21" i="47" a="1"/>
  <c r="E21" i="47" s="1"/>
  <c r="G18" i="47" a="1"/>
  <c r="G18" i="47" s="1"/>
  <c r="G15" i="47" a="1"/>
  <c r="G15" i="47" s="1"/>
  <c r="F12" i="47" a="1"/>
  <c r="F12" i="47" s="1"/>
  <c r="E16" i="47" a="1"/>
  <c r="E16" i="47" s="1"/>
  <c r="E33" i="47" a="1"/>
  <c r="E33" i="47" s="1"/>
  <c r="G12" i="47" a="1"/>
  <c r="G12" i="47" s="1"/>
  <c r="G23" i="47" a="1"/>
  <c r="G23" i="47" s="1"/>
  <c r="G11" i="47" a="1"/>
  <c r="G11" i="47" s="1"/>
  <c r="G13" i="47" a="1"/>
  <c r="G13" i="47" s="1"/>
  <c r="F21" i="47" a="1"/>
  <c r="F21" i="47" s="1"/>
  <c r="F17" i="47" a="1"/>
  <c r="F17" i="47" s="1"/>
  <c r="E30" i="47" a="1"/>
  <c r="E30" i="47" s="1"/>
  <c r="E26" i="47" a="1"/>
  <c r="E26" i="47" s="1"/>
  <c r="G31" i="47" a="1"/>
  <c r="G31" i="47" s="1"/>
  <c r="F14" i="47" a="1"/>
  <c r="F14" i="47" s="1"/>
  <c r="F18" i="47" a="1"/>
  <c r="F18" i="47" s="1"/>
  <c r="G32" i="47" a="1"/>
  <c r="G32" i="47" s="1"/>
  <c r="E14" i="47" a="1"/>
  <c r="E14" i="47" s="1"/>
  <c r="E31" i="47" a="1"/>
  <c r="E31" i="47" s="1"/>
  <c r="G22" i="47" a="1"/>
  <c r="G22" i="47" s="1"/>
  <c r="G17" i="47" a="1"/>
  <c r="G17" i="47" s="1"/>
  <c r="F34" i="47" a="1"/>
  <c r="F34" i="47" s="1"/>
  <c r="E34" i="47" a="1"/>
  <c r="E34" i="47" s="1"/>
  <c r="E32" i="47" a="1"/>
  <c r="E32" i="47" s="1"/>
  <c r="G21" i="47" a="1"/>
  <c r="G21" i="47" s="1"/>
  <c r="E18" i="47" a="1"/>
  <c r="E18" i="47" s="1"/>
  <c r="F11" i="47" a="1"/>
  <c r="F11" i="47" s="1"/>
  <c r="F24" i="47" a="1"/>
  <c r="F24" i="47" s="1"/>
  <c r="E11" i="47" a="1"/>
  <c r="E11" i="47" s="1"/>
  <c r="E29" i="47" a="1"/>
  <c r="E29" i="47" s="1"/>
  <c r="G26" i="47" a="1"/>
  <c r="G26" i="47" s="1"/>
  <c r="F33" i="47" a="1"/>
  <c r="F33" i="47" s="1"/>
  <c r="F28" i="47" a="1"/>
  <c r="F28" i="47" s="1"/>
  <c r="E17" i="47" a="1"/>
  <c r="E17" i="47" s="1"/>
  <c r="G27" i="47" a="1"/>
  <c r="G27" i="47" s="1"/>
  <c r="E23" i="47" a="1"/>
  <c r="E23" i="47" s="1"/>
  <c r="F27" i="47" a="1"/>
  <c r="F27" i="47" s="1"/>
  <c r="E25" i="47" a="1"/>
  <c r="E25" i="47" s="1"/>
  <c r="G14" i="47" a="1"/>
  <c r="G14" i="47" s="1"/>
  <c r="F29" i="47" a="1"/>
  <c r="F29" i="47" s="1"/>
  <c r="F15" i="47" a="1"/>
  <c r="F15" i="47" s="1"/>
  <c r="E24" i="47" a="1"/>
  <c r="E24" i="47" s="1"/>
  <c r="G20" i="47" a="1"/>
  <c r="G20" i="47" s="1"/>
  <c r="F13" i="47" a="1"/>
  <c r="F13" i="47" s="1"/>
  <c r="F22" i="47" a="1"/>
  <c r="F22" i="47" s="1"/>
  <c r="F19" i="47" a="1"/>
  <c r="F19" i="47" s="1"/>
  <c r="G25" i="47" a="1"/>
  <c r="G25" i="47" s="1"/>
  <c r="G29" i="47" a="1"/>
  <c r="G29" i="47" s="1"/>
  <c r="E22" i="47" a="1"/>
  <c r="E22" i="47" s="1"/>
  <c r="G33" i="47" a="1"/>
  <c r="G33" i="47" s="1"/>
  <c r="G16" i="47" a="1"/>
  <c r="G16" i="47" s="1"/>
  <c r="H17" i="47" a="1"/>
  <c r="H17" i="47" s="1"/>
  <c r="H34" i="47" a="1"/>
  <c r="H34" i="47" s="1"/>
  <c r="I21" i="47" a="1"/>
  <c r="I21" i="47" s="1"/>
  <c r="H15" i="47" a="1"/>
  <c r="H15" i="47" s="1"/>
  <c r="H14" i="47" a="1"/>
  <c r="H14" i="47" s="1"/>
  <c r="H18" i="47" a="1"/>
  <c r="H18" i="47" s="1"/>
  <c r="I31" i="47" a="1"/>
  <c r="I31" i="47" s="1"/>
  <c r="H28" i="47" a="1"/>
  <c r="H28" i="47" s="1"/>
  <c r="H33" i="47" a="1"/>
  <c r="H33" i="47" s="1"/>
  <c r="I23" i="47" a="1"/>
  <c r="I23" i="47" s="1"/>
  <c r="I26" i="47" a="1"/>
  <c r="I26" i="47" s="1"/>
  <c r="I25" i="47" a="1"/>
  <c r="I25" i="47" s="1"/>
  <c r="I28" i="47" a="1"/>
  <c r="I28" i="47" s="1"/>
  <c r="H12" i="47" a="1"/>
  <c r="H12" i="47" s="1"/>
  <c r="H26" i="47" a="1"/>
  <c r="H26" i="47" s="1"/>
  <c r="I14" i="47" a="1"/>
  <c r="I14" i="47" s="1"/>
  <c r="I19" i="47" a="1"/>
  <c r="I19" i="47" s="1"/>
  <c r="I34" i="47" a="1"/>
  <c r="I34" i="47" s="1"/>
  <c r="H25" i="47" a="1"/>
  <c r="H25" i="47" s="1"/>
  <c r="H32" i="47" a="1"/>
  <c r="H32" i="47" s="1"/>
  <c r="H13" i="47" a="1"/>
  <c r="H13" i="47" s="1"/>
  <c r="I11" i="47" a="1"/>
  <c r="I11" i="47" s="1"/>
  <c r="H27" i="47" a="1"/>
  <c r="H27" i="47" s="1"/>
  <c r="I12" i="47" a="1"/>
  <c r="I12" i="47" s="1"/>
  <c r="H22" i="47" a="1"/>
  <c r="H22" i="47" s="1"/>
  <c r="I18" i="47" a="1"/>
  <c r="I18" i="47" s="1"/>
  <c r="I15" i="47" a="1"/>
  <c r="I15" i="47" s="1"/>
  <c r="I16" i="47" a="1"/>
  <c r="I16" i="47" s="1"/>
  <c r="H11" i="47" a="1"/>
  <c r="H11" i="47" s="1"/>
  <c r="I33" i="47" a="1"/>
  <c r="I33" i="47" s="1"/>
  <c r="I30" i="47" a="1"/>
  <c r="I30" i="47" s="1"/>
  <c r="H20" i="47" a="1"/>
  <c r="H20" i="47" s="1"/>
  <c r="H30" i="47" a="1"/>
  <c r="H30" i="47" s="1"/>
  <c r="H29" i="47" a="1"/>
  <c r="H29" i="47" s="1"/>
  <c r="I24" i="47" a="1"/>
  <c r="I24" i="47" s="1"/>
  <c r="H21" i="47" a="1"/>
  <c r="H21" i="47" s="1"/>
  <c r="H16" i="47" a="1"/>
  <c r="H16" i="47" s="1"/>
  <c r="I29" i="47" a="1"/>
  <c r="I29" i="47" s="1"/>
  <c r="I20" i="47" a="1"/>
  <c r="I20" i="47" s="1"/>
  <c r="H19" i="47" a="1"/>
  <c r="H19" i="47" s="1"/>
  <c r="H23" i="47" a="1"/>
  <c r="H23" i="47" s="1"/>
  <c r="H31" i="47" a="1"/>
  <c r="H31" i="47" s="1"/>
  <c r="I13" i="47" a="1"/>
  <c r="I13" i="47" s="1"/>
  <c r="I22" i="47" a="1"/>
  <c r="I22" i="47" s="1"/>
  <c r="I17" i="47" a="1"/>
  <c r="I17" i="47" s="1"/>
  <c r="I27" i="47" a="1"/>
  <c r="I27" i="47" s="1"/>
  <c r="H24" i="47" a="1"/>
  <c r="H24" i="47" s="1"/>
  <c r="I32" i="47" a="1"/>
  <c r="I32" i="47" s="1"/>
  <c r="J29" i="47" a="1"/>
  <c r="J29" i="47" s="1"/>
  <c r="J30" i="47" a="1"/>
  <c r="J30" i="47" s="1"/>
  <c r="K20" i="47" a="1"/>
  <c r="K20" i="47" s="1"/>
  <c r="K24" i="47" a="1"/>
  <c r="K24" i="47" s="1"/>
  <c r="J33" i="47" a="1"/>
  <c r="J33" i="47" s="1"/>
  <c r="J25" i="47" a="1"/>
  <c r="J25" i="47" s="1"/>
  <c r="K31" i="47" a="1"/>
  <c r="K31" i="47" s="1"/>
  <c r="K15" i="47" a="1"/>
  <c r="K15" i="47" s="1"/>
  <c r="K28" i="47" a="1"/>
  <c r="K28" i="47" s="1"/>
  <c r="K17" i="47" a="1"/>
  <c r="K17" i="47" s="1"/>
  <c r="K18" i="47" a="1"/>
  <c r="K18" i="47" s="1"/>
  <c r="K19" i="47" a="1"/>
  <c r="K19" i="47" s="1"/>
  <c r="K23" i="47" a="1"/>
  <c r="K23" i="47" s="1"/>
  <c r="J17" i="47" a="1"/>
  <c r="J17" i="47" s="1"/>
  <c r="J20" i="47" a="1"/>
  <c r="J20" i="47" s="1"/>
  <c r="J26" i="47" a="1"/>
  <c r="J26" i="47" s="1"/>
  <c r="K13" i="47" a="1"/>
  <c r="K13" i="47" s="1"/>
  <c r="K12" i="47" a="1"/>
  <c r="K12" i="47" s="1"/>
  <c r="K21" i="47" a="1"/>
  <c r="K21" i="47" s="1"/>
  <c r="K11" i="47" a="1"/>
  <c r="K11" i="47" s="1"/>
  <c r="J24" i="47" a="1"/>
  <c r="J24" i="47" s="1"/>
  <c r="K26" i="47" a="1"/>
  <c r="K26" i="47" s="1"/>
  <c r="K25" i="47" a="1"/>
  <c r="K25" i="47" s="1"/>
  <c r="K29" i="47" a="1"/>
  <c r="K29" i="47" s="1"/>
  <c r="K14" i="47" a="1"/>
  <c r="K14" i="47" s="1"/>
  <c r="J15" i="47" a="1"/>
  <c r="J15" i="47" s="1"/>
  <c r="J19" i="47" a="1"/>
  <c r="J19" i="47" s="1"/>
  <c r="J13" i="47" a="1"/>
  <c r="J13" i="47" s="1"/>
  <c r="J34" i="47" a="1"/>
  <c r="J34" i="47" s="1"/>
  <c r="J27" i="47" a="1"/>
  <c r="J27" i="47" s="1"/>
  <c r="K16" i="47" a="1"/>
  <c r="K16" i="47" s="1"/>
  <c r="J32" i="47" a="1"/>
  <c r="J32" i="47" s="1"/>
  <c r="K30" i="47" a="1"/>
  <c r="K30" i="47" s="1"/>
  <c r="K27" i="47" a="1"/>
  <c r="K27" i="47" s="1"/>
  <c r="K22" i="47" a="1"/>
  <c r="K22" i="47" s="1"/>
  <c r="K33" i="47" a="1"/>
  <c r="K33" i="47" s="1"/>
  <c r="K34" i="47" a="1"/>
  <c r="K34" i="47" s="1"/>
  <c r="J21" i="47" a="1"/>
  <c r="J21" i="47" s="1"/>
  <c r="J31" i="47" a="1"/>
  <c r="J31" i="47" s="1"/>
  <c r="J11" i="47" a="1"/>
  <c r="J11" i="47" s="1"/>
  <c r="J14" i="47" a="1"/>
  <c r="J14" i="47" s="1"/>
  <c r="J16" i="47" a="1"/>
  <c r="J16" i="47" s="1"/>
  <c r="J18" i="47" a="1"/>
  <c r="J18" i="47" s="1"/>
  <c r="K32" i="47" a="1"/>
  <c r="K32" i="47" s="1"/>
  <c r="J28" i="47" a="1"/>
  <c r="J28" i="47" s="1"/>
  <c r="J22" i="47" a="1"/>
  <c r="J22" i="47" s="1"/>
  <c r="J12" i="47" a="1"/>
  <c r="J12" i="47" s="1"/>
  <c r="J23" i="47" a="1"/>
  <c r="J23" i="47" s="1"/>
  <c r="L21" i="47" a="1"/>
  <c r="L21" i="47" s="1"/>
  <c r="L11" i="47" a="1"/>
  <c r="L11" i="47" s="1"/>
  <c r="M17" i="47" a="1"/>
  <c r="M17" i="47" s="1"/>
  <c r="M20" i="47" a="1"/>
  <c r="M20" i="47" s="1"/>
  <c r="M21" i="47" a="1"/>
  <c r="M21" i="47" s="1"/>
  <c r="L28" i="47" a="1"/>
  <c r="L28" i="47" s="1"/>
  <c r="M14" i="47" a="1"/>
  <c r="M14" i="47" s="1"/>
  <c r="L18" i="47" a="1"/>
  <c r="L18" i="47" s="1"/>
  <c r="L23" i="47" a="1"/>
  <c r="L23" i="47" s="1"/>
  <c r="M11" i="47" a="1"/>
  <c r="M11" i="47" s="1"/>
  <c r="L12" i="47" a="1"/>
  <c r="L12" i="47" s="1"/>
  <c r="L24" i="47" a="1"/>
  <c r="L24" i="47" s="1"/>
  <c r="M27" i="47" a="1"/>
  <c r="M27" i="47" s="1"/>
  <c r="M26" i="47" a="1"/>
  <c r="M26" i="47" s="1"/>
  <c r="M25" i="47" a="1"/>
  <c r="M25" i="47" s="1"/>
  <c r="M32" i="47" a="1"/>
  <c r="M32" i="47" s="1"/>
  <c r="M13" i="47" a="1"/>
  <c r="M13" i="47" s="1"/>
  <c r="L32" i="47" a="1"/>
  <c r="L32" i="47" s="1"/>
  <c r="M23" i="47" a="1"/>
  <c r="M23" i="47" s="1"/>
  <c r="M33" i="47" a="1"/>
  <c r="M33" i="47" s="1"/>
  <c r="M18" i="47" a="1"/>
  <c r="M18" i="47" s="1"/>
  <c r="M34" i="47" a="1"/>
  <c r="M34" i="47" s="1"/>
  <c r="M19" i="47" a="1"/>
  <c r="M19" i="47" s="1"/>
  <c r="L29" i="47" a="1"/>
  <c r="L29" i="47" s="1"/>
  <c r="L16" i="47" a="1"/>
  <c r="L16" i="47" s="1"/>
  <c r="L27" i="47" a="1"/>
  <c r="L27" i="47" s="1"/>
  <c r="M28" i="47" a="1"/>
  <c r="M28" i="47" s="1"/>
  <c r="M22" i="47" a="1"/>
  <c r="M22" i="47" s="1"/>
  <c r="L26" i="47" a="1"/>
  <c r="L26" i="47" s="1"/>
  <c r="L22" i="47" a="1"/>
  <c r="L22" i="47" s="1"/>
  <c r="M31" i="47" a="1"/>
  <c r="M31" i="47" s="1"/>
  <c r="M16" i="47" a="1"/>
  <c r="M16" i="47" s="1"/>
  <c r="L13" i="47" a="1"/>
  <c r="L13" i="47" s="1"/>
  <c r="M12" i="47" a="1"/>
  <c r="M12" i="47" s="1"/>
  <c r="L30" i="47" a="1"/>
  <c r="L30" i="47" s="1"/>
  <c r="M24" i="47" a="1"/>
  <c r="M24" i="47" s="1"/>
  <c r="M15" i="47" a="1"/>
  <c r="M15" i="47" s="1"/>
  <c r="M30" i="47" a="1"/>
  <c r="M30" i="47" s="1"/>
  <c r="L34" i="47" a="1"/>
  <c r="L34" i="47" s="1"/>
  <c r="L14" i="47" a="1"/>
  <c r="L14" i="47" s="1"/>
  <c r="L17" i="47" a="1"/>
  <c r="L17" i="47" s="1"/>
  <c r="L20" i="47" a="1"/>
  <c r="L20" i="47" s="1"/>
  <c r="L15" i="47" a="1"/>
  <c r="L15" i="47" s="1"/>
  <c r="L19" i="47" a="1"/>
  <c r="L19" i="47" s="1"/>
  <c r="L25" i="47" a="1"/>
  <c r="L25" i="47" s="1"/>
  <c r="M29" i="47" a="1"/>
  <c r="M29" i="47" s="1"/>
  <c r="L33" i="47" a="1"/>
  <c r="L33" i="47" s="1"/>
  <c r="L31" i="47" a="1"/>
  <c r="L31" i="47" s="1"/>
  <c r="P25" i="47" a="1"/>
  <c r="P25" i="47" s="1"/>
  <c r="Q27" i="47" a="1"/>
  <c r="Q27" i="47" s="1"/>
  <c r="N30" i="47" a="1"/>
  <c r="N30" i="47" s="1"/>
  <c r="N25" i="47" a="1"/>
  <c r="N25" i="47" s="1"/>
  <c r="O12" i="47" a="1"/>
  <c r="O12" i="47" s="1"/>
  <c r="O24" i="47" a="1"/>
  <c r="O24" i="47" s="1"/>
  <c r="Q32" i="47" a="1"/>
  <c r="Q32" i="47" s="1"/>
  <c r="O26" i="47" a="1"/>
  <c r="O26" i="47" s="1"/>
  <c r="P16" i="47" a="1"/>
  <c r="P16" i="47" s="1"/>
  <c r="P29" i="47" a="1"/>
  <c r="P29" i="47" s="1"/>
  <c r="O31" i="47" a="1"/>
  <c r="O31" i="47" s="1"/>
  <c r="O11" i="47" a="1"/>
  <c r="O11" i="47" s="1"/>
  <c r="Q11" i="47" a="1"/>
  <c r="Q11" i="47" s="1"/>
  <c r="N19" i="47" a="1"/>
  <c r="N19" i="47" s="1"/>
  <c r="O25" i="47" a="1"/>
  <c r="O25" i="47" s="1"/>
  <c r="P20" i="47" a="1"/>
  <c r="P20" i="47" s="1"/>
  <c r="Q31" i="47" a="1"/>
  <c r="Q31" i="47" s="1"/>
  <c r="Q15" i="47" a="1"/>
  <c r="Q15" i="47" s="1"/>
  <c r="N16" i="47" a="1"/>
  <c r="N16" i="47" s="1"/>
  <c r="O32" i="47" a="1"/>
  <c r="O32" i="47" s="1"/>
  <c r="Q16" i="47" a="1"/>
  <c r="Q16" i="47" s="1"/>
  <c r="Q21" i="47" a="1"/>
  <c r="Q21" i="47" s="1"/>
  <c r="N14" i="47" a="1"/>
  <c r="N14" i="47" s="1"/>
  <c r="N34" i="47" a="1"/>
  <c r="N34" i="47" s="1"/>
  <c r="O18" i="47" a="1"/>
  <c r="O18" i="47" s="1"/>
  <c r="Q22" i="47" a="1"/>
  <c r="Q22" i="47" s="1"/>
  <c r="Q19" i="47" a="1"/>
  <c r="Q19" i="47" s="1"/>
  <c r="N13" i="47" a="1"/>
  <c r="N13" i="47" s="1"/>
  <c r="N20" i="47" a="1"/>
  <c r="N20" i="47" s="1"/>
  <c r="N31" i="47" a="1"/>
  <c r="N31" i="47" s="1"/>
  <c r="P28" i="47" a="1"/>
  <c r="P28" i="47" s="1"/>
  <c r="Q24" i="47" a="1"/>
  <c r="Q24" i="47" s="1"/>
  <c r="N33" i="47" a="1"/>
  <c r="N33" i="47" s="1"/>
  <c r="O22" i="47" a="1"/>
  <c r="O22" i="47" s="1"/>
  <c r="P11" i="47" a="1"/>
  <c r="P11" i="47" s="1"/>
  <c r="Q26" i="47" a="1"/>
  <c r="Q26" i="47" s="1"/>
  <c r="N22" i="47" a="1"/>
  <c r="N22" i="47" s="1"/>
  <c r="N17" i="47" a="1"/>
  <c r="N17" i="47" s="1"/>
  <c r="O20" i="47" a="1"/>
  <c r="O20" i="47" s="1"/>
  <c r="P33" i="47" a="1"/>
  <c r="P33" i="47" s="1"/>
  <c r="P34" i="47" a="1"/>
  <c r="P34" i="47" s="1"/>
  <c r="Q12" i="47" a="1"/>
  <c r="Q12" i="47" s="1"/>
  <c r="N24" i="47" a="1"/>
  <c r="N24" i="47" s="1"/>
  <c r="N32" i="47" a="1"/>
  <c r="N32" i="47" s="1"/>
  <c r="O19" i="47" a="1"/>
  <c r="O19" i="47" s="1"/>
  <c r="O21" i="47" a="1"/>
  <c r="O21" i="47" s="1"/>
  <c r="N29" i="47" a="1"/>
  <c r="N29" i="47" s="1"/>
  <c r="P18" i="47" a="1"/>
  <c r="P18" i="47" s="1"/>
  <c r="Q17" i="47" a="1"/>
  <c r="Q17" i="47" s="1"/>
  <c r="Q28" i="47" a="1"/>
  <c r="Q28" i="47" s="1"/>
  <c r="O29" i="47" a="1"/>
  <c r="O29" i="47" s="1"/>
  <c r="P23" i="47" a="1"/>
  <c r="P23" i="47" s="1"/>
  <c r="Q14" i="47" a="1"/>
  <c r="Q14" i="47" s="1"/>
  <c r="N28" i="47" a="1"/>
  <c r="N28" i="47" s="1"/>
  <c r="O16" i="47" a="1"/>
  <c r="O16" i="47" s="1"/>
  <c r="O33" i="47" a="1"/>
  <c r="O33" i="47" s="1"/>
  <c r="Q29" i="47" a="1"/>
  <c r="Q29" i="47" s="1"/>
  <c r="P12" i="47" a="1"/>
  <c r="P12" i="47" s="1"/>
  <c r="P27" i="47" a="1"/>
  <c r="P27" i="47" s="1"/>
  <c r="Q20" i="47" a="1"/>
  <c r="Q20" i="47" s="1"/>
  <c r="Q23" i="47" a="1"/>
  <c r="Q23" i="47" s="1"/>
  <c r="O17" i="47" a="1"/>
  <c r="O17" i="47" s="1"/>
  <c r="P21" i="47" a="1"/>
  <c r="P21" i="47" s="1"/>
  <c r="P30" i="47" a="1"/>
  <c r="P30" i="47" s="1"/>
  <c r="P32" i="47" a="1"/>
  <c r="P32" i="47" s="1"/>
  <c r="Q25" i="47" a="1"/>
  <c r="Q25" i="47" s="1"/>
  <c r="N18" i="47" a="1"/>
  <c r="N18" i="47" s="1"/>
  <c r="O30" i="47" a="1"/>
  <c r="O30" i="47" s="1"/>
  <c r="P22" i="47" a="1"/>
  <c r="P22" i="47" s="1"/>
  <c r="Q18" i="47" a="1"/>
  <c r="Q18" i="47" s="1"/>
  <c r="N23" i="47" a="1"/>
  <c r="N23" i="47" s="1"/>
  <c r="N12" i="47" a="1"/>
  <c r="N12" i="47" s="1"/>
  <c r="O23" i="47" a="1"/>
  <c r="O23" i="47" s="1"/>
  <c r="P13" i="47" a="1"/>
  <c r="P13" i="47" s="1"/>
  <c r="P14" i="47" a="1"/>
  <c r="P14" i="47" s="1"/>
  <c r="Q33" i="47" a="1"/>
  <c r="Q33" i="47" s="1"/>
  <c r="N27" i="47" a="1"/>
  <c r="N27" i="47" s="1"/>
  <c r="O14" i="47" a="1"/>
  <c r="O14" i="47" s="1"/>
  <c r="O28" i="47" a="1"/>
  <c r="O28" i="47" s="1"/>
  <c r="P15" i="47" a="1"/>
  <c r="P15" i="47" s="1"/>
  <c r="Q30" i="47" a="1"/>
  <c r="Q30" i="47" s="1"/>
  <c r="N15" i="47" a="1"/>
  <c r="N15" i="47" s="1"/>
  <c r="N11" i="47" a="1"/>
  <c r="N11" i="47" s="1"/>
  <c r="O34" i="47" a="1"/>
  <c r="O34" i="47" s="1"/>
  <c r="O27" i="47" a="1"/>
  <c r="O27" i="47" s="1"/>
  <c r="P17" i="47" a="1"/>
  <c r="P17" i="47" s="1"/>
  <c r="P19" i="47" a="1"/>
  <c r="P19" i="47" s="1"/>
  <c r="P24" i="47" a="1"/>
  <c r="P24" i="47" s="1"/>
  <c r="N21" i="47" a="1"/>
  <c r="N21" i="47" s="1"/>
  <c r="O15" i="47" a="1"/>
  <c r="O15" i="47" s="1"/>
  <c r="O13" i="47" a="1"/>
  <c r="O13" i="47" s="1"/>
  <c r="P31" i="47" a="1"/>
  <c r="P31" i="47" s="1"/>
  <c r="P26" i="47" a="1"/>
  <c r="P26" i="47" s="1"/>
  <c r="Q34" i="47" a="1"/>
  <c r="Q34" i="47" s="1"/>
  <c r="Q13" i="47" a="1"/>
  <c r="Q13" i="47" s="1"/>
  <c r="N26" i="47" a="1"/>
  <c r="N26" i="47" s="1"/>
  <c r="S23" i="47" a="1"/>
  <c r="S23" i="47" s="1"/>
  <c r="S24" i="47" a="1"/>
  <c r="S24" i="47" s="1"/>
  <c r="R13" i="47" a="1"/>
  <c r="R13" i="47" s="1"/>
  <c r="S15" i="47" a="1"/>
  <c r="S15" i="47" s="1"/>
  <c r="R16" i="47" a="1"/>
  <c r="R16" i="47" s="1"/>
  <c r="R34" i="47" a="1"/>
  <c r="R34" i="47" s="1"/>
  <c r="S31" i="47" a="1"/>
  <c r="S31" i="47" s="1"/>
  <c r="S14" i="47" a="1"/>
  <c r="S14" i="47" s="1"/>
  <c r="S29" i="47" a="1"/>
  <c r="S29" i="47" s="1"/>
  <c r="S28" i="47" a="1"/>
  <c r="S28" i="47" s="1"/>
  <c r="R19" i="47" a="1"/>
  <c r="R19" i="47" s="1"/>
  <c r="R31" i="47" a="1"/>
  <c r="R31" i="47" s="1"/>
  <c r="S13" i="47" a="1"/>
  <c r="S13" i="47" s="1"/>
  <c r="S34" i="47" a="1"/>
  <c r="S34" i="47" s="1"/>
  <c r="S12" i="47" a="1"/>
  <c r="S12" i="47" s="1"/>
  <c r="R17" i="47" a="1"/>
  <c r="R17" i="47" s="1"/>
  <c r="R24" i="47" a="1"/>
  <c r="R24" i="47" s="1"/>
  <c r="R26" i="47" a="1"/>
  <c r="R26" i="47" s="1"/>
  <c r="S11" i="47" a="1"/>
  <c r="S11" i="47" s="1"/>
  <c r="R29" i="47" a="1"/>
  <c r="R29" i="47" s="1"/>
  <c r="R15" i="47" a="1"/>
  <c r="R15" i="47" s="1"/>
  <c r="R18" i="47" a="1"/>
  <c r="R18" i="47" s="1"/>
  <c r="S18" i="47" a="1"/>
  <c r="S18" i="47" s="1"/>
  <c r="R14" i="47" a="1"/>
  <c r="R14" i="47" s="1"/>
  <c r="S17" i="47" a="1"/>
  <c r="S17" i="47" s="1"/>
  <c r="R28" i="47" a="1"/>
  <c r="R28" i="47" s="1"/>
  <c r="S22" i="47" a="1"/>
  <c r="S22" i="47" s="1"/>
  <c r="S32" i="47" a="1"/>
  <c r="S32" i="47" s="1"/>
  <c r="S21" i="47" a="1"/>
  <c r="S21" i="47" s="1"/>
  <c r="R12" i="47" a="1"/>
  <c r="R12" i="47" s="1"/>
  <c r="R23" i="47" a="1"/>
  <c r="R23" i="47" s="1"/>
  <c r="S27" i="47" a="1"/>
  <c r="S27" i="47" s="1"/>
  <c r="S33" i="47" a="1"/>
  <c r="S33" i="47" s="1"/>
  <c r="R32" i="47" a="1"/>
  <c r="R32" i="47" s="1"/>
  <c r="R25" i="47" a="1"/>
  <c r="R25" i="47" s="1"/>
  <c r="R22" i="47" a="1"/>
  <c r="R22" i="47" s="1"/>
  <c r="S20" i="47" a="1"/>
  <c r="S20" i="47" s="1"/>
  <c r="R27" i="47" a="1"/>
  <c r="R27" i="47" s="1"/>
  <c r="S25" i="47" a="1"/>
  <c r="S25" i="47" s="1"/>
  <c r="R21" i="47" a="1"/>
  <c r="R21" i="47" s="1"/>
  <c r="R11" i="47" a="1"/>
  <c r="R11" i="47" s="1"/>
  <c r="R33" i="47" a="1"/>
  <c r="R33" i="47" s="1"/>
  <c r="S19" i="47" a="1"/>
  <c r="S19" i="47" s="1"/>
  <c r="R20" i="47" a="1"/>
  <c r="R20" i="47" s="1"/>
  <c r="S26" i="47" a="1"/>
  <c r="S26" i="47" s="1"/>
  <c r="R30" i="47" a="1"/>
  <c r="R30" i="47" s="1"/>
  <c r="S16" i="47" a="1"/>
  <c r="S16" i="47" s="1"/>
  <c r="S30" i="47" a="1"/>
  <c r="S30" i="47" s="1"/>
  <c r="F98" i="48" l="1" a="1"/>
  <c r="F98" i="48" s="1"/>
  <c r="E99" i="48"/>
  <c r="AC97" i="48"/>
  <c r="AH97" i="48"/>
  <c r="AG97" i="48"/>
  <c r="AA97" i="48"/>
  <c r="AL97" i="48"/>
  <c r="M97" i="48"/>
  <c r="H97" i="48"/>
  <c r="S97" i="48"/>
  <c r="L97" i="48"/>
  <c r="O97" i="48"/>
  <c r="T97" i="48"/>
  <c r="J97" i="48"/>
  <c r="U97" i="48"/>
  <c r="AI97" i="48"/>
  <c r="AD97" i="48"/>
  <c r="AB97" i="48"/>
  <c r="AJ97" i="48"/>
  <c r="G97" i="48"/>
  <c r="R97" i="48"/>
  <c r="I97" i="48"/>
  <c r="P97" i="48"/>
  <c r="Z97" i="48"/>
  <c r="AK97" i="48"/>
  <c r="Q97" i="48"/>
  <c r="AE97" i="48"/>
  <c r="W97" i="48"/>
  <c r="N97" i="48"/>
  <c r="X97" i="48"/>
  <c r="V97" i="48"/>
  <c r="K97" i="48"/>
  <c r="Y97" i="48"/>
  <c r="AF97" i="48"/>
  <c r="Z33" i="51" a="1"/>
  <c r="Z33" i="51" s="1"/>
  <c r="E36" i="51"/>
  <c r="E37" i="51"/>
  <c r="E35" i="51"/>
  <c r="H8" i="51"/>
  <c r="D34" i="51" s="1"/>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F99" i="48" l="1" a="1"/>
  <c r="F99" i="48" s="1"/>
  <c r="E100" i="48"/>
  <c r="F100" i="48" s="1" a="1"/>
  <c r="F100" i="48" s="1"/>
  <c r="U98" i="48"/>
  <c r="I98" i="48"/>
  <c r="AA98" i="48"/>
  <c r="Q98" i="48"/>
  <c r="AK98" i="48"/>
  <c r="Z98" i="48"/>
  <c r="AG98" i="48"/>
  <c r="G98" i="48"/>
  <c r="M98" i="48"/>
  <c r="T98" i="48"/>
  <c r="Y98" i="48"/>
  <c r="W98" i="48"/>
  <c r="X98" i="48"/>
  <c r="AH98" i="48"/>
  <c r="J98" i="48"/>
  <c r="AI98" i="48"/>
  <c r="K98" i="48"/>
  <c r="AL98" i="48"/>
  <c r="R98" i="48"/>
  <c r="AC98" i="48"/>
  <c r="AE98" i="48"/>
  <c r="O98" i="48"/>
  <c r="V98" i="48"/>
  <c r="H98" i="48"/>
  <c r="S98" i="48"/>
  <c r="AJ98" i="48"/>
  <c r="N98" i="48"/>
  <c r="P98" i="48"/>
  <c r="L98" i="48"/>
  <c r="AF98" i="48"/>
  <c r="AB98" i="48"/>
  <c r="AD98" i="48"/>
  <c r="F36" i="51"/>
  <c r="F35" i="51"/>
  <c r="F37" i="51"/>
  <c r="AB35" i="51" a="1"/>
  <c r="AB35" i="51" s="1"/>
  <c r="J8" i="51" a="1"/>
  <c r="J8" i="51" s="1"/>
  <c r="AA35" i="51" a="1"/>
  <c r="AA35" i="51" s="1"/>
  <c r="AC35" i="51" s="1" a="1"/>
  <c r="AC35" i="51" s="1"/>
  <c r="K8" i="51" a="1"/>
  <c r="K8" i="51" s="1"/>
  <c r="H100" i="48" l="1"/>
  <c r="Z100" i="48"/>
  <c r="AG100" i="48"/>
  <c r="K100" i="48"/>
  <c r="AB100" i="48"/>
  <c r="M100" i="48"/>
  <c r="W100" i="48"/>
  <c r="Y100" i="48"/>
  <c r="AK100" i="48"/>
  <c r="O100" i="48"/>
  <c r="R100" i="48"/>
  <c r="J100" i="48"/>
  <c r="AF100" i="48"/>
  <c r="AA100" i="48"/>
  <c r="L100" i="48"/>
  <c r="T100" i="48"/>
  <c r="I100" i="48"/>
  <c r="P100" i="48"/>
  <c r="V100" i="48"/>
  <c r="AJ100" i="48"/>
  <c r="AH100" i="48"/>
  <c r="AC100" i="48"/>
  <c r="AE100" i="48"/>
  <c r="AL100" i="48"/>
  <c r="S100" i="48"/>
  <c r="X100" i="48"/>
  <c r="G100" i="48"/>
  <c r="N100" i="48"/>
  <c r="Q100" i="48"/>
  <c r="AI100" i="48"/>
  <c r="U100" i="48"/>
  <c r="AD100" i="48"/>
  <c r="I99" i="48"/>
  <c r="N99" i="48"/>
  <c r="S99" i="48"/>
  <c r="AA99" i="48"/>
  <c r="AC99" i="48"/>
  <c r="L99" i="48"/>
  <c r="AB99" i="48"/>
  <c r="AD99" i="48"/>
  <c r="AG99" i="48"/>
  <c r="T99" i="48"/>
  <c r="O99" i="48"/>
  <c r="K99" i="48"/>
  <c r="AI99" i="48"/>
  <c r="U99" i="48"/>
  <c r="AE99" i="48"/>
  <c r="AK99" i="48"/>
  <c r="V99" i="48"/>
  <c r="AJ99" i="48"/>
  <c r="G99" i="48"/>
  <c r="M99" i="48"/>
  <c r="H99" i="48"/>
  <c r="X99" i="48"/>
  <c r="Y99" i="48"/>
  <c r="R99" i="48"/>
  <c r="P99" i="48"/>
  <c r="AF99" i="48"/>
  <c r="W99" i="48"/>
  <c r="Z99" i="48"/>
  <c r="AL99" i="48"/>
  <c r="Q99" i="48"/>
  <c r="J99" i="48"/>
  <c r="AH99" i="48"/>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99">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bk>
      <extLst>
        <ext uri="{3e2802c4-a4d2-4d8b-9148-e3be6c30e623}">
          <xlrd:rvb i="54"/>
        </ext>
      </extLst>
    </bk>
    <bk>
      <extLst>
        <ext uri="{3e2802c4-a4d2-4d8b-9148-e3be6c30e623}">
          <xlrd:rvb i="55"/>
        </ext>
      </extLst>
    </bk>
    <bk>
      <extLst>
        <ext uri="{3e2802c4-a4d2-4d8b-9148-e3be6c30e623}">
          <xlrd:rvb i="56"/>
        </ext>
      </extLst>
    </bk>
    <bk>
      <extLst>
        <ext uri="{3e2802c4-a4d2-4d8b-9148-e3be6c30e623}">
          <xlrd:rvb i="57"/>
        </ext>
      </extLst>
    </bk>
    <bk>
      <extLst>
        <ext uri="{3e2802c4-a4d2-4d8b-9148-e3be6c30e623}">
          <xlrd:rvb i="58"/>
        </ext>
      </extLst>
    </bk>
    <bk>
      <extLst>
        <ext uri="{3e2802c4-a4d2-4d8b-9148-e3be6c30e623}">
          <xlrd:rvb i="59"/>
        </ext>
      </extLst>
    </bk>
    <bk>
      <extLst>
        <ext uri="{3e2802c4-a4d2-4d8b-9148-e3be6c30e623}">
          <xlrd:rvb i="60"/>
        </ext>
      </extLst>
    </bk>
    <bk>
      <extLst>
        <ext uri="{3e2802c4-a4d2-4d8b-9148-e3be6c30e623}">
          <xlrd:rvb i="61"/>
        </ext>
      </extLst>
    </bk>
    <bk>
      <extLst>
        <ext uri="{3e2802c4-a4d2-4d8b-9148-e3be6c30e623}">
          <xlrd:rvb i="62"/>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66"/>
        </ext>
      </extLst>
    </bk>
    <bk>
      <extLst>
        <ext uri="{3e2802c4-a4d2-4d8b-9148-e3be6c30e623}">
          <xlrd:rvb i="67"/>
        </ext>
      </extLst>
    </bk>
    <bk>
      <extLst>
        <ext uri="{3e2802c4-a4d2-4d8b-9148-e3be6c30e623}">
          <xlrd:rvb i="68"/>
        </ext>
      </extLst>
    </bk>
    <bk>
      <extLst>
        <ext uri="{3e2802c4-a4d2-4d8b-9148-e3be6c30e623}">
          <xlrd:rvb i="69"/>
        </ext>
      </extLst>
    </bk>
    <bk>
      <extLst>
        <ext uri="{3e2802c4-a4d2-4d8b-9148-e3be6c30e623}">
          <xlrd:rvb i="70"/>
        </ext>
      </extLst>
    </bk>
    <bk>
      <extLst>
        <ext uri="{3e2802c4-a4d2-4d8b-9148-e3be6c30e623}">
          <xlrd:rvb i="71"/>
        </ext>
      </extLst>
    </bk>
    <bk>
      <extLst>
        <ext uri="{3e2802c4-a4d2-4d8b-9148-e3be6c30e623}">
          <xlrd:rvb i="72"/>
        </ext>
      </extLst>
    </bk>
    <bk>
      <extLst>
        <ext uri="{3e2802c4-a4d2-4d8b-9148-e3be6c30e623}">
          <xlrd:rvb i="73"/>
        </ext>
      </extLst>
    </bk>
    <bk>
      <extLst>
        <ext uri="{3e2802c4-a4d2-4d8b-9148-e3be6c30e623}">
          <xlrd:rvb i="74"/>
        </ext>
      </extLst>
    </bk>
    <bk>
      <extLst>
        <ext uri="{3e2802c4-a4d2-4d8b-9148-e3be6c30e623}">
          <xlrd:rvb i="75"/>
        </ext>
      </extLst>
    </bk>
    <bk>
      <extLst>
        <ext uri="{3e2802c4-a4d2-4d8b-9148-e3be6c30e623}">
          <xlrd:rvb i="76"/>
        </ext>
      </extLst>
    </bk>
    <bk>
      <extLst>
        <ext uri="{3e2802c4-a4d2-4d8b-9148-e3be6c30e623}">
          <xlrd:rvb i="77"/>
        </ext>
      </extLst>
    </bk>
    <bk>
      <extLst>
        <ext uri="{3e2802c4-a4d2-4d8b-9148-e3be6c30e623}">
          <xlrd:rvb i="78"/>
        </ext>
      </extLst>
    </bk>
    <bk>
      <extLst>
        <ext uri="{3e2802c4-a4d2-4d8b-9148-e3be6c30e623}">
          <xlrd:rvb i="79"/>
        </ext>
      </extLst>
    </bk>
    <bk>
      <extLst>
        <ext uri="{3e2802c4-a4d2-4d8b-9148-e3be6c30e623}">
          <xlrd:rvb i="80"/>
        </ext>
      </extLst>
    </bk>
    <bk>
      <extLst>
        <ext uri="{3e2802c4-a4d2-4d8b-9148-e3be6c30e623}">
          <xlrd:rvb i="81"/>
        </ext>
      </extLst>
    </bk>
    <bk>
      <extLst>
        <ext uri="{3e2802c4-a4d2-4d8b-9148-e3be6c30e623}">
          <xlrd:rvb i="82"/>
        </ext>
      </extLst>
    </bk>
    <bk>
      <extLst>
        <ext uri="{3e2802c4-a4d2-4d8b-9148-e3be6c30e623}">
          <xlrd:rvb i="83"/>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futureMetadata>
  <cellMetadata count="1">
    <bk>
      <rc t="1" v="0"/>
    </bk>
  </cellMetadata>
  <valueMetadata count="99">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valueMetadata>
</metadata>
</file>

<file path=xl/sharedStrings.xml><?xml version="1.0" encoding="utf-8"?>
<sst xmlns="http://schemas.openxmlformats.org/spreadsheetml/2006/main" count="15713" uniqueCount="2880">
  <si>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</si>
  <si>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</si>
  <si>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</si>
  <si>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</si>
  <si>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</si>
  <si>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</si>
  <si>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</si>
  <si>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</si>
  <si>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</si>
  <si>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</si>
  <si>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</si>
  <si>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</si>
  <si>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</si>
  <si>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</si>
  <si>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</si>
  <si>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</si>
  <si>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</si>
  <si>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</si>
  <si>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</si>
  <si>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</si>
  <si>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</si>
  <si>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</si>
  <si>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</si>
  <si>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</si>
  <si>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</si>
  <si>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</si>
  <si>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</si>
  <si>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</si>
  <si>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</si>
  <si>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</si>
  <si>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</si>
  <si>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</si>
  <si>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</si>
  <si>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</si>
  <si>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</si>
  <si>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</si>
  <si>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</si>
  <si>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</si>
  <si>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</si>
  <si>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</si>
  <si>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</si>
  <si>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</si>
  <si>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</si>
  <si>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</si>
  <si>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</si>
  <si>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</si>
  <si>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</si>
  <si>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</si>
  <si>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</si>
  <si>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</si>
  <si>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</si>
  <si>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</si>
  <si>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</si>
  <si>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</si>
  <si>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</si>
  <si>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</si>
  <si>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</si>
  <si>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</si>
  <si>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</si>
  <si>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</si>
  <si>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</si>
  <si>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</si>
  <si>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</si>
  <si>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</si>
  <si>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</si>
  <si>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</si>
  <si>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</si>
  <si>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</si>
  <si>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</si>
  <si>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</si>
  <si>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</si>
  <si>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</si>
  <si>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</si>
  <si>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</si>
  <si>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</si>
  <si>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</si>
  <si>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</si>
  <si>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</si>
  <si>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</si>
  <si>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</si>
  <si>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</si>
  <si>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</si>
  <si>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</si>
  <si>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</si>
  <si>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</si>
  <si>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</si>
  <si>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</si>
  <si>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</si>
  <si>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</si>
  <si>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</si>
  <si>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</si>
  <si>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</si>
  <si>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</si>
  <si>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</si>
  <si>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</si>
  <si>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</si>
  <si>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</si>
  <si>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</si>
  <si>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</si>
  <si>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</si>
  <si>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</si>
  <si>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</si>
  <si>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</si>
  <si>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</si>
  <si>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</si>
  <si>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</si>
  <si>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</si>
  <si>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</si>
  <si>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</si>
  <si>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</si>
  <si>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</si>
  <si>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</si>
  <si>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</si>
  <si>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</si>
  <si>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</si>
  <si>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</si>
  <si>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</si>
  <si>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</si>
  <si>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</si>
  <si>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</si>
  <si>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</si>
  <si>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</si>
  <si>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</si>
  <si>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</si>
  <si>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</si>
  <si>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</si>
  <si>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</si>
  <si>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</si>
  <si>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</si>
  <si>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</si>
  <si>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</si>
  <si>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</si>
  <si>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</si>
  <si>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</si>
  <si>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</si>
  <si>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</si>
  <si>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</si>
  <si>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</si>
  <si>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</si>
  <si>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</si>
  <si>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</si>
  <si>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</si>
  <si>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</si>
  <si>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</si>
  <si>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</si>
  <si>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</si>
  <si>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</si>
  <si>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</si>
  <si>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</si>
  <si>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</si>
  <si>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</si>
  <si>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</si>
  <si>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</si>
  <si>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</si>
  <si>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</si>
  <si>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</si>
  <si>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</si>
  <si>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</si>
  <si>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</si>
  <si>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</si>
  <si>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</si>
  <si>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</si>
  <si>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</si>
  <si>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</si>
  <si>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</si>
  <si>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</si>
  <si>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</si>
  <si>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</si>
  <si>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</si>
  <si>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</si>
  <si>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</si>
  <si>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</si>
  <si>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</si>
  <si>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</si>
  <si>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</si>
  <si>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</si>
  <si>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</si>
  <si>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</si>
  <si>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</si>
  <si>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</si>
  <si>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</si>
  <si>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</si>
  <si>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</si>
  <si>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</si>
  <si>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</si>
  <si>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</si>
  <si>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</si>
  <si>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</si>
  <si>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</si>
  <si>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</si>
  <si>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</si>
  <si>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</si>
  <si>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</si>
  <si>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</si>
  <si>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</si>
  <si>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</si>
  <si>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</si>
  <si>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</si>
  <si>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</si>
  <si>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</si>
  <si>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</si>
  <si>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</si>
  <si>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</si>
  <si>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</si>
  <si>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</si>
  <si>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</si>
  <si>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</si>
  <si>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</si>
  <si>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</si>
  <si>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</si>
  <si>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</si>
  <si>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</si>
  <si>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</si>
  <si>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</si>
  <si>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</si>
  <si>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</si>
  <si>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</si>
  <si>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</si>
  <si>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</si>
  <si>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</si>
  <si>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</si>
  <si>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</si>
  <si>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</si>
  <si>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</si>
  <si>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</si>
  <si>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</si>
  <si>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</si>
  <si>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</si>
  <si>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</si>
  <si>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</si>
  <si>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</si>
  <si>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</si>
  <si>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</si>
  <si>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</si>
  <si>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</si>
  <si>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</si>
  <si>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</si>
  <si>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</si>
  <si>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</si>
  <si>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</si>
  <si>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</si>
  <si>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</si>
  <si>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</si>
  <si>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</si>
  <si>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</si>
  <si>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</si>
  <si>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</si>
  <si>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</si>
  <si>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</si>
  <si>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</si>
  <si>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</si>
  <si>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</si>
  <si>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</si>
  <si>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</si>
  <si>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</si>
  <si>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</si>
  <si>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</si>
  <si>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</si>
  <si>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</si>
  <si>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</si>
  <si>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</si>
  <si>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</si>
  <si>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</si>
  <si>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</si>
  <si>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</si>
  <si>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</si>
  <si>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</si>
  <si>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</si>
  <si>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</si>
  <si>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</si>
  <si>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</si>
  <si>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</si>
  <si>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</si>
  <si>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</si>
  <si>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</si>
  <si>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</si>
  <si>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</si>
  <si>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</si>
  <si>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</si>
  <si>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</si>
  <si>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</si>
  <si>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</si>
  <si>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</si>
  <si>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</si>
  <si>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</si>
  <si>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</si>
  <si>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</si>
  <si>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</si>
  <si>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</si>
  <si>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</si>
  <si>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</si>
  <si>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</si>
  <si>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</si>
  <si>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</si>
  <si>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</si>
  <si>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</si>
  <si>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</si>
  <si>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</si>
  <si>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</si>
  <si>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</si>
  <si>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</si>
  <si>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</si>
  <si>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</si>
  <si>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</si>
  <si>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</si>
  <si>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</si>
  <si>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</si>
  <si>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</si>
  <si>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</si>
  <si>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</si>
  <si>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</si>
  <si>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</si>
  <si>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</si>
  <si>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</si>
  <si>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</si>
  <si>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</si>
  <si>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</si>
  <si>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</si>
  <si>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</si>
  <si>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</si>
  <si>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</si>
  <si>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</si>
  <si>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</si>
  <si>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</si>
  <si>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</si>
  <si>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</si>
  <si>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</si>
  <si>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</si>
  <si>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</si>
  <si>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</si>
  <si>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</si>
  <si>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</si>
  <si>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</si>
  <si>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</si>
  <si>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</si>
  <si>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</si>
  <si>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</si>
  <si>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</si>
  <si>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</si>
  <si>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</si>
  <si>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</si>
  <si>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</si>
  <si>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</si>
  <si>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</si>
  <si>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</si>
  <si>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</si>
  <si>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</si>
  <si>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</si>
  <si>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</si>
  <si>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</si>
  <si>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</si>
  <si>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</si>
  <si>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</si>
  <si>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</si>
  <si>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</si>
  <si>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</si>
  <si>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</si>
  <si>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</si>
  <si>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</si>
  <si>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</si>
  <si>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</si>
  <si>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</si>
  <si>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</si>
  <si>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</si>
  <si>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</si>
  <si>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</si>
  <si>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</si>
  <si>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</si>
  <si>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</si>
  <si>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</si>
  <si>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</si>
  <si>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</si>
  <si>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</si>
  <si>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</si>
  <si>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</si>
  <si>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</si>
  <si>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</si>
  <si>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</si>
  <si>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</si>
  <si>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</si>
  <si>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</si>
  <si>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</si>
  <si>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</si>
  <si>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</si>
  <si>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</si>
  <si>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</si>
  <si>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</si>
  <si>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</si>
  <si>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</si>
  <si>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</si>
  <si>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</si>
  <si>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</si>
  <si>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</si>
  <si>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</si>
  <si>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</si>
  <si>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</si>
  <si>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</si>
  <si>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</si>
  <si>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</si>
  <si>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</si>
  <si>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</si>
  <si>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</si>
  <si>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</si>
  <si>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</si>
  <si>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</si>
  <si>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</si>
  <si>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</si>
  <si>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</si>
  <si>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</si>
  <si>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</si>
  <si>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</si>
  <si>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</si>
  <si>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</si>
  <si>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</si>
  <si>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</si>
  <si>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</si>
  <si>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</si>
  <si>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</si>
  <si>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</si>
  <si>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</si>
  <si>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</si>
  <si>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</si>
  <si>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</si>
  <si>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</si>
  <si>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</si>
  <si>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</si>
  <si>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</si>
  <si>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</si>
  <si>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</si>
  <si>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</si>
  <si>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</si>
  <si>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</si>
  <si>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</si>
  <si>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</si>
  <si>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</si>
  <si>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</si>
  <si>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</si>
  <si>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</si>
  <si>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</si>
  <si>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</si>
  <si>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</si>
  <si>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</si>
  <si>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</si>
  <si>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</si>
  <si>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</si>
  <si>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</si>
  <si>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</si>
  <si>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</si>
  <si>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</si>
  <si>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</si>
  <si>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</si>
  <si>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</si>
  <si>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</si>
  <si>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</si>
  <si>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</si>
  <si>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</si>
  <si>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</si>
  <si>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</si>
  <si>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</si>
  <si>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</si>
  <si>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</si>
  <si>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</si>
  <si>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</si>
  <si>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</si>
  <si>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</si>
  <si>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</si>
  <si>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</si>
  <si>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</si>
  <si>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</si>
  <si>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</si>
  <si>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</si>
  <si>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</si>
  <si>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</si>
  <si>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</si>
  <si>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</si>
  <si>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</si>
  <si>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</si>
  <si>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</si>
  <si>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</si>
  <si>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</si>
  <si>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</si>
  <si>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</si>
  <si>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</si>
  <si>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</si>
  <si>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</si>
  <si>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</si>
  <si>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</si>
  <si>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</si>
  <si>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</si>
  <si>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</si>
  <si>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</si>
  <si>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</si>
  <si>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</si>
  <si>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</si>
  <si>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</si>
  <si>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</si>
  <si>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</si>
  <si>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</si>
  <si>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</si>
  <si>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</si>
  <si>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</si>
  <si>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</si>
  <si>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</si>
  <si>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</si>
  <si>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</si>
  <si>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</si>
  <si>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</si>
  <si>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</si>
  <si>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</si>
  <si>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</si>
  <si>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</si>
  <si>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</si>
  <si>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</si>
  <si>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</si>
  <si>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</si>
  <si>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</si>
  <si>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</si>
  <si>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</si>
  <si>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</si>
  <si>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</si>
  <si>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</si>
  <si>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</si>
  <si>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</si>
  <si>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</si>
  <si>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</si>
  <si>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</si>
  <si>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</si>
  <si>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</si>
  <si>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</si>
  <si>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</si>
  <si>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</si>
  <si>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</si>
  <si>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</si>
  <si>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</si>
  <si>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</si>
  <si>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</si>
  <si>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</si>
  <si>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</si>
  <si>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</si>
  <si>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</si>
  <si>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</si>
  <si>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</si>
  <si>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</si>
  <si>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</si>
  <si>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</si>
  <si>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</si>
  <si>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</si>
  <si>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</si>
  <si>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</si>
  <si>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</si>
  <si>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</si>
  <si>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</si>
  <si>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</si>
  <si>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</si>
  <si>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</si>
  <si>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</si>
  <si>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</si>
  <si>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</si>
  <si>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</si>
  <si>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</si>
  <si>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</si>
  <si>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</si>
  <si>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</si>
  <si>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</si>
  <si>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</si>
  <si>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</si>
  <si>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</si>
  <si>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</si>
  <si>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</si>
  <si>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</si>
  <si>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</si>
  <si>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</si>
  <si>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</si>
  <si>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</si>
  <si>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</si>
  <si>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</si>
  <si>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</si>
  <si>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</si>
  <si>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</si>
  <si>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</si>
  <si>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</si>
  <si>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</si>
  <si>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</si>
  <si>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</si>
  <si>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</si>
  <si>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</si>
  <si>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</si>
  <si>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</si>
  <si>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</si>
  <si>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</si>
  <si>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</si>
  <si>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</si>
  <si>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</si>
  <si>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</si>
  <si>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</si>
  <si>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</si>
  <si>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</si>
  <si>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</si>
  <si>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</si>
  <si>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</si>
  <si>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</si>
  <si>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</si>
  <si>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</si>
  <si>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</si>
  <si>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</si>
  <si>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</si>
  <si>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</si>
  <si>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</si>
  <si>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</si>
  <si>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</si>
  <si>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</si>
  <si>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</si>
  <si>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</si>
  <si>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</si>
  <si>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</si>
  <si>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</si>
  <si>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</si>
  <si>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</si>
  <si>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</si>
  <si>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</si>
  <si>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</si>
  <si>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</si>
  <si>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</si>
  <si>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</si>
  <si>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</si>
  <si>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</si>
  <si>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</si>
  <si>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</si>
  <si>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</si>
  <si>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</si>
  <si>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</si>
  <si>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</si>
  <si>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</si>
  <si>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</si>
  <si>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</si>
  <si>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</si>
  <si>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</si>
  <si>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</si>
  <si>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</si>
  <si>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</si>
  <si>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</si>
  <si>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</si>
  <si>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</si>
  <si>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</si>
  <si>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</si>
  <si>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</si>
  <si>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</si>
  <si>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</si>
  <si>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</si>
  <si>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</si>
  <si>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</si>
  <si>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</si>
  <si>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</si>
  <si>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</si>
  <si>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</si>
  <si>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</si>
  <si>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</si>
  <si>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</si>
  <si>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</si>
  <si>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</si>
  <si>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</si>
  <si>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</si>
  <si>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</si>
  <si>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</si>
  <si>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</si>
  <si>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</si>
  <si>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</si>
  <si>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</si>
  <si>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</si>
  <si>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</si>
  <si>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</si>
  <si>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</si>
  <si>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</si>
  <si>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</si>
  <si>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</si>
  <si>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</si>
  <si>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</si>
  <si>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</si>
  <si>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</si>
  <si>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</si>
  <si>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</si>
  <si>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</si>
  <si>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</si>
  <si>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</si>
  <si>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</si>
  <si>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</si>
  <si>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</si>
  <si>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</si>
  <si>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</si>
  <si>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</si>
  <si>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</si>
  <si>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</si>
  <si>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</si>
  <si>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</si>
  <si>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</si>
  <si>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</si>
  <si>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</si>
  <si>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</si>
  <si>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</si>
  <si>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</si>
  <si>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</si>
  <si>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</si>
  <si>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</si>
  <si>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</si>
  <si>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</si>
  <si>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</si>
  <si>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</si>
  <si>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</si>
  <si>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</si>
  <si>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</si>
  <si>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</si>
  <si>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</si>
  <si>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</si>
  <si>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</si>
  <si>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</si>
  <si>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</si>
  <si>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</si>
  <si>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</si>
  <si>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</si>
  <si>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</si>
  <si>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</si>
  <si>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</si>
  <si>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</si>
  <si>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</si>
  <si>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</si>
  <si>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</si>
  <si>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</si>
  <si>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</si>
  <si>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</si>
  <si>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</si>
  <si>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</si>
  <si>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</si>
  <si>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</si>
  <si>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</si>
  <si>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</si>
  <si>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</si>
  <si>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</si>
  <si>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</si>
  <si>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</si>
  <si>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</si>
  <si>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</si>
  <si>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</si>
  <si>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</si>
  <si>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</si>
  <si>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</si>
  <si>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</si>
  <si>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</si>
  <si>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</si>
  <si>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</si>
  <si>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</si>
  <si>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</si>
  <si>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</si>
  <si>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</si>
  <si>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</si>
  <si>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</si>
  <si>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</si>
  <si>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</si>
  <si>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</si>
  <si>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</si>
  <si>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</si>
  <si>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</si>
  <si>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</si>
  <si>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</si>
  <si>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</si>
  <si>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</si>
  <si>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</si>
  <si>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</si>
  <si>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</si>
  <si>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</si>
  <si>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</si>
  <si>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</si>
  <si>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</si>
  <si>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</si>
  <si>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</si>
  <si>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</si>
  <si>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</si>
  <si>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</si>
  <si>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</si>
  <si>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</si>
  <si>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</si>
  <si>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</si>
  <si>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</si>
  <si>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</si>
  <si>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</si>
  <si>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</si>
  <si>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</si>
  <si>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</si>
  <si>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</si>
  <si>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</si>
  <si>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</si>
  <si>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</si>
  <si>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</si>
  <si>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</si>
  <si>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</si>
  <si>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</si>
  <si>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</si>
  <si>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</si>
  <si>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</si>
  <si>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</si>
  <si>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</si>
  <si>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</si>
  <si>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</si>
  <si>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</si>
  <si>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</si>
  <si>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</si>
  <si>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</si>
  <si>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</si>
  <si>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</si>
  <si>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</si>
  <si>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</si>
  <si>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</si>
  <si>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</si>
  <si>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</si>
  <si>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</si>
  <si>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</si>
  <si>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</si>
  <si>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</si>
  <si>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</si>
  <si>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</si>
  <si>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</si>
  <si>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</si>
  <si>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</si>
  <si>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</si>
  <si>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</si>
  <si>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</si>
  <si>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</si>
  <si>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</si>
  <si>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</si>
  <si>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</si>
  <si>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</si>
  <si>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</si>
  <si>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</si>
  <si>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</si>
  <si>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</si>
  <si>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</si>
  <si>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</si>
  <si>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</si>
  <si>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</si>
  <si>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</si>
  <si>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</si>
  <si>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</si>
  <si>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</si>
  <si>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</si>
  <si>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</si>
  <si>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</si>
  <si>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</si>
  <si>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</si>
  <si>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</si>
  <si>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</si>
  <si>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</si>
  <si>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</si>
  <si>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</si>
  <si>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</si>
  <si>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</si>
  <si>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</si>
  <si>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</si>
  <si>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</si>
  <si>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</si>
  <si>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</si>
  <si>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</si>
  <si>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</si>
  <si>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</si>
  <si>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</si>
  <si>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</si>
  <si>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</si>
  <si>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</si>
  <si>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</si>
  <si>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</si>
  <si>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</si>
  <si>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</si>
  <si>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</si>
  <si>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</si>
  <si>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</si>
  <si>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</si>
  <si>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</si>
  <si>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</si>
  <si>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</si>
  <si>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</si>
  <si>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</si>
  <si>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</si>
  <si>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</si>
  <si>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</si>
  <si>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</si>
  <si>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</si>
  <si>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</si>
  <si>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</si>
  <si>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</si>
  <si>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</si>
  <si>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</si>
  <si>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</si>
  <si>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</si>
  <si>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</si>
  <si>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</si>
  <si>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</si>
  <si>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</si>
  <si>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</si>
  <si>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</si>
  <si>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</si>
  <si>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</si>
  <si>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</si>
  <si>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</si>
  <si>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</si>
  <si>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</si>
  <si>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</si>
  <si>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</si>
  <si>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</si>
  <si>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</si>
  <si>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</si>
  <si>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</si>
  <si>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</si>
  <si>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</si>
  <si>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</si>
  <si>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</si>
  <si>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</si>
  <si>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</si>
  <si>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</si>
  <si>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</si>
  <si>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</si>
  <si>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</si>
  <si>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</si>
  <si>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</si>
  <si>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</si>
  <si>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</si>
  <si>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</si>
  <si>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</si>
  <si>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</si>
  <si>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</si>
  <si>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</si>
  <si>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</si>
  <si>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</si>
  <si>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</si>
  <si>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</si>
  <si>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</si>
  <si>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</si>
  <si>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</si>
  <si>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</si>
  <si>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</si>
  <si>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</si>
  <si>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</si>
  <si>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</si>
  <si>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</si>
  <si>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</si>
  <si>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</si>
  <si>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</si>
  <si>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</si>
  <si>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</si>
  <si>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</si>
  <si>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</si>
  <si>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</si>
  <si>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</si>
  <si>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</si>
  <si>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</si>
  <si>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</si>
  <si>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</si>
  <si>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</si>
  <si>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</si>
  <si>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</si>
  <si>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</si>
  <si>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</si>
  <si>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</si>
  <si>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</si>
  <si>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</si>
  <si>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</si>
  <si>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</si>
  <si>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</si>
  <si>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</si>
  <si>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</si>
  <si>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</si>
  <si>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</si>
  <si>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</si>
  <si>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</si>
  <si>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</si>
  <si>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</si>
  <si>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</si>
  <si>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</si>
  <si>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</si>
  <si>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</si>
  <si>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</si>
  <si>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</si>
  <si>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</si>
  <si>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</si>
  <si>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</si>
  <si>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</si>
  <si>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</si>
  <si>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</si>
  <si>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</si>
  <si>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</si>
  <si>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</si>
  <si>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</si>
  <si>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</si>
  <si>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</si>
  <si>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</si>
  <si>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</si>
  <si>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</si>
  <si>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</si>
  <si>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</si>
  <si>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</si>
  <si>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</si>
  <si>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</si>
  <si>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</si>
  <si>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</si>
  <si>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</si>
  <si>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</si>
  <si>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</si>
  <si>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</si>
  <si>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</si>
  <si>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</si>
  <si>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</si>
  <si>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</si>
  <si>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</si>
  <si>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</si>
  <si>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</si>
  <si>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</si>
  <si>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</si>
  <si>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</si>
  <si>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</si>
  <si>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</si>
  <si>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</si>
  <si>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</si>
  <si>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</si>
  <si>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</si>
  <si>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</si>
  <si>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</si>
  <si>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</si>
  <si>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</si>
  <si>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</si>
  <si>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</si>
  <si>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</si>
  <si>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</si>
  <si>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</si>
  <si>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</si>
  <si>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</si>
  <si>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</si>
  <si>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</si>
  <si>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</si>
  <si>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</si>
  <si>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</si>
  <si>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</si>
  <si>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</si>
  <si>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</si>
  <si>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</si>
  <si>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</si>
  <si>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</si>
  <si>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</si>
  <si>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</si>
  <si>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</si>
  <si>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</si>
  <si>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</si>
  <si>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</si>
  <si>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</si>
  <si>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</si>
  <si>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</si>
  <si>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</si>
  <si>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</si>
  <si>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</si>
  <si>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</si>
  <si>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</si>
  <si>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</si>
  <si>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</si>
  <si>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</si>
  <si>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</si>
  <si>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</si>
  <si>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</si>
  <si>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</si>
  <si>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</si>
  <si>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</si>
  <si>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</si>
  <si>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</si>
  <si>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</si>
  <si>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</si>
  <si>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</si>
  <si>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</si>
  <si>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</si>
  <si>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</si>
  <si>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</si>
  <si>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</si>
  <si>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</si>
  <si>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</si>
  <si>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</si>
  <si>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</si>
  <si>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</si>
  <si>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</si>
  <si>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</si>
  <si>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</si>
  <si>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</si>
  <si>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</si>
  <si>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</si>
  <si>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</si>
  <si>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</si>
  <si>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</si>
  <si>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</si>
  <si>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</si>
  <si>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</si>
  <si>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</si>
  <si>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</si>
  <si>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</si>
  <si>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</si>
  <si>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</si>
  <si>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</si>
  <si>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</si>
  <si>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</si>
  <si>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</si>
  <si>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</si>
  <si>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</si>
  <si>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</si>
  <si>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</si>
  <si>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</si>
  <si>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</si>
  <si>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</si>
  <si>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</si>
  <si>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</si>
  <si>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</si>
  <si>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</si>
  <si>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</si>
  <si>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</si>
  <si>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</si>
  <si>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</si>
  <si>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</si>
  <si>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</si>
  <si>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</si>
  <si>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</si>
  <si>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</si>
  <si>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</si>
  <si>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</si>
  <si>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</si>
  <si>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</si>
  <si>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</si>
  <si>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</si>
  <si>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</si>
  <si>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</si>
  <si>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</si>
  <si>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</si>
  <si>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</si>
  <si>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</si>
  <si>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</si>
  <si>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</si>
  <si>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</si>
  <si>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</si>
  <si>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</si>
  <si>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</si>
  <si>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</si>
  <si>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</si>
  <si>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</si>
  <si>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</si>
  <si>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</si>
  <si>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</si>
  <si>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</si>
  <si>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</si>
  <si>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</si>
  <si>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</si>
  <si>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</si>
  <si>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</si>
  <si>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</si>
  <si>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</si>
  <si>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</si>
  <si>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</si>
  <si>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</si>
  <si>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</si>
  <si>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</si>
  <si>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</si>
  <si>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</si>
  <si>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</si>
  <si>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</si>
  <si>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</si>
  <si>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</si>
  <si>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</si>
  <si>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</si>
  <si>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</si>
  <si>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</si>
  <si>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</si>
  <si>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</si>
  <si>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</si>
  <si>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</si>
  <si>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</si>
  <si>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</si>
  <si>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</si>
  <si>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</si>
  <si>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</si>
  <si>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</si>
  <si>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</si>
  <si>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</si>
  <si>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</si>
  <si>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</si>
  <si>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</si>
  <si>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</si>
  <si>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</si>
  <si>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</si>
  <si>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</si>
  <si>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</si>
  <si>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</si>
  <si>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</si>
  <si>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</si>
  <si>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</si>
  <si>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</si>
  <si>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</si>
  <si>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</si>
  <si>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</si>
  <si>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</si>
  <si>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</si>
  <si>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</si>
  <si>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</si>
  <si>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</si>
  <si>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</si>
  <si>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</si>
  <si>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</si>
  <si>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</si>
  <si>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</si>
  <si>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</si>
  <si>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</si>
  <si>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</si>
  <si>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</si>
  <si>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</si>
  <si>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</si>
  <si>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</si>
  <si>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</si>
  <si>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</si>
  <si>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</si>
  <si>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</si>
  <si>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</si>
  <si>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</si>
  <si>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</si>
  <si>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</si>
  <si>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</si>
  <si>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</si>
  <si>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</si>
  <si>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</si>
  <si>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</si>
  <si>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</si>
  <si>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</si>
  <si>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</si>
  <si>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</si>
  <si>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</si>
  <si>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</si>
  <si>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</si>
  <si>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</si>
  <si>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</si>
  <si>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</si>
  <si>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</si>
  <si>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</si>
  <si>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</si>
  <si>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</si>
  <si>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</si>
  <si>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</si>
  <si>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</si>
  <si>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</si>
  <si>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</si>
  <si>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</si>
  <si>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</si>
  <si>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</si>
  <si>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</si>
  <si>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</si>
  <si>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</si>
  <si>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</si>
  <si>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</si>
  <si>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</si>
  <si>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</si>
  <si>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</si>
  <si>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</si>
  <si>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</si>
  <si>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</si>
  <si>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</si>
  <si>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</si>
  <si>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</si>
  <si>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</si>
  <si>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</si>
  <si>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</si>
  <si>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</si>
  <si>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</si>
  <si>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</si>
  <si>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</si>
  <si>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</si>
  <si>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</si>
  <si>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</si>
  <si>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</si>
  <si>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</si>
  <si>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</si>
  <si>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</si>
  <si>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</si>
  <si>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</si>
  <si>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</si>
  <si>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</si>
  <si>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</si>
  <si>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</si>
  <si>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</si>
  <si>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</si>
  <si>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</si>
  <si>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</si>
  <si>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</si>
  <si>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</si>
  <si>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</si>
  <si>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</si>
  <si>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</si>
  <si>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</si>
  <si>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</si>
  <si>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</si>
  <si>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</si>
  <si>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</si>
  <si>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</si>
  <si>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</si>
  <si>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</si>
  <si>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</si>
  <si>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</si>
  <si>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</si>
  <si>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</si>
  <si>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</si>
  <si>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</si>
  <si>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</si>
  <si>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</si>
  <si>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</si>
  <si>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</si>
  <si>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</si>
  <si>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</si>
  <si>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</si>
  <si>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</si>
  <si>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</si>
  <si>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</si>
  <si>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</si>
  <si>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</si>
  <si>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</si>
  <si>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</si>
  <si>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</si>
  <si>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</si>
  <si>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</si>
  <si>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</si>
  <si>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</si>
  <si>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</si>
  <si>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</si>
  <si>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</si>
  <si>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</si>
  <si>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</si>
  <si>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</si>
  <si>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</si>
  <si>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</si>
  <si>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</si>
  <si>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</si>
  <si>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</si>
  <si>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</si>
  <si>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</si>
  <si>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</si>
  <si>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</si>
  <si>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</si>
  <si>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</si>
  <si>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</si>
  <si>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</si>
  <si>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</si>
  <si>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</si>
  <si>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</si>
  <si>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</si>
  <si>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</si>
  <si>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</si>
  <si>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</si>
  <si>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</si>
  <si>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</si>
  <si>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</si>
  <si>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</si>
  <si>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</si>
  <si>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</si>
  <si>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</si>
  <si>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</si>
  <si>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</si>
  <si>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</si>
  <si>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</si>
  <si>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</si>
  <si>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</si>
  <si>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</si>
  <si>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</si>
  <si>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</si>
  <si>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</si>
  <si>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</si>
  <si>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</si>
  <si>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</si>
  <si>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</si>
  <si>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</si>
  <si>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</si>
  <si>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</si>
  <si>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</si>
  <si>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</si>
  <si>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</si>
  <si>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</si>
  <si>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</si>
  <si>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</si>
  <si>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</si>
  <si>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</si>
  <si>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</si>
  <si>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</si>
  <si>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</si>
  <si>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</si>
  <si>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</si>
  <si>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</si>
  <si>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</si>
  <si>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</si>
  <si>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</si>
  <si>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</si>
  <si>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</si>
  <si>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</si>
  <si>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</si>
  <si>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</si>
  <si>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</si>
  <si>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</si>
  <si>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</si>
  <si>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</si>
  <si>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</si>
  <si>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</si>
  <si>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</si>
  <si>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</si>
  <si>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</si>
  <si>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</si>
  <si>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</si>
  <si>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</si>
  <si>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</si>
  <si>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</si>
  <si>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</si>
  <si>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</si>
  <si>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</si>
  <si>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</si>
  <si>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</si>
  <si>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</si>
  <si>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</si>
  <si>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</si>
  <si>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</si>
  <si>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</si>
  <si>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</si>
  <si>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</si>
  <si>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</si>
  <si>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</si>
  <si>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</si>
  <si>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</si>
  <si>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</si>
  <si>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</si>
  <si>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</si>
  <si>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</si>
  <si>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</si>
  <si>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</si>
  <si>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</si>
  <si>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</si>
  <si>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</si>
  <si>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</si>
  <si>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</si>
  <si>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</si>
  <si>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</si>
  <si>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</si>
  <si>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</si>
  <si>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</si>
  <si>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</si>
  <si>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</si>
  <si>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</si>
  <si>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</si>
  <si>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</si>
  <si>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</si>
  <si>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</si>
  <si>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</si>
  <si>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</si>
  <si>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</si>
  <si>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</si>
  <si>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</si>
  <si>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</si>
  <si>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</si>
  <si>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</si>
  <si>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</si>
  <si>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</si>
  <si>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</si>
  <si>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</si>
  <si>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</si>
  <si>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</si>
  <si>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</si>
  <si>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</si>
  <si>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</si>
  <si>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</si>
  <si>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</si>
  <si>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</si>
  <si>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</si>
  <si>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</si>
  <si>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</si>
  <si>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</si>
  <si>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</si>
  <si>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</si>
  <si>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</si>
  <si>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</si>
  <si>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</si>
  <si>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</si>
  <si>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</si>
  <si>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</si>
  <si>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</si>
  <si>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</si>
  <si>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</si>
  <si>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</si>
  <si>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</si>
  <si>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</si>
  <si>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</si>
  <si>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</si>
  <si>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</si>
  <si>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</si>
  <si>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</si>
  <si>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</si>
  <si>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</si>
  <si>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</si>
  <si>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</si>
  <si>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</si>
  <si>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</si>
  <si>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</si>
  <si>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</si>
  <si>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</si>
  <si>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</si>
  <si>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</si>
  <si>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</si>
  <si>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</si>
  <si>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</si>
  <si>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</si>
  <si>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</si>
  <si>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</si>
  <si>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</si>
  <si>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</si>
  <si>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</si>
  <si>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</si>
  <si>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</si>
  <si>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</si>
  <si>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</si>
  <si>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</si>
  <si>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</si>
  <si>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</si>
  <si>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</si>
  <si>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</si>
  <si>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</si>
  <si>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</si>
  <si>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</si>
  <si>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</si>
  <si>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</si>
  <si>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</si>
  <si>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</si>
  <si>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</si>
  <si>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</si>
  <si>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</si>
  <si>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</si>
  <si>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</si>
  <si>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</si>
  <si>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</si>
  <si>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</si>
  <si>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</si>
  <si>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</si>
  <si>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</si>
  <si>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</si>
  <si>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</si>
  <si>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</si>
  <si>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</si>
  <si>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</si>
  <si>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</si>
  <si>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</si>
  <si>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</si>
  <si>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</si>
  <si>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</si>
  <si>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</si>
  <si>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</si>
  <si>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</si>
  <si>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</si>
  <si>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</si>
  <si>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</si>
  <si>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</si>
  <si>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</si>
  <si>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</si>
  <si>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</si>
  <si>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</si>
  <si>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</si>
  <si>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</si>
  <si>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</si>
  <si>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</si>
  <si>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</si>
  <si>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</si>
  <si>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</si>
  <si>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</si>
  <si>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</si>
  <si>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</si>
  <si>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</si>
  <si>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</si>
  <si>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</si>
  <si>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</si>
  <si>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</si>
  <si>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</si>
  <si>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</si>
  <si>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</si>
  <si>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</si>
  <si>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</si>
  <si>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</si>
  <si>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</si>
  <si>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</si>
  <si>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</si>
  <si>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</si>
  <si>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</si>
  <si>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</si>
  <si>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</si>
  <si>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</si>
  <si>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</si>
  <si>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</si>
  <si>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</si>
  <si>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</si>
  <si>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</si>
  <si>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</si>
  <si>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</si>
  <si>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</si>
  <si>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</si>
  <si>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</si>
  <si>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</si>
  <si>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</si>
  <si>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</si>
  <si>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</si>
  <si>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</si>
  <si>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</si>
  <si>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</si>
  <si>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</si>
  <si>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</si>
  <si>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</si>
  <si>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</si>
  <si>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</si>
  <si>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</si>
  <si>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</si>
  <si>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</si>
  <si>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</si>
  <si>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</si>
  <si>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</si>
  <si>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</si>
  <si>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</si>
  <si>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</si>
  <si>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</si>
  <si>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</si>
  <si>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</si>
  <si>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</si>
  <si>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</si>
  <si>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</si>
  <si>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</si>
  <si>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</si>
  <si>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</si>
  <si>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</si>
  <si>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</si>
  <si>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</si>
  <si>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</si>
  <si>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</si>
  <si>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</si>
  <si>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</si>
  <si>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</si>
  <si>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</si>
  <si>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</si>
  <si>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</si>
  <si>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</si>
  <si>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</si>
  <si>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</si>
  <si>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</si>
  <si>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</si>
  <si>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</si>
  <si>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</si>
  <si>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</si>
  <si>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</si>
  <si>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</si>
  <si>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</si>
  <si>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</si>
  <si>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</si>
  <si>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</si>
  <si>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</si>
  <si>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</si>
  <si>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</si>
  <si>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</si>
  <si>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</si>
  <si>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</si>
  <si>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</si>
  <si>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</si>
  <si>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</si>
  <si>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</si>
  <si>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</si>
  <si>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</si>
  <si>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</si>
  <si>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</si>
  <si>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</si>
  <si>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</si>
  <si>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</si>
  <si>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</si>
  <si>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</si>
  <si>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</si>
  <si>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</si>
  <si>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</si>
  <si>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</si>
  <si>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</si>
  <si>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</si>
  <si>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</si>
  <si>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</si>
  <si>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</si>
  <si>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</si>
  <si>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</si>
  <si>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</si>
  <si>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</si>
  <si>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</si>
  <si>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</si>
  <si>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</si>
  <si>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</si>
  <si>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</si>
  <si>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</si>
  <si>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</si>
  <si>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</si>
  <si>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</si>
  <si>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</si>
  <si>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</si>
  <si>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</si>
  <si>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</si>
  <si>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</si>
  <si>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</si>
  <si>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</si>
  <si>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</si>
  <si>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</si>
  <si>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</si>
  <si>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</si>
  <si>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</si>
  <si>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</si>
  <si>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</si>
  <si>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</si>
  <si>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</si>
  <si>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</si>
  <si>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</si>
  <si>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</si>
  <si>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</si>
  <si>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</si>
  <si>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</si>
  <si>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</si>
  <si>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</si>
  <si>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</si>
  <si>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</si>
  <si>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</si>
  <si>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</si>
  <si>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</si>
  <si>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</si>
  <si>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</si>
  <si>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</si>
  <si>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</si>
  <si>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</si>
  <si>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</si>
  <si>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</si>
  <si>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</si>
  <si>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</si>
  <si>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</si>
  <si>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</si>
  <si>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</si>
  <si>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</si>
  <si>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</si>
  <si>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</si>
  <si>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</si>
  <si>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</si>
  <si>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</si>
  <si>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</si>
  <si>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</si>
  <si>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</si>
  <si>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</si>
  <si>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</si>
  <si>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</si>
  <si>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</si>
  <si>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</si>
  <si>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</si>
  <si>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</si>
  <si>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</si>
  <si>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</si>
  <si>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</si>
  <si>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</si>
  <si>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</si>
  <si>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</si>
  <si>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</si>
  <si>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</si>
  <si>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</si>
  <si>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</si>
  <si>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</si>
  <si>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</si>
  <si>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</si>
  <si>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</si>
  <si>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</si>
  <si>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</si>
  <si>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</si>
  <si>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</si>
  <si>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</si>
  <si>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</si>
  <si>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</si>
  <si>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</si>
  <si>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</si>
  <si>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</si>
  <si>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</si>
  <si>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</si>
  <si>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</si>
  <si>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</si>
  <si>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</si>
  <si>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</si>
  <si>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</si>
  <si>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</si>
  <si>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</si>
  <si>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</si>
  <si>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</si>
  <si>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</si>
  <si>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</si>
  <si>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</si>
  <si>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</si>
  <si>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</si>
  <si>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</si>
  <si>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</si>
  <si>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</si>
  <si>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</si>
  <si>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</si>
  <si>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</si>
  <si>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</si>
  <si>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</si>
  <si>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</si>
  <si>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</si>
  <si>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</si>
  <si>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</si>
  <si>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</si>
  <si>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</si>
  <si>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</si>
  <si>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</si>
  <si>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</si>
  <si>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</si>
  <si>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</si>
  <si>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</si>
  <si>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</si>
  <si>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</si>
  <si>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</si>
  <si>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</si>
  <si>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</si>
  <si>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</si>
  <si>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</si>
  <si>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</si>
  <si>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</si>
  <si>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</si>
  <si>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</si>
  <si>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</si>
  <si>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</si>
  <si>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</si>
  <si>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</si>
  <si>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</si>
  <si>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</si>
  <si>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</si>
  <si>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</si>
  <si>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</si>
  <si>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</si>
  <si>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</si>
  <si>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</si>
  <si>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</si>
  <si>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</si>
  <si>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</si>
  <si>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</si>
  <si>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</si>
  <si>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</si>
  <si>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</si>
  <si>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</si>
  <si>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</si>
  <si>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</si>
  <si>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</si>
  <si>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</si>
  <si>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</si>
  <si>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</si>
  <si>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</si>
  <si>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</si>
  <si>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</si>
  <si>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</si>
  <si>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</si>
  <si>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</si>
  <si>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</si>
  <si>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</si>
  <si>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</si>
  <si>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</si>
  <si>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</si>
  <si>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</si>
  <si>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</si>
  <si>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</si>
  <si>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</si>
  <si>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</si>
  <si>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</si>
  <si>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</si>
  <si>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</si>
  <si>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</si>
  <si>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</si>
  <si>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</si>
  <si>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</si>
  <si>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</si>
  <si>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</si>
  <si>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</si>
  <si>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</si>
  <si>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</si>
  <si>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</si>
  <si>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</si>
  <si>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</si>
  <si>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</si>
  <si>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</si>
  <si>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</si>
  <si>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</si>
  <si>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</si>
  <si>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</si>
  <si>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</si>
  <si>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</si>
  <si>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</si>
  <si>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</si>
  <si>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</si>
  <si>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</si>
  <si>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</si>
  <si>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</si>
  <si>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</si>
  <si>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</si>
  <si>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</si>
  <si>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</si>
  <si>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</si>
  <si>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</si>
  <si>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</si>
  <si>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</si>
  <si>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</si>
  <si>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</si>
  <si>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</si>
  <si>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</si>
  <si>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</si>
  <si>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</si>
  <si>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</si>
  <si>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</si>
  <si>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</si>
  <si>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</si>
  <si>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</si>
  <si>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</si>
  <si>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</si>
  <si>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</si>
  <si>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</si>
  <si>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</si>
  <si>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</si>
  <si>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</si>
  <si>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</si>
  <si>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</si>
  <si>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</si>
  <si>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</si>
  <si>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</si>
  <si>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</si>
  <si>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</si>
  <si>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</si>
  <si>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</si>
  <si>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</si>
  <si>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</si>
  <si>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</si>
  <si>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</si>
  <si>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</si>
  <si>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</si>
  <si>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t>México-Sudáfrica</t>
  </si>
  <si>
    <t>Sistema de puntuación</t>
  </si>
  <si>
    <t>Scoring system</t>
  </si>
  <si>
    <r>
      <t xml:space="preserve">·Si haceis todo el Mundial de golpe, </t>
    </r>
    <r>
      <rPr>
        <b/>
        <sz val="11"/>
        <rFont val="Calibri"/>
        <family val="2"/>
        <scheme val="minor"/>
      </rPr>
      <t>incluido el predictor</t>
    </r>
    <r>
      <rPr>
        <sz val="11"/>
        <rFont val="Calibri"/>
        <family val="2"/>
        <scheme val="minor"/>
      </rPr>
      <t xml:space="preserve">, copiar de la </t>
    </r>
    <r>
      <rPr>
        <b/>
        <sz val="11"/>
        <rFont val="Calibri"/>
        <family val="2"/>
        <scheme val="minor"/>
      </rPr>
      <t xml:space="preserve">C5 a la C308 </t>
    </r>
    <r>
      <rPr>
        <sz val="11"/>
        <rFont val="Calibri"/>
        <family val="2"/>
        <scheme val="minor"/>
      </rPr>
      <t>y pegar valores en la plantilla de Administrador.</t>
    </r>
  </si>
  <si>
    <t>Maximo Asistidor</t>
  </si>
  <si>
    <t>Guante de Oro (mejor portero)</t>
  </si>
  <si>
    <t xml:space="preserve">Golden boy </t>
  </si>
  <si>
    <t>Equipo Revelacion</t>
  </si>
  <si>
    <t>Equipo Decepcion</t>
  </si>
  <si>
    <t>QUINIELA VENECA</t>
  </si>
  <si>
    <t>Leiner Zavarce</t>
  </si>
  <si>
    <t>2|0-1</t>
  </si>
  <si>
    <t>1|2-0</t>
  </si>
  <si>
    <t>2|1-2</t>
  </si>
  <si>
    <t>X|0-0</t>
  </si>
  <si>
    <t>2|0-3</t>
  </si>
  <si>
    <t>1|6-0</t>
  </si>
  <si>
    <t>2|2-3</t>
  </si>
  <si>
    <t>1|3-2</t>
  </si>
  <si>
    <t>1|2-1</t>
  </si>
  <si>
    <t>1|3-0</t>
  </si>
  <si>
    <t>1|4-0</t>
  </si>
  <si>
    <t>1|1-0</t>
  </si>
  <si>
    <t>2|0-4</t>
  </si>
  <si>
    <t>1|3-1</t>
  </si>
  <si>
    <t>X|1-1</t>
  </si>
  <si>
    <t>2|0-2</t>
  </si>
  <si>
    <t>2|1-3</t>
  </si>
  <si>
    <t>México-Canadá·2|1-2</t>
  </si>
  <si>
    <t>Brasil-Japón·1|3-2</t>
  </si>
  <si>
    <t>Alemania-Paraguay·1|2-1</t>
  </si>
  <si>
    <t>Países Bajos-Marruecos·1|3-1</t>
  </si>
  <si>
    <t>Ecuador-Noruega·2|1-3</t>
  </si>
  <si>
    <t>Francia-Suecia·1|3-0</t>
  </si>
  <si>
    <t>Corea del Sur-Escocia·1|1-0</t>
  </si>
  <si>
    <t>Inglaterra-Senegal·1|2-0</t>
  </si>
  <si>
    <t>Bélgica-Uruguay·1|2-0</t>
  </si>
  <si>
    <t>Estados Unidos-Catar·1|3-0</t>
  </si>
  <si>
    <t>España-Austria·1|3-0</t>
  </si>
  <si>
    <t>Colombia-Croacia·1|2-1</t>
  </si>
  <si>
    <t>Suiza-Argelia·1|2-0</t>
  </si>
  <si>
    <t>Turquía-Egipto·1|3-1</t>
  </si>
  <si>
    <t>Argentina-Arabia Saudita·1|3-0</t>
  </si>
  <si>
    <t>Portugal-Costa de Marfil·1|3-1</t>
  </si>
  <si>
    <t>Canadá-Países Bajos·2|0-3</t>
  </si>
  <si>
    <t>Alemania-Francia·2|1-3</t>
  </si>
  <si>
    <t>Brasil-Noruega·X|1-1</t>
  </si>
  <si>
    <t>Corea del Sur-Inglaterra·2|0-2</t>
  </si>
  <si>
    <t>Colombia-España·2|2-3</t>
  </si>
  <si>
    <t>Estados Unidos-Bélgica·1|2-1</t>
  </si>
  <si>
    <t>Argentina-Turquía·1|3-1</t>
  </si>
  <si>
    <t>Suiza-Portugal·2|1-2</t>
  </si>
  <si>
    <t>Francia-Países Bajos·X|2-2</t>
  </si>
  <si>
    <t>España-Estados Unidos·1|1-0</t>
  </si>
  <si>
    <t>Brasil-Inglaterra·2|1-2</t>
  </si>
  <si>
    <t>Argentina-Portugal·2|1-2</t>
  </si>
  <si>
    <t>Francia-España·2|2-3</t>
  </si>
  <si>
    <t>Inglaterra-Portugal·2|0-1</t>
  </si>
  <si>
    <t>Francia-Inglaterra·1|3-1</t>
  </si>
  <si>
    <t>España-Portugal·1|1-0</t>
  </si>
  <si>
    <t>Ferran Torres</t>
  </si>
  <si>
    <t>Harry Kane</t>
  </si>
  <si>
    <t>Haaland</t>
  </si>
  <si>
    <t>Pedri</t>
  </si>
  <si>
    <t>Lamine Yamal</t>
  </si>
  <si>
    <t>Vitinha</t>
  </si>
  <si>
    <t>Lionel Messi</t>
  </si>
  <si>
    <t>Unai Simon</t>
  </si>
  <si>
    <t>YUTA</t>
  </si>
  <si>
    <t>1|4-2</t>
  </si>
  <si>
    <t>2|1-4</t>
  </si>
  <si>
    <t>X|2-2</t>
  </si>
  <si>
    <t>2|0-5</t>
  </si>
  <si>
    <t>Corea del Sur-Canadá·1|1-0</t>
  </si>
  <si>
    <t>Brasil-Suecia·1|2-1</t>
  </si>
  <si>
    <t>Alemania-Paraguay·1|2-0</t>
  </si>
  <si>
    <t>Países Bajos-Marruecos·X|1-1</t>
  </si>
  <si>
    <t>Ecuador-Noruega·2|0-1</t>
  </si>
  <si>
    <t>Francia-Irán·1|3-0</t>
  </si>
  <si>
    <t>México-Japón·1|2-1</t>
  </si>
  <si>
    <t>Inglaterra-Senegal·1|1-0</t>
  </si>
  <si>
    <t>Bélgica-República Checa·1|3-1</t>
  </si>
  <si>
    <t>Turquía-Bosnia y Herzegovina·1|2-1</t>
  </si>
  <si>
    <t>España-Austria·1|2-0</t>
  </si>
  <si>
    <t>Colombia-Croacia·X|1-1</t>
  </si>
  <si>
    <t>Suiza-Argelia·1|3-1</t>
  </si>
  <si>
    <t>Estados Unidos-Egipto·X|1-1</t>
  </si>
  <si>
    <t>Argentina-Uruguay·1|2-1</t>
  </si>
  <si>
    <t>Portugal-Ghana·1|3-0</t>
  </si>
  <si>
    <t>Corea del Sur-Países Bajos·2|0-2</t>
  </si>
  <si>
    <t>Alemania-Francia·X|2-2</t>
  </si>
  <si>
    <t>Brasil-Noruega·2|2-3</t>
  </si>
  <si>
    <t>México-Inglaterra·X|1-1</t>
  </si>
  <si>
    <t>Colombia-España·2|1-2</t>
  </si>
  <si>
    <t>Turquía-Bélgica·1|2-1</t>
  </si>
  <si>
    <t>Argentina-Estados Unidos·1|1-0</t>
  </si>
  <si>
    <t>Suiza-Portugal·2|0-2</t>
  </si>
  <si>
    <t>Francia-Países Bajos·2|1-2</t>
  </si>
  <si>
    <t>España-Turquía·1|2-1</t>
  </si>
  <si>
    <t>Noruega-Inglaterra·X|1-1</t>
  </si>
  <si>
    <t>Argentina-Portugal·2|0-2</t>
  </si>
  <si>
    <t>Países Bajos-España·X|1-1</t>
  </si>
  <si>
    <t>Noruega-Portugal·2|1-2</t>
  </si>
  <si>
    <t>España-Noruega·1|3-2</t>
  </si>
  <si>
    <t>Países Bajos-Portugal·2|0-1</t>
  </si>
  <si>
    <t xml:space="preserve">cristiano ronaldo </t>
  </si>
  <si>
    <t>erling haaland</t>
  </si>
  <si>
    <t>harry kane</t>
  </si>
  <si>
    <t>martin odegaard</t>
  </si>
  <si>
    <t xml:space="preserve">lamine yamal </t>
  </si>
  <si>
    <t>bruno fernandes</t>
  </si>
  <si>
    <t>bart verbruggen</t>
  </si>
  <si>
    <t xml:space="preserve">arda guler </t>
  </si>
  <si>
    <t xml:space="preserve">noruega </t>
  </si>
  <si>
    <t>francia</t>
  </si>
  <si>
    <t>1|4-1</t>
  </si>
  <si>
    <t>México-Canadá·2|2-3</t>
  </si>
  <si>
    <t>Marruecos-Suecia·1|2-0</t>
  </si>
  <si>
    <t>Ecuador-Escocia·1|3-1</t>
  </si>
  <si>
    <t>Países Bajos-Brasil·2|0-2</t>
  </si>
  <si>
    <t>Alemania-Noruega·X|2-2</t>
  </si>
  <si>
    <t>Francia-Japón·1|3-0</t>
  </si>
  <si>
    <t>Corea del Sur-Arabia Saudita·1|2-0</t>
  </si>
  <si>
    <t>Croacia-Uzbekistán·1|3-0</t>
  </si>
  <si>
    <t>Bélgica-Sudáfrica·1|3-1</t>
  </si>
  <si>
    <t>Paraguay-Costa de Marfil·1|2-0</t>
  </si>
  <si>
    <t>España-Argelia·1|2-1</t>
  </si>
  <si>
    <t>Colombia-Inglaterra·2|2-3</t>
  </si>
  <si>
    <t>Suiza-Egipto·1|3-1</t>
  </si>
  <si>
    <t>Estados Unidos-Nueva Zelanda·1|2-0</t>
  </si>
  <si>
    <t>Argentina-Uruguay·1|2-0</t>
  </si>
  <si>
    <t>Portugal-Senegal·1|3-1</t>
  </si>
  <si>
    <t>Canadá-Brasil·X|2-2</t>
  </si>
  <si>
    <t>Ecuador-Francia·2|2-4</t>
  </si>
  <si>
    <t>Marruecos-Alemania·1|2-1</t>
  </si>
  <si>
    <t>Corea del Sur-Croacia·2|1-2</t>
  </si>
  <si>
    <t>Inglaterra-España·2|2-3</t>
  </si>
  <si>
    <t>Paraguay-Bélgica·2|1-2</t>
  </si>
  <si>
    <t>Argentina-Estados Unidos·1|3-1</t>
  </si>
  <si>
    <t>Suiza-Portugal·2|1-3</t>
  </si>
  <si>
    <t>Francia-Brasil·1|3-1</t>
  </si>
  <si>
    <t>España-Bélgica·X|2-2</t>
  </si>
  <si>
    <t>Marruecos-Croacia·1|3-2</t>
  </si>
  <si>
    <t>Argentina-Portugal·X|2-2</t>
  </si>
  <si>
    <t>Francia-Bélgica·1|3-1</t>
  </si>
  <si>
    <t>Marruecos-Argentina·2|1-2</t>
  </si>
  <si>
    <t>Bélgica-Marruecos·1|3-2</t>
  </si>
  <si>
    <t>Francia-Argentina·X|2-2</t>
  </si>
  <si>
    <t xml:space="preserve">naiden </t>
  </si>
  <si>
    <t>naiden</t>
  </si>
  <si>
    <t>Escribe jugador</t>
  </si>
  <si>
    <t>Alejando Velasquez</t>
  </si>
  <si>
    <t>1|5-0</t>
  </si>
  <si>
    <t>República Checa-Bosnia y Herzegovina·1|2-1</t>
  </si>
  <si>
    <t>Alemania-Escocia·1|3-1</t>
  </si>
  <si>
    <t>Países Bajos-Marruecos·1|2-0</t>
  </si>
  <si>
    <t>Ecuador-Noruega·X|2-2</t>
  </si>
  <si>
    <t>Francia-Estados Unidos·1|4-0</t>
  </si>
  <si>
    <t>México-Arabia Saudita·1|2-1</t>
  </si>
  <si>
    <t>Inglaterra-Senegal·1|2-1</t>
  </si>
  <si>
    <t>Bélgica-Corea del Sur·1|2-0</t>
  </si>
  <si>
    <t>Turquía-Costa de Marfil·1|2-1</t>
  </si>
  <si>
    <t>España-Austria·1|3-1</t>
  </si>
  <si>
    <t>Colombia-Croacia·X|2-2</t>
  </si>
  <si>
    <t>Suiza-Argelia·2|1-2</t>
  </si>
  <si>
    <t>Paraguay-Egipto·1|2-0</t>
  </si>
  <si>
    <t>Portugal-Ghana·1|3-1</t>
  </si>
  <si>
    <t>República Checa-Países Bajos·2|1-2</t>
  </si>
  <si>
    <t>Alemania-Francia·1|2-1</t>
  </si>
  <si>
    <t>Brasil-Ecuador·1|2-1</t>
  </si>
  <si>
    <t>México-Inglaterra·2|1-3</t>
  </si>
  <si>
    <t>Turquía-Bélgica·2|1-2</t>
  </si>
  <si>
    <t>Argentina-Paraguay·1|2-1</t>
  </si>
  <si>
    <t>Argelia-Portugal·2|1-3</t>
  </si>
  <si>
    <t>Alemania-Países Bajos·X|1-1</t>
  </si>
  <si>
    <t>España-Bélgica·1|2-1</t>
  </si>
  <si>
    <t>Argentina-Portugal·1|3-2</t>
  </si>
  <si>
    <t>Países Bajos-España·2|1-2</t>
  </si>
  <si>
    <t>Inglaterra-Argentina·1|3-2</t>
  </si>
  <si>
    <t>Países Bajos-Argentina·1|3-2</t>
  </si>
  <si>
    <t>España-Inglaterra·1|2-1</t>
  </si>
  <si>
    <t>kylian mbappe</t>
  </si>
  <si>
    <t>ferran torres</t>
  </si>
  <si>
    <t>pedri</t>
  </si>
  <si>
    <t>jude bellingham</t>
  </si>
  <si>
    <t>lamine yamal</t>
  </si>
  <si>
    <t xml:space="preserve">emiliano dibu martinez </t>
  </si>
  <si>
    <t>holanda</t>
  </si>
  <si>
    <t>Andres Velasquez</t>
  </si>
  <si>
    <t>Alvaro Gomes</t>
  </si>
  <si>
    <t>México-Bosnia y Herzegovina·1|2-1</t>
  </si>
  <si>
    <t>Brasil-Japón·1|2-1</t>
  </si>
  <si>
    <t>Alemania-Escocia·1|2-0</t>
  </si>
  <si>
    <t>Países Bajos-Marruecos·1|1-0</t>
  </si>
  <si>
    <t>Ecuador-Noruega·2|1-2</t>
  </si>
  <si>
    <t>Francia-Suecia·1|2-0</t>
  </si>
  <si>
    <t>Corea del Sur-Costa de Marfil·1|2-1</t>
  </si>
  <si>
    <t>Inglaterra-Senegal·1|3-1</t>
  </si>
  <si>
    <t>Bélgica-República Checa·1|2-0</t>
  </si>
  <si>
    <t>Turquía-Argelia·1|2-0</t>
  </si>
  <si>
    <t>España-Jordania·1|3-0</t>
  </si>
  <si>
    <t>Suiza-Irán·1|1-0</t>
  </si>
  <si>
    <t>Paraguay-Egipto·1|2-1</t>
  </si>
  <si>
    <t>Argentina-Uruguay·1|3-2</t>
  </si>
  <si>
    <t>Portugal-Ghana·1|2-0</t>
  </si>
  <si>
    <t>México-Países Bajos·2|1-2</t>
  </si>
  <si>
    <t>Alemania-Francia·2|2-3</t>
  </si>
  <si>
    <t>Brasil-Noruega·1|2-1</t>
  </si>
  <si>
    <t>Corea del Sur-Inglaterra·2|0-1</t>
  </si>
  <si>
    <t>Turquía-Bélgica·2|0-1</t>
  </si>
  <si>
    <t>Argentina-Paraguay·1|2-0</t>
  </si>
  <si>
    <t>España-Bélgica·1|2-0</t>
  </si>
  <si>
    <t>Argentina-Portugal·2|2-3</t>
  </si>
  <si>
    <t>Países Bajos-España·1|2-1</t>
  </si>
  <si>
    <t>España-Inglaterra·2|0-1</t>
  </si>
  <si>
    <t>Países Bajos-Portugal·2|1-2</t>
  </si>
  <si>
    <t>Raphinha</t>
  </si>
  <si>
    <t>Kane</t>
  </si>
  <si>
    <t>Cristiano Ronaldo</t>
  </si>
  <si>
    <t>Bruno Fernandes</t>
  </si>
  <si>
    <t>Costa</t>
  </si>
  <si>
    <t>Arda Guler</t>
  </si>
  <si>
    <t>Paises Bajos</t>
  </si>
  <si>
    <t>Anthony Pinto</t>
  </si>
  <si>
    <t>1|5-2</t>
  </si>
  <si>
    <t>República Checa-Bosnia y Herzegovina·2|1-2</t>
  </si>
  <si>
    <t>Marruecos-Japón·1|2-1</t>
  </si>
  <si>
    <t>Países Bajos-Brasil·1|2-1</t>
  </si>
  <si>
    <t>Ecuador-Francia·2|2-3</t>
  </si>
  <si>
    <t>Noruega-Suecia·1|3-0</t>
  </si>
  <si>
    <t>Corea del Sur-Arabia Saudita·1|2-1</t>
  </si>
  <si>
    <t>Inglaterra-Uzbekistán·1|3-0</t>
  </si>
  <si>
    <t>Bélgica-México·1|3-0</t>
  </si>
  <si>
    <t>Turquía-Senegal·2|1-2</t>
  </si>
  <si>
    <t>Suiza-Argelia·X|1-1</t>
  </si>
  <si>
    <t>Paraguay-Egipto·2|1-2</t>
  </si>
  <si>
    <t>Portugal-Ghana·1|2-1</t>
  </si>
  <si>
    <t>Bosnia y Herzegovina-Países Bajos·2|0-2</t>
  </si>
  <si>
    <t>Alemania-Noruega·2|1-2</t>
  </si>
  <si>
    <t>Marruecos-Francia·2|2-3</t>
  </si>
  <si>
    <t>Corea del Sur-Inglaterra·2|1-2</t>
  </si>
  <si>
    <t>Senegal-Bélgica·2|1-2</t>
  </si>
  <si>
    <t>Argentina-Egipto·1|2-1</t>
  </si>
  <si>
    <t>Suiza-Portugal·X|1-1</t>
  </si>
  <si>
    <t>Noruega-Países Bajos·1|2-1</t>
  </si>
  <si>
    <t>España-Bélgica·1|3-1</t>
  </si>
  <si>
    <t>Francia-Inglaterra·1|2-1</t>
  </si>
  <si>
    <t>Argentina-Portugal·2|1-3</t>
  </si>
  <si>
    <t>Noruega-España·2|2-3</t>
  </si>
  <si>
    <t>Francia-Portugal·X|1-1</t>
  </si>
  <si>
    <t>Noruega-Francia·1|2-1</t>
  </si>
  <si>
    <t>España-Portugal·X|2-2</t>
  </si>
  <si>
    <t>Mbappe</t>
  </si>
  <si>
    <t>Oryazabal</t>
  </si>
  <si>
    <t>Yamal</t>
  </si>
  <si>
    <t>Rodri</t>
  </si>
  <si>
    <t>David Raya</t>
  </si>
  <si>
    <t>CarBitos</t>
  </si>
  <si>
    <t>X|3-3</t>
  </si>
  <si>
    <t>1|5-1</t>
  </si>
  <si>
    <t>1|7-0</t>
  </si>
  <si>
    <t>Corea del Sur-Canadá·X|1-1</t>
  </si>
  <si>
    <t>Brasil-Japón·1|3-0</t>
  </si>
  <si>
    <t>Alemania-Escocia·1|4-1</t>
  </si>
  <si>
    <t>Países Bajos-Marruecos·2|0-2</t>
  </si>
  <si>
    <t>Francia-Suecia·1|4-0</t>
  </si>
  <si>
    <t>México-Arabia Saudita·1|2-0</t>
  </si>
  <si>
    <t>Bélgica-República Checa·1|3-2</t>
  </si>
  <si>
    <t>Estados Unidos-Costa de Marfil·X|2-2</t>
  </si>
  <si>
    <t>España-Argelia·1|3-1</t>
  </si>
  <si>
    <t>Colombia-Croacia·1|1-0</t>
  </si>
  <si>
    <t>Suiza-Austria·1|2-0</t>
  </si>
  <si>
    <t>Paraguay-Egipto·X|0-0</t>
  </si>
  <si>
    <t>Argentina-Uruguay·1|1-0</t>
  </si>
  <si>
    <t>Portugal-Turquía·1|5-1</t>
  </si>
  <si>
    <t>Canadá-Marruecos·X|1-1</t>
  </si>
  <si>
    <t>Alemania-Francia·2|0-1</t>
  </si>
  <si>
    <t>Brasil-Noruega·1|4-3</t>
  </si>
  <si>
    <t>México-Inglaterra·2|0-3</t>
  </si>
  <si>
    <t>Colombia-España·2|0-2</t>
  </si>
  <si>
    <t>Estados Unidos-Bélgica·X|1-1</t>
  </si>
  <si>
    <t>Argentina-Paraguay·1|3-0</t>
  </si>
  <si>
    <t>Francia-Marruecos·1|2-0</t>
  </si>
  <si>
    <t>España-Estados Unidos·1|4-1</t>
  </si>
  <si>
    <t>Brasil-Inglaterra·1|1-0</t>
  </si>
  <si>
    <t>Francia-España·1|3-1</t>
  </si>
  <si>
    <t>Brasil-Portugal·X|0-0</t>
  </si>
  <si>
    <t>España-Portugal·1|2-0</t>
  </si>
  <si>
    <t>Francia-Brasil·1|2-1</t>
  </si>
  <si>
    <t xml:space="preserve">Raphinha </t>
  </si>
  <si>
    <t>Diogo Costa</t>
  </si>
  <si>
    <t>Carlos Quintero</t>
  </si>
  <si>
    <t>Marruecos-Suecia·1|3-1</t>
  </si>
  <si>
    <t>Alemania-Estados Unidos·1|3-1</t>
  </si>
  <si>
    <t>Países Bajos-Brasil·X|2-2</t>
  </si>
  <si>
    <t>Francia-Japón·1|3-1</t>
  </si>
  <si>
    <t>México-Escocia·1|2-1</t>
  </si>
  <si>
    <t>Bélgica-Sudáfrica·1|2-0</t>
  </si>
  <si>
    <t>Turquía-Bosnia y Herzegovina·1|3-0</t>
  </si>
  <si>
    <t>Suiza-Costa de Marfil·1|1-0</t>
  </si>
  <si>
    <t>Argentina-Uruguay·1|3-1</t>
  </si>
  <si>
    <t>Portugal-Ghana·1|4-1</t>
  </si>
  <si>
    <t>Alemania-Francia·X|3-3</t>
  </si>
  <si>
    <t>Marruecos-Noruega·1|2-1</t>
  </si>
  <si>
    <t>Croacia-España·2|1-3</t>
  </si>
  <si>
    <t>Turquía-Bélgica·X|1-1</t>
  </si>
  <si>
    <t>Argentina-Egipto·1|3-1</t>
  </si>
  <si>
    <t>Alemania-Países Bajos·1|2-1</t>
  </si>
  <si>
    <t>Marruecos-Inglaterra·X|2-2</t>
  </si>
  <si>
    <t>Alemania-España·2|1-3</t>
  </si>
  <si>
    <t>Marruecos-Portugal·X|1-1</t>
  </si>
  <si>
    <t>Alemania-Marruecos·2|1-2</t>
  </si>
  <si>
    <t>España-Portugal·1|2-1</t>
  </si>
  <si>
    <t xml:space="preserve">Mikel Oyarzabal </t>
  </si>
  <si>
    <t>Brahim Diaz</t>
  </si>
  <si>
    <t xml:space="preserve">Harry Kane </t>
  </si>
  <si>
    <t xml:space="preserve">Bruno Fernandes </t>
  </si>
  <si>
    <t>The special one</t>
  </si>
  <si>
    <t>México-Canadá·1|1-0</t>
  </si>
  <si>
    <t>Países Bajos-Marruecos·2|1-2</t>
  </si>
  <si>
    <t>Ecuador-Noruega·1|1-0</t>
  </si>
  <si>
    <t>Francia-Arabia Saudita·1|3-0</t>
  </si>
  <si>
    <t>República Checa-Costa de Marfil·1|1-0</t>
  </si>
  <si>
    <t>Croacia-Senegal·1|2-0</t>
  </si>
  <si>
    <t>Bélgica-Corea del Sur·1|1-0</t>
  </si>
  <si>
    <t>Turquía-Bosnia y Herzegovina·1|1-0</t>
  </si>
  <si>
    <t>Colombia-Inglaterra·2|1-3</t>
  </si>
  <si>
    <t>Suiza-Argelia·1|1-0</t>
  </si>
  <si>
    <t>Estados Unidos-Egipto·2|0-1</t>
  </si>
  <si>
    <t>Portugal-Ghana·1|4-0</t>
  </si>
  <si>
    <t>México-Marruecos·2|1-3</t>
  </si>
  <si>
    <t>Alemania-Francia·2|0-2</t>
  </si>
  <si>
    <t>Brasil-Ecuador·1|3-2</t>
  </si>
  <si>
    <t>República Checa-Croacia·2|2-4</t>
  </si>
  <si>
    <t>Inglaterra-España·2|1-3</t>
  </si>
  <si>
    <t>Francia-Marruecos·1|1-0</t>
  </si>
  <si>
    <t>Brasil-Croacia·1|1-0</t>
  </si>
  <si>
    <t>Francia-España·1|2-1</t>
  </si>
  <si>
    <t>Brasil-Portugal·2|0-2</t>
  </si>
  <si>
    <t>España-Brasil·1|1-0</t>
  </si>
  <si>
    <t>Francia-Portugal·2|1-2</t>
  </si>
  <si>
    <t>Mbappé</t>
  </si>
  <si>
    <t xml:space="preserve">Julián Álvarez </t>
  </si>
  <si>
    <t xml:space="preserve">Kane </t>
  </si>
  <si>
    <t xml:space="preserve">Dembelé </t>
  </si>
  <si>
    <t xml:space="preserve">Mbappé </t>
  </si>
  <si>
    <t xml:space="preserve">Yamal </t>
  </si>
  <si>
    <t xml:space="preserve">Maignan </t>
  </si>
  <si>
    <t xml:space="preserve">Doué </t>
  </si>
  <si>
    <t xml:space="preserve">Egipto </t>
  </si>
  <si>
    <t xml:space="preserve">Países Bajos </t>
  </si>
  <si>
    <t>Enmanuel Subero</t>
  </si>
  <si>
    <t>2|2-4</t>
  </si>
  <si>
    <t>México-Canadá·1|2-1</t>
  </si>
  <si>
    <t>Ecuador-Turquía·1|3-1</t>
  </si>
  <si>
    <t>Países Bajos-Marruecos·X|2-2</t>
  </si>
  <si>
    <t>Alemania-Francia·2|2-4</t>
  </si>
  <si>
    <t>Senegal-Suecia·1|3-1</t>
  </si>
  <si>
    <t>Corea del Sur-Escocia·1|2-1</t>
  </si>
  <si>
    <t>Croacia-Noruega·X|2-2</t>
  </si>
  <si>
    <t>Paraguay-Costa de Marfil·X|2-2</t>
  </si>
  <si>
    <t>España-Argelia·1|4-1</t>
  </si>
  <si>
    <t>Colombia-Inglaterra·1|3-2</t>
  </si>
  <si>
    <t>Suiza-Austria·1|2-1</t>
  </si>
  <si>
    <t>Estados Unidos-Irán·X|2-2</t>
  </si>
  <si>
    <t>México-Países Bajos·2|1-3</t>
  </si>
  <si>
    <t>Ecuador-Senegal·1|3-2</t>
  </si>
  <si>
    <t>Brasil-Francia·2|3-4</t>
  </si>
  <si>
    <t>Corea del Sur-Noruega·2|1-2</t>
  </si>
  <si>
    <t>Paraguay-Bélgica·X|2-2</t>
  </si>
  <si>
    <t>Argentina-Irán·1|3-1</t>
  </si>
  <si>
    <t>Ecuador-Países Bajos·1|3-2</t>
  </si>
  <si>
    <t>Francia-Noruega·1|4-2</t>
  </si>
  <si>
    <t>Ecuador-España·X|2-2</t>
  </si>
  <si>
    <t>Francia-Portugal·2|2-3</t>
  </si>
  <si>
    <t>Cr7</t>
  </si>
  <si>
    <t>Endrick</t>
  </si>
  <si>
    <t>Olise</t>
  </si>
  <si>
    <t xml:space="preserve">Ecuador  </t>
  </si>
  <si>
    <t>fenix</t>
  </si>
  <si>
    <t>Brasil-Suecia·1|3-1</t>
  </si>
  <si>
    <t>Francia-Paraguay·1|2-0</t>
  </si>
  <si>
    <t>México-Arabia Saudita·1|3-1</t>
  </si>
  <si>
    <t>Turquía-Costa de Marfil·2|1-2</t>
  </si>
  <si>
    <t>Suiza-Austria·2|1-2</t>
  </si>
  <si>
    <t>Estados Unidos-Irán·1|2-0</t>
  </si>
  <si>
    <t>República Checa-Países Bajos·2|0-2</t>
  </si>
  <si>
    <t>Brasil-Noruega·X|2-2</t>
  </si>
  <si>
    <t>Costa de Marfil-Bélgica·2|1-2</t>
  </si>
  <si>
    <t>Austria-Portugal·2|1-2</t>
  </si>
  <si>
    <t>Alemania-Países Bajos·X|2-2</t>
  </si>
  <si>
    <t>Brasil-Inglaterra·1|2-1</t>
  </si>
  <si>
    <t>Países Bajos-España·2|0-2</t>
  </si>
  <si>
    <t>Brasil-Argentina·2|2-3</t>
  </si>
  <si>
    <t>Países Bajos-Brasil·2|1-2</t>
  </si>
  <si>
    <t>España-Argentina·2|1-2</t>
  </si>
  <si>
    <t>lionel messi</t>
  </si>
  <si>
    <t xml:space="preserve"> lamine yamal</t>
  </si>
  <si>
    <t>raphinha</t>
  </si>
  <si>
    <t>thibaut courtois</t>
  </si>
  <si>
    <t>belgica</t>
  </si>
  <si>
    <t>CazaPutas669</t>
  </si>
  <si>
    <t>1|6-2</t>
  </si>
  <si>
    <t>X|4-4</t>
  </si>
  <si>
    <t>2|5-6</t>
  </si>
  <si>
    <t>1|7-5</t>
  </si>
  <si>
    <t>X|5-5</t>
  </si>
  <si>
    <t>1|5-4</t>
  </si>
  <si>
    <t>2|3-4</t>
  </si>
  <si>
    <t>2|6-8</t>
  </si>
  <si>
    <t>2|2-8</t>
  </si>
  <si>
    <t>2|6-7</t>
  </si>
  <si>
    <t>2|3-5</t>
  </si>
  <si>
    <t>2|4-7</t>
  </si>
  <si>
    <t>2|4-5</t>
  </si>
  <si>
    <t>1|4-3</t>
  </si>
  <si>
    <t>Corea del Sur-Bosnia y Herzegovina·2|2-5</t>
  </si>
  <si>
    <t>Haití-Suecia·1|3-1</t>
  </si>
  <si>
    <t>Curazao-Estados Unidos·1|5-2</t>
  </si>
  <si>
    <t>Túnez-Escocia·X|4-4</t>
  </si>
  <si>
    <t>Costa de Marfil-Senegal·1|2-1</t>
  </si>
  <si>
    <t>Irak-Nueva Zelanda·2|3-4</t>
  </si>
  <si>
    <t>Sudáfrica-Ecuador·1|7-2</t>
  </si>
  <si>
    <t>Panamá-Noruega·1|1-0</t>
  </si>
  <si>
    <t>Irán-República Checa·1|2-0</t>
  </si>
  <si>
    <t>Australia-Canadá·1|3-1</t>
  </si>
  <si>
    <t>Arabia Saudita-Argelia·1|1-0</t>
  </si>
  <si>
    <t>RD Congo-Ghana·1|3-2</t>
  </si>
  <si>
    <t>Catar-Austria·1|4-0</t>
  </si>
  <si>
    <t>Jordania-Cabo Verde·X|3-3</t>
  </si>
  <si>
    <t>Uzbekistán-Croacia·1|2-0</t>
  </si>
  <si>
    <t>Bosnia y Herzegovina-Túnez·1|2-1</t>
  </si>
  <si>
    <t>Curazao-Nueva Zelanda·1|3-0</t>
  </si>
  <si>
    <t>Haití-Costa de Marfil·X|5-5</t>
  </si>
  <si>
    <t>Sudáfrica-Panamá·2|1-2</t>
  </si>
  <si>
    <t>RD Congo-Arabia Saudita·1|5-4</t>
  </si>
  <si>
    <t>Australia-Irán·2|1-2</t>
  </si>
  <si>
    <t>Cabo Verde-Egipto·1|2-0</t>
  </si>
  <si>
    <t>Catar-Uzbekistán·1|1-0</t>
  </si>
  <si>
    <t>Curazao-Bosnia y Herzegovina·1|1-0</t>
  </si>
  <si>
    <t>RD Congo-Irán·1|2-1</t>
  </si>
  <si>
    <t>Haití-Panamá·1|3-2</t>
  </si>
  <si>
    <t>Cabo Verde-Catar·1|4-2</t>
  </si>
  <si>
    <t>Curazao-RD Congo·1|3-2</t>
  </si>
  <si>
    <t>Haití-Cabo Verde·1|4-1</t>
  </si>
  <si>
    <t>RD Congo-Cabo Verde·1|2-0</t>
  </si>
  <si>
    <t>Curazao-Haití·1|5-4</t>
  </si>
  <si>
    <t>Isaac Bermudez</t>
  </si>
  <si>
    <t>IshowSpeed</t>
  </si>
  <si>
    <t>German Rodriguez</t>
  </si>
  <si>
    <t>Victor Wembanyama</t>
  </si>
  <si>
    <t>Moises</t>
  </si>
  <si>
    <t>Joyman Castro</t>
  </si>
  <si>
    <t>Gabo</t>
  </si>
  <si>
    <t>México-Suiza·1|2-1</t>
  </si>
  <si>
    <t>Brasil-Japón·1|3-1</t>
  </si>
  <si>
    <t>Alemania-Escocia·1|3-2</t>
  </si>
  <si>
    <t>Ecuador-Senegal·1|2-1</t>
  </si>
  <si>
    <t>Francia-Arabia Saudita·1|4-2</t>
  </si>
  <si>
    <t>Sudáfrica-Costa de Marfil·2|1-2</t>
  </si>
  <si>
    <t>Inglaterra-Noruega·1|3-1</t>
  </si>
  <si>
    <t>Bélgica-República Checa·1|4-0</t>
  </si>
  <si>
    <t>Turquía-Catar·1|2-0</t>
  </si>
  <si>
    <t>España-Austria·1|4-2</t>
  </si>
  <si>
    <t>Colombia-Croacia·1|3-2</t>
  </si>
  <si>
    <t>Canadá-Irán·1|2-0</t>
  </si>
  <si>
    <t>Estados Unidos-Egipto·1|3-1</t>
  </si>
  <si>
    <t>Alemania-Francia·2|3-4</t>
  </si>
  <si>
    <t>Brasil-Ecuador·1|4-2</t>
  </si>
  <si>
    <t>Costa de Marfil-Inglaterra·2|1-3</t>
  </si>
  <si>
    <t>Argentina-Estados Unidos·1|4-2</t>
  </si>
  <si>
    <t>Canadá-Portugal·2|1-2</t>
  </si>
  <si>
    <t>Francia-Países Bajos·1|2-1</t>
  </si>
  <si>
    <t>Brasil-Inglaterra·X|1-1</t>
  </si>
  <si>
    <t>Francia-España·2|3-4</t>
  </si>
  <si>
    <t>Brasil-Portugal·2|2-3</t>
  </si>
  <si>
    <t>Francia-Brasil·1|4-3</t>
  </si>
  <si>
    <t>España-Portugal·2|2-3</t>
  </si>
  <si>
    <t>Oyarzabal</t>
  </si>
  <si>
    <t>YUYU</t>
  </si>
  <si>
    <t>Corea del Sur-Canadá·1|2-1</t>
  </si>
  <si>
    <t>Ecuador-Turquía·X|2-2</t>
  </si>
  <si>
    <t>Países Bajos-Marruecos·1|2-1</t>
  </si>
  <si>
    <t>Noruega-Japón·1|2-0</t>
  </si>
  <si>
    <t>México-Escocia·1|1-0</t>
  </si>
  <si>
    <t>Croacia-Senegal·2|1-2</t>
  </si>
  <si>
    <t>Estados Unidos-Bosnia y Herzegovina·1|2-0</t>
  </si>
  <si>
    <t>Uruguay-Austria·X|2-2</t>
  </si>
  <si>
    <t>Colombia-Inglaterra·2|1-2</t>
  </si>
  <si>
    <t>Suiza-Costa de Marfil·1|3-2</t>
  </si>
  <si>
    <t>Argentina-España·2|2-4</t>
  </si>
  <si>
    <t>Corea del Sur-Países Bajos·2|1-3</t>
  </si>
  <si>
    <t>Brasil-Francia·1|2-1</t>
  </si>
  <si>
    <t>México-Senegal·X|1-1</t>
  </si>
  <si>
    <t>Inglaterra-Uruguay·1|1-0</t>
  </si>
  <si>
    <t>Estados Unidos-Bélgica·2|2-3</t>
  </si>
  <si>
    <t>España-Paraguay·1|2-1</t>
  </si>
  <si>
    <t>Suiza-Portugal·2|2-4</t>
  </si>
  <si>
    <t>Noruega-Países Bajos·1|3-1</t>
  </si>
  <si>
    <t>Inglaterra-Bélgica·1|2-0</t>
  </si>
  <si>
    <t>Brasil-Senegal·X|3-3</t>
  </si>
  <si>
    <t>Noruega-Inglaterra·X|2-2</t>
  </si>
  <si>
    <t>Brasil-Portugal·2|1-2</t>
  </si>
  <si>
    <t>Noruega-Brasil·1|2-1</t>
  </si>
  <si>
    <t>Inglaterra-Portugal·2|2-3</t>
  </si>
  <si>
    <t xml:space="preserve">Erling Haland </t>
  </si>
  <si>
    <t xml:space="preserve">Oryazabal </t>
  </si>
  <si>
    <t xml:space="preserve">Vitinha </t>
  </si>
  <si>
    <t xml:space="preserve">Declan Rice </t>
  </si>
  <si>
    <t>Nuno Mendes</t>
  </si>
  <si>
    <t xml:space="preserve">Diogo Costa </t>
  </si>
  <si>
    <t>Bobby Charlton (Endrick)</t>
  </si>
  <si>
    <t xml:space="preserve">Noruega </t>
  </si>
  <si>
    <t xml:space="preserve">Francia </t>
  </si>
  <si>
    <t>José Arturo De Abreu</t>
  </si>
  <si>
    <t>República Checa-Canadá·1|1-0</t>
  </si>
  <si>
    <t>Brasil-Países Bajos·1|2-1</t>
  </si>
  <si>
    <t>Alemania-Paraguay·1|3-1</t>
  </si>
  <si>
    <t>Japón-Marruecos·X|1-1</t>
  </si>
  <si>
    <t>Costa de Marfil-Noruega·2|1-2</t>
  </si>
  <si>
    <t>México-Ecuador·2|1-2</t>
  </si>
  <si>
    <t>Inglaterra-Argelia·1|3-1</t>
  </si>
  <si>
    <t>Bélgica-Corea del Sur·1|3-2</t>
  </si>
  <si>
    <t>España-Austria·1|4-1</t>
  </si>
  <si>
    <t>Suiza-Irán·1|2-1</t>
  </si>
  <si>
    <t>Estados Unidos-Egipto·1|2-1</t>
  </si>
  <si>
    <t>República Checa-Marruecos·2|1-2</t>
  </si>
  <si>
    <t>Alemania-Francia·2|1-2</t>
  </si>
  <si>
    <t>Brasil-Noruega·1|3-2</t>
  </si>
  <si>
    <t>Ecuador-Inglaterra·2|1-2</t>
  </si>
  <si>
    <t>Argentina-Estados Unidos·1|2-1</t>
  </si>
  <si>
    <t>Francia-Marruecos·1|3-2</t>
  </si>
  <si>
    <t>Brasil-Inglaterra·2|2-3</t>
  </si>
  <si>
    <t>Francia-España·2|1-2</t>
  </si>
  <si>
    <t>Inglaterra-Portugal·2|1-2</t>
  </si>
  <si>
    <t>España-Portugal·2|1-2</t>
  </si>
  <si>
    <t>Joao Neves</t>
  </si>
  <si>
    <t xml:space="preserve">Jose Juan De Abreu </t>
  </si>
  <si>
    <t>1|8-0</t>
  </si>
  <si>
    <t>Brasil-Japón·1|1-0</t>
  </si>
  <si>
    <t>Costa de Marfil-Francia·2|1-2</t>
  </si>
  <si>
    <t>Noruega-Egipto·1|3-0</t>
  </si>
  <si>
    <t>México-Ecuador·1|1-0</t>
  </si>
  <si>
    <t>Bélgica-Corea del Sur·1|2-1</t>
  </si>
  <si>
    <t>Estados Unidos-Senegal·2|1-2</t>
  </si>
  <si>
    <t>Turquía-Nueva Zelanda·1|1-0</t>
  </si>
  <si>
    <t>Brasil-Francia·2|1-2</t>
  </si>
  <si>
    <t>México-Croacia·1|1-0</t>
  </si>
  <si>
    <t>Inglaterra-España·2|1-2</t>
  </si>
  <si>
    <t>Argentina-Turquía·1|2-0</t>
  </si>
  <si>
    <t>Noruega-Países Bajos·2|1-2</t>
  </si>
  <si>
    <t>Francia-México·1|1-0</t>
  </si>
  <si>
    <t>Argentina-Portugal·2|0-1</t>
  </si>
  <si>
    <t>Países Bajos-España·1|1-0</t>
  </si>
  <si>
    <t>Francia-Portugal·2|0-1</t>
  </si>
  <si>
    <t>España-Francia·1|2-1</t>
  </si>
  <si>
    <t xml:space="preserve">Mbappe </t>
  </si>
  <si>
    <t xml:space="preserve">Cristiano Ronaldo </t>
  </si>
  <si>
    <t>Dembele</t>
  </si>
  <si>
    <t>Van Dijk</t>
  </si>
  <si>
    <t xml:space="preserve">Alemania </t>
  </si>
  <si>
    <t>Juan Sánchez</t>
  </si>
  <si>
    <t>2|1-6</t>
  </si>
  <si>
    <t>República Checa-Canadá·1|2-1</t>
  </si>
  <si>
    <t>Países Bajos-Marruecos·2|2-3</t>
  </si>
  <si>
    <t>Ecuador-Senegal·1|2-0</t>
  </si>
  <si>
    <t>Francia-Suecia·1|3-1</t>
  </si>
  <si>
    <t>Inglaterra-Noruega·1|3-2</t>
  </si>
  <si>
    <t>Turquía-Bosnia y Herzegovina·1|2-0</t>
  </si>
  <si>
    <t>Paraguay-Egipto·2|0-1</t>
  </si>
  <si>
    <t>República Checa-Marruecos·2|0-2</t>
  </si>
  <si>
    <t>Turquía-Bélgica·1|1-0</t>
  </si>
  <si>
    <t>Argentina-Egipto·1|3-0</t>
  </si>
  <si>
    <t>España-Turquía·1|3-1</t>
  </si>
  <si>
    <t>Brasil-Inglaterra·X|2-2</t>
  </si>
  <si>
    <t>Brasil-Portugal·2|0-1</t>
  </si>
  <si>
    <t>España-Brasil·1|3-1</t>
  </si>
  <si>
    <t>Kylian Mbappé</t>
  </si>
  <si>
    <t>Erling Haaland</t>
  </si>
  <si>
    <t>Juan De Abreu</t>
  </si>
  <si>
    <t>México-Canadá·X|1-1</t>
  </si>
  <si>
    <t>Ecuador-Francia·2|1-2</t>
  </si>
  <si>
    <t>Noruega-Estados Unidos·1|2-1</t>
  </si>
  <si>
    <t>Corea del Sur-Costa de Marfil·X|1-1</t>
  </si>
  <si>
    <t>Croacia-Senegal·X|2-2</t>
  </si>
  <si>
    <t>Colombia-Inglaterra·2|0-1</t>
  </si>
  <si>
    <t>Paraguay-Egipto·1|1-0</t>
  </si>
  <si>
    <t>Canadá-Países Bajos·2|0-2</t>
  </si>
  <si>
    <t>Alemania-Noruega·1|3-2</t>
  </si>
  <si>
    <t>Costa de Marfil-Croacia·X|0-0</t>
  </si>
  <si>
    <t>Turquía-Bélgica·2|0-2</t>
  </si>
  <si>
    <t>Argentina-Paraguay·2|0-1</t>
  </si>
  <si>
    <t>Brasil-Costa de Marfil·1|2-0</t>
  </si>
  <si>
    <t>Paraguay-Portugal·2|0-1</t>
  </si>
  <si>
    <t>Brasil-Portugal·X|1-1</t>
  </si>
  <si>
    <t>Luis Piñero</t>
  </si>
  <si>
    <t>Corea del Sur-Canadá·2|0-1</t>
  </si>
  <si>
    <t>Brasil-Países Bajos·2|0-2</t>
  </si>
  <si>
    <t>Japón-Marruecos·1|3-1</t>
  </si>
  <si>
    <t>Ecuador-Noruega·2|2-3</t>
  </si>
  <si>
    <t>Bélgica-Argelia·1|2-1</t>
  </si>
  <si>
    <t>Turquía-Catar·1|3-0</t>
  </si>
  <si>
    <t>Suiza-Nueva Zelanda·2|0-1</t>
  </si>
  <si>
    <t>Portugal-Panamá·1|4-0</t>
  </si>
  <si>
    <t>Canadá-Japón·2|0-2</t>
  </si>
  <si>
    <t>Alemania-Francia·1|3-2</t>
  </si>
  <si>
    <t>Países Bajos-Noruega·1|1-0</t>
  </si>
  <si>
    <t>México-Inglaterra·X|0-0</t>
  </si>
  <si>
    <t>Colombia-España·2|1-3</t>
  </si>
  <si>
    <t>Nueva Zelanda-Portugal·2|0-2</t>
  </si>
  <si>
    <t>Alemania-Japón·2|1-2</t>
  </si>
  <si>
    <t>Países Bajos-Inglaterra·1|1-0</t>
  </si>
  <si>
    <t>Argentina-Portugal·X|1-1</t>
  </si>
  <si>
    <t>Japón-España·X|2-2</t>
  </si>
  <si>
    <t>Países Bajos-Argentina·2|0-1</t>
  </si>
  <si>
    <t>Japón-Países Bajos·1|3-1</t>
  </si>
  <si>
    <t>España-Argentina·1|2-0</t>
  </si>
  <si>
    <t>Pedri González</t>
  </si>
  <si>
    <t>Joan Garcia</t>
  </si>
  <si>
    <t>Luis Rondon</t>
  </si>
  <si>
    <t>2|1-5</t>
  </si>
  <si>
    <t>Alemania-Estados Unidos·1|4-1</t>
  </si>
  <si>
    <t>Francia-Suecia·1|4-1</t>
  </si>
  <si>
    <t>Egipto-Arabia Saudita·1|2-0</t>
  </si>
  <si>
    <t>Paraguay-Costa de Marfil·1|2-1</t>
  </si>
  <si>
    <t>Colombia-Croacia·2|1-2</t>
  </si>
  <si>
    <t>Suiza-Austria·1|1-0</t>
  </si>
  <si>
    <t>Canadá-Marruecos·2|0-2</t>
  </si>
  <si>
    <t>Brasil-Noruega·1|2-0</t>
  </si>
  <si>
    <t>Argentina-Bélgica·1|2-1</t>
  </si>
  <si>
    <t>España-Egipto·1|3-1</t>
  </si>
  <si>
    <t>Argentina-Portugal·1|2-1</t>
  </si>
  <si>
    <t>Brasil-Argentina·1|1-0</t>
  </si>
  <si>
    <t>Francia-Argentina·1|2-0</t>
  </si>
  <si>
    <t>España-Brasil·1|2-1</t>
  </si>
  <si>
    <t>Kyliam Mbappe</t>
  </si>
  <si>
    <t xml:space="preserve">Olise </t>
  </si>
  <si>
    <t xml:space="preserve">Dembele </t>
  </si>
  <si>
    <t xml:space="preserve">Joan Garcia </t>
  </si>
  <si>
    <t xml:space="preserve">Marruecos </t>
  </si>
  <si>
    <t xml:space="preserve">Belgica </t>
  </si>
  <si>
    <t>Manuel Coa</t>
  </si>
  <si>
    <t>Corea del Sur-Bosnia y Herzegovina·1|2-1</t>
  </si>
  <si>
    <t>Alemania-Escocia·1|2-1</t>
  </si>
  <si>
    <t>Países Bajos-Marruecos·1|3-0</t>
  </si>
  <si>
    <t>Francia-Túnez·1|3-0</t>
  </si>
  <si>
    <t>Inglaterra-Noruega·1|2-0</t>
  </si>
  <si>
    <t>Turquía-Suiza·1|2-0</t>
  </si>
  <si>
    <t>Canadá-Costa de Marfil·1|2-0</t>
  </si>
  <si>
    <t>Estados Unidos-Irán·1|2-1</t>
  </si>
  <si>
    <t>Francia-Países Bajos·1|3-2</t>
  </si>
  <si>
    <t>Francia-España·2|1-3</t>
  </si>
  <si>
    <t>España-Portugal·1|3-1</t>
  </si>
  <si>
    <t>Vinícius Jr.</t>
  </si>
  <si>
    <t>Miguel Dousdebés</t>
  </si>
  <si>
    <t>Corea del Sur-Canadá·1|3-1</t>
  </si>
  <si>
    <t>Brasil-Suecia·1|2-0</t>
  </si>
  <si>
    <t>Países Bajos-Marruecos·1|4-0</t>
  </si>
  <si>
    <t>Ecuador-Noruega·X|1-1</t>
  </si>
  <si>
    <t>República Checa-Arabia Saudita·1|1-0</t>
  </si>
  <si>
    <t>Inglaterra-Argelia·1|3-0</t>
  </si>
  <si>
    <t>Turquía-Egipto·2|2-3</t>
  </si>
  <si>
    <t>Portugal-Costa de Marfil·1|3-0</t>
  </si>
  <si>
    <t>Brasil-Ecuador·1|1-0</t>
  </si>
  <si>
    <t>República Checa-Inglaterra·2|1-2</t>
  </si>
  <si>
    <t>Estados Unidos-Bélgica·2|0-2</t>
  </si>
  <si>
    <t>Suiza-Portugal·2|1-4</t>
  </si>
  <si>
    <t>Francia-Países Bajos·2|2-3</t>
  </si>
  <si>
    <t>España-Brasil·2|2-3</t>
  </si>
  <si>
    <t>Neuer</t>
  </si>
  <si>
    <t>Moisex Contreras</t>
  </si>
  <si>
    <t>México-Bosnia y Herzegovina·X|1-1</t>
  </si>
  <si>
    <t>Brasil-Japón·2|1-2</t>
  </si>
  <si>
    <t>Alemania-Estados Unidos·1|2-0</t>
  </si>
  <si>
    <t>Noruega-Suecia·1|2-0</t>
  </si>
  <si>
    <t>Corea del Sur-Escocia·2|1-2</t>
  </si>
  <si>
    <t>Inglaterra-Senegal·1|3-2</t>
  </si>
  <si>
    <t>Bélgica-República Checa·1|1-0</t>
  </si>
  <si>
    <t>Turquía-Canadá·1|2-1</t>
  </si>
  <si>
    <t>Suiza-Costa de Marfil·X|2-2</t>
  </si>
  <si>
    <t>Bosnia y Herzegovina-Marruecos·2|0-2</t>
  </si>
  <si>
    <t>Japón-Francia·2|2-4</t>
  </si>
  <si>
    <t>Escocia-Inglaterra·2|0-2</t>
  </si>
  <si>
    <t>Suiza-Portugal·2|0-1</t>
  </si>
  <si>
    <t>Alemania-Marruecos·1|2-1</t>
  </si>
  <si>
    <t>Francia-Inglaterra·1|3-2</t>
  </si>
  <si>
    <t>Alemania-España·2|1-2</t>
  </si>
  <si>
    <t>Francia-Portugal·X|3-3</t>
  </si>
  <si>
    <t>Julián Alvarez</t>
  </si>
  <si>
    <t>Japon</t>
  </si>
  <si>
    <t>nicolah</t>
  </si>
  <si>
    <t>Ecuador-Noruega·1|2-1</t>
  </si>
  <si>
    <t>República Checa-Costa de Marfil·1|2-1</t>
  </si>
  <si>
    <t>Inglaterra-Austria·1|2-1</t>
  </si>
  <si>
    <t>Bosnia y Herzegovina-Irán·1|2-1</t>
  </si>
  <si>
    <t>Portugal-Senegal·1|4-1</t>
  </si>
  <si>
    <t>México-Marruecos·2|1-2</t>
  </si>
  <si>
    <t>Bosnia y Herzegovina-Portugal·2|1-3</t>
  </si>
  <si>
    <t>Francia-Marruecos·1|2-1</t>
  </si>
  <si>
    <t>Brasil-Argentina·2|1-2</t>
  </si>
  <si>
    <t>España-Argentina·1|2-1</t>
  </si>
  <si>
    <t>julian alvarez</t>
  </si>
  <si>
    <t>leonel messi</t>
  </si>
  <si>
    <t>ousmane dembele</t>
  </si>
  <si>
    <t>unai simon</t>
  </si>
  <si>
    <t>Nico paz</t>
  </si>
  <si>
    <t>ecuador</t>
  </si>
  <si>
    <t>inglaterra</t>
  </si>
  <si>
    <t>DanielCV</t>
  </si>
  <si>
    <t>República Checa-Canadá·2|1-2</t>
  </si>
  <si>
    <t>Francia-Turquía·1|3-1</t>
  </si>
  <si>
    <t>Inglaterra-Costa de Marfil·1|2-0</t>
  </si>
  <si>
    <t>Paraguay-Bosnia y Herzegovina·1|2-0</t>
  </si>
  <si>
    <t>Portugal-Panamá·1|2-0</t>
  </si>
  <si>
    <t>Suiza-Austria·X|1-1</t>
  </si>
  <si>
    <t>Estados Unidos-Nueva Zelanda·X|1-1</t>
  </si>
  <si>
    <t>Argentina-Uruguay·2|1-2</t>
  </si>
  <si>
    <t>Colombia-Croacia·1|2-0</t>
  </si>
  <si>
    <t>Canadá-Brasil·2|1-2</t>
  </si>
  <si>
    <t>Marruecos-Ecuador·1|2-1</t>
  </si>
  <si>
    <t>México-Inglaterra·2|0-2</t>
  </si>
  <si>
    <t>Portugal-España·X|1-1</t>
  </si>
  <si>
    <t>Paraguay-Bélgica·2|0-1</t>
  </si>
  <si>
    <t>Uruguay-Estados Unidos·1|1-0</t>
  </si>
  <si>
    <t>Suiza-Colombia·2|1-2</t>
  </si>
  <si>
    <t>Francia-Brasil·1|2-0</t>
  </si>
  <si>
    <t>Portugal-Bélgica·1|1-0</t>
  </si>
  <si>
    <t>Marruecos-Inglaterra·1|2-1</t>
  </si>
  <si>
    <t>Uruguay-Colombia·X|2-2</t>
  </si>
  <si>
    <t>Marruecos-Uruguay·2|1-2</t>
  </si>
  <si>
    <t>Naiden</t>
  </si>
  <si>
    <t>Naidem</t>
  </si>
  <si>
    <t>Andres Gioliti</t>
  </si>
  <si>
    <t>República Checa-Suiza·1|2-1</t>
  </si>
  <si>
    <t>Alemania-Turquía·1|3-1</t>
  </si>
  <si>
    <t>Japón-Marruecos·1|3-2</t>
  </si>
  <si>
    <t>Francia-Países Bajos·1|4-1</t>
  </si>
  <si>
    <t>Bélgica-Arabia Saudita·1|2-1</t>
  </si>
  <si>
    <t>Paraguay-Bosnia y Herzegovina·1|2-1</t>
  </si>
  <si>
    <t>Uruguay-Argelia·1|3-2</t>
  </si>
  <si>
    <t>Canadá-Austria·2|2-3</t>
  </si>
  <si>
    <t>Estados Unidos-Nueva Zelanda·1|4-0</t>
  </si>
  <si>
    <t>Argentina-España·1|3-2</t>
  </si>
  <si>
    <t>Portugal-Costa de Marfil·1|2-1</t>
  </si>
  <si>
    <t>República Checa-Japón·2|1-2</t>
  </si>
  <si>
    <t>Croacia-Uruguay·2|1-2</t>
  </si>
  <si>
    <t>Paraguay-Bélgica·2|1-3</t>
  </si>
  <si>
    <t>Francia-Japón·1|2-1</t>
  </si>
  <si>
    <t>Uruguay-Bélgica·1|2-1</t>
  </si>
  <si>
    <t>Brasil-Inglaterra·1|3-1</t>
  </si>
  <si>
    <t>Francia-Uruguay·1|2-1</t>
  </si>
  <si>
    <t>Uruguay-Brasil·2|1-2</t>
  </si>
  <si>
    <t>Francia-Argentina·2|2-3</t>
  </si>
  <si>
    <t>Escribe un jugador</t>
  </si>
  <si>
    <t>Francisco Bejarano</t>
  </si>
  <si>
    <t>Corea del Sur-Canadá·2|1-2</t>
  </si>
  <si>
    <t>Brasil-Países Bajos·X|2-2</t>
  </si>
  <si>
    <t>Alemania-Turquía·1|3-0</t>
  </si>
  <si>
    <t>Japón-Escocia·1|2-1</t>
  </si>
  <si>
    <t>Francia-Suecia·1|2-1</t>
  </si>
  <si>
    <t>México-Marruecos·1|2-0</t>
  </si>
  <si>
    <t>Estados Unidos-Costa de Marfil·1|3-1</t>
  </si>
  <si>
    <t>Colombia-Croacia·1|3-0</t>
  </si>
  <si>
    <t>Paraguay-Nueva Zelanda·1|2-1</t>
  </si>
  <si>
    <t>Argentina-Uruguay·X|2-2</t>
  </si>
  <si>
    <t>Portugal-Ghana·1|1-0</t>
  </si>
  <si>
    <t>Brasil-Ecuador·X|1-1</t>
  </si>
  <si>
    <t>Brasil-Inglaterra·2|0-1</t>
  </si>
  <si>
    <t>Argentina-Portugal·1|1-0</t>
  </si>
  <si>
    <t>Inglaterra-Argentina·2|0-3</t>
  </si>
  <si>
    <t>España-Argentina·X|1-1</t>
  </si>
  <si>
    <t>Messi</t>
  </si>
  <si>
    <t>mbappe</t>
  </si>
  <si>
    <t>yamal</t>
  </si>
  <si>
    <t>messi</t>
  </si>
  <si>
    <t>dibu martinez</t>
  </si>
  <si>
    <t xml:space="preserve">yamal </t>
  </si>
  <si>
    <t>paises bajo</t>
  </si>
  <si>
    <t>Portugal-Uruguay·1|3-2</t>
  </si>
  <si>
    <t>Humberto</t>
  </si>
  <si>
    <t>Corea del Sur-Suiza·2|0-3</t>
  </si>
  <si>
    <t>Marruecos-Países Bajos·2|0-2</t>
  </si>
  <si>
    <t>Ecuador-República Checa·1|2-0</t>
  </si>
  <si>
    <t>Japón-Brasil·1|3-2</t>
  </si>
  <si>
    <t>Alemania-Noruega·X|1-1</t>
  </si>
  <si>
    <t>Francia-Irán·1|5-0</t>
  </si>
  <si>
    <t>México-Costa de Marfil·2|0-2</t>
  </si>
  <si>
    <t>Egipto-Arabia Saudita·X|1-1</t>
  </si>
  <si>
    <t>Turquía-Bosnia y Herzegovina·1|3-2</t>
  </si>
  <si>
    <t>Colombia-Croacia·2|2-3</t>
  </si>
  <si>
    <t>Canadá-Austria·2|1-2</t>
  </si>
  <si>
    <t>Paraguay-Bélgica·1|2-0</t>
  </si>
  <si>
    <t>Suiza-Japón·2|0-2</t>
  </si>
  <si>
    <t>Ecuador-Francia·X|1-1</t>
  </si>
  <si>
    <t>Países Bajos-Alemania·2|0-1</t>
  </si>
  <si>
    <t>Costa de Marfil-Inglaterra·2|0-1</t>
  </si>
  <si>
    <t>Croacia-España·2|0-2</t>
  </si>
  <si>
    <t>Turquía-Egipto·1|1-0</t>
  </si>
  <si>
    <t>Austria-Portugal·2|0-2</t>
  </si>
  <si>
    <t>Francia-Japón·1|4-3</t>
  </si>
  <si>
    <t>España-Turquía·1|3-0</t>
  </si>
  <si>
    <t>Alemania-Inglaterra·1|2-1</t>
  </si>
  <si>
    <t>Francia-España·X|1-1</t>
  </si>
  <si>
    <t>Alemania-Portugal·2|1-2</t>
  </si>
  <si>
    <t>Francia-Alemania·1|2-0</t>
  </si>
  <si>
    <t>España-Portugal·1|3-2</t>
  </si>
  <si>
    <t>Julián Álvarez</t>
  </si>
  <si>
    <t>Andres Salcedo</t>
  </si>
  <si>
    <t>Alemania-Australia·1|3-0</t>
  </si>
  <si>
    <t>Ecuador-Senegal·X|2-2</t>
  </si>
  <si>
    <t>Bélgica-Austria·X|0-0</t>
  </si>
  <si>
    <t>Estados Unidos-Bosnia y Herzegovina·1|2-1</t>
  </si>
  <si>
    <t>Colombia-Ghana·1|2-1</t>
  </si>
  <si>
    <t>Turquía-Egipto·2|1-2</t>
  </si>
  <si>
    <t>Portugal-Inglaterra·1|3-1</t>
  </si>
  <si>
    <t>Brasil-Senegal·1|2-0</t>
  </si>
  <si>
    <t>Corea del Sur-Croacia·2|0-3</t>
  </si>
  <si>
    <t>Estados Unidos-Bélgica·2|0-1</t>
  </si>
  <si>
    <t>Argentina-Egipto·1|2-0</t>
  </si>
  <si>
    <t>Canadá-Portugal·2|0-2</t>
  </si>
  <si>
    <t>Francia-Países Bajos·1|2-0</t>
  </si>
  <si>
    <t>España-Bélgica·X|1-1</t>
  </si>
  <si>
    <t>Brasil-Croacia·1|2-1</t>
  </si>
  <si>
    <t>Francia-Bélgica·1|2-0</t>
  </si>
  <si>
    <t>Bélgica-Brasil·X|0-0</t>
  </si>
  <si>
    <t xml:space="preserve">dembele </t>
  </si>
  <si>
    <t>vinicius jn</t>
  </si>
  <si>
    <t>cristiano ronaldo</t>
  </si>
  <si>
    <t>vitinha</t>
  </si>
  <si>
    <t>endrick</t>
  </si>
  <si>
    <t>Francisco Dinis</t>
  </si>
  <si>
    <t>Brasil-Países Bajos·X|1-1</t>
  </si>
  <si>
    <t>Alemania-República Checa·1|3-0</t>
  </si>
  <si>
    <t>Ecuador-Noruega·1|3-1</t>
  </si>
  <si>
    <t>México-Costa de Marfil·1|1-0</t>
  </si>
  <si>
    <t>Croacia-RD Congo·1|3-0</t>
  </si>
  <si>
    <t>Bélgica-Senegal·1|3-1</t>
  </si>
  <si>
    <t>Portugal-Inglaterra·X|1-1</t>
  </si>
  <si>
    <t>Suiza-Irán·1|2-0</t>
  </si>
  <si>
    <t>Estados Unidos-Nueva Zelanda·1|1-0</t>
  </si>
  <si>
    <t>Colombia-Panamá·1|3-1</t>
  </si>
  <si>
    <t>Países Bajos-Ecuador·X|0-0</t>
  </si>
  <si>
    <t>México-Croacia·2|1-2</t>
  </si>
  <si>
    <t>Portugal-España·1|2-1</t>
  </si>
  <si>
    <t>Argentina-Estados Unidos·1|3-0</t>
  </si>
  <si>
    <t>Suiza-Colombia·2|0-2</t>
  </si>
  <si>
    <t>Francia-Marruecos·X|1-1</t>
  </si>
  <si>
    <t>Portugal-Bélgica·1|3-2</t>
  </si>
  <si>
    <t>Ecuador-Croacia·1|1-0</t>
  </si>
  <si>
    <t>Argentina-Colombia·X|2-2</t>
  </si>
  <si>
    <t>Ecuador-Argentina·X|0-0</t>
  </si>
  <si>
    <t>Francia-Ecuador·1|2-1</t>
  </si>
  <si>
    <t>Portugal-Argentina·1|2-1</t>
  </si>
  <si>
    <t>Dibu Martinez</t>
  </si>
  <si>
    <t>Warren Zaír-Emery</t>
  </si>
  <si>
    <t>Alex Flores</t>
  </si>
  <si>
    <t>Leonardo Herrera</t>
  </si>
  <si>
    <t>México-Suiza·1|2-0</t>
  </si>
  <si>
    <t>Brasil-Países Bajos·1|3-2</t>
  </si>
  <si>
    <t>Japón-Marruecos·X|2-2</t>
  </si>
  <si>
    <t>Costa de Marfil-Noruega·2|1-3</t>
  </si>
  <si>
    <t>Corea del Sur-Cabo Verde·X|0-0</t>
  </si>
  <si>
    <t>Bosnia y Herzegovina-Argelia·X|1-1</t>
  </si>
  <si>
    <t>Portugal-Ecuador·1|2-0</t>
  </si>
  <si>
    <t>México-Japón·2|2-3</t>
  </si>
  <si>
    <t>Turquía-Bélgica·X|2-2</t>
  </si>
  <si>
    <t>Argentina-Estados Unidos·1|2-0</t>
  </si>
  <si>
    <t>Bosnia y Herzegovina-Portugal·2|1-4</t>
  </si>
  <si>
    <t>Francia-Japón·1|3-2</t>
  </si>
  <si>
    <t>Francia-Brasil·1|3-2</t>
  </si>
  <si>
    <t>españa</t>
  </si>
  <si>
    <t>portugal</t>
  </si>
  <si>
    <t>kane</t>
  </si>
  <si>
    <t>cristianoo</t>
  </si>
  <si>
    <t xml:space="preserve"> unai simon o gaya</t>
  </si>
  <si>
    <t>japon</t>
  </si>
  <si>
    <t>uruguay</t>
  </si>
  <si>
    <t xml:space="preserve">Orbert </t>
  </si>
  <si>
    <t>México-Escocia·2|1-2</t>
  </si>
  <si>
    <t>Turquía-Costa de Marfil·1|1-0</t>
  </si>
  <si>
    <t>España-Argelia·1|3-0</t>
  </si>
  <si>
    <t>Suiza-Nueva Zelanda·1|1-0</t>
  </si>
  <si>
    <t>Corea del Sur-Marruecos·2|1-2</t>
  </si>
  <si>
    <t>Brasil-Noruega·1|4-2</t>
  </si>
  <si>
    <t>Escocia-Inglaterra·X|1-1</t>
  </si>
  <si>
    <t>Francia-Marruecos·1|3-1</t>
  </si>
  <si>
    <t>España-Argentina·1|3-2</t>
  </si>
  <si>
    <t>Kylian Mbappe</t>
  </si>
  <si>
    <t>Mikel Oyarzabal</t>
  </si>
  <si>
    <t>Lionel Andres Messi Cuccittini (La cabra)</t>
  </si>
  <si>
    <t xml:space="preserve">Kyliam Mbappe </t>
  </si>
  <si>
    <t>Unai Simón</t>
  </si>
  <si>
    <t>Tim Payne carreando (Nueva Zelanda)</t>
  </si>
  <si>
    <t>Inglaterra (Fui generoso en sus partidos)</t>
  </si>
  <si>
    <t>Erick Lavado</t>
  </si>
  <si>
    <t>República Checa-Suiza·X|2-2</t>
  </si>
  <si>
    <t>Ecuador-Noruega·1|3-2</t>
  </si>
  <si>
    <t>Inglaterra-Austria·1|3-1</t>
  </si>
  <si>
    <t>Bélgica-México·1|2-1</t>
  </si>
  <si>
    <t>Paraguay-Catar·1|2-0</t>
  </si>
  <si>
    <t>Canadá-Nueva Zelanda·2|0-1</t>
  </si>
  <si>
    <t>Turquía-Egipto·1|2-1</t>
  </si>
  <si>
    <t>Suiza-Países Bajos·X|2-2</t>
  </si>
  <si>
    <t>Corea del Sur-Inglaterra·2|1-3</t>
  </si>
  <si>
    <t>Argentina-Turquía·X|2-2</t>
  </si>
  <si>
    <t>Nueva Zelanda-Portugal·2|0-3</t>
  </si>
  <si>
    <t>España-Bélgica·1|3-2</t>
  </si>
  <si>
    <t>Países Bajos-España·2|2-3</t>
  </si>
  <si>
    <t>Países Bajos-Argentina·2|0-2</t>
  </si>
  <si>
    <t>España-Inglaterra·2|2-3</t>
  </si>
  <si>
    <t>Lamine</t>
  </si>
  <si>
    <t>Gordon</t>
  </si>
  <si>
    <t>Rice</t>
  </si>
  <si>
    <t>Pickford</t>
  </si>
  <si>
    <t xml:space="preserve">German </t>
  </si>
  <si>
    <t>Marruecos-Japón·1|2-0</t>
  </si>
  <si>
    <t>Países Bajos-Brasil·2|0-1</t>
  </si>
  <si>
    <t>Francia-Turquía·1|2-0</t>
  </si>
  <si>
    <t>República Checa-Arabia Saudita·1|2-1</t>
  </si>
  <si>
    <t>Bélgica-Corea del Sur·1|3-1</t>
  </si>
  <si>
    <t>Estados Unidos-Suecia·1|2-1</t>
  </si>
  <si>
    <t>Paraguay-Egipto·X|1-1</t>
  </si>
  <si>
    <t>Canadá-Brasil·2|0-1</t>
  </si>
  <si>
    <t>República Checa-Inglaterra·2|0-2</t>
  </si>
  <si>
    <t>Estados Unidos-Bélgica·2|1-2</t>
  </si>
  <si>
    <t>Argentina-Paraguay·1|3-2</t>
  </si>
  <si>
    <t>España-Bélgica·1|1-0</t>
  </si>
  <si>
    <t>Marruecos-Inglaterra·2|1-2</t>
  </si>
  <si>
    <t>Julian Alvarez</t>
  </si>
  <si>
    <t>Bono</t>
  </si>
  <si>
    <t>Doue</t>
  </si>
  <si>
    <t xml:space="preserve">Estados Unidos </t>
  </si>
  <si>
    <t xml:space="preserve">Eleyton </t>
  </si>
  <si>
    <t>México-Costa de Marfil·1|2-1</t>
  </si>
  <si>
    <t>Inglaterra-Argelia·1|2-0</t>
  </si>
  <si>
    <t>Bélgica-República Checa·1|2-1</t>
  </si>
  <si>
    <t>Portugal-Senegal·1|2-0</t>
  </si>
  <si>
    <t>Argentina-Turquía·1|2-1</t>
  </si>
  <si>
    <t>España-Brasil·2|1-2</t>
  </si>
  <si>
    <t>Francia-Argentina·X|1-1</t>
  </si>
  <si>
    <t>Vinicius Jr</t>
  </si>
  <si>
    <t>Ousmane Dembele</t>
  </si>
  <si>
    <t>Emiliano Martinez</t>
  </si>
  <si>
    <t>asaas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</si>
</sst>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10">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sz val="16"/>
      <color rgb="FFFF0000"/>
      <name val="Arial"/>
      <family val="2"/>
    </font>
    <font>
      <u/>
      <sz val="11"/>
      <name val="Calibri"/>
      <family val="2"/>
      <scheme val="minor"/>
    </font>
    <font>
      <b/>
      <sz val="14"/>
      <name val="Calibri"/>
      <family val="2"/>
      <scheme val="minor"/>
    </font>
    <font>
      <sz val="11"/>
      <color theme="0" tint="-4.9989318521683403E-2"/>
      <name val="Calibri"/>
      <family val="2"/>
      <scheme val="minor"/>
    </font>
    <font>
      <sz val="11"/>
      <color theme="1"/>
      <name val="Calibri"/>
      <family val="2"/>
    </font>
    <font>
      <sz val="11"/>
      <color theme="1"/>
      <name val="Calibri"/>
      <scheme val="minor"/>
    </font>
    <font>
      <sz val="11"/>
      <color theme="1"/>
      <name val="Calibri"/>
    </font>
    <font>
      <sz val="11"/>
      <color rgb="FF1B4066"/>
      <name val="Calibri"/>
    </font>
    <font>
      <sz val="11"/>
      <name val="Calibri"/>
      <family val="2"/>
    </font>
    <font>
      <sz val="11"/>
      <color rgb="FF1B4066"/>
      <name val="Calibri"/>
      <family val="2"/>
    </font>
  </fonts>
  <fills count="49">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EEEEEE"/>
        <bgColor rgb="FFEEEEEE"/>
      </patternFill>
    </fill>
    <fill>
      <patternFill patternType="solid">
        <fgColor rgb="FFDDDDDD"/>
        <bgColor indexed="64"/>
      </patternFill>
    </fill>
  </fills>
  <borders count="210">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thin">
        <color rgb="FFEEEEEE"/>
      </right>
      <top style="thin">
        <color theme="0" tint="-0.249977111117893"/>
      </top>
      <bottom style="thin">
        <color rgb="FFEEEEEE"/>
      </bottom>
      <diagonal/>
    </border>
    <border>
      <left/>
      <right style="thin">
        <color rgb="FFEEEEEE"/>
      </right>
      <top style="thin">
        <color rgb="FFEEEEEE"/>
      </top>
      <bottom style="thin">
        <color rgb="FFEEEEEE"/>
      </bottom>
      <diagonal/>
    </border>
    <border>
      <left/>
      <right style="thin">
        <color rgb="FFEEEEEE"/>
      </right>
      <top/>
      <bottom style="thin">
        <color rgb="FFEEEEEE"/>
      </bottom>
      <diagonal/>
    </border>
    <border>
      <left/>
      <right style="thin">
        <color rgb="FFEEEEEE"/>
      </right>
      <top style="thin">
        <color rgb="FFEEEEEE"/>
      </top>
      <bottom/>
      <diagonal/>
    </border>
    <border>
      <left/>
      <right style="thin">
        <color rgb="FFEEEEEE"/>
      </right>
      <top/>
      <bottom/>
      <diagonal/>
    </border>
    <border>
      <left style="thin">
        <color rgb="FFBFBFBF"/>
      </left>
      <right style="thin">
        <color theme="0" tint="-0.249977111117893"/>
      </right>
      <top style="thin">
        <color rgb="FFBFBFBF"/>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rgb="FFBFBFBF"/>
      </right>
      <top style="thin">
        <color theme="0" tint="-0.249977111117893"/>
      </top>
      <bottom/>
      <diagonal/>
    </border>
    <border>
      <left/>
      <right style="thin">
        <color rgb="FFBFBFBF"/>
      </right>
      <top style="thin">
        <color theme="0" tint="-0.249977111117893"/>
      </top>
      <bottom style="thin">
        <color rgb="FFBFBFBF"/>
      </bottom>
      <diagonal/>
    </border>
    <border>
      <left style="thin">
        <color rgb="FFBFBFBF"/>
      </left>
      <right style="thin">
        <color rgb="FFBFBFBF"/>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
      <left/>
      <right/>
      <top style="thin">
        <color rgb="FFBFBFBF"/>
      </top>
      <bottom/>
      <diagonal/>
    </border>
  </borders>
  <cellStyleXfs count="102">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3" fillId="0" borderId="0"/>
    <xf numFmtId="0" fontId="3" fillId="0" borderId="0"/>
    <xf numFmtId="0" fontId="23" fillId="0" borderId="0"/>
    <xf numFmtId="0" fontId="2" fillId="0" borderId="0"/>
    <xf numFmtId="0" fontId="6" fillId="0" borderId="0" applyNumberFormat="0" applyFill="0" applyBorder="0" applyAlignment="0" applyProtection="0"/>
    <xf numFmtId="0" fontId="23" fillId="0" borderId="0"/>
    <xf numFmtId="0" fontId="1" fillId="0" borderId="0"/>
    <xf numFmtId="9" fontId="23" fillId="0" borderId="0" applyFont="0" applyFill="0" applyBorder="0" applyAlignment="0" applyProtection="0"/>
    <xf numFmtId="0" fontId="105" fillId="0" borderId="0"/>
    <xf numFmtId="0" fontId="1" fillId="0" borderId="0"/>
    <xf numFmtId="0" fontId="1" fillId="0" borderId="0"/>
    <xf numFmtId="0" fontId="13" fillId="0" borderId="0"/>
  </cellStyleXfs>
  <cellXfs count="911">
    <xf numFmtId="0" fontId="0" fillId="0" borderId="0" xfId="0"/>
    <xf numFmtId="0" fontId="0" fillId="0" borderId="0" xfId="0" applyProtection="1">
      <protection hidden="1"/>
    </xf>
    <xf numFmtId="0" fontId="0" fillId="0" borderId="0" xfId="0" applyAlignment="1" applyProtection="1">
      <alignment horizontal="center"/>
      <protection hidden="1"/>
    </xf>
    <xf numFmtId="0" fontId="23" fillId="2" borderId="0" xfId="90" applyFill="1"/>
    <xf numFmtId="0" fontId="23"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39" fillId="30" borderId="53" xfId="27" applyFont="1" applyFill="1" applyBorder="1" applyAlignment="1" applyProtection="1">
      <alignment horizontal="center" vertical="center"/>
      <protection hidden="1"/>
    </xf>
    <xf numFmtId="0" fontId="39" fillId="31" borderId="53" xfId="27" applyFont="1" applyFill="1" applyBorder="1" applyAlignment="1" applyProtection="1">
      <alignment horizontal="center" vertical="center"/>
      <protection hidden="1"/>
    </xf>
    <xf numFmtId="0" fontId="39" fillId="32" borderId="53" xfId="27" applyFont="1" applyFill="1" applyBorder="1" applyAlignment="1" applyProtection="1">
      <alignment horizontal="center" vertical="center"/>
      <protection hidden="1"/>
    </xf>
    <xf numFmtId="0" fontId="39"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2" fillId="35" borderId="0" xfId="0" applyFont="1" applyFill="1" applyProtection="1">
      <protection hidden="1"/>
    </xf>
    <xf numFmtId="0" fontId="53" fillId="35" borderId="0" xfId="0" applyFont="1" applyFill="1" applyProtection="1">
      <protection hidden="1"/>
    </xf>
    <xf numFmtId="0" fontId="53" fillId="0" borderId="0" xfId="0" applyFont="1" applyProtection="1">
      <protection hidden="1"/>
    </xf>
    <xf numFmtId="0" fontId="53" fillId="0" borderId="0" xfId="0" applyFont="1"/>
    <xf numFmtId="0" fontId="52" fillId="35" borderId="0" xfId="0" applyFont="1" applyFill="1" applyAlignment="1" applyProtection="1">
      <alignment horizontal="center"/>
      <protection hidden="1"/>
    </xf>
    <xf numFmtId="0" fontId="53" fillId="0" borderId="0" xfId="0" applyFont="1" applyAlignment="1">
      <alignment horizontal="center"/>
    </xf>
    <xf numFmtId="0" fontId="53" fillId="0" borderId="0" xfId="0" applyFont="1" applyAlignment="1" applyProtection="1">
      <alignment horizontal="center"/>
      <protection hidden="1"/>
    </xf>
    <xf numFmtId="0" fontId="53" fillId="35" borderId="0" xfId="0" applyFont="1" applyFill="1"/>
    <xf numFmtId="0" fontId="44" fillId="0" borderId="0" xfId="90" applyFont="1" applyProtection="1">
      <protection hidden="1"/>
    </xf>
    <xf numFmtId="0" fontId="44" fillId="0" borderId="0" xfId="90" applyFont="1"/>
    <xf numFmtId="0" fontId="44" fillId="0" borderId="0" xfId="90" applyFont="1" applyAlignment="1" applyProtection="1">
      <alignment vertical="top" wrapText="1"/>
      <protection hidden="1"/>
    </xf>
    <xf numFmtId="0" fontId="45" fillId="0" borderId="0" xfId="90" applyFont="1" applyAlignment="1" applyProtection="1">
      <alignment vertical="top"/>
      <protection hidden="1"/>
    </xf>
    <xf numFmtId="0" fontId="44" fillId="0" borderId="0" xfId="90" applyFont="1" applyAlignment="1" applyProtection="1">
      <alignment vertical="top"/>
      <protection hidden="1"/>
    </xf>
    <xf numFmtId="0" fontId="44" fillId="0" borderId="0" xfId="90" applyFont="1" applyAlignment="1" applyProtection="1">
      <alignment vertical="center" wrapText="1"/>
      <protection hidden="1"/>
    </xf>
    <xf numFmtId="0" fontId="44" fillId="0" borderId="0" xfId="90" applyFont="1" applyAlignment="1" applyProtection="1">
      <alignment vertical="center"/>
      <protection hidden="1"/>
    </xf>
    <xf numFmtId="0" fontId="44" fillId="0" borderId="0" xfId="27" applyFont="1" applyFill="1" applyProtection="1">
      <protection hidden="1"/>
    </xf>
    <xf numFmtId="0" fontId="44" fillId="0" borderId="0" xfId="27" applyFont="1" applyFill="1"/>
    <xf numFmtId="0" fontId="44" fillId="0" borderId="0" xfId="90" applyFont="1" applyAlignment="1">
      <alignment vertical="center"/>
    </xf>
    <xf numFmtId="0" fontId="46"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6" fillId="0" borderId="26" xfId="27" applyFont="1" applyFill="1" applyBorder="1" applyAlignment="1" applyProtection="1">
      <alignment horizontal="center" vertical="center"/>
      <protection hidden="1"/>
    </xf>
    <xf numFmtId="0" fontId="44" fillId="0" borderId="26" xfId="90" applyFont="1" applyBorder="1" applyAlignment="1" applyProtection="1">
      <alignment horizontal="center" vertical="center"/>
      <protection hidden="1"/>
    </xf>
    <xf numFmtId="0" fontId="59" fillId="3" borderId="79" xfId="0" applyFont="1" applyFill="1" applyBorder="1" applyAlignment="1">
      <alignment horizontal="center" vertical="center"/>
    </xf>
    <xf numFmtId="0" fontId="42" fillId="2" borderId="78" xfId="0" applyFont="1" applyFill="1" applyBorder="1" applyAlignment="1" applyProtection="1">
      <alignment horizontal="left" vertical="center"/>
      <protection locked="0" hidden="1"/>
    </xf>
    <xf numFmtId="0" fontId="63" fillId="38" borderId="75" xfId="0" applyFont="1" applyFill="1" applyBorder="1" applyAlignment="1" applyProtection="1">
      <alignment horizontal="center" vertical="center"/>
      <protection hidden="1"/>
    </xf>
    <xf numFmtId="0" fontId="64" fillId="36" borderId="77" xfId="0" applyFont="1" applyFill="1" applyBorder="1" applyAlignment="1" applyProtection="1">
      <alignment horizontal="center" vertical="center"/>
      <protection hidden="1"/>
    </xf>
    <xf numFmtId="0" fontId="39" fillId="34" borderId="53" xfId="27" applyFont="1" applyFill="1" applyBorder="1" applyAlignment="1" applyProtection="1">
      <alignment horizontal="center" vertical="center"/>
      <protection hidden="1"/>
    </xf>
    <xf numFmtId="0" fontId="44" fillId="3" borderId="2" xfId="0" applyFont="1" applyFill="1" applyBorder="1" applyAlignment="1" applyProtection="1">
      <alignment horizontal="center" vertical="center"/>
      <protection locked="0" hidden="1"/>
    </xf>
    <xf numFmtId="0" fontId="43" fillId="0" borderId="103" xfId="0" applyFont="1" applyBorder="1" applyAlignment="1" applyProtection="1">
      <alignment horizontal="left" vertical="center"/>
      <protection hidden="1"/>
    </xf>
    <xf numFmtId="0" fontId="43" fillId="4" borderId="103" xfId="0" applyFont="1" applyFill="1" applyBorder="1" applyAlignment="1" applyProtection="1">
      <alignment horizontal="left" vertical="center"/>
      <protection hidden="1"/>
    </xf>
    <xf numFmtId="0" fontId="44"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4" fillId="35" borderId="0" xfId="93" applyFont="1" applyFill="1" applyProtection="1">
      <protection hidden="1"/>
    </xf>
    <xf numFmtId="0" fontId="69" fillId="35" borderId="0" xfId="93" applyFont="1" applyFill="1" applyAlignment="1" applyProtection="1">
      <alignment horizontal="center" vertical="center"/>
      <protection hidden="1"/>
    </xf>
    <xf numFmtId="0" fontId="46" fillId="35" borderId="0" xfId="95" applyFont="1" applyFill="1" applyProtection="1">
      <protection hidden="1"/>
    </xf>
    <xf numFmtId="0" fontId="44" fillId="0" borderId="88" xfId="96" applyFont="1" applyBorder="1" applyAlignment="1" applyProtection="1">
      <alignment horizontal="left" vertical="center"/>
      <protection hidden="1"/>
    </xf>
    <xf numFmtId="0" fontId="46" fillId="7" borderId="105" xfId="0" applyFont="1" applyFill="1" applyBorder="1" applyAlignment="1" applyProtection="1">
      <alignment horizontal="center" vertical="top"/>
      <protection hidden="1"/>
    </xf>
    <xf numFmtId="0" fontId="44" fillId="0" borderId="89" xfId="96" applyFont="1" applyBorder="1" applyAlignment="1" applyProtection="1">
      <alignment horizontal="left" vertical="center"/>
      <protection hidden="1"/>
    </xf>
    <xf numFmtId="0" fontId="44" fillId="0" borderId="90" xfId="96" applyFont="1" applyBorder="1" applyAlignment="1" applyProtection="1">
      <alignment horizontal="left" vertical="center"/>
      <protection hidden="1"/>
    </xf>
    <xf numFmtId="0" fontId="44" fillId="0" borderId="98" xfId="96" applyFont="1" applyBorder="1" applyAlignment="1" applyProtection="1">
      <alignment horizontal="left" vertical="center"/>
      <protection hidden="1"/>
    </xf>
    <xf numFmtId="0" fontId="44" fillId="0" borderId="99" xfId="96" applyFont="1" applyBorder="1" applyAlignment="1" applyProtection="1">
      <alignment horizontal="left" vertical="center"/>
      <protection hidden="1"/>
    </xf>
    <xf numFmtId="0" fontId="44" fillId="0" borderId="97" xfId="96" applyFont="1" applyBorder="1" applyAlignment="1" applyProtection="1">
      <alignment horizontal="left" vertical="center"/>
      <protection hidden="1"/>
    </xf>
    <xf numFmtId="0" fontId="44" fillId="35" borderId="0" xfId="95" applyFont="1" applyFill="1" applyProtection="1">
      <protection hidden="1"/>
    </xf>
    <xf numFmtId="0" fontId="44" fillId="0" borderId="0" xfId="0" applyFont="1" applyProtection="1">
      <protection hidden="1"/>
    </xf>
    <xf numFmtId="0" fontId="44" fillId="4" borderId="102" xfId="0" applyFont="1" applyFill="1" applyBorder="1" applyAlignment="1" applyProtection="1">
      <alignment horizontal="center" vertical="center"/>
      <protection locked="0" hidden="1"/>
    </xf>
    <xf numFmtId="0" fontId="53" fillId="35" borderId="0" xfId="95" applyFont="1" applyFill="1" applyProtection="1">
      <protection hidden="1"/>
    </xf>
    <xf numFmtId="0" fontId="53" fillId="35" borderId="0" xfId="93" applyFont="1" applyFill="1" applyProtection="1">
      <protection hidden="1"/>
    </xf>
    <xf numFmtId="0" fontId="44" fillId="2" borderId="27" xfId="95" applyFont="1" applyFill="1" applyBorder="1" applyAlignment="1" applyProtection="1">
      <alignment vertical="center"/>
      <protection locked="0" hidden="1"/>
    </xf>
    <xf numFmtId="0" fontId="45" fillId="0" borderId="91" xfId="90" applyFont="1" applyBorder="1" applyAlignment="1" applyProtection="1">
      <alignment horizontal="center" vertical="center"/>
      <protection hidden="1"/>
    </xf>
    <xf numFmtId="0" fontId="44" fillId="0" borderId="91" xfId="90" applyFont="1" applyBorder="1" applyAlignment="1" applyProtection="1">
      <alignment horizontal="center" vertical="center"/>
      <protection hidden="1"/>
    </xf>
    <xf numFmtId="0" fontId="45" fillId="0" borderId="92" xfId="90" applyFont="1" applyBorder="1" applyAlignment="1" applyProtection="1">
      <alignment horizontal="center" vertical="center"/>
      <protection locked="0" hidden="1"/>
    </xf>
    <xf numFmtId="0" fontId="44" fillId="0" borderId="92" xfId="90" applyFont="1" applyBorder="1" applyAlignment="1" applyProtection="1">
      <alignment horizontal="center" vertical="center"/>
      <protection hidden="1"/>
    </xf>
    <xf numFmtId="0" fontId="44" fillId="35" borderId="0" xfId="93" applyFont="1" applyFill="1" applyAlignment="1" applyProtection="1">
      <alignment vertical="center"/>
      <protection hidden="1"/>
    </xf>
    <xf numFmtId="0" fontId="44" fillId="2" borderId="93" xfId="95" applyFont="1" applyFill="1" applyBorder="1" applyAlignment="1" applyProtection="1">
      <alignment horizontal="left" vertical="center"/>
      <protection locked="0" hidden="1"/>
    </xf>
    <xf numFmtId="0" fontId="44" fillId="2" borderId="94" xfId="95" applyFont="1" applyFill="1" applyBorder="1" applyAlignment="1" applyProtection="1">
      <alignment vertical="center"/>
      <protection hidden="1"/>
    </xf>
    <xf numFmtId="0" fontId="44" fillId="2" borderId="93" xfId="95" applyFont="1" applyFill="1" applyBorder="1" applyAlignment="1" applyProtection="1">
      <alignment vertical="center"/>
      <protection locked="0" hidden="1"/>
    </xf>
    <xf numFmtId="16" fontId="44" fillId="2" borderId="93" xfId="95" applyNumberFormat="1" applyFont="1" applyFill="1" applyBorder="1" applyAlignment="1" applyProtection="1">
      <alignment vertical="center"/>
      <protection locked="0" hidden="1"/>
    </xf>
    <xf numFmtId="0" fontId="44" fillId="2" borderId="87" xfId="95" applyFont="1" applyFill="1" applyBorder="1" applyAlignment="1" applyProtection="1">
      <alignment vertical="center"/>
      <protection locked="0" hidden="1"/>
    </xf>
    <xf numFmtId="0" fontId="44" fillId="2" borderId="85" xfId="95" applyFont="1" applyFill="1" applyBorder="1" applyAlignment="1" applyProtection="1">
      <alignment vertical="center"/>
      <protection hidden="1"/>
    </xf>
    <xf numFmtId="0" fontId="44" fillId="2" borderId="100" xfId="95" applyFont="1" applyFill="1" applyBorder="1" applyAlignment="1" applyProtection="1">
      <alignment vertical="center"/>
      <protection locked="0" hidden="1"/>
    </xf>
    <xf numFmtId="0" fontId="44" fillId="2" borderId="101" xfId="95" applyFont="1" applyFill="1" applyBorder="1" applyAlignment="1" applyProtection="1">
      <alignment vertical="center"/>
      <protection hidden="1"/>
    </xf>
    <xf numFmtId="0" fontId="44" fillId="2" borderId="95" xfId="95" applyFont="1" applyFill="1" applyBorder="1" applyAlignment="1" applyProtection="1">
      <alignment vertical="center"/>
      <protection locked="0" hidden="1"/>
    </xf>
    <xf numFmtId="0" fontId="44" fillId="2" borderId="96" xfId="95" applyFont="1" applyFill="1" applyBorder="1" applyAlignment="1" applyProtection="1">
      <alignment vertical="center"/>
      <protection hidden="1"/>
    </xf>
    <xf numFmtId="0" fontId="44" fillId="35" borderId="0" xfId="95" applyFont="1" applyFill="1" applyAlignment="1" applyProtection="1">
      <alignment vertical="center"/>
      <protection locked="0" hidden="1"/>
    </xf>
    <xf numFmtId="0" fontId="44" fillId="35" borderId="0" xfId="95" applyFont="1" applyFill="1" applyAlignment="1" applyProtection="1">
      <alignment vertical="center"/>
      <protection hidden="1"/>
    </xf>
    <xf numFmtId="0" fontId="44" fillId="35" borderId="0" xfId="93" applyFont="1" applyFill="1" applyAlignment="1" applyProtection="1">
      <alignment vertical="center"/>
      <protection locked="0" hidden="1"/>
    </xf>
    <xf numFmtId="0" fontId="44" fillId="2" borderId="106" xfId="95" applyFont="1" applyFill="1" applyBorder="1" applyAlignment="1" applyProtection="1">
      <alignment vertical="center"/>
      <protection hidden="1"/>
    </xf>
    <xf numFmtId="0" fontId="44" fillId="0" borderId="0" xfId="0" applyFont="1" applyAlignment="1" applyProtection="1">
      <alignment vertical="center"/>
      <protection hidden="1"/>
    </xf>
    <xf numFmtId="0" fontId="53" fillId="35" borderId="0" xfId="93" applyFont="1" applyFill="1" applyAlignment="1" applyProtection="1">
      <alignment vertical="center"/>
      <protection hidden="1"/>
    </xf>
    <xf numFmtId="0" fontId="46" fillId="35" borderId="109"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3" fillId="35" borderId="0" xfId="0" applyFont="1" applyFill="1" applyAlignment="1" applyProtection="1">
      <alignment horizontal="center" vertical="center"/>
      <protection hidden="1"/>
    </xf>
    <xf numFmtId="0" fontId="71" fillId="35" borderId="0" xfId="93" applyFont="1" applyFill="1" applyProtection="1">
      <protection hidden="1"/>
    </xf>
    <xf numFmtId="0" fontId="72" fillId="35" borderId="0" xfId="93" applyFont="1" applyFill="1" applyProtection="1">
      <protection hidden="1"/>
    </xf>
    <xf numFmtId="0" fontId="46" fillId="3"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72" fillId="35" borderId="0" xfId="95" applyFont="1" applyFill="1" applyProtection="1">
      <protection hidden="1"/>
    </xf>
    <xf numFmtId="14" fontId="74" fillId="7" borderId="0" xfId="0" quotePrefix="1" applyNumberFormat="1" applyFont="1" applyFill="1" applyAlignment="1" applyProtection="1">
      <alignment horizontal="center" vertical="center"/>
      <protection hidden="1"/>
    </xf>
    <xf numFmtId="0" fontId="72" fillId="4" borderId="0" xfId="93" applyFont="1" applyFill="1" applyProtection="1">
      <protection hidden="1"/>
    </xf>
    <xf numFmtId="0" fontId="75" fillId="3" borderId="0" xfId="0" applyFont="1" applyFill="1" applyAlignment="1" applyProtection="1">
      <alignment horizontal="left" vertical="center"/>
      <protection hidden="1"/>
    </xf>
    <xf numFmtId="0" fontId="76" fillId="3" borderId="0" xfId="0" applyFont="1" applyFill="1" applyAlignment="1" applyProtection="1">
      <alignment horizontal="left" vertical="center"/>
      <protection hidden="1"/>
    </xf>
    <xf numFmtId="0" fontId="75" fillId="7" borderId="0" xfId="0" applyFont="1" applyFill="1" applyAlignment="1" applyProtection="1">
      <alignment horizontal="left" vertical="center"/>
      <protection hidden="1"/>
    </xf>
    <xf numFmtId="0" fontId="76" fillId="7" borderId="0" xfId="0" applyFont="1" applyFill="1" applyAlignment="1" applyProtection="1">
      <alignment horizontal="left" vertical="center"/>
      <protection hidden="1"/>
    </xf>
    <xf numFmtId="0" fontId="72" fillId="0" borderId="0" xfId="0" applyFont="1" applyProtection="1">
      <protection hidden="1"/>
    </xf>
    <xf numFmtId="0" fontId="77" fillId="35" borderId="109" xfId="90" applyFont="1" applyFill="1" applyBorder="1" applyAlignment="1" applyProtection="1">
      <alignment horizontal="center" vertical="center" wrapText="1"/>
      <protection hidden="1"/>
    </xf>
    <xf numFmtId="0" fontId="78" fillId="35" borderId="109" xfId="90" applyFont="1" applyFill="1" applyBorder="1" applyAlignment="1" applyProtection="1">
      <alignment horizontal="center" vertical="center" wrapText="1"/>
      <protection hidden="1"/>
    </xf>
    <xf numFmtId="0" fontId="0" fillId="35" borderId="110" xfId="0" applyFill="1" applyBorder="1" applyProtection="1">
      <protection hidden="1"/>
    </xf>
    <xf numFmtId="0" fontId="53" fillId="35" borderId="110" xfId="0" applyFont="1" applyFill="1" applyBorder="1" applyProtection="1">
      <protection hidden="1"/>
    </xf>
    <xf numFmtId="0" fontId="46" fillId="35" borderId="109"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4" fillId="35" borderId="0" xfId="93" applyFont="1" applyFill="1" applyAlignment="1" applyProtection="1">
      <alignment vertical="center" wrapText="1"/>
      <protection hidden="1"/>
    </xf>
    <xf numFmtId="0" fontId="46" fillId="35" borderId="0" xfId="93" applyFont="1" applyFill="1" applyAlignment="1" applyProtection="1">
      <alignment vertical="center"/>
      <protection hidden="1"/>
    </xf>
    <xf numFmtId="0" fontId="44" fillId="0" borderId="111" xfId="96" applyFont="1" applyBorder="1" applyAlignment="1" applyProtection="1">
      <alignment horizontal="left" vertical="center"/>
      <protection hidden="1"/>
    </xf>
    <xf numFmtId="0" fontId="44" fillId="0" borderId="112" xfId="96" applyFont="1" applyBorder="1" applyAlignment="1" applyProtection="1">
      <alignment horizontal="left" vertical="center"/>
      <protection hidden="1"/>
    </xf>
    <xf numFmtId="0" fontId="44" fillId="0" borderId="113" xfId="96" applyFont="1" applyBorder="1" applyAlignment="1" applyProtection="1">
      <alignment horizontal="left" vertical="center"/>
      <protection hidden="1"/>
    </xf>
    <xf numFmtId="0" fontId="44" fillId="0" borderId="0" xfId="96" applyFont="1" applyAlignment="1" applyProtection="1">
      <alignment horizontal="left" vertical="center"/>
      <protection hidden="1"/>
    </xf>
    <xf numFmtId="0" fontId="46" fillId="35" borderId="0" xfId="95" applyFont="1" applyFill="1" applyAlignment="1" applyProtection="1">
      <alignment vertical="center"/>
      <protection hidden="1"/>
    </xf>
    <xf numFmtId="0" fontId="43" fillId="4" borderId="114" xfId="0" applyFont="1" applyFill="1" applyBorder="1" applyAlignment="1" applyProtection="1">
      <alignment horizontal="left" vertical="center"/>
      <protection hidden="1"/>
    </xf>
    <xf numFmtId="0" fontId="43" fillId="0" borderId="116" xfId="0" applyFont="1" applyBorder="1" applyAlignment="1" applyProtection="1">
      <alignment horizontal="left" vertical="center"/>
      <protection hidden="1"/>
    </xf>
    <xf numFmtId="0" fontId="43" fillId="4" borderId="116" xfId="0" applyFont="1" applyFill="1" applyBorder="1" applyAlignment="1" applyProtection="1">
      <alignment horizontal="left" vertical="center"/>
      <protection hidden="1"/>
    </xf>
    <xf numFmtId="0" fontId="44" fillId="4" borderId="115" xfId="0" applyFont="1" applyFill="1" applyBorder="1" applyAlignment="1" applyProtection="1">
      <alignment horizontal="center" vertical="center"/>
      <protection hidden="1"/>
    </xf>
    <xf numFmtId="0" fontId="44" fillId="2" borderId="102" xfId="0" applyFont="1" applyFill="1" applyBorder="1" applyAlignment="1" applyProtection="1">
      <alignment horizontal="center" vertical="center"/>
      <protection hidden="1"/>
    </xf>
    <xf numFmtId="0" fontId="44" fillId="4" borderId="102" xfId="0" applyFont="1" applyFill="1" applyBorder="1" applyAlignment="1" applyProtection="1">
      <alignment horizontal="center" vertical="center"/>
      <protection hidden="1"/>
    </xf>
    <xf numFmtId="0" fontId="44" fillId="2" borderId="104" xfId="0" applyFont="1" applyFill="1" applyBorder="1" applyAlignment="1" applyProtection="1">
      <alignment horizontal="center" vertical="center"/>
      <protection hidden="1"/>
    </xf>
    <xf numFmtId="0" fontId="44" fillId="4" borderId="104" xfId="0" applyFont="1" applyFill="1" applyBorder="1" applyAlignment="1" applyProtection="1">
      <alignment horizontal="center" vertical="center"/>
      <protection hidden="1"/>
    </xf>
    <xf numFmtId="0" fontId="53" fillId="35" borderId="0" xfId="93" applyFont="1" applyFill="1" applyAlignment="1" applyProtection="1">
      <alignment horizontal="center"/>
      <protection hidden="1"/>
    </xf>
    <xf numFmtId="0" fontId="9" fillId="40" borderId="117" xfId="0" applyFont="1" applyFill="1" applyBorder="1"/>
    <xf numFmtId="0" fontId="9" fillId="40" borderId="118" xfId="0" applyFont="1" applyFill="1" applyBorder="1"/>
    <xf numFmtId="0" fontId="9" fillId="40" borderId="119" xfId="0" applyFont="1" applyFill="1" applyBorder="1"/>
    <xf numFmtId="0" fontId="44" fillId="44" borderId="131" xfId="0" applyFont="1" applyFill="1" applyBorder="1" applyAlignment="1" applyProtection="1">
      <alignment horizontal="left" vertical="center"/>
      <protection hidden="1"/>
    </xf>
    <xf numFmtId="0" fontId="44" fillId="45" borderId="126" xfId="0" applyFont="1" applyFill="1" applyBorder="1" applyAlignment="1" applyProtection="1">
      <alignment horizontal="left" vertical="center"/>
      <protection hidden="1"/>
    </xf>
    <xf numFmtId="0" fontId="44" fillId="44" borderId="126" xfId="0" applyFont="1" applyFill="1" applyBorder="1" applyAlignment="1" applyProtection="1">
      <alignment horizontal="left" vertical="center"/>
      <protection hidden="1"/>
    </xf>
    <xf numFmtId="0" fontId="0" fillId="43" borderId="125" xfId="0" applyFill="1" applyBorder="1"/>
    <xf numFmtId="0" fontId="44" fillId="45" borderId="128" xfId="0" applyFont="1" applyFill="1" applyBorder="1" applyAlignment="1" applyProtection="1">
      <alignment horizontal="left" vertical="center"/>
      <protection hidden="1"/>
    </xf>
    <xf numFmtId="0" fontId="23" fillId="35" borderId="64" xfId="90" applyFill="1" applyBorder="1"/>
    <xf numFmtId="0" fontId="23" fillId="35" borderId="65" xfId="90" applyFill="1" applyBorder="1"/>
    <xf numFmtId="0" fontId="23" fillId="35" borderId="66" xfId="90" applyFill="1" applyBorder="1"/>
    <xf numFmtId="0" fontId="46" fillId="35" borderId="67" xfId="90" applyFont="1" applyFill="1" applyBorder="1" applyAlignment="1" applyProtection="1">
      <alignment horizontal="right" vertical="center"/>
      <protection hidden="1"/>
    </xf>
    <xf numFmtId="0" fontId="44" fillId="35" borderId="0" xfId="27" applyFont="1" applyFill="1" applyBorder="1" applyAlignment="1" applyProtection="1">
      <alignment vertical="center"/>
      <protection hidden="1"/>
    </xf>
    <xf numFmtId="0" fontId="44" fillId="35" borderId="0" xfId="90" applyFont="1" applyFill="1" applyAlignment="1" applyProtection="1">
      <alignment vertical="center"/>
      <protection hidden="1"/>
    </xf>
    <xf numFmtId="0" fontId="44" fillId="35" borderId="0" xfId="90" applyFont="1" applyFill="1" applyAlignment="1" applyProtection="1">
      <alignment vertical="center" wrapText="1"/>
      <protection hidden="1"/>
    </xf>
    <xf numFmtId="0" fontId="44" fillId="35" borderId="68" xfId="90" applyFont="1" applyFill="1" applyBorder="1" applyAlignment="1" applyProtection="1">
      <alignment vertical="center" wrapText="1"/>
      <protection hidden="1"/>
    </xf>
    <xf numFmtId="0" fontId="46" fillId="35" borderId="67" xfId="90" applyFont="1" applyFill="1" applyBorder="1" applyAlignment="1" applyProtection="1">
      <alignment horizontal="right" vertical="top"/>
      <protection hidden="1"/>
    </xf>
    <xf numFmtId="14" fontId="44" fillId="35" borderId="0" xfId="90" applyNumberFormat="1" applyFont="1" applyFill="1" applyAlignment="1" applyProtection="1">
      <alignment horizontal="left" vertical="top"/>
      <protection hidden="1"/>
    </xf>
    <xf numFmtId="0" fontId="44" fillId="35" borderId="0" xfId="90" applyFont="1" applyFill="1" applyAlignment="1" applyProtection="1">
      <alignment vertical="top"/>
      <protection hidden="1"/>
    </xf>
    <xf numFmtId="0" fontId="44" fillId="35" borderId="0" xfId="90" applyFont="1" applyFill="1" applyAlignment="1" applyProtection="1">
      <alignment vertical="top" wrapText="1"/>
      <protection hidden="1"/>
    </xf>
    <xf numFmtId="0" fontId="44" fillId="35" borderId="68" xfId="90" applyFont="1" applyFill="1" applyBorder="1"/>
    <xf numFmtId="0" fontId="44" fillId="35" borderId="69" xfId="90" applyFont="1" applyFill="1" applyBorder="1" applyProtection="1">
      <protection hidden="1"/>
    </xf>
    <xf numFmtId="0" fontId="44" fillId="35" borderId="70" xfId="90" applyFont="1" applyFill="1" applyBorder="1" applyProtection="1">
      <protection hidden="1"/>
    </xf>
    <xf numFmtId="0" fontId="44" fillId="35" borderId="71" xfId="90" applyFont="1" applyFill="1" applyBorder="1" applyProtection="1">
      <protection hidden="1"/>
    </xf>
    <xf numFmtId="0" fontId="44" fillId="35" borderId="64" xfId="90" applyFont="1" applyFill="1" applyBorder="1" applyAlignment="1" applyProtection="1">
      <alignment horizontal="right"/>
      <protection hidden="1"/>
    </xf>
    <xf numFmtId="0" fontId="44" fillId="35" borderId="65" xfId="90" applyFont="1" applyFill="1" applyBorder="1" applyAlignment="1" applyProtection="1">
      <alignment horizontal="right"/>
      <protection hidden="1"/>
    </xf>
    <xf numFmtId="0" fontId="66" fillId="35" borderId="65" xfId="90" applyFont="1" applyFill="1" applyBorder="1" applyAlignment="1" applyProtection="1">
      <alignment horizontal="left"/>
      <protection hidden="1"/>
    </xf>
    <xf numFmtId="0" fontId="44" fillId="35" borderId="65" xfId="90" applyFont="1" applyFill="1" applyBorder="1" applyAlignment="1" applyProtection="1">
      <alignment horizontal="left"/>
      <protection hidden="1"/>
    </xf>
    <xf numFmtId="0" fontId="44" fillId="35" borderId="65" xfId="90" applyFont="1" applyFill="1" applyBorder="1"/>
    <xf numFmtId="0" fontId="44" fillId="35" borderId="66" xfId="90" applyFont="1" applyFill="1" applyBorder="1"/>
    <xf numFmtId="0" fontId="23" fillId="35" borderId="67" xfId="90" applyFill="1" applyBorder="1"/>
    <xf numFmtId="0" fontId="46" fillId="35" borderId="0" xfId="90" applyFont="1" applyFill="1" applyAlignment="1" applyProtection="1">
      <alignment horizontal="left" vertical="center"/>
      <protection hidden="1"/>
    </xf>
    <xf numFmtId="0" fontId="46" fillId="35" borderId="0" xfId="90" applyFont="1" applyFill="1" applyAlignment="1" applyProtection="1">
      <alignment horizontal="center" vertical="center"/>
      <protection hidden="1"/>
    </xf>
    <xf numFmtId="0" fontId="44" fillId="35" borderId="0" xfId="90" applyFont="1" applyFill="1"/>
    <xf numFmtId="0" fontId="23" fillId="35" borderId="67" xfId="90" applyFill="1" applyBorder="1" applyAlignment="1">
      <alignment vertical="center"/>
    </xf>
    <xf numFmtId="0" fontId="44" fillId="35" borderId="26" xfId="90" applyFont="1" applyFill="1" applyBorder="1" applyAlignment="1" applyProtection="1">
      <alignment vertical="center"/>
      <protection hidden="1"/>
    </xf>
    <xf numFmtId="0" fontId="44" fillId="35" borderId="72" xfId="90" applyFont="1" applyFill="1" applyBorder="1" applyAlignment="1" applyProtection="1">
      <alignment vertical="center"/>
      <protection hidden="1"/>
    </xf>
    <xf numFmtId="0" fontId="44" fillId="35" borderId="0" xfId="90" applyFont="1" applyFill="1" applyAlignment="1">
      <alignment vertical="center"/>
    </xf>
    <xf numFmtId="0" fontId="44" fillId="35" borderId="68" xfId="90" applyFont="1" applyFill="1" applyBorder="1" applyAlignment="1">
      <alignment vertical="center"/>
    </xf>
    <xf numFmtId="0" fontId="44" fillId="35" borderId="69" xfId="90" applyFont="1" applyFill="1" applyBorder="1"/>
    <xf numFmtId="0" fontId="44" fillId="35" borderId="70" xfId="90" applyFont="1" applyFill="1" applyBorder="1"/>
    <xf numFmtId="0" fontId="44" fillId="35" borderId="71" xfId="90" applyFont="1" applyFill="1" applyBorder="1"/>
    <xf numFmtId="0" fontId="32" fillId="35" borderId="0" xfId="0" applyFont="1" applyFill="1" applyAlignment="1">
      <alignment vertical="center"/>
    </xf>
    <xf numFmtId="0" fontId="52" fillId="35" borderId="0" xfId="0" applyFont="1" applyFill="1" applyAlignment="1" applyProtection="1">
      <alignment vertical="center"/>
      <protection hidden="1"/>
    </xf>
    <xf numFmtId="0" fontId="32"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6" fillId="7" borderId="18" xfId="0" applyFont="1" applyFill="1" applyBorder="1" applyAlignment="1">
      <alignment horizontal="center" vertical="top"/>
    </xf>
    <xf numFmtId="0" fontId="46" fillId="7" borderId="18" xfId="0" applyFont="1" applyFill="1" applyBorder="1" applyAlignment="1">
      <alignment horizontal="center"/>
    </xf>
    <xf numFmtId="0" fontId="46" fillId="7" borderId="18" xfId="0" applyFont="1" applyFill="1" applyBorder="1" applyAlignment="1">
      <alignment horizontal="right"/>
    </xf>
    <xf numFmtId="0" fontId="46" fillId="7" borderId="18" xfId="0" applyFont="1" applyFill="1" applyBorder="1" applyAlignment="1">
      <alignment horizontal="left"/>
    </xf>
    <xf numFmtId="0" fontId="46" fillId="7" borderId="140" xfId="0" applyFont="1" applyFill="1" applyBorder="1" applyAlignment="1">
      <alignment horizontal="left"/>
    </xf>
    <xf numFmtId="0" fontId="24" fillId="35" borderId="0" xfId="0" applyFont="1" applyFill="1" applyProtection="1">
      <protection hidden="1"/>
    </xf>
    <xf numFmtId="0" fontId="5" fillId="35" borderId="0" xfId="0" applyFont="1" applyFill="1" applyProtection="1">
      <protection hidden="1"/>
    </xf>
    <xf numFmtId="0" fontId="79"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3" fillId="4" borderId="0" xfId="0" applyNumberFormat="1" applyFont="1" applyFill="1" applyAlignment="1" applyProtection="1">
      <alignment horizontal="center" vertical="center"/>
      <protection hidden="1"/>
    </xf>
    <xf numFmtId="164" fontId="43" fillId="4" borderId="0" xfId="0" applyNumberFormat="1" applyFont="1" applyFill="1" applyAlignment="1" applyProtection="1">
      <alignment horizontal="center" vertical="center"/>
      <protection hidden="1"/>
    </xf>
    <xf numFmtId="14" fontId="43" fillId="4" borderId="141" xfId="0" applyNumberFormat="1" applyFont="1" applyFill="1" applyBorder="1" applyAlignment="1" applyProtection="1">
      <alignment horizontal="center" vertical="center"/>
      <protection hidden="1"/>
    </xf>
    <xf numFmtId="0" fontId="44" fillId="4" borderId="0" xfId="0" applyFont="1" applyFill="1" applyAlignment="1" applyProtection="1">
      <alignment horizontal="right"/>
      <protection hidden="1"/>
    </xf>
    <xf numFmtId="0" fontId="44" fillId="4" borderId="25" xfId="0" applyFont="1" applyFill="1" applyBorder="1" applyAlignment="1" applyProtection="1">
      <alignment horizontal="center"/>
      <protection locked="0"/>
    </xf>
    <xf numFmtId="0" fontId="44" fillId="4" borderId="142" xfId="0" applyFont="1" applyFill="1" applyBorder="1" applyAlignment="1" applyProtection="1">
      <alignment horizontal="center"/>
      <protection locked="0"/>
    </xf>
    <xf numFmtId="0" fontId="44" fillId="4" borderId="20" xfId="0" applyFont="1" applyFill="1" applyBorder="1" applyAlignment="1" applyProtection="1">
      <alignment horizontal="left"/>
      <protection hidden="1"/>
    </xf>
    <xf numFmtId="0" fontId="55" fillId="35" borderId="0" xfId="0" applyFont="1" applyFill="1" applyAlignment="1" applyProtection="1">
      <alignment horizontal="left" vertical="center"/>
      <protection hidden="1"/>
    </xf>
    <xf numFmtId="0" fontId="46" fillId="7" borderId="17" xfId="0" applyFont="1" applyFill="1" applyBorder="1" applyAlignment="1" applyProtection="1">
      <alignment horizontal="centerContinuous"/>
      <protection hidden="1"/>
    </xf>
    <xf numFmtId="0" fontId="46" fillId="7" borderId="18" xfId="0" applyFont="1" applyFill="1" applyBorder="1" applyAlignment="1" applyProtection="1">
      <alignment horizontal="centerContinuous"/>
      <protection hidden="1"/>
    </xf>
    <xf numFmtId="0" fontId="46" fillId="7" borderId="140" xfId="0" applyFont="1" applyFill="1" applyBorder="1" applyAlignment="1" applyProtection="1">
      <alignment horizontal="centerContinuous"/>
      <protection hidden="1"/>
    </xf>
    <xf numFmtId="0" fontId="80"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6" fillId="7" borderId="143" xfId="0" applyFont="1" applyFill="1" applyBorder="1" applyAlignment="1" applyProtection="1">
      <alignment horizontal="center" vertical="center"/>
      <protection hidden="1"/>
    </xf>
    <xf numFmtId="0" fontId="46" fillId="7" borderId="15" xfId="0" applyFont="1" applyFill="1" applyBorder="1" applyAlignment="1" applyProtection="1">
      <alignment horizontal="center" vertical="center"/>
      <protection hidden="1"/>
    </xf>
    <xf numFmtId="0" fontId="46" fillId="7" borderId="15" xfId="0" applyFont="1" applyFill="1" applyBorder="1" applyAlignment="1" applyProtection="1">
      <alignment horizontal="left" vertical="center"/>
      <protection hidden="1"/>
    </xf>
    <xf numFmtId="0" fontId="46" fillId="7" borderId="144" xfId="0" applyFont="1" applyFill="1" applyBorder="1" applyAlignment="1" applyProtection="1">
      <alignment horizontal="center" vertical="center"/>
      <protection hidden="1"/>
    </xf>
    <xf numFmtId="0" fontId="79" fillId="35" borderId="0" xfId="0" applyFont="1" applyFill="1" applyAlignment="1" applyProtection="1">
      <alignment vertical="center"/>
      <protection hidden="1"/>
    </xf>
    <xf numFmtId="0" fontId="50" fillId="7" borderId="145" xfId="0" applyFont="1" applyFill="1" applyBorder="1" applyAlignment="1" applyProtection="1">
      <alignment horizontal="left" vertical="center"/>
      <protection hidden="1"/>
    </xf>
    <xf numFmtId="0" fontId="50" fillId="7" borderId="146" xfId="0" applyFont="1" applyFill="1" applyBorder="1" applyAlignment="1" applyProtection="1">
      <alignment horizontal="center" vertical="center"/>
      <protection hidden="1"/>
    </xf>
    <xf numFmtId="0" fontId="44" fillId="4" borderId="147" xfId="0" applyFont="1" applyFill="1" applyBorder="1" applyAlignment="1" applyProtection="1">
      <alignment horizontal="center" vertical="center"/>
      <protection hidden="1"/>
    </xf>
    <xf numFmtId="0" fontId="44" fillId="4" borderId="16" xfId="0" applyFont="1" applyFill="1" applyBorder="1" applyAlignment="1" applyProtection="1">
      <alignment horizontal="left" vertical="center"/>
      <protection hidden="1"/>
    </xf>
    <xf numFmtId="0" fontId="45" fillId="4" borderId="16" xfId="0" applyFont="1" applyFill="1" applyBorder="1" applyAlignment="1" applyProtection="1">
      <alignment horizontal="center" vertical="center"/>
      <protection hidden="1"/>
    </xf>
    <xf numFmtId="0" fontId="44" fillId="4" borderId="16" xfId="0" applyFont="1" applyFill="1" applyBorder="1" applyAlignment="1" applyProtection="1">
      <alignment horizontal="center" vertical="center"/>
      <protection hidden="1"/>
    </xf>
    <xf numFmtId="0" fontId="44" fillId="4" borderId="148" xfId="0" applyFont="1" applyFill="1" applyBorder="1" applyAlignment="1" applyProtection="1">
      <alignment horizontal="center" vertical="center"/>
      <protection hidden="1"/>
    </xf>
    <xf numFmtId="0" fontId="54" fillId="35" borderId="0" xfId="0" applyFont="1" applyFill="1" applyAlignment="1" applyProtection="1">
      <alignment horizontal="center" vertical="center"/>
      <protection hidden="1"/>
    </xf>
    <xf numFmtId="0" fontId="54" fillId="35" borderId="0" xfId="0" applyFont="1" applyFill="1" applyAlignment="1" applyProtection="1">
      <alignment horizontal="left" vertical="center"/>
      <protection hidden="1"/>
    </xf>
    <xf numFmtId="0" fontId="27" fillId="35" borderId="0" xfId="0" applyFont="1" applyFill="1" applyAlignment="1" applyProtection="1">
      <alignment horizontal="center" vertical="center"/>
      <protection hidden="1"/>
    </xf>
    <xf numFmtId="0" fontId="44" fillId="0" borderId="149" xfId="0" applyFont="1" applyBorder="1" applyAlignment="1" applyProtection="1">
      <alignment horizontal="left" vertical="center"/>
      <protection hidden="1"/>
    </xf>
    <xf numFmtId="0" fontId="44" fillId="0" borderId="150" xfId="0" applyFont="1" applyBorder="1" applyAlignment="1" applyProtection="1">
      <alignment horizontal="center" vertical="center"/>
      <protection locked="0" hidden="1"/>
    </xf>
    <xf numFmtId="0" fontId="44" fillId="4" borderId="19" xfId="0" applyFont="1" applyFill="1" applyBorder="1" applyAlignment="1" applyProtection="1">
      <alignment horizontal="center" vertical="center"/>
      <protection hidden="1"/>
    </xf>
    <xf numFmtId="0" fontId="44" fillId="4" borderId="0" xfId="0" applyFont="1" applyFill="1" applyAlignment="1" applyProtection="1">
      <alignment horizontal="left" vertical="center"/>
      <protection hidden="1"/>
    </xf>
    <xf numFmtId="0" fontId="45" fillId="4" borderId="0" xfId="0" applyFont="1" applyFill="1" applyAlignment="1" applyProtection="1">
      <alignment horizontal="center" vertical="center"/>
      <protection hidden="1"/>
    </xf>
    <xf numFmtId="0" fontId="44" fillId="4" borderId="0" xfId="0" applyFont="1" applyFill="1" applyAlignment="1" applyProtection="1">
      <alignment horizontal="center" vertical="center"/>
      <protection hidden="1"/>
    </xf>
    <xf numFmtId="0" fontId="44" fillId="4" borderId="20" xfId="0" applyFont="1" applyFill="1" applyBorder="1" applyAlignment="1" applyProtection="1">
      <alignment horizontal="center" vertical="center"/>
      <protection hidden="1"/>
    </xf>
    <xf numFmtId="0" fontId="44" fillId="46" borderId="149" xfId="0" applyFont="1" applyFill="1" applyBorder="1" applyAlignment="1" applyProtection="1">
      <alignment horizontal="left" vertical="center"/>
      <protection hidden="1"/>
    </xf>
    <xf numFmtId="0" fontId="44" fillId="46" borderId="150" xfId="0" applyFont="1" applyFill="1" applyBorder="1" applyAlignment="1" applyProtection="1">
      <alignment horizontal="center" vertical="center"/>
      <protection locked="0" hidden="1"/>
    </xf>
    <xf numFmtId="14" fontId="43" fillId="4" borderId="22" xfId="0" applyNumberFormat="1" applyFont="1" applyFill="1" applyBorder="1" applyAlignment="1" applyProtection="1">
      <alignment horizontal="center" vertical="center"/>
      <protection hidden="1"/>
    </xf>
    <xf numFmtId="164" fontId="43" fillId="4" borderId="22" xfId="0" applyNumberFormat="1" applyFont="1" applyFill="1" applyBorder="1" applyAlignment="1" applyProtection="1">
      <alignment horizontal="center" vertical="center"/>
      <protection hidden="1"/>
    </xf>
    <xf numFmtId="14" fontId="43" fillId="4" borderId="151" xfId="0" applyNumberFormat="1" applyFont="1" applyFill="1" applyBorder="1" applyAlignment="1" applyProtection="1">
      <alignment horizontal="center" vertical="center"/>
      <protection hidden="1"/>
    </xf>
    <xf numFmtId="0" fontId="44" fillId="4" borderId="22" xfId="0" applyFont="1" applyFill="1" applyBorder="1" applyAlignment="1" applyProtection="1">
      <alignment horizontal="right"/>
      <protection hidden="1"/>
    </xf>
    <xf numFmtId="0" fontId="44" fillId="4" borderId="152" xfId="0" applyFont="1" applyFill="1" applyBorder="1" applyAlignment="1" applyProtection="1">
      <alignment horizontal="center"/>
      <protection locked="0"/>
    </xf>
    <xf numFmtId="0" fontId="44" fillId="4" borderId="23" xfId="0" applyFont="1" applyFill="1" applyBorder="1" applyAlignment="1" applyProtection="1">
      <alignment horizontal="center"/>
      <protection locked="0"/>
    </xf>
    <xf numFmtId="0" fontId="44" fillId="4" borderId="24" xfId="0" applyFont="1" applyFill="1" applyBorder="1" applyAlignment="1" applyProtection="1">
      <alignment horizontal="left"/>
      <protection hidden="1"/>
    </xf>
    <xf numFmtId="0" fontId="44" fillId="4" borderId="21" xfId="0" applyFont="1" applyFill="1" applyBorder="1" applyAlignment="1" applyProtection="1">
      <alignment horizontal="center" vertical="center"/>
      <protection hidden="1"/>
    </xf>
    <xf numFmtId="0" fontId="44" fillId="4" borderId="22" xfId="0" applyFont="1" applyFill="1" applyBorder="1" applyAlignment="1" applyProtection="1">
      <alignment horizontal="left" vertical="center"/>
      <protection hidden="1"/>
    </xf>
    <xf numFmtId="0" fontId="45" fillId="4" borderId="22" xfId="0" applyFont="1" applyFill="1" applyBorder="1" applyAlignment="1" applyProtection="1">
      <alignment horizontal="center" vertical="center"/>
      <protection hidden="1"/>
    </xf>
    <xf numFmtId="0" fontId="44" fillId="4" borderId="22" xfId="0" applyFont="1" applyFill="1" applyBorder="1" applyAlignment="1" applyProtection="1">
      <alignment horizontal="center" vertical="center"/>
      <protection hidden="1"/>
    </xf>
    <xf numFmtId="0" fontId="44" fillId="4" borderId="24" xfId="0" applyFont="1" applyFill="1" applyBorder="1" applyAlignment="1" applyProtection="1">
      <alignment horizontal="center" vertical="center"/>
      <protection hidden="1"/>
    </xf>
    <xf numFmtId="0" fontId="44" fillId="46" borderId="153" xfId="0" applyFont="1" applyFill="1" applyBorder="1" applyAlignment="1" applyProtection="1">
      <alignment horizontal="left" vertical="center"/>
      <protection hidden="1"/>
    </xf>
    <xf numFmtId="0" fontId="44" fillId="46" borderId="154"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6" fillId="35" borderId="0" xfId="0" applyFont="1" applyFill="1" applyAlignment="1" applyProtection="1">
      <alignment horizontal="center"/>
      <protection hidden="1"/>
    </xf>
    <xf numFmtId="0" fontId="28" fillId="35" borderId="0" xfId="0" applyFont="1" applyFill="1" applyAlignment="1" applyProtection="1">
      <alignment vertical="center" wrapText="1"/>
      <protection hidden="1"/>
    </xf>
    <xf numFmtId="0" fontId="28" fillId="35" borderId="0" xfId="0" applyFont="1" applyFill="1" applyAlignment="1" applyProtection="1">
      <alignment vertical="center"/>
      <protection hidden="1"/>
    </xf>
    <xf numFmtId="0" fontId="44" fillId="4" borderId="155" xfId="0" applyFont="1" applyFill="1" applyBorder="1" applyAlignment="1" applyProtection="1">
      <alignment horizontal="center" vertical="center"/>
      <protection hidden="1"/>
    </xf>
    <xf numFmtId="0" fontId="44" fillId="4" borderId="156" xfId="0" applyFont="1" applyFill="1" applyBorder="1" applyAlignment="1" applyProtection="1">
      <alignment horizontal="center" vertical="center"/>
      <protection hidden="1"/>
    </xf>
    <xf numFmtId="0" fontId="44" fillId="4" borderId="157" xfId="0" applyFont="1" applyFill="1" applyBorder="1" applyAlignment="1" applyProtection="1">
      <alignment horizontal="center" vertical="center"/>
      <protection hidden="1"/>
    </xf>
    <xf numFmtId="0" fontId="44" fillId="4" borderId="158" xfId="0" applyFont="1" applyFill="1" applyBorder="1" applyAlignment="1" applyProtection="1">
      <alignment horizontal="center" vertical="center"/>
      <protection hidden="1"/>
    </xf>
    <xf numFmtId="0" fontId="44" fillId="4" borderId="159" xfId="0" applyFont="1" applyFill="1" applyBorder="1" applyAlignment="1" applyProtection="1">
      <alignment horizontal="center" vertical="center"/>
      <protection hidden="1"/>
    </xf>
    <xf numFmtId="0" fontId="44" fillId="4" borderId="160" xfId="0" applyFont="1" applyFill="1" applyBorder="1" applyAlignment="1" applyProtection="1">
      <alignment horizontal="left" vertical="center"/>
      <protection hidden="1"/>
    </xf>
    <xf numFmtId="0" fontId="45" fillId="4" borderId="160" xfId="0" applyFont="1" applyFill="1" applyBorder="1" applyAlignment="1" applyProtection="1">
      <alignment horizontal="center" vertical="center"/>
      <protection hidden="1"/>
    </xf>
    <xf numFmtId="0" fontId="44" fillId="4" borderId="160" xfId="0" applyFont="1" applyFill="1" applyBorder="1" applyAlignment="1" applyProtection="1">
      <alignment horizontal="center" vertical="center"/>
      <protection hidden="1"/>
    </xf>
    <xf numFmtId="0" fontId="44" fillId="4" borderId="161" xfId="0" applyFont="1" applyFill="1" applyBorder="1" applyAlignment="1" applyProtection="1">
      <alignment horizontal="center" vertical="center"/>
      <protection hidden="1"/>
    </xf>
    <xf numFmtId="0" fontId="46" fillId="7" borderId="18" xfId="0" applyFont="1" applyFill="1" applyBorder="1" applyAlignment="1">
      <alignment horizontal="left" vertical="top"/>
    </xf>
    <xf numFmtId="0" fontId="46" fillId="7" borderId="18" xfId="0" applyFont="1" applyFill="1" applyBorder="1" applyAlignment="1">
      <alignment horizontal="right" vertical="top"/>
    </xf>
    <xf numFmtId="0" fontId="46" fillId="7" borderId="140"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6"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0" xfId="0" applyFont="1" applyFill="1" applyBorder="1" applyAlignment="1" applyProtection="1">
      <alignment horizontal="centerContinuous" vertical="center"/>
      <protection hidden="1"/>
    </xf>
    <xf numFmtId="0" fontId="58"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3" fillId="4" borderId="141" xfId="0" applyFont="1" applyFill="1" applyBorder="1" applyAlignment="1" applyProtection="1">
      <alignment horizontal="center" vertical="center"/>
      <protection hidden="1"/>
    </xf>
    <xf numFmtId="0" fontId="44" fillId="4" borderId="0" xfId="0" applyFont="1" applyFill="1" applyAlignment="1" applyProtection="1">
      <alignment horizontal="right" vertical="center"/>
      <protection hidden="1"/>
    </xf>
    <xf numFmtId="0" fontId="44" fillId="4" borderId="0" xfId="0" applyFont="1" applyFill="1" applyAlignment="1" applyProtection="1">
      <alignment horizontal="center"/>
      <protection locked="0" hidden="1"/>
    </xf>
    <xf numFmtId="0" fontId="44" fillId="4" borderId="162" xfId="0" applyFont="1" applyFill="1" applyBorder="1" applyAlignment="1" applyProtection="1">
      <alignment horizontal="center"/>
      <protection locked="0" hidden="1"/>
    </xf>
    <xf numFmtId="0" fontId="44" fillId="4" borderId="20" xfId="0" applyFont="1" applyFill="1" applyBorder="1" applyAlignment="1">
      <alignment horizontal="left" vertical="center"/>
    </xf>
    <xf numFmtId="0" fontId="44" fillId="4" borderId="26" xfId="0" applyFont="1" applyFill="1" applyBorder="1" applyAlignment="1" applyProtection="1">
      <alignment horizontal="center"/>
      <protection locked="0"/>
    </xf>
    <xf numFmtId="0" fontId="44" fillId="4" borderId="17" xfId="0" applyFont="1" applyFill="1" applyBorder="1" applyAlignment="1" applyProtection="1">
      <alignment horizontal="center" vertical="center"/>
      <protection hidden="1"/>
    </xf>
    <xf numFmtId="0" fontId="44" fillId="4" borderId="18" xfId="0" applyFont="1" applyFill="1" applyBorder="1" applyAlignment="1" applyProtection="1">
      <alignment horizontal="left" vertical="center"/>
      <protection hidden="1"/>
    </xf>
    <xf numFmtId="0" fontId="45" fillId="4" borderId="18" xfId="0" applyFont="1" applyFill="1" applyBorder="1" applyAlignment="1" applyProtection="1">
      <alignment horizontal="center" vertical="center"/>
      <protection hidden="1"/>
    </xf>
    <xf numFmtId="0" fontId="44" fillId="4" borderId="18" xfId="0" applyFont="1" applyFill="1" applyBorder="1" applyAlignment="1" applyProtection="1">
      <alignment horizontal="center" vertical="center"/>
      <protection hidden="1"/>
    </xf>
    <xf numFmtId="0" fontId="44" fillId="4" borderId="18" xfId="0" quotePrefix="1" applyFont="1" applyFill="1" applyBorder="1" applyAlignment="1" applyProtection="1">
      <alignment horizontal="center" vertical="center"/>
      <protection hidden="1"/>
    </xf>
    <xf numFmtId="0" fontId="44" fillId="4" borderId="140"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4"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4" fillId="4" borderId="0" xfId="0" quotePrefix="1" applyFont="1" applyFill="1" applyAlignment="1" applyProtection="1">
      <alignment horizontal="center" vertical="center"/>
      <protection hidden="1"/>
    </xf>
    <xf numFmtId="0" fontId="44" fillId="4" borderId="20" xfId="0" quotePrefix="1" applyFont="1" applyFill="1" applyBorder="1" applyAlignment="1" applyProtection="1">
      <alignment horizontal="center" vertical="center"/>
      <protection hidden="1"/>
    </xf>
    <xf numFmtId="14" fontId="44" fillId="35" borderId="0" xfId="0" applyNumberFormat="1" applyFont="1" applyFill="1" applyAlignment="1" applyProtection="1">
      <alignment horizontal="right"/>
      <protection hidden="1"/>
    </xf>
    <xf numFmtId="14" fontId="44" fillId="35" borderId="0" xfId="0" applyNumberFormat="1" applyFont="1" applyFill="1" applyAlignment="1" applyProtection="1">
      <alignment horizontal="left"/>
      <protection hidden="1"/>
    </xf>
    <xf numFmtId="14" fontId="44"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3" fillId="4" borderId="151" xfId="0" applyFont="1" applyFill="1" applyBorder="1" applyAlignment="1" applyProtection="1">
      <alignment horizontal="center" vertical="center"/>
      <protection hidden="1"/>
    </xf>
    <xf numFmtId="0" fontId="44" fillId="4" borderId="22" xfId="0" applyFont="1" applyFill="1" applyBorder="1" applyAlignment="1" applyProtection="1">
      <alignment horizontal="right" vertical="center"/>
      <protection hidden="1"/>
    </xf>
    <xf numFmtId="0" fontId="44" fillId="4" borderId="22" xfId="0" applyFont="1" applyFill="1" applyBorder="1" applyAlignment="1" applyProtection="1">
      <alignment horizontal="center"/>
      <protection locked="0" hidden="1"/>
    </xf>
    <xf numFmtId="0" fontId="44" fillId="4" borderId="163" xfId="0" applyFont="1" applyFill="1" applyBorder="1" applyAlignment="1" applyProtection="1">
      <alignment horizontal="center"/>
      <protection locked="0"/>
    </xf>
    <xf numFmtId="0" fontId="44" fillId="4" borderId="24" xfId="0" applyFont="1" applyFill="1" applyBorder="1" applyAlignment="1">
      <alignment horizontal="left" vertical="center"/>
    </xf>
    <xf numFmtId="0" fontId="44" fillId="35" borderId="0" xfId="0" applyFont="1" applyFill="1" applyAlignment="1" applyProtection="1">
      <alignment horizontal="left"/>
      <protection hidden="1"/>
    </xf>
    <xf numFmtId="0" fontId="44"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4" fillId="4" borderId="165" xfId="0" applyFont="1" applyFill="1" applyBorder="1" applyAlignment="1" applyProtection="1">
      <alignment horizontal="center"/>
      <protection locked="0"/>
    </xf>
    <xf numFmtId="0" fontId="44" fillId="4" borderId="3" xfId="0" applyFont="1" applyFill="1" applyBorder="1" applyAlignment="1" applyProtection="1">
      <alignment horizontal="center"/>
      <protection locked="0" hidden="1"/>
    </xf>
    <xf numFmtId="0" fontId="44" fillId="4" borderId="2" xfId="0" applyFont="1" applyFill="1" applyBorder="1" applyAlignment="1" applyProtection="1">
      <alignment horizontal="center"/>
      <protection locked="0"/>
    </xf>
    <xf numFmtId="0" fontId="44" fillId="4" borderId="167" xfId="0" applyFont="1" applyFill="1" applyBorder="1" applyAlignment="1" applyProtection="1">
      <alignment horizontal="center"/>
      <protection locked="0"/>
    </xf>
    <xf numFmtId="0" fontId="43" fillId="4" borderId="27" xfId="0" applyFont="1" applyFill="1" applyBorder="1" applyAlignment="1" applyProtection="1">
      <alignment horizontal="center" vertical="center"/>
      <protection hidden="1"/>
    </xf>
    <xf numFmtId="0" fontId="44" fillId="4" borderId="168" xfId="0" applyFont="1" applyFill="1" applyBorder="1" applyAlignment="1">
      <alignment horizontal="left" vertical="center"/>
    </xf>
    <xf numFmtId="0" fontId="55" fillId="35" borderId="0" xfId="0" applyFont="1" applyFill="1" applyAlignment="1">
      <alignment horizontal="left" vertical="center"/>
    </xf>
    <xf numFmtId="0" fontId="43" fillId="4" borderId="169" xfId="0" applyFont="1" applyFill="1" applyBorder="1" applyAlignment="1" applyProtection="1">
      <alignment horizontal="center" vertical="center"/>
      <protection hidden="1"/>
    </xf>
    <xf numFmtId="0" fontId="44" fillId="4" borderId="170" xfId="0" applyFont="1" applyFill="1" applyBorder="1" applyAlignment="1">
      <alignment horizontal="left" vertical="center"/>
    </xf>
    <xf numFmtId="0" fontId="55" fillId="35" borderId="0" xfId="0" applyFont="1" applyFill="1" applyAlignment="1">
      <alignment horizontal="center" vertical="center"/>
    </xf>
    <xf numFmtId="0" fontId="46" fillId="7" borderId="171" xfId="0" applyFont="1" applyFill="1" applyBorder="1" applyAlignment="1" applyProtection="1">
      <alignment horizontal="centerContinuous" vertical="center"/>
      <protection hidden="1"/>
    </xf>
    <xf numFmtId="0" fontId="18" fillId="7" borderId="172" xfId="0" applyFont="1" applyFill="1" applyBorder="1" applyAlignment="1" applyProtection="1">
      <alignment horizontal="centerContinuous" vertical="center"/>
      <protection hidden="1"/>
    </xf>
    <xf numFmtId="0" fontId="10" fillId="7" borderId="172"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4" fillId="7" borderId="174" xfId="0" applyFont="1" applyFill="1" applyBorder="1" applyAlignment="1">
      <alignment horizontal="left" vertical="top"/>
    </xf>
    <xf numFmtId="0" fontId="46" fillId="7" borderId="175" xfId="0" applyFont="1" applyFill="1" applyBorder="1" applyAlignment="1">
      <alignment horizontal="left" vertical="top"/>
    </xf>
    <xf numFmtId="0" fontId="44" fillId="4" borderId="1" xfId="0" applyFont="1" applyFill="1" applyBorder="1" applyAlignment="1" applyProtection="1">
      <alignment horizontal="center"/>
      <protection locked="0"/>
    </xf>
    <xf numFmtId="14" fontId="43" fillId="4" borderId="178" xfId="0" applyNumberFormat="1" applyFont="1" applyFill="1" applyBorder="1" applyAlignment="1" applyProtection="1">
      <alignment horizontal="center" vertical="center"/>
      <protection hidden="1"/>
    </xf>
    <xf numFmtId="164" fontId="43" fillId="4" borderId="178" xfId="0" applyNumberFormat="1" applyFont="1" applyFill="1" applyBorder="1" applyAlignment="1" applyProtection="1">
      <alignment horizontal="center" vertical="center"/>
      <protection hidden="1"/>
    </xf>
    <xf numFmtId="0" fontId="43" fillId="4" borderId="179" xfId="0" applyFont="1" applyFill="1" applyBorder="1" applyAlignment="1" applyProtection="1">
      <alignment horizontal="center" vertical="center"/>
      <protection hidden="1"/>
    </xf>
    <xf numFmtId="0" fontId="44" fillId="4" borderId="178" xfId="0" applyFont="1" applyFill="1" applyBorder="1" applyAlignment="1" applyProtection="1">
      <alignment horizontal="right" vertical="center"/>
      <protection hidden="1"/>
    </xf>
    <xf numFmtId="0" fontId="44" fillId="4" borderId="178" xfId="0" applyFont="1" applyFill="1" applyBorder="1" applyAlignment="1" applyProtection="1">
      <alignment horizontal="center"/>
      <protection locked="0" hidden="1"/>
    </xf>
    <xf numFmtId="0" fontId="44" fillId="4" borderId="180" xfId="0" applyFont="1" applyFill="1" applyBorder="1" applyAlignment="1">
      <alignment horizontal="left" vertical="center"/>
    </xf>
    <xf numFmtId="0" fontId="26" fillId="7" borderId="174" xfId="0" applyFont="1" applyFill="1" applyBorder="1" applyAlignment="1">
      <alignment horizontal="left" vertical="top"/>
    </xf>
    <xf numFmtId="14" fontId="22" fillId="28" borderId="181" xfId="0" quotePrefix="1" applyNumberFormat="1" applyFont="1" applyFill="1" applyBorder="1" applyAlignment="1" applyProtection="1">
      <alignment horizontal="center" vertical="center"/>
      <protection hidden="1"/>
    </xf>
    <xf numFmtId="0" fontId="43" fillId="4" borderId="178" xfId="0" applyFont="1" applyFill="1" applyBorder="1" applyAlignment="1" applyProtection="1">
      <alignment horizontal="center" vertical="center"/>
      <protection hidden="1"/>
    </xf>
    <xf numFmtId="0" fontId="44" fillId="4" borderId="182" xfId="0" applyFont="1" applyFill="1" applyBorder="1" applyAlignment="1" applyProtection="1">
      <alignment horizontal="right" vertical="center"/>
      <protection hidden="1"/>
    </xf>
    <xf numFmtId="0" fontId="44" fillId="4" borderId="178" xfId="0" applyFont="1" applyFill="1" applyBorder="1" applyAlignment="1" applyProtection="1">
      <alignment horizontal="center" vertical="center"/>
      <protection locked="0"/>
    </xf>
    <xf numFmtId="0" fontId="44" fillId="4" borderId="183" xfId="0" applyFont="1" applyFill="1" applyBorder="1" applyAlignment="1" applyProtection="1">
      <alignment horizontal="center" vertical="center"/>
      <protection locked="0"/>
    </xf>
    <xf numFmtId="0" fontId="44" fillId="4" borderId="180" xfId="0" applyFont="1" applyFill="1" applyBorder="1" applyAlignment="1">
      <alignment vertical="center"/>
    </xf>
    <xf numFmtId="0" fontId="51" fillId="7" borderId="172" xfId="0" applyFont="1" applyFill="1" applyBorder="1" applyAlignment="1" applyProtection="1">
      <alignment horizontal="centerContinuous" vertical="center"/>
      <protection hidden="1"/>
    </xf>
    <xf numFmtId="14" fontId="31" fillId="28" borderId="181" xfId="0" quotePrefix="1" applyNumberFormat="1" applyFont="1" applyFill="1" applyBorder="1" applyAlignment="1" applyProtection="1">
      <alignment horizontal="center" vertical="center"/>
      <protection hidden="1"/>
    </xf>
    <xf numFmtId="0" fontId="54" fillId="35" borderId="0" xfId="0" applyFont="1" applyFill="1" applyAlignment="1">
      <alignment horizontal="center" vertical="center"/>
    </xf>
    <xf numFmtId="0" fontId="46" fillId="7" borderId="171" xfId="0" applyFont="1" applyFill="1" applyBorder="1" applyAlignment="1" applyProtection="1">
      <alignment horizontal="left" vertical="center"/>
      <protection hidden="1"/>
    </xf>
    <xf numFmtId="0" fontId="26" fillId="7" borderId="172" xfId="0" applyFont="1" applyFill="1" applyBorder="1" applyAlignment="1">
      <alignment horizontal="center"/>
    </xf>
    <xf numFmtId="0" fontId="26" fillId="7" borderId="172" xfId="0" applyFont="1" applyFill="1" applyBorder="1" applyAlignment="1">
      <alignment horizontal="left"/>
    </xf>
    <xf numFmtId="0" fontId="46" fillId="7" borderId="172" xfId="0" applyFont="1" applyFill="1" applyBorder="1" applyAlignment="1">
      <alignment horizontal="right"/>
    </xf>
    <xf numFmtId="0" fontId="26" fillId="7" borderId="173" xfId="0" applyFont="1" applyFill="1" applyBorder="1" applyAlignment="1">
      <alignment horizontal="left"/>
    </xf>
    <xf numFmtId="0" fontId="52" fillId="35" borderId="0" xfId="0" applyFont="1" applyFill="1" applyAlignment="1" applyProtection="1">
      <alignment horizontal="centerContinuous" vertical="center"/>
      <protection hidden="1"/>
    </xf>
    <xf numFmtId="0" fontId="50" fillId="7" borderId="184" xfId="0" applyFont="1" applyFill="1" applyBorder="1" applyAlignment="1" applyProtection="1">
      <alignment horizontal="left" vertical="center"/>
      <protection hidden="1"/>
    </xf>
    <xf numFmtId="0" fontId="49" fillId="7" borderId="0" xfId="0" applyFont="1" applyFill="1" applyAlignment="1" applyProtection="1">
      <alignment horizontal="left" vertical="center"/>
      <protection hidden="1"/>
    </xf>
    <xf numFmtId="0" fontId="26" fillId="7" borderId="0" xfId="0" applyFont="1" applyFill="1" applyAlignment="1" applyProtection="1">
      <alignment horizontal="left" vertical="center"/>
      <protection hidden="1"/>
    </xf>
    <xf numFmtId="0" fontId="44" fillId="4" borderId="171" xfId="0" applyFont="1" applyFill="1" applyBorder="1" applyAlignment="1">
      <alignment vertical="center"/>
    </xf>
    <xf numFmtId="0" fontId="0" fillId="4" borderId="172" xfId="0" applyFill="1" applyBorder="1" applyAlignment="1">
      <alignment vertical="center"/>
    </xf>
    <xf numFmtId="0" fontId="0" fillId="4" borderId="173" xfId="0" applyFill="1" applyBorder="1" applyAlignment="1">
      <alignment vertical="center"/>
    </xf>
    <xf numFmtId="0" fontId="44" fillId="4" borderId="184" xfId="0" applyFont="1" applyFill="1" applyBorder="1" applyAlignment="1">
      <alignment vertical="center"/>
    </xf>
    <xf numFmtId="0" fontId="0" fillId="4" borderId="0" xfId="0" applyFill="1" applyAlignment="1">
      <alignment vertical="center"/>
    </xf>
    <xf numFmtId="0" fontId="0" fillId="4" borderId="168" xfId="0" applyFill="1" applyBorder="1" applyAlignment="1">
      <alignment vertical="center"/>
    </xf>
    <xf numFmtId="14" fontId="53" fillId="35" borderId="0" xfId="0" applyNumberFormat="1" applyFont="1" applyFill="1" applyProtection="1">
      <protection hidden="1"/>
    </xf>
    <xf numFmtId="0" fontId="50" fillId="7" borderId="185" xfId="0" applyFont="1" applyFill="1" applyBorder="1" applyAlignment="1" applyProtection="1">
      <alignment horizontal="left" vertical="center"/>
      <protection hidden="1"/>
    </xf>
    <xf numFmtId="0" fontId="49" fillId="7" borderId="178" xfId="0" applyFont="1" applyFill="1" applyBorder="1" applyAlignment="1" applyProtection="1">
      <alignment horizontal="left" vertical="center"/>
      <protection hidden="1"/>
    </xf>
    <xf numFmtId="0" fontId="26" fillId="7" borderId="178" xfId="0" applyFont="1" applyFill="1" applyBorder="1" applyAlignment="1" applyProtection="1">
      <alignment horizontal="left" vertical="center"/>
      <protection hidden="1"/>
    </xf>
    <xf numFmtId="0" fontId="44" fillId="4" borderId="185" xfId="0" applyFont="1" applyFill="1" applyBorder="1" applyAlignment="1">
      <alignment vertical="center"/>
    </xf>
    <xf numFmtId="0" fontId="0" fillId="4" borderId="178" xfId="0" applyFill="1" applyBorder="1" applyAlignment="1">
      <alignment vertical="center"/>
    </xf>
    <xf numFmtId="0" fontId="0" fillId="4" borderId="180" xfId="0" applyFill="1" applyBorder="1" applyAlignment="1">
      <alignment vertical="center"/>
    </xf>
    <xf numFmtId="0" fontId="50" fillId="7" borderId="171" xfId="0" applyFont="1" applyFill="1" applyBorder="1" applyAlignment="1" applyProtection="1">
      <alignment horizontal="left" vertical="center"/>
      <protection hidden="1"/>
    </xf>
    <xf numFmtId="0" fontId="26" fillId="7" borderId="172" xfId="0" applyFont="1" applyFill="1" applyBorder="1" applyAlignment="1" applyProtection="1">
      <alignment horizontal="left" vertical="center"/>
      <protection hidden="1"/>
    </xf>
    <xf numFmtId="0" fontId="26" fillId="7" borderId="173" xfId="0" applyFont="1" applyFill="1" applyBorder="1" applyAlignment="1" applyProtection="1">
      <alignment horizontal="left" vertical="center"/>
      <protection hidden="1"/>
    </xf>
    <xf numFmtId="0" fontId="44" fillId="4" borderId="172" xfId="0" applyFont="1" applyFill="1" applyBorder="1" applyAlignment="1" applyProtection="1">
      <alignment vertical="center"/>
      <protection locked="0" hidden="1"/>
    </xf>
    <xf numFmtId="0" fontId="0" fillId="4" borderId="172" xfId="0"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53" fillId="35" borderId="0" xfId="0" applyFont="1" applyFill="1" applyAlignment="1" applyProtection="1">
      <alignment horizontal="centerContinuous" vertical="center"/>
      <protection hidden="1"/>
    </xf>
    <xf numFmtId="0" fontId="26" fillId="7" borderId="168" xfId="0" applyFont="1" applyFill="1" applyBorder="1" applyAlignment="1" applyProtection="1">
      <alignment horizontal="left" vertical="center"/>
      <protection hidden="1"/>
    </xf>
    <xf numFmtId="0" fontId="44"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8"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6" fillId="7" borderId="180" xfId="0" applyFont="1" applyFill="1" applyBorder="1" applyAlignment="1" applyProtection="1">
      <alignment horizontal="left" vertical="center"/>
      <protection hidden="1"/>
    </xf>
    <xf numFmtId="0" fontId="44" fillId="4" borderId="178" xfId="0" applyFont="1" applyFill="1" applyBorder="1" applyAlignment="1" applyProtection="1">
      <alignment vertical="center"/>
      <protection locked="0" hidden="1"/>
    </xf>
    <xf numFmtId="0" fontId="0" fillId="4" borderId="178" xfId="0" applyFill="1" applyBorder="1" applyAlignment="1" applyProtection="1">
      <alignment vertical="center"/>
      <protection locked="0" hidden="1"/>
    </xf>
    <xf numFmtId="0" fontId="0" fillId="4" borderId="180" xfId="0" applyFill="1" applyBorder="1" applyAlignment="1" applyProtection="1">
      <alignment vertical="center"/>
      <protection locked="0" hidden="1"/>
    </xf>
    <xf numFmtId="0" fontId="52" fillId="35" borderId="0" xfId="0" applyFont="1" applyFill="1" applyAlignment="1" applyProtection="1">
      <alignment horizontal="left" vertical="center"/>
      <protection hidden="1"/>
    </xf>
    <xf numFmtId="0" fontId="41" fillId="35" borderId="62" xfId="27" applyFont="1" applyFill="1" applyBorder="1" applyAlignment="1">
      <alignment vertical="center"/>
    </xf>
    <xf numFmtId="0" fontId="36"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3" fillId="35" borderId="0" xfId="0" applyFont="1" applyFill="1" applyAlignment="1" applyProtection="1">
      <alignment horizontal="left" vertical="center"/>
      <protection hidden="1"/>
    </xf>
    <xf numFmtId="0" fontId="32" fillId="35" borderId="0" xfId="0" applyFont="1" applyFill="1" applyProtection="1">
      <protection hidden="1"/>
    </xf>
    <xf numFmtId="0" fontId="65" fillId="35" borderId="0" xfId="0" applyFont="1" applyFill="1" applyProtection="1">
      <protection hidden="1"/>
    </xf>
    <xf numFmtId="0" fontId="32" fillId="35" borderId="0" xfId="0" applyFont="1" applyFill="1" applyAlignment="1" applyProtection="1">
      <alignment horizontal="center" vertical="center"/>
      <protection hidden="1"/>
    </xf>
    <xf numFmtId="0" fontId="33" fillId="35" borderId="0" xfId="27" applyFont="1" applyFill="1" applyProtection="1">
      <protection hidden="1"/>
    </xf>
    <xf numFmtId="0" fontId="41" fillId="35" borderId="0" xfId="0" applyFont="1" applyFill="1" applyProtection="1">
      <protection hidden="1"/>
    </xf>
    <xf numFmtId="0" fontId="32" fillId="35" borderId="0" xfId="0" applyFont="1" applyFill="1" applyAlignment="1" applyProtection="1">
      <alignment horizontal="center"/>
      <protection hidden="1"/>
    </xf>
    <xf numFmtId="0" fontId="34" fillId="35" borderId="0" xfId="0" applyFont="1" applyFill="1" applyAlignment="1" applyProtection="1">
      <alignment horizontal="center"/>
      <protection hidden="1"/>
    </xf>
    <xf numFmtId="0" fontId="32" fillId="35" borderId="0" xfId="0" applyFont="1" applyFill="1" applyAlignment="1" applyProtection="1">
      <alignment horizontal="center" wrapText="1"/>
      <protection hidden="1"/>
    </xf>
    <xf numFmtId="0" fontId="35" fillId="35" borderId="0" xfId="0" applyFont="1" applyFill="1" applyAlignment="1" applyProtection="1">
      <alignment horizontal="left" vertical="center"/>
      <protection hidden="1"/>
    </xf>
    <xf numFmtId="0" fontId="35" fillId="35" borderId="0" xfId="0" applyFont="1" applyFill="1" applyAlignment="1" applyProtection="1">
      <alignment horizontal="left"/>
      <protection hidden="1"/>
    </xf>
    <xf numFmtId="0" fontId="36" fillId="35" borderId="0" xfId="0" applyFont="1" applyFill="1" applyProtection="1">
      <protection hidden="1"/>
    </xf>
    <xf numFmtId="0" fontId="37" fillId="35" borderId="0" xfId="27" applyFont="1" applyFill="1" applyBorder="1" applyAlignment="1" applyProtection="1">
      <alignment vertical="center" wrapText="1"/>
      <protection hidden="1"/>
    </xf>
    <xf numFmtId="0" fontId="37" fillId="35" borderId="0" xfId="27" applyFont="1" applyFill="1" applyBorder="1" applyAlignment="1" applyProtection="1">
      <alignment vertical="center"/>
      <protection hidden="1"/>
    </xf>
    <xf numFmtId="0" fontId="38" fillId="35" borderId="0" xfId="0" applyFont="1" applyFill="1" applyProtection="1">
      <protection hidden="1"/>
    </xf>
    <xf numFmtId="0" fontId="32" fillId="35" borderId="74" xfId="0" applyFont="1" applyFill="1" applyBorder="1" applyAlignment="1" applyProtection="1">
      <alignment horizontal="center" vertical="center"/>
      <protection hidden="1"/>
    </xf>
    <xf numFmtId="0" fontId="61"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60" fillId="35" borderId="0" xfId="0" applyFont="1" applyFill="1" applyAlignment="1" applyProtection="1">
      <alignment horizontal="center" vertical="center"/>
      <protection hidden="1"/>
    </xf>
    <xf numFmtId="0" fontId="40" fillId="35" borderId="0" xfId="27" applyFont="1" applyFill="1" applyAlignment="1" applyProtection="1">
      <alignment horizontal="left" vertical="center"/>
      <protection hidden="1"/>
    </xf>
    <xf numFmtId="0" fontId="57" fillId="35" borderId="62" xfId="27" applyFont="1" applyFill="1" applyBorder="1" applyAlignment="1" applyProtection="1">
      <alignment vertical="center"/>
      <protection hidden="1"/>
    </xf>
    <xf numFmtId="0" fontId="36" fillId="35" borderId="0" xfId="0" applyFont="1" applyFill="1" applyAlignment="1" applyProtection="1">
      <alignment horizontal="center" vertical="center"/>
      <protection hidden="1"/>
    </xf>
    <xf numFmtId="0" fontId="52" fillId="35" borderId="0" xfId="0" applyFont="1" applyFill="1"/>
    <xf numFmtId="0" fontId="53" fillId="35" borderId="0" xfId="0" applyFont="1" applyFill="1" applyAlignment="1">
      <alignment horizontal="center" vertical="center"/>
    </xf>
    <xf numFmtId="0" fontId="44" fillId="35" borderId="0" xfId="0" applyFont="1" applyFill="1" applyAlignment="1">
      <alignment horizontal="center"/>
    </xf>
    <xf numFmtId="0" fontId="53" fillId="35" borderId="0" xfId="0" applyFont="1" applyFill="1" applyAlignment="1">
      <alignment horizontal="center"/>
    </xf>
    <xf numFmtId="0" fontId="69" fillId="35" borderId="0" xfId="93" applyFont="1" applyFill="1" applyAlignment="1" applyProtection="1">
      <alignment horizontal="center" vertical="center" wrapText="1"/>
      <protection hidden="1"/>
    </xf>
    <xf numFmtId="0" fontId="0" fillId="35" borderId="132" xfId="0" applyFill="1" applyBorder="1"/>
    <xf numFmtId="0" fontId="0" fillId="35" borderId="133" xfId="0" applyFill="1" applyBorder="1"/>
    <xf numFmtId="0" fontId="0" fillId="35" borderId="134" xfId="0" applyFill="1" applyBorder="1"/>
    <xf numFmtId="0" fontId="83" fillId="35" borderId="0" xfId="0" applyFont="1" applyFill="1" applyAlignment="1" applyProtection="1">
      <alignment horizontal="center" vertical="center"/>
      <protection hidden="1"/>
    </xf>
    <xf numFmtId="0" fontId="84" fillId="35" borderId="0" xfId="0" applyFont="1" applyFill="1" applyProtection="1">
      <protection hidden="1"/>
    </xf>
    <xf numFmtId="0" fontId="84" fillId="35" borderId="0" xfId="0" applyFont="1" applyFill="1" applyAlignment="1" applyProtection="1">
      <alignment vertical="center"/>
      <protection hidden="1"/>
    </xf>
    <xf numFmtId="0" fontId="84" fillId="35" borderId="0" xfId="0" applyFont="1" applyFill="1" applyAlignment="1" applyProtection="1">
      <alignment horizontal="center" vertical="center"/>
      <protection hidden="1"/>
    </xf>
    <xf numFmtId="0" fontId="83" fillId="35" borderId="0" xfId="0" applyFont="1" applyFill="1" applyAlignment="1">
      <alignment horizontal="center" vertical="center"/>
    </xf>
    <xf numFmtId="0" fontId="84" fillId="35" borderId="0" xfId="0" applyFont="1" applyFill="1" applyAlignment="1">
      <alignment horizontal="center" vertical="center"/>
    </xf>
    <xf numFmtId="0" fontId="84" fillId="35" borderId="0" xfId="0" applyFont="1" applyFill="1" applyAlignment="1" applyProtection="1">
      <alignment horizontal="left" vertical="center"/>
      <protection hidden="1"/>
    </xf>
    <xf numFmtId="0" fontId="85" fillId="35" borderId="0" xfId="0" applyFont="1" applyFill="1" applyAlignment="1" applyProtection="1">
      <alignment horizontal="center" vertical="center"/>
      <protection hidden="1"/>
    </xf>
    <xf numFmtId="0" fontId="85" fillId="35" borderId="0" xfId="0" applyFont="1" applyFill="1" applyAlignment="1" applyProtection="1">
      <alignment horizontal="center"/>
      <protection hidden="1"/>
    </xf>
    <xf numFmtId="0" fontId="79" fillId="35" borderId="0" xfId="0" applyFont="1" applyFill="1" applyProtection="1">
      <protection hidden="1"/>
    </xf>
    <xf numFmtId="0" fontId="45" fillId="35" borderId="0" xfId="0" applyFont="1" applyFill="1" applyProtection="1">
      <protection hidden="1"/>
    </xf>
    <xf numFmtId="14" fontId="44" fillId="35" borderId="0" xfId="0" applyNumberFormat="1" applyFont="1" applyFill="1" applyAlignment="1" applyProtection="1">
      <alignment horizontal="center"/>
      <protection hidden="1"/>
    </xf>
    <xf numFmtId="0" fontId="43" fillId="35" borderId="0" xfId="0" applyFont="1" applyFill="1" applyAlignment="1" applyProtection="1">
      <alignment horizontal="right" vertical="center"/>
      <protection hidden="1"/>
    </xf>
    <xf numFmtId="0" fontId="86" fillId="2" borderId="78" xfId="0" applyFont="1" applyFill="1" applyBorder="1" applyAlignment="1" applyProtection="1">
      <alignment horizontal="center" vertical="center"/>
      <protection locked="0" hidden="1"/>
    </xf>
    <xf numFmtId="0" fontId="55" fillId="35" borderId="0" xfId="0" applyFont="1" applyFill="1" applyAlignment="1" applyProtection="1">
      <alignment horizontal="center" vertical="center"/>
      <protection locked="0" hidden="1"/>
    </xf>
    <xf numFmtId="0" fontId="55" fillId="35" borderId="0" xfId="0" applyFont="1" applyFill="1" applyAlignment="1" applyProtection="1">
      <alignment horizontal="center" vertical="center"/>
      <protection hidden="1"/>
    </xf>
    <xf numFmtId="0" fontId="53" fillId="35" borderId="0" xfId="0" applyFont="1" applyFill="1" applyAlignment="1" applyProtection="1">
      <alignment horizontal="center"/>
      <protection hidden="1"/>
    </xf>
    <xf numFmtId="0" fontId="79" fillId="35" borderId="0" xfId="0" applyFont="1" applyFill="1" applyAlignment="1" applyProtection="1">
      <alignment vertical="center" wrapText="1"/>
      <protection hidden="1"/>
    </xf>
    <xf numFmtId="0" fontId="0" fillId="35" borderId="186" xfId="0" applyFill="1" applyBorder="1"/>
    <xf numFmtId="0" fontId="44" fillId="35" borderId="57" xfId="95" applyFont="1" applyFill="1" applyBorder="1" applyAlignment="1" applyProtection="1">
      <alignment vertical="center"/>
      <protection hidden="1"/>
    </xf>
    <xf numFmtId="0" fontId="44" fillId="35" borderId="57" xfId="95" applyFont="1" applyFill="1" applyBorder="1" applyProtection="1">
      <protection hidden="1"/>
    </xf>
    <xf numFmtId="0" fontId="44" fillId="35" borderId="57" xfId="93" applyFont="1" applyFill="1" applyBorder="1" applyAlignment="1" applyProtection="1">
      <alignment vertical="center"/>
      <protection hidden="1"/>
    </xf>
    <xf numFmtId="0" fontId="44" fillId="35" borderId="57" xfId="93" applyFont="1" applyFill="1" applyBorder="1" applyProtection="1">
      <protection hidden="1"/>
    </xf>
    <xf numFmtId="0" fontId="44" fillId="35" borderId="0" xfId="93" applyFont="1" applyFill="1" applyAlignment="1" applyProtection="1">
      <alignment horizontal="right"/>
      <protection hidden="1"/>
    </xf>
    <xf numFmtId="0" fontId="43" fillId="4" borderId="188" xfId="0" applyFont="1" applyFill="1" applyBorder="1" applyAlignment="1" applyProtection="1">
      <alignment horizontal="left" vertical="center"/>
      <protection hidden="1"/>
    </xf>
    <xf numFmtId="0" fontId="43" fillId="0" borderId="188" xfId="0" applyFont="1" applyBorder="1" applyAlignment="1" applyProtection="1">
      <alignment horizontal="left" vertical="center"/>
      <protection hidden="1"/>
    </xf>
    <xf numFmtId="0" fontId="43" fillId="0" borderId="187" xfId="0" applyFont="1" applyBorder="1" applyAlignment="1" applyProtection="1">
      <alignment horizontal="left" vertical="center"/>
      <protection hidden="1"/>
    </xf>
    <xf numFmtId="0" fontId="43" fillId="4" borderId="187"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4"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3" fillId="0" borderId="0" xfId="0" applyFont="1" applyAlignment="1" applyProtection="1">
      <alignment vertical="center"/>
      <protection hidden="1"/>
    </xf>
    <xf numFmtId="0" fontId="53" fillId="35" borderId="0" xfId="95" applyFont="1" applyFill="1" applyAlignment="1" applyProtection="1">
      <alignment horizontal="center"/>
      <protection hidden="1"/>
    </xf>
    <xf numFmtId="14" fontId="53" fillId="35" borderId="0" xfId="95" applyNumberFormat="1" applyFont="1" applyFill="1" applyAlignment="1" applyProtection="1">
      <alignment horizontal="center"/>
      <protection hidden="1"/>
    </xf>
    <xf numFmtId="14" fontId="53" fillId="35" borderId="0" xfId="93" applyNumberFormat="1" applyFont="1" applyFill="1" applyAlignment="1" applyProtection="1">
      <alignment horizontal="center"/>
      <protection hidden="1"/>
    </xf>
    <xf numFmtId="0" fontId="46" fillId="35" borderId="109" xfId="90" applyFont="1" applyFill="1" applyBorder="1" applyAlignment="1" applyProtection="1">
      <alignment horizontal="center" wrapText="1"/>
      <protection hidden="1"/>
    </xf>
    <xf numFmtId="14" fontId="45" fillId="2" borderId="189" xfId="90" applyNumberFormat="1" applyFont="1" applyFill="1" applyBorder="1" applyAlignment="1" applyProtection="1">
      <alignment horizontal="center" vertical="center"/>
      <protection locked="0" hidden="1"/>
    </xf>
    <xf numFmtId="0" fontId="89" fillId="35" borderId="186" xfId="0" applyFont="1" applyFill="1" applyBorder="1" applyAlignment="1">
      <alignment horizontal="center"/>
    </xf>
    <xf numFmtId="0" fontId="69" fillId="2" borderId="189" xfId="90" applyFont="1" applyFill="1" applyBorder="1" applyAlignment="1" applyProtection="1">
      <alignment horizontal="center" vertical="center"/>
      <protection locked="0" hidden="1"/>
    </xf>
    <xf numFmtId="0" fontId="44" fillId="35" borderId="0" xfId="0" applyFont="1" applyFill="1"/>
    <xf numFmtId="0" fontId="44" fillId="41" borderId="120" xfId="0" applyFont="1" applyFill="1" applyBorder="1" applyAlignment="1">
      <alignment vertical="center"/>
    </xf>
    <xf numFmtId="0" fontId="44" fillId="2" borderId="0" xfId="0" applyFont="1" applyFill="1" applyAlignment="1">
      <alignment vertical="center"/>
    </xf>
    <xf numFmtId="10" fontId="44" fillId="42" borderId="121" xfId="97" applyNumberFormat="1" applyFont="1" applyFill="1" applyBorder="1" applyAlignment="1">
      <alignment vertical="center"/>
    </xf>
    <xf numFmtId="0" fontId="44" fillId="43" borderId="120" xfId="0" applyFont="1" applyFill="1" applyBorder="1" applyAlignment="1">
      <alignment vertical="center"/>
    </xf>
    <xf numFmtId="0" fontId="44" fillId="43" borderId="122" xfId="0" applyFont="1" applyFill="1" applyBorder="1" applyAlignment="1">
      <alignment vertical="center"/>
    </xf>
    <xf numFmtId="2" fontId="44" fillId="2" borderId="123" xfId="0" applyNumberFormat="1" applyFont="1" applyFill="1" applyBorder="1" applyAlignment="1">
      <alignment vertical="center"/>
    </xf>
    <xf numFmtId="0" fontId="44" fillId="42" borderId="124" xfId="0" applyFont="1" applyFill="1" applyBorder="1" applyAlignment="1">
      <alignment vertical="center"/>
    </xf>
    <xf numFmtId="0" fontId="90" fillId="39" borderId="138" xfId="0" applyFont="1" applyFill="1" applyBorder="1" applyAlignment="1">
      <alignment horizontal="center"/>
    </xf>
    <xf numFmtId="0" fontId="90" fillId="5" borderId="138" xfId="0" quotePrefix="1" applyFont="1" applyFill="1" applyBorder="1" applyAlignment="1">
      <alignment horizontal="center"/>
    </xf>
    <xf numFmtId="0" fontId="90" fillId="9" borderId="138" xfId="0" quotePrefix="1" applyFont="1" applyFill="1" applyBorder="1" applyAlignment="1">
      <alignment horizontal="center"/>
    </xf>
    <xf numFmtId="0" fontId="90" fillId="6" borderId="138" xfId="0" quotePrefix="1" applyFont="1" applyFill="1" applyBorder="1" applyAlignment="1">
      <alignment horizontal="center"/>
    </xf>
    <xf numFmtId="0" fontId="90" fillId="8" borderId="138" xfId="0" quotePrefix="1" applyFont="1" applyFill="1" applyBorder="1" applyAlignment="1">
      <alignment horizontal="center"/>
    </xf>
    <xf numFmtId="0" fontId="90" fillId="25" borderId="138" xfId="0" applyFont="1" applyFill="1" applyBorder="1" applyAlignment="1">
      <alignment horizontal="center"/>
    </xf>
    <xf numFmtId="0" fontId="90" fillId="24" borderId="138" xfId="0" applyFont="1" applyFill="1" applyBorder="1" applyAlignment="1">
      <alignment horizontal="center"/>
    </xf>
    <xf numFmtId="0" fontId="90" fillId="23" borderId="139" xfId="0" applyFont="1" applyFill="1" applyBorder="1" applyAlignment="1">
      <alignment horizontal="center"/>
    </xf>
    <xf numFmtId="0" fontId="44" fillId="44" borderId="0" xfId="0" applyFont="1" applyFill="1" applyAlignment="1">
      <alignment horizontal="center" vertical="center"/>
    </xf>
    <xf numFmtId="0" fontId="44" fillId="44" borderId="127" xfId="0" applyFont="1" applyFill="1" applyBorder="1" applyAlignment="1">
      <alignment horizontal="center" vertical="center"/>
    </xf>
    <xf numFmtId="0" fontId="44" fillId="45" borderId="0" xfId="0" applyFont="1" applyFill="1" applyAlignment="1">
      <alignment horizontal="center" vertical="center"/>
    </xf>
    <xf numFmtId="0" fontId="44" fillId="45" borderId="127" xfId="0" applyFont="1" applyFill="1" applyBorder="1" applyAlignment="1">
      <alignment horizontal="center" vertical="center"/>
    </xf>
    <xf numFmtId="0" fontId="44" fillId="45" borderId="129" xfId="0" applyFont="1" applyFill="1" applyBorder="1" applyAlignment="1">
      <alignment horizontal="center" vertical="center"/>
    </xf>
    <xf numFmtId="0" fontId="44" fillId="45" borderId="130" xfId="0" applyFont="1" applyFill="1" applyBorder="1" applyAlignment="1">
      <alignment horizontal="center" vertical="center"/>
    </xf>
    <xf numFmtId="0" fontId="53" fillId="35" borderId="0" xfId="0" applyFont="1" applyFill="1" applyAlignment="1">
      <alignment vertical="center"/>
    </xf>
    <xf numFmtId="0" fontId="44" fillId="35" borderId="0" xfId="0" applyFont="1" applyFill="1" applyAlignment="1">
      <alignment horizontal="center" vertical="center"/>
    </xf>
    <xf numFmtId="0" fontId="44" fillId="35" borderId="0" xfId="0" applyFont="1" applyFill="1" applyAlignment="1">
      <alignment horizontal="right" vertical="center"/>
    </xf>
    <xf numFmtId="0" fontId="44" fillId="4" borderId="141" xfId="0" applyFont="1" applyFill="1" applyBorder="1" applyAlignment="1" applyProtection="1">
      <alignment horizontal="center" wrapText="1"/>
      <protection hidden="1"/>
    </xf>
    <xf numFmtId="0" fontId="44" fillId="4" borderId="151" xfId="0" applyFont="1" applyFill="1" applyBorder="1" applyAlignment="1" applyProtection="1">
      <alignment horizontal="center" wrapText="1"/>
      <protection hidden="1"/>
    </xf>
    <xf numFmtId="0" fontId="44" fillId="4" borderId="141" xfId="0" applyFont="1" applyFill="1" applyBorder="1" applyAlignment="1" applyProtection="1">
      <alignment horizontal="center" vertical="center" wrapText="1"/>
      <protection hidden="1"/>
    </xf>
    <xf numFmtId="0" fontId="44" fillId="4" borderId="151"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4" fillId="4" borderId="0" xfId="0" applyFont="1" applyFill="1" applyAlignment="1" applyProtection="1">
      <alignment horizontal="center" wrapText="1"/>
      <protection hidden="1"/>
    </xf>
    <xf numFmtId="0" fontId="44" fillId="4" borderId="22" xfId="0" applyFont="1" applyFill="1" applyBorder="1" applyAlignment="1" applyProtection="1">
      <alignment horizontal="center" wrapText="1"/>
      <protection hidden="1"/>
    </xf>
    <xf numFmtId="0" fontId="44" fillId="4" borderId="18" xfId="0" applyFont="1" applyFill="1" applyBorder="1" applyAlignment="1" applyProtection="1">
      <alignment vertical="center"/>
      <protection hidden="1"/>
    </xf>
    <xf numFmtId="0" fontId="44" fillId="4" borderId="0" xfId="0" applyFont="1" applyFill="1" applyAlignment="1" applyProtection="1">
      <alignment vertical="center"/>
      <protection hidden="1"/>
    </xf>
    <xf numFmtId="0" fontId="44" fillId="4" borderId="22" xfId="0" applyFont="1" applyFill="1" applyBorder="1" applyAlignment="1" applyProtection="1">
      <alignment vertical="center"/>
      <protection hidden="1"/>
    </xf>
    <xf numFmtId="0" fontId="44" fillId="4" borderId="16" xfId="0" applyFont="1" applyFill="1" applyBorder="1" applyAlignment="1" applyProtection="1">
      <alignment vertical="center"/>
      <protection hidden="1"/>
    </xf>
    <xf numFmtId="0" fontId="44" fillId="4" borderId="160" xfId="0" applyFont="1" applyFill="1" applyBorder="1" applyAlignment="1" applyProtection="1">
      <alignment vertical="center"/>
      <protection hidden="1"/>
    </xf>
    <xf numFmtId="0" fontId="44" fillId="4" borderId="16" xfId="0" applyFont="1" applyFill="1" applyBorder="1" applyAlignment="1" applyProtection="1">
      <alignment vertical="center" wrapText="1"/>
      <protection hidden="1"/>
    </xf>
    <xf numFmtId="0" fontId="44" fillId="4" borderId="0" xfId="0" applyFont="1" applyFill="1" applyAlignment="1" applyProtection="1">
      <alignment vertical="center" wrapText="1"/>
      <protection hidden="1"/>
    </xf>
    <xf numFmtId="0" fontId="44"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3" fillId="35" borderId="0" xfId="0" applyFont="1" applyFill="1" applyAlignment="1" applyProtection="1">
      <alignment horizontal="left"/>
      <protection locked="0"/>
    </xf>
    <xf numFmtId="0" fontId="58"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4" fillId="4" borderId="28" xfId="0" applyFont="1" applyFill="1" applyBorder="1" applyAlignment="1" applyProtection="1">
      <alignment horizontal="left"/>
      <protection hidden="1"/>
    </xf>
    <xf numFmtId="0" fontId="44" fillId="4" borderId="28" xfId="0" applyFont="1" applyFill="1" applyBorder="1" applyAlignment="1" applyProtection="1">
      <alignment horizontal="center"/>
      <protection hidden="1"/>
    </xf>
    <xf numFmtId="0" fontId="44" fillId="4" borderId="28" xfId="0" applyFont="1" applyFill="1" applyBorder="1" applyProtection="1">
      <protection hidden="1"/>
    </xf>
    <xf numFmtId="0" fontId="45" fillId="3" borderId="29" xfId="0" applyFont="1" applyFill="1" applyBorder="1" applyAlignment="1" applyProtection="1">
      <alignment horizontal="left" vertical="center"/>
      <protection hidden="1"/>
    </xf>
    <xf numFmtId="0" fontId="45" fillId="3" borderId="58" xfId="0" applyFont="1" applyFill="1" applyBorder="1" applyAlignment="1" applyProtection="1">
      <alignment horizontal="left" vertical="center"/>
      <protection hidden="1"/>
    </xf>
    <xf numFmtId="0" fontId="45" fillId="3" borderId="58" xfId="0" applyFont="1" applyFill="1" applyBorder="1" applyAlignment="1" applyProtection="1">
      <alignment horizontal="center" vertical="center"/>
      <protection hidden="1"/>
    </xf>
    <xf numFmtId="0" fontId="45"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4" fillId="35" borderId="0" xfId="0" applyFont="1" applyFill="1" applyAlignment="1" applyProtection="1">
      <alignment horizontal="center"/>
      <protection hidden="1"/>
    </xf>
    <xf numFmtId="0" fontId="45" fillId="5" borderId="30" xfId="0" applyFont="1" applyFill="1" applyBorder="1" applyAlignment="1" applyProtection="1">
      <alignment horizontal="center" vertical="center"/>
      <protection hidden="1"/>
    </xf>
    <xf numFmtId="0" fontId="44" fillId="5" borderId="30" xfId="0" applyFont="1" applyFill="1" applyBorder="1" applyAlignment="1" applyProtection="1">
      <alignment horizontal="center" vertical="center"/>
      <protection hidden="1"/>
    </xf>
    <xf numFmtId="0" fontId="44" fillId="5" borderId="35" xfId="0" applyFont="1" applyFill="1" applyBorder="1" applyAlignment="1" applyProtection="1">
      <alignment horizontal="center" vertical="top"/>
      <protection hidden="1"/>
    </xf>
    <xf numFmtId="0" fontId="44" fillId="9" borderId="0" xfId="0" applyFont="1" applyFill="1" applyProtection="1">
      <protection hidden="1"/>
    </xf>
    <xf numFmtId="0" fontId="0" fillId="6" borderId="0" xfId="0" applyFill="1" applyAlignment="1" applyProtection="1">
      <alignment horizontal="center" vertical="center"/>
      <protection hidden="1"/>
    </xf>
    <xf numFmtId="0" fontId="44"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4" fillId="3" borderId="0" xfId="0" applyFont="1" applyFill="1" applyAlignment="1" applyProtection="1">
      <alignment horizontal="center" vertical="center"/>
      <protection hidden="1"/>
    </xf>
    <xf numFmtId="0" fontId="0" fillId="0" borderId="80" xfId="0" applyBorder="1" applyAlignment="1" applyProtection="1">
      <alignment horizontal="right"/>
      <protection hidden="1"/>
    </xf>
    <xf numFmtId="0" fontId="4" fillId="39" borderId="81" xfId="0" applyFont="1" applyFill="1" applyBorder="1" applyAlignment="1" applyProtection="1">
      <alignment horizontal="center"/>
      <protection hidden="1"/>
    </xf>
    <xf numFmtId="0" fontId="4" fillId="5" borderId="81" xfId="0" quotePrefix="1" applyFont="1" applyFill="1" applyBorder="1" applyAlignment="1" applyProtection="1">
      <alignment horizontal="center"/>
      <protection hidden="1"/>
    </xf>
    <xf numFmtId="0" fontId="4" fillId="9" borderId="81" xfId="0" quotePrefix="1" applyFont="1" applyFill="1" applyBorder="1" applyAlignment="1" applyProtection="1">
      <alignment horizontal="center"/>
      <protection hidden="1"/>
    </xf>
    <xf numFmtId="0" fontId="4" fillId="6" borderId="81" xfId="0" quotePrefix="1" applyFont="1" applyFill="1" applyBorder="1" applyAlignment="1" applyProtection="1">
      <alignment horizontal="center"/>
      <protection hidden="1"/>
    </xf>
    <xf numFmtId="0" fontId="4" fillId="8" borderId="81" xfId="0" quotePrefix="1" applyFont="1" applyFill="1" applyBorder="1" applyAlignment="1" applyProtection="1">
      <alignment horizontal="center"/>
      <protection hidden="1"/>
    </xf>
    <xf numFmtId="0" fontId="4" fillId="25" borderId="81" xfId="0" applyFont="1" applyFill="1" applyBorder="1" applyAlignment="1" applyProtection="1">
      <alignment horizontal="center"/>
      <protection hidden="1"/>
    </xf>
    <xf numFmtId="0" fontId="4" fillId="24" borderId="81" xfId="0" applyFont="1" applyFill="1" applyBorder="1" applyAlignment="1" applyProtection="1">
      <alignment horizontal="center"/>
      <protection hidden="1"/>
    </xf>
    <xf numFmtId="0" fontId="4" fillId="23" borderId="82"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4" fillId="4" borderId="26" xfId="0" applyFont="1" applyFill="1" applyBorder="1" applyAlignment="1" applyProtection="1">
      <alignment horizontal="left"/>
      <protection hidden="1"/>
    </xf>
    <xf numFmtId="0" fontId="44" fillId="4" borderId="26" xfId="0" applyFont="1" applyFill="1" applyBorder="1" applyAlignment="1" applyProtection="1">
      <alignment horizontal="center"/>
      <protection hidden="1"/>
    </xf>
    <xf numFmtId="0" fontId="44" fillId="4" borderId="26" xfId="0" applyFont="1" applyFill="1" applyBorder="1" applyProtection="1">
      <protection hidden="1"/>
    </xf>
    <xf numFmtId="0" fontId="44" fillId="4" borderId="54" xfId="0" applyFont="1" applyFill="1" applyBorder="1" applyProtection="1">
      <protection hidden="1"/>
    </xf>
    <xf numFmtId="0" fontId="45" fillId="4" borderId="56" xfId="0" applyFont="1" applyFill="1" applyBorder="1" applyAlignment="1" applyProtection="1">
      <alignment horizontal="left"/>
      <protection hidden="1"/>
    </xf>
    <xf numFmtId="0" fontId="45" fillId="4" borderId="56" xfId="0" applyFont="1" applyFill="1" applyBorder="1" applyAlignment="1" applyProtection="1">
      <alignment horizontal="center" vertical="center"/>
      <protection hidden="1"/>
    </xf>
    <xf numFmtId="0" fontId="44" fillId="4" borderId="56" xfId="0" applyFont="1" applyFill="1" applyBorder="1" applyAlignment="1" applyProtection="1">
      <alignment horizontal="center" vertical="center"/>
      <protection hidden="1"/>
    </xf>
    <xf numFmtId="0" fontId="44"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4" fillId="5" borderId="31" xfId="0" applyFont="1" applyFill="1" applyBorder="1" applyAlignment="1" applyProtection="1">
      <alignment horizontal="center" vertical="center"/>
      <protection hidden="1"/>
    </xf>
    <xf numFmtId="0" fontId="44" fillId="5" borderId="36" xfId="0" applyFont="1" applyFill="1" applyBorder="1" applyAlignment="1" applyProtection="1">
      <alignment horizontal="center" vertical="center"/>
      <protection hidden="1"/>
    </xf>
    <xf numFmtId="0" fontId="53" fillId="35" borderId="39" xfId="0" applyFont="1" applyFill="1" applyBorder="1" applyAlignment="1" applyProtection="1">
      <alignment horizontal="right" vertical="center"/>
      <protection hidden="1"/>
    </xf>
    <xf numFmtId="0" fontId="45" fillId="9" borderId="30" xfId="0" applyFont="1" applyFill="1" applyBorder="1" applyAlignment="1" applyProtection="1">
      <alignment horizontal="center" vertical="center"/>
      <protection hidden="1"/>
    </xf>
    <xf numFmtId="0" fontId="44" fillId="9" borderId="30" xfId="0" applyFont="1" applyFill="1" applyBorder="1" applyAlignment="1" applyProtection="1">
      <alignment horizontal="center" vertical="center"/>
      <protection hidden="1"/>
    </xf>
    <xf numFmtId="0" fontId="44" fillId="9" borderId="35" xfId="0" applyFont="1" applyFill="1" applyBorder="1" applyAlignment="1" applyProtection="1">
      <alignment horizontal="center" vertical="center"/>
      <protection hidden="1"/>
    </xf>
    <xf numFmtId="0" fontId="44" fillId="6" borderId="0" xfId="0" applyFont="1" applyFill="1" applyAlignment="1" applyProtection="1">
      <alignment horizontal="center" vertical="center"/>
      <protection hidden="1"/>
    </xf>
    <xf numFmtId="0" fontId="44" fillId="10" borderId="0" xfId="0" applyFont="1" applyFill="1" applyAlignment="1" applyProtection="1">
      <alignment horizontal="center" vertical="center"/>
      <protection hidden="1"/>
    </xf>
    <xf numFmtId="0" fontId="46" fillId="35" borderId="0" xfId="0" applyFont="1" applyFill="1" applyProtection="1">
      <protection hidden="1"/>
    </xf>
    <xf numFmtId="0" fontId="0" fillId="0" borderId="83" xfId="0" applyBorder="1" applyAlignment="1" applyProtection="1">
      <alignment horizontal="right"/>
      <protection hidden="1"/>
    </xf>
    <xf numFmtId="165" fontId="0" fillId="0" borderId="73" xfId="0" applyNumberFormat="1" applyBorder="1" applyProtection="1">
      <protection hidden="1"/>
    </xf>
    <xf numFmtId="165" fontId="53" fillId="0" borderId="73" xfId="0" applyNumberFormat="1" applyFont="1" applyBorder="1" applyProtection="1">
      <protection hidden="1"/>
    </xf>
    <xf numFmtId="165" fontId="9" fillId="0" borderId="73" xfId="0" applyNumberFormat="1" applyFont="1" applyBorder="1" applyProtection="1">
      <protection hidden="1"/>
    </xf>
    <xf numFmtId="165" fontId="0" fillId="0" borderId="84" xfId="0" applyNumberFormat="1" applyBorder="1" applyProtection="1">
      <protection hidden="1"/>
    </xf>
    <xf numFmtId="0" fontId="44" fillId="4" borderId="55" xfId="0" applyFont="1" applyFill="1" applyBorder="1" applyProtection="1">
      <protection hidden="1"/>
    </xf>
    <xf numFmtId="0" fontId="45" fillId="4" borderId="0" xfId="0" applyFont="1" applyFill="1" applyAlignment="1" applyProtection="1">
      <alignment horizontal="left"/>
      <protection hidden="1"/>
    </xf>
    <xf numFmtId="0" fontId="44" fillId="5" borderId="32" xfId="0" applyFont="1" applyFill="1" applyBorder="1" applyAlignment="1" applyProtection="1">
      <alignment horizontal="center" vertical="center"/>
      <protection hidden="1"/>
    </xf>
    <xf numFmtId="0" fontId="44" fillId="5" borderId="37" xfId="0" applyFont="1" applyFill="1" applyBorder="1" applyAlignment="1" applyProtection="1">
      <alignment horizontal="center" vertical="center"/>
      <protection hidden="1"/>
    </xf>
    <xf numFmtId="0" fontId="44" fillId="9" borderId="41" xfId="0" applyFont="1" applyFill="1" applyBorder="1" applyAlignment="1" applyProtection="1">
      <alignment horizontal="center" vertical="center"/>
      <protection hidden="1"/>
    </xf>
    <xf numFmtId="0" fontId="44" fillId="5" borderId="34" xfId="0" applyFont="1" applyFill="1" applyBorder="1" applyAlignment="1" applyProtection="1">
      <alignment horizontal="center" vertical="center"/>
      <protection hidden="1"/>
    </xf>
    <xf numFmtId="0" fontId="44" fillId="5" borderId="38" xfId="0" applyFont="1" applyFill="1" applyBorder="1" applyAlignment="1" applyProtection="1">
      <alignment horizontal="center" vertical="top"/>
      <protection hidden="1"/>
    </xf>
    <xf numFmtId="0" fontId="44" fillId="9" borderId="0" xfId="0" applyFont="1" applyFill="1" applyAlignment="1" applyProtection="1">
      <alignment horizontal="center" vertical="center"/>
      <protection hidden="1"/>
    </xf>
    <xf numFmtId="0" fontId="44" fillId="9" borderId="37" xfId="0" applyFont="1" applyFill="1" applyBorder="1" applyAlignment="1" applyProtection="1">
      <alignment horizontal="center" vertical="center"/>
      <protection hidden="1"/>
    </xf>
    <xf numFmtId="0" fontId="45" fillId="4" borderId="57" xfId="0" applyFont="1" applyFill="1" applyBorder="1" applyAlignment="1" applyProtection="1">
      <alignment horizontal="left"/>
      <protection hidden="1"/>
    </xf>
    <xf numFmtId="0" fontId="45" fillId="4" borderId="57" xfId="0" applyFont="1" applyFill="1" applyBorder="1" applyAlignment="1" applyProtection="1">
      <alignment horizontal="center" vertical="center"/>
      <protection hidden="1"/>
    </xf>
    <xf numFmtId="0" fontId="44" fillId="4" borderId="57" xfId="0" applyFont="1" applyFill="1" applyBorder="1" applyAlignment="1" applyProtection="1">
      <alignment horizontal="center" vertical="center"/>
      <protection hidden="1"/>
    </xf>
    <xf numFmtId="0" fontId="44" fillId="4" borderId="61" xfId="0" applyFont="1" applyFill="1" applyBorder="1" applyAlignment="1" applyProtection="1">
      <alignment horizontal="center" vertical="center"/>
      <protection hidden="1"/>
    </xf>
    <xf numFmtId="0" fontId="45" fillId="5" borderId="31" xfId="0" applyFont="1" applyFill="1" applyBorder="1" applyAlignment="1" applyProtection="1">
      <alignment horizontal="center" vertical="center"/>
      <protection hidden="1"/>
    </xf>
    <xf numFmtId="0" fontId="44" fillId="5" borderId="33" xfId="0" applyFont="1" applyFill="1" applyBorder="1" applyAlignment="1" applyProtection="1">
      <alignment horizontal="center" vertical="center"/>
      <protection hidden="1"/>
    </xf>
    <xf numFmtId="0" fontId="44" fillId="5" borderId="0" xfId="0" applyFont="1" applyFill="1" applyAlignment="1" applyProtection="1">
      <alignment horizontal="center"/>
      <protection hidden="1"/>
    </xf>
    <xf numFmtId="0" fontId="45" fillId="6" borderId="30" xfId="0" applyFont="1" applyFill="1" applyBorder="1" applyAlignment="1" applyProtection="1">
      <alignment horizontal="center" vertical="center"/>
      <protection hidden="1"/>
    </xf>
    <xf numFmtId="0" fontId="44" fillId="6" borderId="30" xfId="0" applyFont="1" applyFill="1" applyBorder="1" applyAlignment="1" applyProtection="1">
      <alignment horizontal="center" vertical="center"/>
      <protection hidden="1"/>
    </xf>
    <xf numFmtId="0" fontId="44"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4" fillId="4" borderId="23" xfId="0" applyFont="1" applyFill="1" applyBorder="1" applyAlignment="1" applyProtection="1">
      <alignment horizontal="left"/>
      <protection hidden="1"/>
    </xf>
    <xf numFmtId="0" fontId="44" fillId="4" borderId="23" xfId="0" applyFont="1" applyFill="1" applyBorder="1" applyAlignment="1" applyProtection="1">
      <alignment horizontal="center"/>
      <protection hidden="1"/>
    </xf>
    <xf numFmtId="0" fontId="44" fillId="4" borderId="23" xfId="0" applyFont="1" applyFill="1" applyBorder="1" applyProtection="1">
      <protection hidden="1"/>
    </xf>
    <xf numFmtId="0" fontId="44" fillId="3" borderId="22" xfId="0" applyFont="1" applyFill="1" applyBorder="1" applyAlignment="1" applyProtection="1">
      <alignment horizontal="left"/>
      <protection hidden="1"/>
    </xf>
    <xf numFmtId="0" fontId="44" fillId="3" borderId="22" xfId="0" applyFont="1" applyFill="1" applyBorder="1" applyProtection="1">
      <protection hidden="1"/>
    </xf>
    <xf numFmtId="0" fontId="44"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4" fillId="5" borderId="0" xfId="0" applyFont="1" applyFill="1" applyProtection="1">
      <protection hidden="1"/>
    </xf>
    <xf numFmtId="0" fontId="44"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4" fillId="5" borderId="35" xfId="0" applyFont="1" applyFill="1" applyBorder="1" applyAlignment="1" applyProtection="1">
      <alignment horizontal="center" vertical="center"/>
      <protection hidden="1"/>
    </xf>
    <xf numFmtId="0" fontId="44" fillId="6" borderId="37" xfId="0" applyFont="1" applyFill="1" applyBorder="1" applyAlignment="1" applyProtection="1">
      <alignment horizontal="center" vertical="center"/>
      <protection hidden="1"/>
    </xf>
    <xf numFmtId="0" fontId="53" fillId="35" borderId="40" xfId="0" applyFont="1" applyFill="1" applyBorder="1" applyAlignment="1" applyProtection="1">
      <alignment horizontal="right" vertical="center"/>
      <protection hidden="1"/>
    </xf>
    <xf numFmtId="0" fontId="44"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4" fillId="5" borderId="38" xfId="0" applyFont="1" applyFill="1" applyBorder="1" applyAlignment="1" applyProtection="1">
      <alignment horizontal="center" vertical="center"/>
      <protection hidden="1"/>
    </xf>
    <xf numFmtId="0" fontId="44" fillId="5" borderId="0" xfId="0" applyFont="1" applyFill="1" applyAlignment="1" applyProtection="1">
      <alignment horizontal="center" vertical="center"/>
      <protection hidden="1"/>
    </xf>
    <xf numFmtId="0" fontId="45" fillId="8" borderId="30" xfId="0" applyFont="1" applyFill="1" applyBorder="1" applyAlignment="1" applyProtection="1">
      <alignment horizontal="center" vertical="center"/>
      <protection hidden="1"/>
    </xf>
    <xf numFmtId="0" fontId="44" fillId="8" borderId="30" xfId="0" applyFont="1" applyFill="1" applyBorder="1" applyAlignment="1" applyProtection="1">
      <alignment horizontal="center" vertical="center"/>
      <protection hidden="1"/>
    </xf>
    <xf numFmtId="0" fontId="44" fillId="8" borderId="35" xfId="0" applyFont="1" applyFill="1" applyBorder="1" applyAlignment="1" applyProtection="1">
      <alignment horizontal="center" vertical="center"/>
      <protection hidden="1"/>
    </xf>
    <xf numFmtId="0" fontId="44" fillId="8" borderId="36" xfId="0" applyFont="1" applyFill="1" applyBorder="1" applyAlignment="1" applyProtection="1">
      <alignment horizontal="center" vertical="center"/>
      <protection hidden="1"/>
    </xf>
    <xf numFmtId="0" fontId="44"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4" fillId="9" borderId="44" xfId="0" applyFont="1" applyFill="1" applyBorder="1" applyAlignment="1" applyProtection="1">
      <alignment horizontal="center" vertical="center"/>
      <protection hidden="1"/>
    </xf>
    <xf numFmtId="0" fontId="46"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4"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6" fillId="3" borderId="0" xfId="0" applyFont="1" applyFill="1" applyAlignment="1" applyProtection="1">
      <alignment horizontal="center" vertical="center"/>
      <protection hidden="1"/>
    </xf>
    <xf numFmtId="0" fontId="44"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4"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4"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4" fillId="24" borderId="0" xfId="0" applyFont="1" applyFill="1" applyAlignment="1" applyProtection="1">
      <alignment horizontal="center"/>
      <protection hidden="1"/>
    </xf>
    <xf numFmtId="0" fontId="53" fillId="35" borderId="42" xfId="0" applyFont="1" applyFill="1" applyBorder="1" applyProtection="1">
      <protection hidden="1"/>
    </xf>
    <xf numFmtId="0" fontId="44" fillId="10" borderId="43" xfId="0" applyFont="1" applyFill="1" applyBorder="1" applyAlignment="1" applyProtection="1">
      <alignment horizontal="center" vertical="center"/>
      <protection hidden="1"/>
    </xf>
    <xf numFmtId="0" fontId="53" fillId="35" borderId="40" xfId="0" applyFont="1" applyFill="1" applyBorder="1" applyProtection="1">
      <protection hidden="1"/>
    </xf>
    <xf numFmtId="0" fontId="45" fillId="3" borderId="30" xfId="0" applyFont="1" applyFill="1" applyBorder="1" applyAlignment="1" applyProtection="1">
      <alignment horizontal="center" vertical="center"/>
      <protection hidden="1"/>
    </xf>
    <xf numFmtId="0" fontId="44" fillId="3" borderId="30" xfId="0" applyFont="1" applyFill="1" applyBorder="1" applyAlignment="1" applyProtection="1">
      <alignment horizontal="center" vertical="center"/>
      <protection hidden="1"/>
    </xf>
    <xf numFmtId="0" fontId="44" fillId="3" borderId="35" xfId="0" applyFont="1" applyFill="1" applyBorder="1" applyAlignment="1" applyProtection="1">
      <alignment horizontal="center" vertical="center"/>
      <protection hidden="1"/>
    </xf>
    <xf numFmtId="0" fontId="53" fillId="35" borderId="43" xfId="0" applyFont="1" applyFill="1" applyBorder="1" applyProtection="1">
      <protection hidden="1"/>
    </xf>
    <xf numFmtId="0" fontId="44"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3" fillId="35" borderId="39" xfId="0" applyFont="1" applyFill="1" applyBorder="1" applyAlignment="1" applyProtection="1">
      <alignment horizontal="center" vertical="center"/>
      <protection hidden="1"/>
    </xf>
    <xf numFmtId="0" fontId="45" fillId="10" borderId="30" xfId="0" applyFont="1" applyFill="1" applyBorder="1" applyAlignment="1" applyProtection="1">
      <alignment horizontal="center" vertical="center"/>
      <protection hidden="1"/>
    </xf>
    <xf numFmtId="0" fontId="44" fillId="10" borderId="30" xfId="0" applyFont="1" applyFill="1" applyBorder="1" applyAlignment="1" applyProtection="1">
      <alignment horizontal="center" vertical="center"/>
      <protection hidden="1"/>
    </xf>
    <xf numFmtId="0" fontId="44" fillId="10" borderId="35" xfId="0" applyFont="1" applyFill="1" applyBorder="1" applyAlignment="1" applyProtection="1">
      <alignment horizontal="center" vertical="center"/>
      <protection hidden="1"/>
    </xf>
    <xf numFmtId="0" fontId="53" fillId="35" borderId="51" xfId="0" applyFont="1" applyFill="1" applyBorder="1" applyProtection="1">
      <protection hidden="1"/>
    </xf>
    <xf numFmtId="0" fontId="44"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4"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4"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5" xfId="0" applyBorder="1" applyAlignment="1" applyProtection="1">
      <alignment horizontal="right"/>
      <protection hidden="1"/>
    </xf>
    <xf numFmtId="165" fontId="0" fillId="0" borderId="86" xfId="0" applyNumberFormat="1" applyBorder="1" applyProtection="1">
      <protection hidden="1"/>
    </xf>
    <xf numFmtId="165" fontId="53" fillId="0" borderId="86" xfId="0" applyNumberFormat="1" applyFont="1" applyBorder="1" applyProtection="1">
      <protection hidden="1"/>
    </xf>
    <xf numFmtId="165" fontId="9" fillId="0" borderId="86" xfId="0" applyNumberFormat="1" applyFont="1" applyBorder="1" applyProtection="1">
      <protection hidden="1"/>
    </xf>
    <xf numFmtId="165" fontId="0" fillId="0" borderId="87" xfId="0" applyNumberFormat="1" applyBorder="1" applyProtection="1">
      <protection hidden="1"/>
    </xf>
    <xf numFmtId="0" fontId="53" fillId="35" borderId="0" xfId="93" applyFont="1" applyFill="1" applyAlignment="1" applyProtection="1">
      <alignment vertical="center" wrapText="1"/>
      <protection hidden="1"/>
    </xf>
    <xf numFmtId="0" fontId="53" fillId="35" borderId="0" xfId="93" applyFont="1" applyFill="1" applyAlignment="1" applyProtection="1">
      <alignment horizontal="center" vertical="center"/>
      <protection hidden="1"/>
    </xf>
    <xf numFmtId="0" fontId="50" fillId="35" borderId="0" xfId="93" applyFont="1" applyFill="1" applyAlignment="1" applyProtection="1">
      <alignment horizontal="left" vertical="top"/>
      <protection hidden="1"/>
    </xf>
    <xf numFmtId="9" fontId="90" fillId="0" borderId="190"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91"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4" fillId="0" borderId="0" xfId="90" applyFont="1" applyProtection="1">
      <protection locked="0" hidden="1"/>
    </xf>
    <xf numFmtId="0" fontId="44" fillId="35" borderId="64" xfId="90" applyFont="1" applyFill="1" applyBorder="1" applyAlignment="1" applyProtection="1">
      <alignment vertical="center"/>
      <protection hidden="1"/>
    </xf>
    <xf numFmtId="0" fontId="44" fillId="35" borderId="65" xfId="90" applyFont="1" applyFill="1" applyBorder="1" applyAlignment="1" applyProtection="1">
      <alignment vertical="center"/>
      <protection hidden="1"/>
    </xf>
    <xf numFmtId="0" fontId="44" fillId="35" borderId="67" xfId="90" applyFont="1" applyFill="1" applyBorder="1" applyAlignment="1" applyProtection="1">
      <alignment vertical="center"/>
      <protection hidden="1"/>
    </xf>
    <xf numFmtId="0" fontId="44" fillId="35" borderId="69" xfId="90" applyFont="1" applyFill="1" applyBorder="1" applyAlignment="1" applyProtection="1">
      <alignment vertical="center"/>
      <protection hidden="1"/>
    </xf>
    <xf numFmtId="0" fontId="44" fillId="35" borderId="70" xfId="90" applyFont="1" applyFill="1" applyBorder="1" applyAlignment="1" applyProtection="1">
      <alignment vertical="center"/>
      <protection hidden="1"/>
    </xf>
    <xf numFmtId="0" fontId="44" fillId="35" borderId="67" xfId="27" applyFont="1" applyFill="1" applyBorder="1" applyAlignment="1" applyProtection="1">
      <alignment vertical="center"/>
      <protection hidden="1"/>
    </xf>
    <xf numFmtId="0" fontId="46" fillId="0" borderId="0" xfId="90" applyFont="1" applyProtection="1">
      <protection hidden="1"/>
    </xf>
    <xf numFmtId="0" fontId="23" fillId="0" borderId="0" xfId="90" applyAlignment="1">
      <alignment vertical="center"/>
    </xf>
    <xf numFmtId="0" fontId="6" fillId="35" borderId="0" xfId="27" applyFill="1" applyAlignment="1" applyProtection="1">
      <alignment vertical="center"/>
      <protection hidden="1"/>
    </xf>
    <xf numFmtId="0" fontId="72" fillId="0" borderId="0" xfId="90" applyFont="1" applyAlignment="1" applyProtection="1">
      <alignment vertical="top"/>
      <protection hidden="1"/>
    </xf>
    <xf numFmtId="0" fontId="44" fillId="35" borderId="191" xfId="90" applyFont="1" applyFill="1" applyBorder="1" applyAlignment="1" applyProtection="1">
      <alignment vertical="center"/>
      <protection hidden="1"/>
    </xf>
    <xf numFmtId="0" fontId="44" fillId="35" borderId="192" xfId="90" applyFont="1" applyFill="1" applyBorder="1" applyAlignment="1" applyProtection="1">
      <alignment vertical="center"/>
      <protection hidden="1"/>
    </xf>
    <xf numFmtId="0" fontId="44" fillId="35" borderId="69" xfId="0" applyFont="1" applyFill="1" applyBorder="1"/>
    <xf numFmtId="0" fontId="44"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2"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3" fillId="0" borderId="0" xfId="0" applyFont="1" applyProtection="1">
      <protection hidden="1"/>
    </xf>
    <xf numFmtId="0" fontId="94" fillId="0" borderId="0" xfId="0" applyFont="1" applyProtection="1">
      <protection hidden="1"/>
    </xf>
    <xf numFmtId="0" fontId="92" fillId="0" borderId="0" xfId="0" applyFont="1" applyProtection="1">
      <protection hidden="1"/>
    </xf>
    <xf numFmtId="0" fontId="53" fillId="35" borderId="119" xfId="0" applyFont="1" applyFill="1" applyBorder="1"/>
    <xf numFmtId="0" fontId="0" fillId="2" borderId="0" xfId="0" applyFill="1" applyAlignment="1">
      <alignment vertical="center"/>
    </xf>
    <xf numFmtId="0" fontId="53" fillId="35" borderId="121" xfId="97" applyNumberFormat="1" applyFont="1" applyFill="1" applyBorder="1" applyAlignment="1">
      <alignment horizontal="center" vertical="center"/>
    </xf>
    <xf numFmtId="0" fontId="53" fillId="35" borderId="124" xfId="0" applyFont="1" applyFill="1" applyBorder="1" applyAlignment="1">
      <alignment horizontal="center" vertical="center"/>
    </xf>
    <xf numFmtId="14" fontId="53" fillId="35" borderId="0" xfId="0" applyNumberFormat="1" applyFont="1" applyFill="1"/>
    <xf numFmtId="22" fontId="13" fillId="0" borderId="0" xfId="0" applyNumberFormat="1" applyFont="1"/>
    <xf numFmtId="14" fontId="95" fillId="2" borderId="189" xfId="90" applyNumberFormat="1" applyFont="1" applyFill="1" applyBorder="1" applyAlignment="1" applyProtection="1">
      <alignment horizontal="center" vertical="center" wrapText="1"/>
      <protection locked="0" hidden="1"/>
    </xf>
    <xf numFmtId="0" fontId="68"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96" fillId="0" borderId="0" xfId="0" applyNumberFormat="1" applyFont="1" applyAlignment="1" applyProtection="1">
      <alignment vertical="center"/>
      <protection hidden="1"/>
    </xf>
    <xf numFmtId="22" fontId="96"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3" fillId="0" borderId="0" xfId="0" applyFont="1" applyAlignment="1" applyProtection="1">
      <alignment horizontal="center"/>
      <protection hidden="1"/>
    </xf>
    <xf numFmtId="0" fontId="69"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66" fontId="87"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97" fillId="0" borderId="0" xfId="0" applyNumberFormat="1" applyFont="1" applyAlignment="1" applyProtection="1">
      <alignment horizontal="center"/>
      <protection hidden="1"/>
    </xf>
    <xf numFmtId="166" fontId="25" fillId="0" borderId="0" xfId="0" applyNumberFormat="1" applyFont="1" applyAlignment="1" applyProtection="1">
      <alignment horizontal="center" vertical="center"/>
      <protection hidden="1"/>
    </xf>
    <xf numFmtId="166" fontId="97"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88" fillId="2" borderId="189" xfId="90" applyNumberFormat="1" applyFont="1" applyFill="1" applyBorder="1" applyAlignment="1" applyProtection="1">
      <alignment horizontal="center" vertical="center" wrapText="1"/>
      <protection hidden="1"/>
    </xf>
    <xf numFmtId="14" fontId="90" fillId="35" borderId="0" xfId="0" applyNumberFormat="1" applyFont="1" applyFill="1" applyAlignment="1">
      <alignment horizontal="left" vertical="center" wrapText="1"/>
    </xf>
    <xf numFmtId="0" fontId="8" fillId="35" borderId="0" xfId="93" applyFont="1" applyFill="1" applyProtection="1">
      <protection locked="0" hidden="1"/>
    </xf>
    <xf numFmtId="0" fontId="44" fillId="35" borderId="120" xfId="0" applyFont="1" applyFill="1" applyBorder="1" applyAlignment="1">
      <alignment vertical="center"/>
    </xf>
    <xf numFmtId="0" fontId="0" fillId="35" borderId="0" xfId="0" applyFill="1" applyAlignment="1">
      <alignment vertical="center"/>
    </xf>
    <xf numFmtId="0" fontId="44" fillId="35" borderId="122" xfId="0" applyFont="1" applyFill="1" applyBorder="1" applyAlignment="1">
      <alignment vertical="center"/>
    </xf>
    <xf numFmtId="0" fontId="0" fillId="35" borderId="123" xfId="0" applyFill="1" applyBorder="1" applyAlignment="1">
      <alignment vertical="center"/>
    </xf>
    <xf numFmtId="0" fontId="46" fillId="7" borderId="0" xfId="0" applyFont="1" applyFill="1" applyAlignment="1" applyProtection="1">
      <alignment horizontal="left"/>
      <protection locked="0" hidden="1"/>
    </xf>
    <xf numFmtId="0" fontId="100" fillId="3" borderId="79" xfId="0" applyFont="1" applyFill="1" applyBorder="1" applyAlignment="1" applyProtection="1">
      <alignment horizontal="center" vertical="center"/>
      <protection hidden="1"/>
    </xf>
    <xf numFmtId="14" fontId="13" fillId="0" borderId="0" xfId="0" applyNumberFormat="1" applyFont="1"/>
    <xf numFmtId="0" fontId="13" fillId="0" borderId="0" xfId="90" applyFont="1"/>
    <xf numFmtId="0" fontId="13" fillId="0" borderId="0" xfId="0" applyFont="1" applyAlignment="1" applyProtection="1">
      <alignment vertical="center"/>
      <protection hidden="1"/>
    </xf>
    <xf numFmtId="0" fontId="13" fillId="0" borderId="0" xfId="0" applyFont="1" applyAlignment="1">
      <alignment wrapText="1"/>
    </xf>
    <xf numFmtId="0" fontId="101" fillId="0" borderId="0" xfId="27" applyFont="1" applyFill="1" applyBorder="1"/>
    <xf numFmtId="0" fontId="102" fillId="0" borderId="0" xfId="0" applyFont="1" applyAlignment="1" applyProtection="1">
      <alignment vertical="center"/>
      <protection hidden="1"/>
    </xf>
    <xf numFmtId="0" fontId="25" fillId="0" borderId="0" xfId="0" applyFont="1" applyAlignment="1">
      <alignment vertical="center" wrapText="1"/>
    </xf>
    <xf numFmtId="0" fontId="13" fillId="0" borderId="0" xfId="90" applyFont="1" applyProtection="1">
      <protection hidden="1"/>
    </xf>
    <xf numFmtId="0" fontId="101" fillId="0" borderId="0" xfId="27" applyFont="1" applyFill="1" applyBorder="1" applyProtection="1">
      <protection hidden="1"/>
    </xf>
    <xf numFmtId="0" fontId="13" fillId="0" borderId="0" xfId="27" applyFont="1" applyFill="1" applyBorder="1" applyProtection="1">
      <protection hidden="1"/>
    </xf>
    <xf numFmtId="0" fontId="13" fillId="0" borderId="0" xfId="0" applyFont="1" applyProtection="1">
      <protection locked="0"/>
    </xf>
    <xf numFmtId="0" fontId="11" fillId="0" borderId="0" xfId="0" applyFont="1" applyAlignment="1" applyProtection="1">
      <alignment horizontal="center"/>
      <protection hidden="1"/>
    </xf>
    <xf numFmtId="0" fontId="11" fillId="0" borderId="0" xfId="0" applyFont="1" applyProtection="1">
      <protection hidden="1"/>
    </xf>
    <xf numFmtId="0" fontId="11" fillId="0" borderId="0" xfId="0" applyFont="1" applyAlignment="1" applyProtection="1">
      <alignment horizontal="center" vertical="center"/>
      <protection hidden="1"/>
    </xf>
    <xf numFmtId="0" fontId="13" fillId="0" borderId="0" xfId="0" applyFont="1" applyAlignment="1" applyProtection="1">
      <alignment horizontal="center" vertical="center"/>
      <protection hidden="1"/>
    </xf>
    <xf numFmtId="0" fontId="11" fillId="0" borderId="0" xfId="0" applyFont="1" applyAlignment="1" applyProtection="1">
      <alignment horizontal="left"/>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11" fillId="0" borderId="0" xfId="0" applyFont="1" applyAlignment="1" applyProtection="1">
      <alignment horizontal="right"/>
      <protection hidden="1"/>
    </xf>
    <xf numFmtId="0" fontId="6" fillId="35" borderId="0" xfId="27" applyFill="1" applyAlignment="1" applyProtection="1">
      <alignment vertical="center"/>
      <protection locked="0" hidden="1"/>
    </xf>
    <xf numFmtId="0" fontId="103" fillId="35" borderId="0" xfId="0" applyFont="1" applyFill="1"/>
    <xf numFmtId="0" fontId="103" fillId="35" borderId="0" xfId="0" applyFont="1" applyFill="1" applyProtection="1">
      <protection hidden="1"/>
    </xf>
    <xf numFmtId="0" fontId="103" fillId="0" borderId="0" xfId="0" applyFont="1" applyProtection="1">
      <protection hidden="1"/>
    </xf>
    <xf numFmtId="0" fontId="103" fillId="35" borderId="200" xfId="0" applyFont="1" applyFill="1" applyBorder="1"/>
    <xf numFmtId="0" fontId="44" fillId="0" borderId="196" xfId="93" applyFont="1" applyBorder="1" applyAlignment="1" applyProtection="1">
      <alignment vertical="center"/>
      <protection hidden="1"/>
    </xf>
    <xf numFmtId="0" fontId="44" fillId="0" borderId="197" xfId="0" applyFont="1" applyBorder="1"/>
    <xf numFmtId="0" fontId="44" fillId="0" borderId="198" xfId="0" applyFont="1" applyBorder="1"/>
    <xf numFmtId="0" fontId="53" fillId="35" borderId="0" xfId="95" applyFont="1" applyFill="1" applyAlignment="1" applyProtection="1">
      <alignment vertical="center"/>
      <protection locked="0" hidden="1"/>
    </xf>
    <xf numFmtId="0" fontId="53" fillId="35" borderId="0" xfId="95" applyFont="1" applyFill="1" applyAlignment="1" applyProtection="1">
      <alignment vertical="center"/>
      <protection hidden="1"/>
    </xf>
    <xf numFmtId="0" fontId="0" fillId="35" borderId="199" xfId="0" applyFill="1" applyBorder="1"/>
    <xf numFmtId="0" fontId="44" fillId="0" borderId="201" xfId="0" applyFont="1" applyBorder="1" applyProtection="1">
      <protection locked="0" hidden="1"/>
    </xf>
    <xf numFmtId="0" fontId="44" fillId="0" borderId="25" xfId="0" applyFont="1" applyBorder="1" applyProtection="1">
      <protection locked="0" hidden="1"/>
    </xf>
    <xf numFmtId="0" fontId="44" fillId="0" borderId="202" xfId="0" applyFont="1" applyBorder="1" applyProtection="1">
      <protection locked="0" hidden="1"/>
    </xf>
    <xf numFmtId="0" fontId="44" fillId="0" borderId="203" xfId="0" applyFont="1" applyBorder="1" applyProtection="1">
      <protection locked="0" hidden="1"/>
    </xf>
    <xf numFmtId="0" fontId="44" fillId="0" borderId="0" xfId="0" applyFont="1" applyProtection="1">
      <protection locked="0" hidden="1"/>
    </xf>
    <xf numFmtId="0" fontId="44" fillId="0" borderId="203" xfId="0" quotePrefix="1" applyFont="1" applyBorder="1" applyProtection="1">
      <protection locked="0" hidden="1"/>
    </xf>
    <xf numFmtId="0" fontId="44" fillId="0" borderId="56" xfId="0" applyFont="1" applyBorder="1" applyProtection="1">
      <protection locked="0" hidden="1"/>
    </xf>
    <xf numFmtId="0" fontId="44" fillId="0" borderId="204" xfId="0" applyFont="1" applyBorder="1" applyProtection="1">
      <protection locked="0" hidden="1"/>
    </xf>
    <xf numFmtId="0" fontId="44" fillId="0" borderId="205" xfId="0" applyFont="1" applyBorder="1" applyProtection="1">
      <protection locked="0" hidden="1"/>
    </xf>
    <xf numFmtId="0" fontId="107" fillId="0" borderId="0" xfId="98" applyFont="1"/>
    <xf numFmtId="0" fontId="107" fillId="0" borderId="206" xfId="98" applyFont="1" applyBorder="1"/>
    <xf numFmtId="0" fontId="107" fillId="0" borderId="104" xfId="98" applyFont="1" applyBorder="1"/>
    <xf numFmtId="0" fontId="107" fillId="0" borderId="207" xfId="98" applyFont="1" applyBorder="1"/>
    <xf numFmtId="0" fontId="107" fillId="0" borderId="208" xfId="98" applyFont="1" applyBorder="1"/>
    <xf numFmtId="0" fontId="107" fillId="0" borderId="209" xfId="98" applyFont="1" applyBorder="1"/>
    <xf numFmtId="0" fontId="106" fillId="47" borderId="199" xfId="98" applyFont="1" applyFill="1" applyBorder="1"/>
    <xf numFmtId="0" fontId="107" fillId="0" borderId="115" xfId="98" applyFont="1" applyBorder="1"/>
    <xf numFmtId="0" fontId="45" fillId="0" borderId="0" xfId="0" applyFont="1" applyAlignment="1" applyProtection="1">
      <alignment horizontal="center"/>
      <protection hidden="1"/>
    </xf>
    <xf numFmtId="0" fontId="45" fillId="0" borderId="0" xfId="0" applyFont="1" applyProtection="1">
      <protection hidden="1"/>
    </xf>
    <xf numFmtId="0" fontId="109" fillId="0" borderId="0" xfId="0" applyFont="1"/>
    <xf numFmtId="0" fontId="109" fillId="0" borderId="206" xfId="0" applyFont="1" applyBorder="1"/>
    <xf numFmtId="0" fontId="109" fillId="0" borderId="104" xfId="0" applyFont="1" applyBorder="1"/>
    <xf numFmtId="0" fontId="109" fillId="0" borderId="207" xfId="0" applyFont="1" applyBorder="1"/>
    <xf numFmtId="0" fontId="109" fillId="0" borderId="208" xfId="0" applyFont="1" applyBorder="1"/>
    <xf numFmtId="0" fontId="109" fillId="0" borderId="209" xfId="0" applyFont="1" applyBorder="1"/>
    <xf numFmtId="0" fontId="104" fillId="47" borderId="199" xfId="0" applyFont="1" applyFill="1" applyBorder="1"/>
    <xf numFmtId="0" fontId="109" fillId="0" borderId="115" xfId="0" applyFont="1" applyBorder="1"/>
    <xf numFmtId="0" fontId="44" fillId="0" borderId="92" xfId="90" applyFont="1" applyBorder="1" applyAlignment="1" applyProtection="1">
      <alignment horizontal="left"/>
      <protection locked="0" hidden="1"/>
    </xf>
    <xf numFmtId="0" fontId="109" fillId="0" borderId="0" xfId="101" applyFont="1"/>
    <xf numFmtId="0" fontId="109" fillId="0" borderId="206" xfId="101" applyFont="1" applyBorder="1"/>
    <xf numFmtId="0" fontId="109" fillId="0" borderId="104" xfId="101" applyFont="1" applyBorder="1"/>
    <xf numFmtId="0" fontId="109" fillId="0" borderId="207" xfId="101" applyFont="1" applyBorder="1"/>
    <xf numFmtId="0" fontId="109" fillId="0" borderId="208" xfId="101" applyFont="1" applyBorder="1"/>
    <xf numFmtId="0" fontId="109" fillId="0" borderId="209" xfId="101" applyFont="1" applyBorder="1"/>
    <xf numFmtId="0" fontId="108" fillId="47" borderId="199" xfId="101" applyFont="1" applyFill="1" applyBorder="1"/>
    <xf numFmtId="0" fontId="109" fillId="0" borderId="115" xfId="101" applyFont="1" applyBorder="1"/>
    <xf numFmtId="0" fontId="45" fillId="48" borderId="0" xfId="0" applyFont="1" applyFill="1" applyAlignment="1" applyProtection="1">
      <alignment horizontal="center"/>
      <protection hidden="1"/>
    </xf>
    <xf numFmtId="0" fontId="45" fillId="48" borderId="0" xfId="0" applyFont="1" applyFill="1" applyProtection="1">
      <protection hidden="1"/>
    </xf>
    <xf numFmtId="0" fontId="11" fillId="48" borderId="0" xfId="0" applyFont="1" applyFill="1" applyAlignment="1" applyProtection="1">
      <alignment horizontal="center" vertical="center"/>
      <protection hidden="1"/>
    </xf>
    <xf numFmtId="0" fontId="13" fillId="48" borderId="0" xfId="0" applyFont="1" applyFill="1" applyAlignment="1" applyProtection="1">
      <alignment horizontal="center" vertical="center"/>
      <protection hidden="1"/>
    </xf>
    <xf numFmtId="0" fontId="45" fillId="0" borderId="0" xfId="0" applyFont="1" applyAlignment="1" applyProtection="1">
      <alignment horizontal="left"/>
      <protection hidden="1"/>
    </xf>
    <xf numFmtId="0" fontId="45" fillId="48" borderId="0" xfId="0" applyFont="1" applyFill="1" applyAlignment="1" applyProtection="1">
      <alignment horizontal="left"/>
      <protection hidden="1"/>
    </xf>
    <xf numFmtId="0" fontId="13" fillId="48" borderId="0" xfId="0" applyFont="1" applyFill="1" applyAlignment="1" applyProtection="1">
      <alignment horizontal="center"/>
      <protection hidden="1"/>
    </xf>
    <xf numFmtId="0" fontId="70" fillId="0" borderId="107" xfId="95" applyFont="1" applyBorder="1" applyAlignment="1" applyProtection="1">
      <alignment horizontal="center" vertical="center"/>
      <protection hidden="1"/>
    </xf>
    <xf numFmtId="0" fontId="70" fillId="0" borderId="108" xfId="95" applyFont="1" applyBorder="1" applyAlignment="1" applyProtection="1">
      <alignment horizontal="center" vertical="center"/>
      <protection hidden="1"/>
    </xf>
    <xf numFmtId="0" fontId="40" fillId="35" borderId="0" xfId="27" applyFont="1" applyFill="1" applyBorder="1" applyAlignment="1" applyProtection="1">
      <alignment horizontal="center" vertical="center" wrapText="1"/>
      <protection hidden="1"/>
    </xf>
    <xf numFmtId="0" fontId="40" fillId="35" borderId="0" xfId="0" applyFont="1" applyFill="1" applyAlignment="1" applyProtection="1">
      <alignment horizontal="center" vertical="center" wrapText="1"/>
      <protection hidden="1"/>
    </xf>
    <xf numFmtId="0" fontId="67" fillId="35" borderId="0" xfId="0" applyFont="1" applyFill="1" applyAlignment="1" applyProtection="1">
      <alignment horizontal="center" vertical="center"/>
      <protection hidden="1"/>
    </xf>
    <xf numFmtId="0" fontId="48" fillId="35" borderId="0" xfId="27" applyFont="1" applyFill="1" applyBorder="1" applyAlignment="1" applyProtection="1">
      <alignment horizontal="left" vertical="center" wrapText="1"/>
      <protection hidden="1"/>
    </xf>
    <xf numFmtId="0" fontId="48" fillId="35" borderId="0" xfId="0" applyFont="1" applyFill="1" applyAlignment="1" applyProtection="1">
      <alignment horizontal="left" vertical="center" wrapText="1"/>
      <protection hidden="1"/>
    </xf>
    <xf numFmtId="14" fontId="73" fillId="7" borderId="0" xfId="0" quotePrefix="1" applyNumberFormat="1" applyFont="1" applyFill="1" applyAlignment="1" applyProtection="1">
      <alignment horizontal="center" vertical="center"/>
      <protection hidden="1"/>
    </xf>
    <xf numFmtId="14" fontId="74" fillId="7" borderId="0" xfId="0" quotePrefix="1" applyNumberFormat="1" applyFont="1" applyFill="1" applyAlignment="1" applyProtection="1">
      <alignment horizontal="center" vertical="center"/>
      <protection hidden="1"/>
    </xf>
    <xf numFmtId="0" fontId="70" fillId="3" borderId="0" xfId="0" applyFont="1" applyFill="1" applyAlignment="1" applyProtection="1">
      <alignment horizontal="center" vertical="center"/>
      <protection hidden="1"/>
    </xf>
    <xf numFmtId="14" fontId="70" fillId="7" borderId="0" xfId="0" applyNumberFormat="1" applyFont="1" applyFill="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7" fillId="35" borderId="0" xfId="0" applyFont="1" applyFill="1" applyAlignment="1" applyProtection="1">
      <alignment horizontal="center" vertical="center"/>
      <protection hidden="1"/>
    </xf>
    <xf numFmtId="0" fontId="81" fillId="7" borderId="4" xfId="0" applyFont="1" applyFill="1" applyBorder="1" applyAlignment="1" applyProtection="1">
      <alignment horizontal="center" vertical="center" wrapText="1"/>
      <protection hidden="1"/>
    </xf>
    <xf numFmtId="0" fontId="81" fillId="7" borderId="5" xfId="0" applyFont="1" applyFill="1" applyBorder="1" applyAlignment="1" applyProtection="1">
      <alignment horizontal="center" vertical="center" wrapText="1"/>
      <protection hidden="1"/>
    </xf>
    <xf numFmtId="0" fontId="81" fillId="7" borderId="6" xfId="0" applyFont="1" applyFill="1" applyBorder="1" applyAlignment="1" applyProtection="1">
      <alignment horizontal="center" vertical="center" wrapText="1"/>
      <protection hidden="1"/>
    </xf>
    <xf numFmtId="0" fontId="81" fillId="7" borderId="7" xfId="0" applyFont="1" applyFill="1" applyBorder="1" applyAlignment="1" applyProtection="1">
      <alignment horizontal="center" vertical="center" wrapText="1"/>
      <protection hidden="1"/>
    </xf>
    <xf numFmtId="0" fontId="81" fillId="7" borderId="0" xfId="0" applyFont="1" applyFill="1" applyAlignment="1" applyProtection="1">
      <alignment horizontal="center" vertical="center" wrapText="1"/>
      <protection hidden="1"/>
    </xf>
    <xf numFmtId="0" fontId="81"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63" fillId="38" borderId="76" xfId="0" applyFont="1" applyFill="1" applyBorder="1" applyAlignment="1" applyProtection="1">
      <alignment horizontal="center" vertical="center"/>
      <protection locked="0" hidden="1"/>
    </xf>
    <xf numFmtId="0" fontId="63" fillId="38" borderId="77" xfId="0" applyFont="1" applyFill="1" applyBorder="1" applyAlignment="1" applyProtection="1">
      <alignment horizontal="center" vertical="center"/>
      <protection locked="0" hidden="1"/>
    </xf>
    <xf numFmtId="0" fontId="82" fillId="7" borderId="7" xfId="0" applyFont="1" applyFill="1" applyBorder="1" applyAlignment="1">
      <alignment horizontal="center" vertical="center" wrapText="1"/>
    </xf>
    <xf numFmtId="0" fontId="82" fillId="7" borderId="0" xfId="0" applyFont="1" applyFill="1" applyAlignment="1">
      <alignment horizontal="center" vertical="center" wrapText="1"/>
    </xf>
    <xf numFmtId="0" fontId="82" fillId="7" borderId="8" xfId="0" applyFont="1" applyFill="1" applyBorder="1" applyAlignment="1">
      <alignment horizontal="center" vertical="center" wrapText="1"/>
    </xf>
    <xf numFmtId="0" fontId="82" fillId="7" borderId="9" xfId="0" applyFont="1" applyFill="1" applyBorder="1" applyAlignment="1">
      <alignment horizontal="center" vertical="center" wrapText="1"/>
    </xf>
    <xf numFmtId="0" fontId="82" fillId="7" borderId="10" xfId="0" applyFont="1" applyFill="1" applyBorder="1" applyAlignment="1">
      <alignment horizontal="center" vertical="center" wrapText="1"/>
    </xf>
    <xf numFmtId="0" fontId="82"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29" fillId="28" borderId="19" xfId="0" applyNumberFormat="1" applyFont="1" applyFill="1" applyBorder="1" applyAlignment="1" applyProtection="1">
      <alignment horizontal="center" vertical="center" textRotation="2"/>
      <protection hidden="1"/>
    </xf>
    <xf numFmtId="14" fontId="29" fillId="28" borderId="21" xfId="0" applyNumberFormat="1" applyFont="1" applyFill="1" applyBorder="1" applyAlignment="1" applyProtection="1">
      <alignment horizontal="center" vertical="center" textRotation="2"/>
      <protection hidden="1"/>
    </xf>
    <xf numFmtId="14" fontId="30" fillId="29" borderId="164" xfId="0" quotePrefix="1" applyNumberFormat="1" applyFont="1" applyFill="1" applyBorder="1" applyAlignment="1" applyProtection="1">
      <alignment horizontal="center" vertical="center"/>
      <protection hidden="1"/>
    </xf>
    <xf numFmtId="14" fontId="30" fillId="29" borderId="166" xfId="0" quotePrefix="1" applyNumberFormat="1" applyFont="1" applyFill="1" applyBorder="1" applyAlignment="1" applyProtection="1">
      <alignment horizontal="center" vertical="center"/>
      <protection hidden="1"/>
    </xf>
    <xf numFmtId="14" fontId="30" fillId="28" borderId="164" xfId="0" quotePrefix="1" applyNumberFormat="1" applyFont="1" applyFill="1" applyBorder="1" applyAlignment="1" applyProtection="1">
      <alignment horizontal="center" vertical="center"/>
      <protection hidden="1"/>
    </xf>
    <xf numFmtId="14" fontId="30" fillId="28" borderId="166" xfId="0" quotePrefix="1" applyNumberFormat="1" applyFont="1" applyFill="1" applyBorder="1" applyAlignment="1" applyProtection="1">
      <alignment horizontal="center" vertical="center"/>
      <protection hidden="1"/>
    </xf>
    <xf numFmtId="14" fontId="31" fillId="29" borderId="176" xfId="0" quotePrefix="1" applyNumberFormat="1" applyFont="1" applyFill="1" applyBorder="1" applyAlignment="1" applyProtection="1">
      <alignment horizontal="center" vertical="center"/>
      <protection hidden="1"/>
    </xf>
    <xf numFmtId="14" fontId="31" fillId="29" borderId="177"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9" fontId="69" fillId="43" borderId="135" xfId="97" applyFont="1" applyFill="1" applyBorder="1" applyAlignment="1">
      <alignment horizontal="center" vertical="center"/>
    </xf>
    <xf numFmtId="9" fontId="69" fillId="43" borderId="136" xfId="97" applyFont="1" applyFill="1" applyBorder="1" applyAlignment="1">
      <alignment horizontal="center" vertical="center"/>
    </xf>
    <xf numFmtId="9" fontId="69" fillId="43" borderId="137" xfId="97" applyFont="1" applyFill="1" applyBorder="1" applyAlignment="1">
      <alignment horizontal="center" vertical="center"/>
    </xf>
    <xf numFmtId="0" fontId="44" fillId="35" borderId="64" xfId="90" applyFont="1" applyFill="1" applyBorder="1" applyAlignment="1" applyProtection="1">
      <alignment horizontal="left" vertical="center" wrapText="1"/>
      <protection hidden="1"/>
    </xf>
    <xf numFmtId="0" fontId="44" fillId="35" borderId="65" xfId="90" applyFont="1" applyFill="1" applyBorder="1" applyAlignment="1" applyProtection="1">
      <alignment horizontal="left" vertical="center" wrapText="1"/>
      <protection hidden="1"/>
    </xf>
    <xf numFmtId="0" fontId="44" fillId="35" borderId="66" xfId="90" applyFont="1" applyFill="1" applyBorder="1" applyAlignment="1" applyProtection="1">
      <alignment horizontal="left" vertical="center" wrapText="1"/>
      <protection hidden="1"/>
    </xf>
    <xf numFmtId="0" fontId="44" fillId="35" borderId="67" xfId="90" applyFont="1" applyFill="1" applyBorder="1" applyAlignment="1" applyProtection="1">
      <alignment horizontal="left" vertical="center" wrapText="1"/>
      <protection hidden="1"/>
    </xf>
    <xf numFmtId="0" fontId="44" fillId="35" borderId="0" xfId="90" applyFont="1" applyFill="1" applyAlignment="1" applyProtection="1">
      <alignment horizontal="left" vertical="center" wrapText="1"/>
      <protection hidden="1"/>
    </xf>
    <xf numFmtId="0" fontId="44" fillId="35" borderId="68" xfId="90" applyFont="1" applyFill="1" applyBorder="1" applyAlignment="1" applyProtection="1">
      <alignment horizontal="left" vertical="center" wrapText="1"/>
      <protection hidden="1"/>
    </xf>
    <xf numFmtId="0" fontId="44" fillId="35" borderId="69" xfId="90" applyFont="1" applyFill="1" applyBorder="1" applyAlignment="1" applyProtection="1">
      <alignment horizontal="left" vertical="center" wrapText="1"/>
      <protection hidden="1"/>
    </xf>
    <xf numFmtId="0" fontId="44" fillId="35" borderId="70" xfId="90" applyFont="1" applyFill="1" applyBorder="1" applyAlignment="1" applyProtection="1">
      <alignment horizontal="left" vertical="center" wrapText="1"/>
      <protection hidden="1"/>
    </xf>
    <xf numFmtId="0" fontId="44" fillId="35" borderId="71" xfId="90" applyFont="1" applyFill="1" applyBorder="1" applyAlignment="1" applyProtection="1">
      <alignment horizontal="left" vertical="center" wrapText="1"/>
      <protection hidden="1"/>
    </xf>
    <xf numFmtId="0" fontId="99" fillId="37" borderId="194" xfId="0" applyFont="1" applyFill="1" applyBorder="1" applyAlignment="1" applyProtection="1">
      <alignment horizontal="center" vertical="center"/>
      <protection locked="0" hidden="1"/>
    </xf>
    <xf numFmtId="0" fontId="99" fillId="37" borderId="195"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98" fillId="35" borderId="67" xfId="27" applyFont="1" applyFill="1" applyBorder="1" applyAlignment="1" applyProtection="1">
      <alignment horizontal="left" vertical="center"/>
      <protection hidden="1"/>
    </xf>
    <xf numFmtId="0" fontId="98" fillId="35" borderId="0" xfId="27" applyFont="1" applyFill="1" applyBorder="1" applyAlignment="1" applyProtection="1">
      <alignment horizontal="left" vertical="center"/>
      <protection hidden="1"/>
    </xf>
  </cellXfs>
  <cellStyles count="102">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3 3" xfId="99" xr:uid="{94B0EE92-49AE-4522-BCC4-32C2398B3B5C}"/>
    <cellStyle name="Normal 4" xfId="93" xr:uid="{6104D907-AD2C-5845-90F7-E59DF85A9F45}"/>
    <cellStyle name="Normal 4 2" xfId="95" xr:uid="{266E0619-40AF-444D-B7AB-2D81FB645B4D}"/>
    <cellStyle name="Normal 4 3" xfId="100" xr:uid="{77732E19-530D-4136-B253-012DCB281C97}"/>
    <cellStyle name="Normal 5" xfId="96" xr:uid="{35ED9CFF-BD18-CE49-8375-08DF93D24062}"/>
    <cellStyle name="Normal 6" xfId="98" xr:uid="{286D9259-96D1-4EB6-97B8-5DE1AEE31053}"/>
    <cellStyle name="Normal 7" xfId="101" xr:uid="{08DDF58B-41E2-4F36-B982-A5CFED34B12A}"/>
    <cellStyle name="Porcentaje" xfId="97" builtinId="5"/>
  </cellStyles>
  <dxfs count="45">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color rgb="FF9C5700"/>
      </font>
      <fill>
        <patternFill>
          <bgColor rgb="FFFFEB9C"/>
        </patternFill>
      </fill>
    </dxf>
    <dxf>
      <font>
        <color rgb="FF006100"/>
      </font>
      <fill>
        <patternFill>
          <bgColor rgb="FFC6EFCE"/>
        </patternFill>
      </fill>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DDDDDD"/>
      <color rgb="FF1B4066"/>
      <color rgb="FFEEEEEE"/>
      <color rgb="FFF8F9FA"/>
      <color rgb="FFBEBEBE"/>
      <color rgb="FFD9DCE0"/>
      <color rgb="FFF2F4F6"/>
      <color rgb="FFC0C0C0"/>
      <color rgb="FFD1E7DE"/>
      <color rgb="FFF0B81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microsoft.com/office/2017/06/relationships/rdRichValue" Target="richData/rdrichvalu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Structure" Target="richData/rdrichvalue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1"/>
                <c:pt idx="0">
                  <c:v>Selecciona un partido de hoy:↗</c:v>
                </c:pt>
              </c:strCache>
            </c:str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1"/>
                <c:pt idx="0">
                  <c:v>Selecciona un partido de hoy:↗</c:v>
                </c:pt>
              </c:strCache>
            </c:str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1"/>
                <c:pt idx="0">
                  <c:v>Selecciona un partido de hoy:↗</c:v>
                </c:pt>
              </c:strCache>
            </c:str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95"/>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99">
  <rv s="0">
    <v>0</v>
    <v>4</v>
  </rv>
  <rv s="0">
    <v>1</v>
    <v>4</v>
  </rv>
  <rv s="0">
    <v>2</v>
    <v>4</v>
  </rv>
  <rv s="0">
    <v>3</v>
    <v>4</v>
  </rv>
  <rv s="0">
    <v>4</v>
    <v>4</v>
  </rv>
  <rv s="0">
    <v>5</v>
    <v>4</v>
  </rv>
  <rv s="0">
    <v>6</v>
    <v>4</v>
  </rv>
  <rv s="0">
    <v>7</v>
    <v>4</v>
  </rv>
  <rv s="0">
    <v>8</v>
    <v>4</v>
  </rv>
  <rv s="0">
    <v>9</v>
    <v>4</v>
  </rv>
  <rv s="0">
    <v>10</v>
    <v>4</v>
  </rv>
  <rv s="0">
    <v>11</v>
    <v>4</v>
  </rv>
  <rv s="0">
    <v>12</v>
    <v>4</v>
  </rv>
  <rv s="0">
    <v>13</v>
    <v>4</v>
  </rv>
  <rv s="0">
    <v>14</v>
    <v>4</v>
  </rv>
  <rv s="0">
    <v>15</v>
    <v>4</v>
  </rv>
  <rv s="0">
    <v>16</v>
    <v>4</v>
  </rv>
  <rv s="0">
    <v>17</v>
    <v>4</v>
  </rv>
  <rv s="0">
    <v>18</v>
    <v>4</v>
  </rv>
  <rv s="0">
    <v>19</v>
    <v>4</v>
  </rv>
  <rv s="0">
    <v>20</v>
    <v>4</v>
  </rv>
  <rv s="0">
    <v>21</v>
    <v>4</v>
  </rv>
  <rv s="0">
    <v>22</v>
    <v>4</v>
  </rv>
  <rv s="0">
    <v>23</v>
    <v>4</v>
  </rv>
  <rv s="0">
    <v>24</v>
    <v>4</v>
  </rv>
  <rv s="0">
    <v>25</v>
    <v>4</v>
  </rv>
  <rv s="0">
    <v>26</v>
    <v>4</v>
  </rv>
  <rv s="0">
    <v>27</v>
    <v>4</v>
  </rv>
  <rv s="0">
    <v>28</v>
    <v>4</v>
  </rv>
  <rv s="0">
    <v>29</v>
    <v>4</v>
  </rv>
  <rv s="0">
    <v>30</v>
    <v>4</v>
  </rv>
  <rv s="0">
    <v>31</v>
    <v>4</v>
  </rv>
  <rv s="0">
    <v>32</v>
    <v>4</v>
  </rv>
  <rv s="0">
    <v>33</v>
    <v>4</v>
  </rv>
  <rv s="1">
    <v>34</v>
    <v>4</v>
    <v>Bandera de Irak</v>
  </rv>
  <rv s="0">
    <v>35</v>
    <v>4</v>
  </rv>
  <rv s="0">
    <v>36</v>
    <v>4</v>
  </rv>
  <rv s="0">
    <v>37</v>
    <v>4</v>
  </rv>
  <rv s="0">
    <v>38</v>
    <v>4</v>
  </rv>
  <rv s="0">
    <v>39</v>
    <v>4</v>
  </rv>
  <rv s="0">
    <v>40</v>
    <v>4</v>
  </rv>
  <rv s="1">
    <v>41</v>
    <v>4</v>
    <v>Bandera de República Democrática del Congo</v>
  </rv>
  <rv s="0">
    <v>42</v>
    <v>4</v>
  </rv>
  <rv s="0">
    <v>43</v>
    <v>4</v>
  </rv>
  <rv s="0">
    <v>44</v>
    <v>4</v>
  </rv>
  <rv s="0">
    <v>45</v>
    <v>4</v>
  </rv>
  <rv s="0">
    <v>46</v>
    <v>4</v>
  </rv>
  <rv s="0">
    <v>47</v>
    <v>4</v>
  </rv>
  <rv s="0">
    <v>26</v>
    <v>5</v>
  </rv>
  <rv s="0">
    <v>48</v>
    <v>6</v>
  </rv>
  <rv s="0">
    <v>49</v>
    <v>5</v>
  </rv>
  <rv s="0">
    <v>50</v>
    <v>5</v>
  </rv>
  <rv s="0">
    <v>16</v>
    <v>6</v>
  </rv>
  <rv s="0">
    <v>30</v>
    <v>5</v>
  </rv>
  <rv s="0">
    <v>37</v>
    <v>6</v>
  </rv>
  <rv s="0">
    <v>36</v>
    <v>6</v>
  </rv>
  <rv s="0">
    <v>14</v>
    <v>6</v>
  </rv>
  <rv s="0">
    <v>38</v>
    <v>6</v>
  </rv>
  <rv s="0">
    <v>24</v>
    <v>6</v>
  </rv>
  <rv s="0">
    <v>8</v>
    <v>6</v>
  </rv>
  <rv s="0">
    <v>29</v>
    <v>6</v>
  </rv>
  <rv s="0">
    <v>4</v>
    <v>6</v>
  </rv>
  <rv s="0">
    <v>6</v>
    <v>6</v>
  </rv>
  <rv s="0">
    <v>43</v>
    <v>6</v>
  </rv>
  <rv s="0">
    <v>2</v>
    <v>6</v>
  </rv>
  <rv s="0">
    <v>18</v>
    <v>6</v>
  </rv>
  <rv s="0">
    <v>45</v>
    <v>6</v>
  </rv>
  <rv s="0">
    <v>17</v>
    <v>6</v>
  </rv>
  <rv s="0">
    <v>19</v>
    <v>6</v>
  </rv>
  <rv s="0">
    <v>25</v>
    <v>5</v>
  </rv>
  <rv s="0">
    <v>11</v>
    <v>6</v>
  </rv>
  <rv s="0">
    <v>28</v>
    <v>6</v>
  </rv>
  <rv s="0">
    <v>12</v>
    <v>6</v>
  </rv>
  <rv s="0">
    <v>32</v>
    <v>6</v>
  </rv>
  <rv s="0">
    <v>46</v>
    <v>6</v>
  </rv>
  <rv s="0">
    <v>10</v>
    <v>6</v>
  </rv>
  <rv s="0">
    <v>44</v>
    <v>6</v>
  </rv>
  <rv s="0">
    <v>21</v>
    <v>6</v>
  </rv>
  <rv s="0">
    <v>39</v>
    <v>6</v>
  </rv>
  <rv s="0">
    <v>9</v>
    <v>6</v>
  </rv>
  <rv s="0">
    <v>0</v>
    <v>6</v>
  </rv>
  <rv s="0">
    <v>35</v>
    <v>6</v>
  </rv>
  <rv s="0">
    <v>27</v>
    <v>6</v>
  </rv>
  <rv s="0">
    <v>20</v>
    <v>6</v>
  </rv>
  <rv s="0">
    <v>47</v>
    <v>6</v>
  </rv>
  <rv s="0">
    <v>13</v>
    <v>6</v>
  </rv>
  <rv s="0">
    <v>40</v>
    <v>6</v>
  </rv>
  <rv s="0">
    <v>33</v>
    <v>6</v>
  </rv>
  <rv s="0">
    <v>1</v>
    <v>6</v>
  </rv>
  <rv s="0">
    <v>7</v>
    <v>6</v>
  </rv>
  <rv s="0">
    <v>23</v>
    <v>6</v>
  </rv>
  <rv s="0">
    <v>31</v>
    <v>6</v>
  </rv>
  <rv s="0">
    <v>42</v>
    <v>6</v>
  </rv>
  <rv s="1">
    <v>41</v>
    <v>5</v>
    <v>Bandera de República Democrática del Congo</v>
  </rv>
  <rv s="1">
    <v>34</v>
    <v>5</v>
    <v>Bandera de Irak</v>
  </rv>
  <rv s="0">
    <v>5</v>
    <v>5</v>
  </rv>
  <rv s="0">
    <v>22</v>
    <v>5</v>
  </rv>
  <rv s="0">
    <v>15</v>
    <v>5</v>
  </rv>
  <rv s="0">
    <v>3</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4" dataDxfId="43">
  <sortState xmlns:xlrd2="http://schemas.microsoft.com/office/spreadsheetml/2017/richdata2" ref="A2:D13">
    <sortCondition ref="D2:D13"/>
  </sortState>
  <tableColumns count="4">
    <tableColumn id="1" xr3:uid="{00000000-0010-0000-0B00-000001000000}" name="Num" dataDxfId="42">
      <calculatedColumnFormula>NOT(ISERROR(VLOOKUP(Equipos!$B2,#REF!,1,FALSE)))</calculatedColumnFormula>
    </tableColumn>
    <tableColumn id="2" xr3:uid="{00000000-0010-0000-0B00-000002000000}" name="NombreEquipo" dataDxfId="41">
      <calculatedColumnFormula>+INDEX(Idiomas!$D$212:$D$259,MATCH(T_Equipos[[#This Row],[Num]],Idiomas!$C$212:$C$259,0))</calculatedColumnFormula>
    </tableColumn>
    <tableColumn id="4" xr3:uid="{00000000-0010-0000-0B00-000004000000}" name="Grupo" dataDxfId="40"/>
    <tableColumn id="3" xr3:uid="{00000000-0010-0000-0B00-000003000000}" name="Rank" dataDxfId="39"/>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www.paypal.com/donate?business=PJ2B6ZBH7ZHR4&amp;currency_code=EUR"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9.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1.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0" sqref="C10"/>
      <extLst>
        <ext xmlns:xlsdti="http://schemas.microsoft.com/office/spreadsheetml/2023/showDataTypeIcons" uri="{77bfe23e-c014-4d31-8a63-9c772dbf06b6}">
          <xlsdti:showDataTypeIcons visible="0"/>
        </ext>
      </extLst>
    </sheetView>
  </sheetViews>
  <sheetFormatPr baseColWidth="10" defaultColWidth="10.77734375" defaultRowHeight="14.4"/>
  <cols>
    <col min="1" max="1" width="3.77734375" customWidth="1"/>
    <col min="2" max="2" width="6.77734375" customWidth="1"/>
    <col min="3" max="3" width="25.77734375" customWidth="1"/>
    <col min="4" max="4" width="5.77734375" customWidth="1"/>
    <col min="5" max="9" width="10.77734375" customWidth="1"/>
    <col min="10" max="10" width="5.77734375" customWidth="1"/>
    <col min="11" max="11" width="25.77734375" customWidth="1"/>
    <col min="12" max="12" width="15.77734375" customWidth="1"/>
    <col min="13" max="13" width="10.44140625" customWidth="1"/>
    <col min="14" max="15" width="10.77734375" customWidth="1"/>
    <col min="16" max="16" width="12.109375" customWidth="1"/>
    <col min="17" max="17" width="6.109375" customWidth="1"/>
    <col min="18" max="16380" width="10.77734375" customWidth="1"/>
  </cols>
  <sheetData>
    <row r="1" spans="1:31">
      <c r="A1" s="382"/>
      <c r="B1" s="382"/>
      <c r="C1" s="382"/>
      <c r="D1" s="382"/>
      <c r="E1" s="382"/>
      <c r="F1" s="382"/>
      <c r="G1" s="382"/>
      <c r="H1" s="382"/>
      <c r="I1" s="382"/>
      <c r="J1" s="382"/>
      <c r="K1" s="382"/>
      <c r="L1" s="382"/>
      <c r="M1" s="382"/>
      <c r="N1" s="382"/>
      <c r="O1" s="382"/>
      <c r="P1" s="382"/>
      <c r="Q1" s="382"/>
      <c r="R1" s="382"/>
      <c r="S1" s="382"/>
      <c r="T1" s="382"/>
      <c r="U1" s="382"/>
      <c r="V1" s="382"/>
      <c r="W1" s="382"/>
      <c r="X1" s="382"/>
      <c r="Y1" s="382"/>
      <c r="Z1" s="382"/>
      <c r="AA1" s="382"/>
      <c r="AB1" s="382"/>
      <c r="AC1" s="382"/>
      <c r="AD1" s="382"/>
      <c r="AE1" s="382"/>
    </row>
    <row r="2" spans="1:31">
      <c r="A2" s="382"/>
      <c r="B2" s="382"/>
      <c r="C2" s="383"/>
      <c r="D2" s="382"/>
      <c r="E2" s="384"/>
      <c r="F2" s="384"/>
      <c r="G2" s="384"/>
      <c r="H2" s="384"/>
      <c r="I2" s="384"/>
      <c r="J2" s="384"/>
      <c r="K2" s="384"/>
      <c r="L2" s="382"/>
      <c r="M2" s="382"/>
      <c r="N2" s="382"/>
      <c r="O2" s="382"/>
      <c r="P2" s="382"/>
      <c r="Q2" s="382"/>
      <c r="R2" s="382"/>
      <c r="S2" s="382"/>
      <c r="T2" s="382"/>
      <c r="U2" s="382"/>
      <c r="V2" s="382"/>
      <c r="W2" s="382"/>
      <c r="X2" s="382"/>
      <c r="Y2" s="382"/>
      <c r="Z2" s="382"/>
      <c r="AA2" s="382"/>
      <c r="AB2" s="382"/>
      <c r="AC2" s="382"/>
      <c r="AD2" s="382"/>
      <c r="AE2" s="382"/>
    </row>
    <row r="3" spans="1:31" ht="34.950000000000003" customHeight="1">
      <c r="A3" s="382"/>
      <c r="B3" s="840" t="str">
        <f>Idiomas!D8</f>
        <v>XXIII Mundial USA/MEX/CAN 2026</v>
      </c>
      <c r="C3" s="840"/>
      <c r="D3" s="840"/>
      <c r="E3" s="840"/>
      <c r="F3" s="840"/>
      <c r="G3" s="840"/>
      <c r="H3" s="840"/>
      <c r="I3" s="840"/>
      <c r="J3" s="840"/>
      <c r="K3" s="840"/>
      <c r="L3" s="840"/>
      <c r="M3" s="382"/>
      <c r="N3" s="382"/>
      <c r="O3" s="382"/>
      <c r="P3" s="382"/>
      <c r="Q3" s="382"/>
      <c r="R3" s="382"/>
      <c r="S3" s="382"/>
      <c r="T3" s="382"/>
      <c r="U3" s="382"/>
      <c r="V3" s="382"/>
      <c r="W3" s="382"/>
      <c r="X3" s="382"/>
      <c r="Y3" s="382"/>
      <c r="Z3" s="382"/>
      <c r="AA3" s="382"/>
      <c r="AB3" s="382"/>
      <c r="AC3" s="382"/>
      <c r="AD3" s="382"/>
      <c r="AE3" s="382"/>
    </row>
    <row r="4" spans="1:31" ht="15" customHeight="1">
      <c r="A4" s="382"/>
      <c r="B4" s="382"/>
      <c r="C4" s="382"/>
      <c r="D4" s="382"/>
      <c r="E4" s="384"/>
      <c r="F4" s="384"/>
      <c r="G4" s="384"/>
      <c r="H4" s="384"/>
      <c r="I4" s="384"/>
      <c r="J4" s="384"/>
      <c r="K4" s="384"/>
      <c r="L4" s="385"/>
      <c r="M4" s="382"/>
      <c r="N4" s="382"/>
      <c r="O4" s="382"/>
      <c r="P4" s="382"/>
      <c r="Q4" s="382"/>
      <c r="R4" s="382"/>
      <c r="S4" s="382"/>
      <c r="T4" s="382"/>
      <c r="U4" s="382"/>
      <c r="V4" s="382"/>
      <c r="W4" s="382"/>
      <c r="X4" s="382"/>
      <c r="Y4" s="382"/>
      <c r="Z4" s="382"/>
      <c r="AA4" s="382"/>
      <c r="AB4" s="382"/>
      <c r="AC4" s="382"/>
      <c r="AD4" s="382"/>
      <c r="AE4" s="382"/>
    </row>
    <row r="5" spans="1:31" ht="19.95" customHeight="1" thickBot="1">
      <c r="A5" s="382"/>
      <c r="B5" s="382"/>
      <c r="C5" s="386" t="str">
        <f>"📋 "&amp;Idiomas!D7</f>
        <v>📋 Selecciona idioma</v>
      </c>
      <c r="D5" s="382"/>
      <c r="E5" s="387"/>
      <c r="F5" s="387"/>
      <c r="G5" s="387"/>
      <c r="H5" s="387"/>
      <c r="I5" s="387"/>
      <c r="J5" s="387"/>
      <c r="K5" s="387"/>
      <c r="L5" s="388"/>
      <c r="M5" s="389"/>
      <c r="N5" s="389"/>
      <c r="O5" s="389"/>
      <c r="P5" s="382"/>
      <c r="Q5" s="382"/>
      <c r="R5" s="382"/>
      <c r="S5" s="382"/>
      <c r="T5" s="382"/>
      <c r="U5" s="382"/>
      <c r="V5" s="382"/>
      <c r="W5" s="382"/>
      <c r="X5" s="382"/>
      <c r="Y5" s="382"/>
      <c r="Z5" s="382"/>
      <c r="AA5" s="382"/>
      <c r="AB5" s="382"/>
      <c r="AC5" s="382"/>
      <c r="AD5" s="382"/>
      <c r="AE5" s="382"/>
    </row>
    <row r="6" spans="1:31" ht="25.05" customHeight="1" thickBot="1">
      <c r="A6" s="382"/>
      <c r="B6" s="390"/>
      <c r="C6" s="41" t="s">
        <v>216</v>
      </c>
      <c r="D6" s="382"/>
      <c r="E6" s="384"/>
      <c r="F6" s="384"/>
      <c r="G6" s="384"/>
      <c r="H6" s="384"/>
      <c r="I6" s="384"/>
      <c r="J6" s="384"/>
      <c r="K6" s="43" t="s">
        <v>1773</v>
      </c>
      <c r="L6" s="382"/>
      <c r="M6" s="382"/>
      <c r="N6" s="382"/>
      <c r="O6" s="382"/>
      <c r="P6" s="382"/>
      <c r="Q6" s="382"/>
      <c r="R6" s="382"/>
      <c r="S6" s="382"/>
      <c r="T6" s="382"/>
      <c r="U6" s="382"/>
      <c r="V6" s="382"/>
      <c r="W6" s="382"/>
      <c r="X6" s="382"/>
      <c r="Y6" s="382"/>
      <c r="Z6" s="382"/>
      <c r="AA6" s="382"/>
      <c r="AB6" s="382"/>
      <c r="AC6" s="382"/>
      <c r="AD6" s="382"/>
      <c r="AE6" s="382"/>
    </row>
    <row r="7" spans="1:31" ht="19.95" customHeight="1" thickBot="1">
      <c r="A7" s="382"/>
      <c r="B7" s="391"/>
      <c r="C7" s="386" t="str">
        <f>"🕒 "&amp;Idiomas!D15</f>
        <v>🕒 Selecciona horario</v>
      </c>
      <c r="D7" s="382"/>
      <c r="E7" s="384"/>
      <c r="F7" s="384"/>
      <c r="G7" s="384"/>
      <c r="H7" s="384"/>
      <c r="I7" s="384"/>
      <c r="J7" s="384"/>
      <c r="K7" s="384"/>
      <c r="L7" s="382"/>
      <c r="M7" s="382"/>
      <c r="N7" s="382"/>
      <c r="O7" s="382"/>
      <c r="P7" s="382"/>
      <c r="Q7" s="382"/>
      <c r="R7" s="382"/>
      <c r="S7" s="382"/>
      <c r="T7" s="382"/>
      <c r="U7" s="382"/>
      <c r="V7" s="382"/>
      <c r="W7" s="382"/>
      <c r="X7" s="382"/>
      <c r="Y7" s="382"/>
      <c r="Z7" s="382"/>
      <c r="AA7" s="382"/>
      <c r="AB7" s="382"/>
      <c r="AC7" s="382"/>
      <c r="AD7" s="382"/>
      <c r="AE7" s="382"/>
    </row>
    <row r="8" spans="1:31" ht="25.05" customHeight="1" thickBot="1">
      <c r="A8" s="382"/>
      <c r="B8" s="390"/>
      <c r="C8" s="41" t="s">
        <v>158</v>
      </c>
      <c r="D8" s="382"/>
      <c r="E8" s="384"/>
      <c r="F8" s="384"/>
      <c r="G8" s="384"/>
      <c r="H8" s="384"/>
      <c r="I8" s="384"/>
      <c r="J8" s="384"/>
      <c r="K8" s="43" t="str">
        <f>Idiomas!D4</f>
        <v>Introducir resultados</v>
      </c>
      <c r="L8" s="382"/>
      <c r="M8" s="382"/>
      <c r="N8" s="382"/>
      <c r="O8" s="382"/>
      <c r="P8" s="382"/>
      <c r="Q8" s="382"/>
      <c r="R8" s="382"/>
      <c r="S8" s="382"/>
      <c r="T8" s="382"/>
      <c r="U8" s="382"/>
      <c r="V8" s="382"/>
      <c r="W8" s="382"/>
      <c r="X8" s="382"/>
      <c r="Y8" s="382"/>
      <c r="Z8" s="382"/>
      <c r="AA8" s="382"/>
      <c r="AB8" s="382"/>
      <c r="AC8" s="382"/>
      <c r="AD8" s="382"/>
      <c r="AE8" s="382"/>
    </row>
    <row r="9" spans="1:31" ht="19.95" customHeight="1" thickBot="1">
      <c r="A9" s="382"/>
      <c r="B9" s="391"/>
      <c r="C9" s="386" t="str">
        <f>"✍️ "&amp;Idiomas!D48</f>
        <v>✍️ Escribe el nombre del grupo</v>
      </c>
      <c r="D9" s="382"/>
      <c r="E9" s="384"/>
      <c r="F9" s="384"/>
      <c r="G9" s="384"/>
      <c r="H9" s="384"/>
      <c r="I9" s="384"/>
      <c r="J9" s="384"/>
      <c r="K9" s="384"/>
      <c r="L9" s="382"/>
      <c r="M9" s="382"/>
      <c r="N9" s="382"/>
      <c r="O9" s="382"/>
      <c r="P9" s="382"/>
      <c r="Q9" s="382"/>
      <c r="R9" s="382"/>
      <c r="S9" s="382"/>
      <c r="T9" s="382"/>
      <c r="U9" s="382"/>
      <c r="V9" s="382"/>
      <c r="W9" s="382"/>
      <c r="X9" s="382"/>
      <c r="Y9" s="382"/>
      <c r="Z9" s="382"/>
      <c r="AA9" s="382"/>
      <c r="AB9" s="382"/>
      <c r="AC9" s="382"/>
      <c r="AD9" s="382"/>
      <c r="AE9" s="382"/>
    </row>
    <row r="10" spans="1:31" ht="25.05" customHeight="1" thickBot="1">
      <c r="A10" s="382"/>
      <c r="B10" s="390"/>
      <c r="C10" s="41" t="s">
        <v>1945</v>
      </c>
      <c r="D10" s="382"/>
      <c r="E10" s="384"/>
      <c r="F10" s="384"/>
      <c r="G10" s="384"/>
      <c r="H10" s="384"/>
      <c r="I10" s="384"/>
      <c r="J10" s="384"/>
      <c r="K10" s="43" t="s">
        <v>1314</v>
      </c>
      <c r="L10" s="382"/>
      <c r="M10" s="382"/>
      <c r="N10" s="382"/>
      <c r="O10" s="382"/>
      <c r="P10" s="382"/>
      <c r="Q10" s="382"/>
      <c r="R10" s="382"/>
      <c r="S10" s="382"/>
      <c r="T10" s="382"/>
      <c r="U10" s="382"/>
      <c r="V10" s="382"/>
      <c r="W10" s="382"/>
      <c r="X10" s="382"/>
      <c r="Y10" s="382"/>
      <c r="Z10" s="382"/>
      <c r="AA10" s="382"/>
      <c r="AB10" s="382"/>
      <c r="AC10" s="382"/>
      <c r="AD10" s="382"/>
      <c r="AE10" s="382"/>
    </row>
    <row r="11" spans="1:31" ht="19.95" customHeight="1" thickBot="1">
      <c r="A11" s="382"/>
      <c r="B11" s="382"/>
      <c r="C11" s="382"/>
      <c r="D11" s="382"/>
      <c r="E11" s="384"/>
      <c r="F11" s="384"/>
      <c r="G11" s="384"/>
      <c r="H11" s="384"/>
      <c r="I11" s="384"/>
      <c r="J11" s="384"/>
      <c r="K11" s="384"/>
      <c r="L11" s="382"/>
      <c r="M11" s="382"/>
      <c r="N11" s="382"/>
      <c r="O11" s="382"/>
      <c r="P11" s="382"/>
      <c r="Q11" s="382"/>
      <c r="R11" s="382"/>
      <c r="S11" s="382"/>
      <c r="T11" s="382"/>
      <c r="U11" s="382"/>
      <c r="V11" s="382"/>
      <c r="W11" s="382"/>
      <c r="X11" s="382"/>
      <c r="Y11" s="382"/>
      <c r="Z11" s="382"/>
      <c r="AA11" s="382"/>
      <c r="AB11" s="382"/>
      <c r="AC11" s="382"/>
      <c r="AD11" s="382"/>
      <c r="AE11" s="382"/>
    </row>
    <row r="12" spans="1:31" ht="25.05" customHeight="1" thickBot="1">
      <c r="A12" s="382"/>
      <c r="B12" s="382"/>
      <c r="C12" s="382"/>
      <c r="D12" s="382"/>
      <c r="E12" s="384"/>
      <c r="F12" s="384"/>
      <c r="G12" s="384"/>
      <c r="H12" s="384"/>
      <c r="I12" s="384"/>
      <c r="J12" s="384"/>
      <c r="K12" s="43" t="str">
        <f>HYPERLINK(Idiomas!D302,Idiomas!D431)</f>
        <v>Sistema de puntuación</v>
      </c>
      <c r="L12" s="392"/>
      <c r="M12" s="382"/>
      <c r="N12" s="382"/>
      <c r="O12" s="382"/>
      <c r="P12" s="382"/>
      <c r="Q12" s="382"/>
      <c r="R12" s="382"/>
      <c r="S12" s="382"/>
      <c r="T12" s="382"/>
      <c r="U12" s="382"/>
      <c r="V12" s="382"/>
      <c r="W12" s="382"/>
      <c r="X12" s="382"/>
      <c r="Y12" s="382"/>
      <c r="Z12" s="382"/>
      <c r="AA12" s="382"/>
      <c r="AB12" s="382"/>
      <c r="AC12" s="382"/>
      <c r="AD12" s="382"/>
      <c r="AE12" s="382"/>
    </row>
    <row r="13" spans="1:31" ht="19.95" customHeight="1" thickBot="1">
      <c r="A13" s="382"/>
      <c r="B13" s="382"/>
      <c r="C13" s="393"/>
      <c r="D13" s="382"/>
      <c r="E13" s="384"/>
      <c r="F13" s="384"/>
      <c r="G13" s="384"/>
      <c r="H13" s="384"/>
      <c r="I13" s="384"/>
      <c r="J13" s="384"/>
      <c r="K13" s="384"/>
      <c r="L13" s="382"/>
      <c r="M13" s="382"/>
      <c r="N13" s="382"/>
      <c r="O13" s="382"/>
      <c r="P13" s="382"/>
      <c r="Q13" s="382"/>
      <c r="R13" s="382"/>
      <c r="S13" s="382"/>
      <c r="T13" s="382"/>
      <c r="U13" s="382"/>
      <c r="V13" s="382"/>
      <c r="W13" s="382"/>
      <c r="X13" s="382"/>
      <c r="Y13" s="382"/>
      <c r="Z13" s="382"/>
      <c r="AA13" s="382"/>
      <c r="AB13" s="382"/>
      <c r="AC13" s="382"/>
      <c r="AD13" s="382"/>
      <c r="AE13" s="382"/>
    </row>
    <row r="14" spans="1:31" ht="25.05" customHeight="1" thickBot="1">
      <c r="A14" s="382"/>
      <c r="B14" s="394"/>
      <c r="C14" s="394"/>
      <c r="D14" s="382"/>
      <c r="E14" s="384"/>
      <c r="F14" s="384"/>
      <c r="G14" s="384"/>
      <c r="H14" s="384"/>
      <c r="I14" s="384"/>
      <c r="J14" s="384"/>
      <c r="K14" s="43" t="str">
        <f>HYPERLINK(Idiomas!D13,"FAQ")</f>
        <v>FAQ</v>
      </c>
      <c r="L14" s="395"/>
      <c r="M14" s="382"/>
      <c r="N14" s="382"/>
      <c r="O14" s="382"/>
      <c r="P14" s="382"/>
      <c r="Q14" s="382"/>
      <c r="R14" s="382"/>
      <c r="S14" s="382"/>
      <c r="T14" s="382"/>
      <c r="U14" s="382"/>
      <c r="V14" s="382"/>
      <c r="W14" s="382"/>
      <c r="X14" s="382"/>
      <c r="Y14" s="382"/>
      <c r="Z14" s="382"/>
      <c r="AA14" s="382"/>
      <c r="AB14" s="382"/>
      <c r="AC14" s="382"/>
      <c r="AD14" s="382"/>
      <c r="AE14" s="382"/>
    </row>
    <row r="15" spans="1:31" ht="15" customHeight="1">
      <c r="A15" s="382"/>
      <c r="B15" s="394"/>
      <c r="C15" s="394"/>
      <c r="D15" s="382"/>
      <c r="E15" s="384"/>
      <c r="F15" s="384"/>
      <c r="G15" s="384"/>
      <c r="H15" s="384"/>
      <c r="I15" s="384"/>
      <c r="J15" s="384"/>
      <c r="K15" s="384"/>
      <c r="L15" s="392"/>
      <c r="M15" s="382"/>
      <c r="N15" s="382"/>
      <c r="O15" s="382"/>
      <c r="P15" s="382"/>
      <c r="Q15" s="382"/>
      <c r="R15" s="382"/>
      <c r="S15" s="382"/>
      <c r="T15" s="382"/>
      <c r="U15" s="382"/>
      <c r="V15" s="382"/>
      <c r="W15" s="382"/>
      <c r="X15" s="382"/>
      <c r="Y15" s="382"/>
      <c r="Z15" s="382"/>
      <c r="AA15" s="382"/>
      <c r="AB15" s="382"/>
      <c r="AC15" s="382"/>
      <c r="AD15" s="382"/>
      <c r="AE15" s="382"/>
    </row>
    <row r="16" spans="1:31" ht="40.049999999999997" customHeight="1" thickBot="1">
      <c r="A16" s="382"/>
      <c r="B16" s="382"/>
      <c r="C16" s="382"/>
      <c r="D16" s="382"/>
      <c r="E16" s="838"/>
      <c r="F16" s="839"/>
      <c r="G16" s="839"/>
      <c r="H16" s="839"/>
      <c r="I16" s="839"/>
      <c r="J16" s="384"/>
      <c r="K16" s="396"/>
      <c r="L16" s="382"/>
      <c r="M16" s="382"/>
      <c r="N16" s="382"/>
      <c r="O16" s="382"/>
      <c r="P16" s="382"/>
      <c r="Q16" s="382"/>
      <c r="R16" s="382"/>
      <c r="S16" s="382"/>
      <c r="T16" s="382"/>
      <c r="U16" s="382"/>
      <c r="V16" s="382"/>
      <c r="W16" s="382"/>
      <c r="X16" s="382"/>
      <c r="Y16" s="382"/>
      <c r="Z16" s="382"/>
      <c r="AA16" s="382"/>
      <c r="AB16" s="382"/>
      <c r="AC16" s="382"/>
      <c r="AD16" s="382"/>
      <c r="AE16" s="382"/>
    </row>
    <row r="17" spans="1:31" ht="40.049999999999997" customHeight="1" thickBot="1">
      <c r="A17" s="382"/>
      <c r="B17" s="382"/>
      <c r="C17" s="382"/>
      <c r="D17" s="382"/>
      <c r="E17" s="17"/>
      <c r="F17" s="17"/>
      <c r="G17" s="17"/>
      <c r="H17" s="17"/>
      <c r="I17" s="17"/>
      <c r="J17" s="384"/>
      <c r="K17" s="756" t="s">
        <v>1335</v>
      </c>
      <c r="L17" s="397"/>
      <c r="M17" s="382"/>
      <c r="N17" s="398"/>
      <c r="O17" s="399"/>
      <c r="P17" s="382"/>
      <c r="Q17" s="382"/>
      <c r="R17" s="382"/>
      <c r="S17" s="382"/>
      <c r="T17" s="382"/>
      <c r="U17" s="382"/>
      <c r="V17" s="382"/>
      <c r="W17" s="382"/>
      <c r="X17" s="382"/>
      <c r="Y17" s="382"/>
      <c r="Z17" s="382"/>
      <c r="AA17" s="382"/>
      <c r="AB17" s="382"/>
      <c r="AC17" s="382"/>
      <c r="AD17" s="382"/>
      <c r="AE17" s="382"/>
    </row>
    <row r="18" spans="1:31" ht="15" customHeight="1">
      <c r="A18" s="382"/>
      <c r="B18" s="382"/>
      <c r="C18" s="382"/>
      <c r="D18" s="382"/>
      <c r="E18" s="384"/>
      <c r="F18" s="384"/>
      <c r="G18" s="384"/>
      <c r="H18" s="384"/>
      <c r="I18" s="384"/>
      <c r="J18" s="384"/>
      <c r="K18" s="384"/>
      <c r="L18" s="382"/>
      <c r="M18" s="382"/>
      <c r="N18" s="382"/>
      <c r="O18" s="382"/>
      <c r="P18" s="382"/>
      <c r="Q18" s="382"/>
      <c r="R18" s="382"/>
      <c r="S18" s="382"/>
      <c r="T18" s="382"/>
      <c r="U18" s="382"/>
      <c r="V18" s="382"/>
      <c r="W18" s="382"/>
      <c r="X18" s="382"/>
      <c r="Y18" s="382"/>
      <c r="Z18" s="382"/>
      <c r="AA18" s="382"/>
      <c r="AB18" s="382"/>
      <c r="AC18" s="382"/>
      <c r="AD18" s="382"/>
      <c r="AE18" s="382"/>
    </row>
    <row r="19" spans="1:31">
      <c r="A19" s="382"/>
      <c r="B19" s="382"/>
      <c r="C19" s="382"/>
      <c r="D19" s="382"/>
      <c r="E19" s="382"/>
      <c r="F19" s="384"/>
      <c r="G19" s="405" t="str">
        <f ca="1">IFERROR(IF(E41&lt;E42,Idiomas!D505,IF(AND(E41&gt;=E42,E41&lt;=E43),Idiomas!D507,""))&amp;" "&amp;IF(E41&lt;E42,DATEDIF(E41,E42,"D"),IF(E41=E42,1,IF(AND(E41&gt;E42,E41&lt;=E43),DATEDIF(E42,E41,"D")+1,IF(E41&gt;E43,"",""))))&amp;" "&amp;IF(E41&lt;E42,Idiomas!D506,IF(AND(E41&gt;=E42,E41&lt;=E43),Idiomas!D508,"")),"")</f>
        <v>Es el día 3 del Mundial 2026</v>
      </c>
      <c r="H19" s="384"/>
      <c r="I19" s="384"/>
      <c r="J19" s="384"/>
      <c r="K19" s="384"/>
      <c r="L19" s="382"/>
      <c r="M19" s="382"/>
      <c r="N19" s="382"/>
      <c r="O19" s="382"/>
      <c r="P19" s="382"/>
      <c r="Q19" s="382"/>
      <c r="R19" s="382"/>
      <c r="S19" s="382"/>
      <c r="T19" s="382"/>
      <c r="U19" s="382"/>
      <c r="V19" s="382"/>
      <c r="W19" s="382"/>
      <c r="X19" s="382"/>
      <c r="Y19" s="382"/>
      <c r="Z19" s="382"/>
      <c r="AA19" s="382"/>
      <c r="AB19" s="382"/>
      <c r="AC19" s="382"/>
      <c r="AD19" s="382"/>
      <c r="AE19" s="382"/>
    </row>
    <row r="20" spans="1:31">
      <c r="A20" s="382"/>
      <c r="B20" s="382" t="s">
        <v>1304</v>
      </c>
      <c r="C20" s="382"/>
      <c r="D20" s="382"/>
      <c r="E20" s="384"/>
      <c r="F20" s="384"/>
      <c r="G20" s="405" t="str">
        <f ca="1">IFERROR(IF(E41&lt;E42,"",IF(AND(E41&gt;=E42,E41&lt;=E43),Idiomas!D509,IF(E41&gt;E43,"",)))&amp;" "&amp;IF(E41&lt;E42,"",IF(AND(E41&gt;=E42,E41&lt;=E43),DATEDIF(E41,E43,"D"),IF(E41&gt;E43,"",)))&amp;" "&amp;IF(E41&lt;E42,"",IF(AND(E41&gt;=E42,E41&lt;=E43),Idiomas!D510,IF(E41&gt;E43,"",))),"")</f>
        <v>Quedan 36 días para que acabe el Mundial 2026</v>
      </c>
      <c r="H20" s="384"/>
      <c r="I20" s="384"/>
      <c r="J20" s="384"/>
      <c r="K20" s="384"/>
      <c r="L20" s="382"/>
      <c r="M20" s="382"/>
      <c r="N20" s="382"/>
      <c r="O20" s="382"/>
      <c r="P20" s="382"/>
      <c r="Q20" s="382"/>
      <c r="R20" s="382"/>
      <c r="S20" s="382"/>
      <c r="T20" s="382"/>
      <c r="U20" s="382"/>
      <c r="V20" s="382"/>
      <c r="W20" s="382"/>
      <c r="X20" s="382"/>
      <c r="Y20" s="382"/>
      <c r="Z20" s="382"/>
      <c r="AA20" s="382"/>
      <c r="AB20" s="382"/>
      <c r="AC20" s="382"/>
      <c r="AD20" s="382"/>
      <c r="AE20" s="382"/>
    </row>
    <row r="21" spans="1:31" ht="15" customHeight="1" thickBot="1">
      <c r="A21" s="382"/>
      <c r="B21" s="382" t="s">
        <v>1304</v>
      </c>
      <c r="C21" s="382"/>
      <c r="D21" s="382"/>
      <c r="E21" s="400" t="s">
        <v>1332</v>
      </c>
      <c r="F21" s="384"/>
      <c r="G21" s="384"/>
      <c r="H21" s="384"/>
      <c r="I21" s="384"/>
      <c r="J21" s="384"/>
      <c r="K21" s="384"/>
      <c r="L21" s="382"/>
      <c r="M21" s="382"/>
      <c r="N21" s="382"/>
      <c r="O21" s="392"/>
      <c r="P21" s="382"/>
      <c r="Q21" s="382"/>
      <c r="R21" s="382"/>
      <c r="S21" s="382"/>
      <c r="T21" s="382"/>
      <c r="U21" s="382"/>
      <c r="V21" s="382"/>
      <c r="W21" s="382"/>
      <c r="X21" s="382"/>
      <c r="Y21" s="382"/>
      <c r="Z21" s="382"/>
      <c r="AA21" s="382"/>
      <c r="AB21" s="382"/>
      <c r="AC21" s="382"/>
      <c r="AD21" s="382"/>
      <c r="AE21" s="382"/>
    </row>
    <row r="22" spans="1:31" ht="31.05" customHeight="1" thickBot="1">
      <c r="A22" s="382"/>
      <c r="B22" s="382" t="s">
        <v>1304</v>
      </c>
      <c r="C22" s="382"/>
      <c r="D22" s="382"/>
      <c r="E22" s="12" t="s">
        <v>1300</v>
      </c>
      <c r="F22" s="13" t="s">
        <v>1301</v>
      </c>
      <c r="G22" s="14" t="s">
        <v>1302</v>
      </c>
      <c r="H22" s="15" t="s">
        <v>13</v>
      </c>
      <c r="I22" s="44" t="s">
        <v>1303</v>
      </c>
      <c r="J22" s="384"/>
      <c r="K22" s="384"/>
      <c r="L22" s="382"/>
      <c r="M22" s="382"/>
      <c r="N22" s="382"/>
      <c r="O22" s="392"/>
      <c r="P22" s="382"/>
      <c r="Q22" s="382"/>
      <c r="R22" s="382"/>
      <c r="S22" s="382"/>
      <c r="T22" s="382"/>
      <c r="U22" s="382"/>
      <c r="V22" s="382"/>
      <c r="W22" s="382"/>
      <c r="X22" s="382"/>
      <c r="Y22" s="382"/>
      <c r="Z22" s="382"/>
      <c r="AA22" s="382"/>
      <c r="AB22" s="382"/>
      <c r="AC22" s="382"/>
      <c r="AD22" s="382"/>
      <c r="AE22" s="382"/>
    </row>
    <row r="23" spans="1:31" ht="19.95" customHeight="1" thickBot="1">
      <c r="A23" s="382"/>
      <c r="B23" s="382" t="s">
        <v>1304</v>
      </c>
      <c r="C23" s="382"/>
      <c r="D23" s="382"/>
      <c r="E23" s="384"/>
      <c r="F23" s="384"/>
      <c r="G23" s="384"/>
      <c r="H23" s="384"/>
      <c r="I23" s="384"/>
      <c r="J23" s="384"/>
      <c r="K23" s="401" t="s">
        <v>1317</v>
      </c>
      <c r="L23" s="42" t="str">
        <f>+Idiomas!D12</f>
        <v>Donar</v>
      </c>
      <c r="M23" s="382"/>
      <c r="N23" s="392"/>
      <c r="O23" s="392"/>
      <c r="P23" s="382"/>
      <c r="Q23" s="382"/>
      <c r="R23" s="382"/>
      <c r="S23" s="382"/>
      <c r="T23" s="382"/>
      <c r="U23" s="382"/>
      <c r="V23" s="382"/>
      <c r="W23" s="382"/>
      <c r="X23" s="382"/>
      <c r="Y23" s="382"/>
      <c r="Z23" s="382"/>
      <c r="AA23" s="382"/>
      <c r="AB23" s="382"/>
      <c r="AC23" s="382"/>
      <c r="AD23" s="382"/>
      <c r="AE23" s="382"/>
    </row>
    <row r="24" spans="1:31" ht="30" customHeight="1">
      <c r="A24" s="382"/>
      <c r="B24" s="841"/>
      <c r="C24" s="842"/>
      <c r="D24" s="382"/>
      <c r="E24" s="384"/>
      <c r="F24" s="384"/>
      <c r="G24" s="384"/>
      <c r="H24" s="402"/>
      <c r="I24" s="402"/>
      <c r="J24" s="384"/>
      <c r="K24" s="402"/>
      <c r="L24" s="392"/>
      <c r="M24" s="392"/>
      <c r="N24" s="392"/>
      <c r="O24" s="392"/>
      <c r="P24" s="382"/>
      <c r="Q24" s="382"/>
      <c r="R24" s="382"/>
      <c r="S24" s="382"/>
      <c r="T24" s="382"/>
      <c r="U24" s="382"/>
      <c r="V24" s="382"/>
      <c r="W24" s="382"/>
      <c r="X24" s="382"/>
      <c r="Y24" s="382"/>
      <c r="Z24" s="382"/>
      <c r="AA24" s="382"/>
      <c r="AB24" s="382"/>
      <c r="AC24" s="382"/>
      <c r="AD24" s="382"/>
      <c r="AE24" s="382"/>
    </row>
    <row r="25" spans="1:31">
      <c r="A25" s="382"/>
      <c r="B25" s="382"/>
      <c r="C25" s="382"/>
      <c r="D25" s="382"/>
      <c r="E25" s="384"/>
      <c r="F25" s="384"/>
      <c r="G25" s="384"/>
      <c r="H25" s="402"/>
      <c r="I25" s="402"/>
      <c r="J25" s="384"/>
      <c r="K25" s="402"/>
      <c r="L25" s="392"/>
      <c r="M25" s="392"/>
      <c r="N25" s="392"/>
      <c r="O25" s="392"/>
      <c r="P25" s="382"/>
      <c r="Q25" s="382"/>
      <c r="R25" s="382"/>
      <c r="S25" s="382"/>
      <c r="T25" s="382"/>
      <c r="U25" s="382"/>
      <c r="V25" s="382"/>
      <c r="W25" s="382"/>
      <c r="X25" s="382"/>
      <c r="Y25" s="382"/>
      <c r="Z25" s="382"/>
      <c r="AA25" s="382"/>
      <c r="AB25" s="382"/>
      <c r="AC25" s="382"/>
      <c r="AD25" s="382"/>
      <c r="AE25" s="382"/>
    </row>
    <row r="26" spans="1:31">
      <c r="A26" s="382"/>
      <c r="B26" s="382"/>
      <c r="C26" s="382"/>
      <c r="D26" s="382"/>
      <c r="E26" s="382"/>
      <c r="F26" s="382"/>
      <c r="G26" s="382"/>
      <c r="H26" s="382"/>
      <c r="I26" s="382"/>
      <c r="J26" s="384"/>
      <c r="K26" s="382"/>
      <c r="L26" s="382"/>
      <c r="M26" s="382"/>
      <c r="N26" s="382"/>
      <c r="O26" s="382"/>
      <c r="P26" s="382"/>
      <c r="Q26" s="382"/>
      <c r="R26" s="382"/>
      <c r="S26" s="382"/>
      <c r="T26" s="382"/>
      <c r="U26" s="382"/>
      <c r="V26" s="382"/>
      <c r="W26" s="382"/>
      <c r="X26" s="382"/>
      <c r="Y26" s="382"/>
      <c r="Z26" s="382"/>
      <c r="AA26" s="382"/>
      <c r="AB26" s="382"/>
      <c r="AC26" s="382"/>
      <c r="AD26" s="382"/>
      <c r="AE26" s="382"/>
    </row>
    <row r="27" spans="1:31">
      <c r="A27" s="382"/>
      <c r="B27" s="382"/>
      <c r="C27" s="382"/>
      <c r="D27" s="382"/>
      <c r="E27" s="382"/>
      <c r="F27" s="382"/>
      <c r="G27" s="382"/>
      <c r="H27" s="382"/>
      <c r="I27" s="382"/>
      <c r="J27" s="384"/>
      <c r="K27" s="382"/>
      <c r="L27" s="382"/>
      <c r="M27" s="382"/>
      <c r="N27" s="382"/>
      <c r="O27" s="382"/>
      <c r="P27" s="382"/>
      <c r="Q27" s="382"/>
      <c r="R27" s="382"/>
      <c r="S27" s="382"/>
      <c r="T27" s="382"/>
      <c r="U27" s="382"/>
      <c r="V27" s="382"/>
      <c r="W27" s="382"/>
      <c r="X27" s="382"/>
      <c r="Y27" s="382"/>
      <c r="Z27" s="382"/>
      <c r="AA27" s="382"/>
      <c r="AB27" s="382"/>
      <c r="AC27" s="382"/>
      <c r="AD27" s="382"/>
      <c r="AE27" s="382"/>
    </row>
    <row r="28" spans="1:31">
      <c r="A28" s="382"/>
      <c r="B28" s="382"/>
      <c r="C28" s="382"/>
      <c r="D28" s="382"/>
      <c r="E28" s="382"/>
      <c r="F28" s="382"/>
      <c r="G28" s="382"/>
      <c r="H28" s="382"/>
      <c r="I28" s="382"/>
      <c r="J28" s="384"/>
      <c r="K28" s="382"/>
      <c r="L28" s="382"/>
      <c r="M28" s="382"/>
      <c r="N28" s="382"/>
      <c r="O28" s="382"/>
      <c r="P28" s="382"/>
      <c r="Q28" s="382"/>
      <c r="R28" s="382"/>
      <c r="S28" s="382"/>
      <c r="T28" s="382"/>
      <c r="U28" s="382"/>
      <c r="V28" s="382"/>
      <c r="W28" s="382"/>
      <c r="X28" s="382"/>
      <c r="Y28" s="382"/>
      <c r="Z28" s="382"/>
      <c r="AA28" s="382"/>
      <c r="AB28" s="382"/>
      <c r="AC28" s="382"/>
      <c r="AD28" s="382"/>
      <c r="AE28" s="382"/>
    </row>
    <row r="29" spans="1:31">
      <c r="A29" s="382"/>
      <c r="B29" s="382"/>
      <c r="C29" s="382"/>
      <c r="D29" s="382"/>
      <c r="E29" s="382"/>
      <c r="F29" s="382"/>
      <c r="G29" s="382"/>
      <c r="H29" s="382"/>
      <c r="I29" s="382"/>
      <c r="J29" s="382"/>
      <c r="K29" s="382"/>
      <c r="L29" s="382"/>
      <c r="M29" s="382"/>
      <c r="N29" s="382"/>
      <c r="O29" s="382"/>
      <c r="P29" s="382"/>
      <c r="Q29" s="382"/>
      <c r="R29" s="382"/>
      <c r="S29" s="382"/>
      <c r="T29" s="382"/>
      <c r="U29" s="382"/>
      <c r="V29" s="382"/>
      <c r="W29" s="382"/>
      <c r="X29" s="382"/>
      <c r="Y29" s="382"/>
      <c r="Z29" s="382"/>
      <c r="AA29" s="382"/>
      <c r="AB29" s="382"/>
      <c r="AC29" s="382"/>
      <c r="AD29" s="382"/>
      <c r="AE29" s="382"/>
    </row>
    <row r="30" spans="1:31">
      <c r="A30" s="382"/>
      <c r="B30" s="382"/>
      <c r="C30" s="382"/>
      <c r="D30" s="382"/>
      <c r="E30" s="382"/>
      <c r="F30" s="382"/>
      <c r="G30" s="382"/>
      <c r="H30" s="382"/>
      <c r="I30" s="382"/>
      <c r="J30" s="382"/>
      <c r="K30" s="382"/>
      <c r="L30" s="382"/>
      <c r="M30" s="382"/>
      <c r="N30" s="382"/>
      <c r="O30" s="382"/>
      <c r="P30" s="382"/>
      <c r="Q30" s="382"/>
      <c r="R30" s="382"/>
      <c r="S30" s="382"/>
      <c r="T30" s="382"/>
      <c r="U30" s="382"/>
      <c r="V30" s="382"/>
      <c r="W30" s="382"/>
      <c r="X30" s="382"/>
      <c r="Y30" s="382"/>
      <c r="Z30" s="382"/>
      <c r="AA30" s="382"/>
      <c r="AB30" s="382"/>
      <c r="AC30" s="382"/>
      <c r="AD30" s="382"/>
      <c r="AE30" s="382"/>
    </row>
    <row r="31" spans="1:31">
      <c r="A31" s="382"/>
      <c r="B31" s="382"/>
      <c r="C31" s="382"/>
      <c r="D31" s="382"/>
      <c r="E31" s="382"/>
      <c r="F31" s="382"/>
      <c r="G31" s="382"/>
      <c r="H31" s="382"/>
      <c r="I31" s="382"/>
      <c r="J31" s="382"/>
      <c r="K31" s="382"/>
      <c r="L31" s="382"/>
      <c r="M31" s="382"/>
      <c r="N31" s="382"/>
      <c r="O31" s="382"/>
      <c r="P31" s="382"/>
      <c r="Q31" s="382"/>
      <c r="R31" s="382"/>
      <c r="S31" s="382"/>
      <c r="T31" s="382"/>
      <c r="U31" s="382"/>
      <c r="V31" s="382"/>
      <c r="W31" s="382"/>
      <c r="X31" s="382"/>
      <c r="Y31" s="382"/>
      <c r="Z31" s="382"/>
      <c r="AA31" s="382"/>
      <c r="AB31" s="382"/>
      <c r="AC31" s="382"/>
      <c r="AD31" s="382"/>
      <c r="AE31" s="382"/>
    </row>
    <row r="32" spans="1:31">
      <c r="A32" s="382"/>
      <c r="B32" s="382"/>
      <c r="C32" s="382"/>
      <c r="D32" s="382"/>
      <c r="E32" s="382"/>
      <c r="F32" s="382"/>
      <c r="G32" s="382"/>
      <c r="H32" s="382"/>
      <c r="I32" s="382"/>
      <c r="J32" s="382"/>
      <c r="K32" s="382"/>
      <c r="L32" s="382"/>
      <c r="M32" s="382"/>
      <c r="N32" s="382"/>
      <c r="O32" s="382"/>
      <c r="P32" s="382"/>
      <c r="Q32" s="382"/>
      <c r="R32" s="382"/>
      <c r="S32" s="382"/>
      <c r="T32" s="382"/>
      <c r="U32" s="382"/>
      <c r="V32" s="382"/>
      <c r="W32" s="382"/>
      <c r="X32" s="382"/>
      <c r="Y32" s="382"/>
      <c r="Z32" s="382"/>
      <c r="AA32" s="382"/>
      <c r="AB32" s="382"/>
      <c r="AC32" s="382"/>
      <c r="AD32" s="382"/>
      <c r="AE32" s="382"/>
    </row>
    <row r="33" spans="1:31">
      <c r="A33" s="382"/>
      <c r="B33" s="382"/>
      <c r="C33" s="382"/>
      <c r="D33" s="382"/>
      <c r="E33" s="382"/>
      <c r="F33" s="382"/>
      <c r="G33" s="382"/>
      <c r="H33" s="382"/>
      <c r="I33" s="382"/>
      <c r="J33" s="382"/>
      <c r="K33" s="382"/>
      <c r="L33" s="382"/>
      <c r="M33" s="382"/>
      <c r="N33" s="382"/>
      <c r="O33" s="382"/>
      <c r="P33" s="382"/>
      <c r="Q33" s="382"/>
      <c r="R33" s="382"/>
      <c r="S33" s="382"/>
      <c r="T33" s="382"/>
      <c r="U33" s="382"/>
      <c r="V33" s="382"/>
      <c r="W33" s="382"/>
      <c r="X33" s="382"/>
      <c r="Y33" s="382"/>
      <c r="Z33" s="382"/>
      <c r="AA33" s="382"/>
      <c r="AB33" s="382"/>
      <c r="AC33" s="382"/>
      <c r="AD33" s="382"/>
      <c r="AE33" s="382"/>
    </row>
    <row r="34" spans="1:31">
      <c r="A34" s="382"/>
      <c r="B34" s="382"/>
      <c r="C34" s="382"/>
      <c r="D34" s="382"/>
      <c r="E34" s="382"/>
      <c r="F34" s="382"/>
      <c r="G34" s="382"/>
      <c r="H34" s="382"/>
      <c r="I34" s="382"/>
      <c r="J34" s="382"/>
      <c r="K34" s="382"/>
      <c r="L34" s="382"/>
      <c r="M34" s="382"/>
      <c r="N34" s="382"/>
      <c r="O34" s="382"/>
      <c r="P34" s="382"/>
      <c r="Q34" s="382"/>
      <c r="R34" s="382"/>
      <c r="S34" s="382"/>
      <c r="T34" s="382"/>
      <c r="U34" s="382"/>
      <c r="V34" s="382"/>
      <c r="W34" s="382"/>
      <c r="X34" s="382"/>
      <c r="Y34" s="382"/>
      <c r="Z34" s="382"/>
      <c r="AA34" s="382"/>
      <c r="AB34" s="382"/>
      <c r="AC34" s="382"/>
      <c r="AD34" s="382"/>
      <c r="AE34" s="382"/>
    </row>
    <row r="35" spans="1:31">
      <c r="A35" s="382"/>
      <c r="B35" s="382"/>
      <c r="C35" s="382"/>
      <c r="D35" s="382"/>
      <c r="E35" s="382"/>
      <c r="F35" s="382"/>
      <c r="G35" s="382"/>
      <c r="H35" s="382"/>
      <c r="I35" s="382"/>
      <c r="J35" s="382"/>
      <c r="K35" s="382"/>
      <c r="L35" s="382"/>
      <c r="M35" s="382"/>
      <c r="N35" s="382"/>
      <c r="O35" s="382"/>
      <c r="P35" s="382"/>
      <c r="Q35" s="382"/>
      <c r="R35" s="382"/>
      <c r="S35" s="382"/>
      <c r="T35" s="382"/>
      <c r="U35" s="382"/>
      <c r="V35" s="382"/>
      <c r="W35" s="382"/>
      <c r="X35" s="382"/>
      <c r="Y35" s="382"/>
      <c r="Z35" s="382"/>
      <c r="AA35" s="382"/>
      <c r="AB35" s="382"/>
      <c r="AC35" s="382"/>
      <c r="AD35" s="382"/>
      <c r="AE35" s="382"/>
    </row>
    <row r="36" spans="1:31">
      <c r="A36" s="382"/>
      <c r="B36" s="382"/>
      <c r="C36" s="382"/>
      <c r="D36" s="382"/>
      <c r="E36" s="382"/>
      <c r="F36" s="382"/>
      <c r="G36" s="382"/>
      <c r="H36" s="382"/>
      <c r="I36" s="382"/>
      <c r="J36" s="382"/>
      <c r="K36" s="382"/>
      <c r="L36" s="382"/>
      <c r="M36" s="382"/>
      <c r="N36" s="382"/>
      <c r="O36" s="382"/>
      <c r="P36" s="382"/>
      <c r="Q36" s="382"/>
      <c r="R36" s="382"/>
      <c r="S36" s="382"/>
      <c r="T36" s="382"/>
      <c r="U36" s="382"/>
      <c r="V36" s="382"/>
      <c r="W36" s="382"/>
      <c r="X36" s="382"/>
      <c r="Y36" s="382"/>
      <c r="Z36" s="382"/>
      <c r="AA36" s="382"/>
      <c r="AB36" s="382"/>
      <c r="AC36" s="382"/>
      <c r="AD36" s="382"/>
      <c r="AE36" s="382"/>
    </row>
    <row r="37" spans="1:31">
      <c r="A37" s="382"/>
      <c r="B37" s="382"/>
      <c r="C37" s="382"/>
      <c r="D37" s="382"/>
      <c r="E37" s="382"/>
      <c r="F37" s="382"/>
      <c r="G37" s="382"/>
      <c r="H37" s="382"/>
      <c r="I37" s="382"/>
      <c r="J37" s="382"/>
      <c r="K37" s="382"/>
      <c r="L37" s="382"/>
      <c r="M37" s="382"/>
      <c r="N37" s="382"/>
      <c r="O37" s="382"/>
      <c r="P37" s="382"/>
      <c r="Q37" s="382"/>
      <c r="R37" s="382"/>
      <c r="S37" s="382"/>
      <c r="T37" s="382"/>
      <c r="U37" s="382"/>
      <c r="V37" s="382"/>
      <c r="W37" s="382"/>
      <c r="X37" s="382"/>
      <c r="Y37" s="382"/>
      <c r="Z37" s="382"/>
      <c r="AA37" s="382"/>
      <c r="AB37" s="382"/>
      <c r="AC37" s="382"/>
      <c r="AD37" s="382"/>
      <c r="AE37" s="382"/>
    </row>
    <row r="38" spans="1:31">
      <c r="A38" s="382"/>
      <c r="B38" s="382"/>
      <c r="C38" s="382"/>
      <c r="D38" s="382"/>
      <c r="E38" s="382"/>
      <c r="F38" s="382"/>
      <c r="G38" s="382"/>
      <c r="H38" s="382"/>
      <c r="I38" s="382"/>
      <c r="J38" s="382"/>
      <c r="K38" s="382"/>
      <c r="L38" s="382"/>
      <c r="M38" s="382"/>
      <c r="N38" s="382"/>
      <c r="O38" s="382"/>
      <c r="P38" s="382"/>
      <c r="Q38" s="382"/>
      <c r="R38" s="382"/>
      <c r="S38" s="382"/>
      <c r="T38" s="382"/>
      <c r="U38" s="382"/>
      <c r="V38" s="382"/>
      <c r="W38" s="382"/>
      <c r="X38" s="382"/>
      <c r="Y38" s="382"/>
      <c r="Z38" s="382"/>
      <c r="AA38" s="382"/>
      <c r="AB38" s="382"/>
      <c r="AC38" s="382"/>
      <c r="AD38" s="382"/>
      <c r="AE38" s="382"/>
    </row>
    <row r="39" spans="1:31">
      <c r="A39" s="382"/>
      <c r="B39" s="382"/>
      <c r="C39" s="382"/>
      <c r="D39" s="382"/>
      <c r="E39" s="382"/>
      <c r="F39" s="382"/>
      <c r="G39" s="382"/>
      <c r="H39" s="382"/>
      <c r="I39" s="382"/>
      <c r="J39" s="382"/>
      <c r="K39" s="382"/>
      <c r="L39" s="382"/>
      <c r="M39" s="382"/>
      <c r="N39" s="382"/>
      <c r="O39" s="382"/>
      <c r="P39" s="382"/>
      <c r="Q39" s="382"/>
      <c r="R39" s="382"/>
      <c r="S39" s="382"/>
      <c r="T39" s="382"/>
      <c r="U39" s="382"/>
      <c r="V39" s="382"/>
      <c r="W39" s="382"/>
      <c r="X39" s="382"/>
      <c r="Y39" s="382"/>
      <c r="Z39" s="382"/>
      <c r="AA39" s="382"/>
      <c r="AB39" s="382"/>
      <c r="AC39" s="382"/>
      <c r="AD39" s="382"/>
      <c r="AE39" s="382"/>
    </row>
    <row r="40" spans="1:31">
      <c r="A40" s="382"/>
      <c r="B40" s="382"/>
      <c r="C40" s="382"/>
      <c r="D40" s="382"/>
      <c r="E40" s="382"/>
      <c r="F40" s="382"/>
      <c r="G40" s="382"/>
      <c r="H40" s="382"/>
      <c r="I40" s="382"/>
      <c r="J40" s="382"/>
      <c r="K40" s="382"/>
      <c r="L40" s="382"/>
      <c r="M40" s="382"/>
      <c r="N40" s="382"/>
      <c r="O40" s="382"/>
      <c r="P40" s="382"/>
      <c r="Q40" s="382"/>
      <c r="R40" s="382"/>
      <c r="S40" s="382"/>
      <c r="T40" s="382"/>
      <c r="U40" s="382"/>
      <c r="V40" s="382"/>
      <c r="W40" s="382"/>
      <c r="X40" s="382"/>
      <c r="Y40" s="382"/>
      <c r="Z40" s="382"/>
      <c r="AA40" s="382"/>
      <c r="AB40" s="382"/>
      <c r="AC40" s="382"/>
      <c r="AD40" s="382"/>
      <c r="AE40" s="382"/>
    </row>
    <row r="41" spans="1:31">
      <c r="A41" s="382"/>
      <c r="B41" s="382"/>
      <c r="C41" s="382"/>
      <c r="D41" s="382"/>
      <c r="E41" s="703">
        <f ca="1">TODAY()</f>
        <v>46186</v>
      </c>
      <c r="F41" s="382"/>
      <c r="G41" s="382"/>
      <c r="H41" s="382"/>
      <c r="I41" s="382"/>
      <c r="J41" s="382"/>
      <c r="K41" s="382"/>
      <c r="L41" s="382"/>
      <c r="M41" s="382"/>
      <c r="N41" s="382"/>
      <c r="O41" s="382"/>
      <c r="P41" s="382"/>
      <c r="Q41" s="382"/>
      <c r="R41" s="382"/>
      <c r="S41" s="382"/>
      <c r="T41" s="382"/>
      <c r="U41" s="382"/>
      <c r="V41" s="382"/>
      <c r="W41" s="382"/>
      <c r="X41" s="382"/>
      <c r="Y41" s="382"/>
      <c r="Z41" s="382"/>
      <c r="AA41" s="382"/>
      <c r="AB41" s="382"/>
      <c r="AC41" s="382"/>
      <c r="AD41" s="382"/>
      <c r="AE41" s="382"/>
    </row>
    <row r="42" spans="1:31">
      <c r="A42" s="382"/>
      <c r="B42" s="382"/>
      <c r="C42" s="382"/>
      <c r="D42" s="382"/>
      <c r="E42" s="703">
        <f ca="1">INT(Horarios!C4)</f>
        <v>46184</v>
      </c>
      <c r="F42" s="450"/>
      <c r="G42" s="382"/>
      <c r="H42" s="382"/>
      <c r="I42" s="382"/>
      <c r="J42" s="382"/>
      <c r="K42" s="382"/>
      <c r="L42" s="382"/>
      <c r="M42" s="382"/>
      <c r="N42" s="382"/>
      <c r="O42" s="382"/>
      <c r="P42" s="382"/>
      <c r="Q42" s="382"/>
      <c r="R42" s="382"/>
      <c r="S42" s="382"/>
      <c r="T42" s="382"/>
      <c r="U42" s="382"/>
      <c r="V42" s="382"/>
      <c r="W42" s="382"/>
      <c r="X42" s="382"/>
      <c r="Y42" s="382"/>
      <c r="Z42" s="382"/>
      <c r="AA42" s="382"/>
      <c r="AB42" s="382"/>
      <c r="AC42" s="382"/>
      <c r="AD42" s="382"/>
      <c r="AE42" s="382"/>
    </row>
    <row r="43" spans="1:31">
      <c r="A43" s="382"/>
      <c r="B43" s="382"/>
      <c r="C43" s="382"/>
      <c r="D43" s="382"/>
      <c r="E43" s="703">
        <f ca="1">INT(Horarios!C147)</f>
        <v>46222</v>
      </c>
      <c r="F43" s="450"/>
      <c r="G43" s="382"/>
      <c r="H43" s="382"/>
      <c r="I43" s="382"/>
      <c r="J43" s="382"/>
      <c r="K43" s="382"/>
      <c r="L43" s="382"/>
      <c r="M43" s="382"/>
      <c r="N43" s="382"/>
      <c r="O43" s="382"/>
      <c r="P43" s="382"/>
      <c r="Q43" s="382"/>
      <c r="R43" s="382"/>
      <c r="S43" s="382"/>
      <c r="T43" s="382"/>
      <c r="U43" s="382"/>
      <c r="V43" s="382"/>
      <c r="W43" s="382"/>
      <c r="X43" s="382"/>
      <c r="Y43" s="382"/>
      <c r="Z43" s="382"/>
      <c r="AA43" s="382"/>
      <c r="AB43" s="382"/>
      <c r="AC43" s="382"/>
      <c r="AD43" s="382"/>
      <c r="AE43" s="382"/>
    </row>
    <row r="44" spans="1:31">
      <c r="A44" s="382"/>
      <c r="B44" s="382"/>
      <c r="C44" s="382"/>
      <c r="D44" s="382"/>
      <c r="E44" s="382"/>
      <c r="F44" s="382"/>
      <c r="G44" s="382"/>
      <c r="H44" s="382"/>
      <c r="I44" s="382"/>
      <c r="J44" s="382"/>
      <c r="K44" s="382"/>
      <c r="L44" s="382"/>
      <c r="M44" s="382"/>
      <c r="N44" s="382"/>
      <c r="O44" s="382"/>
      <c r="P44" s="382"/>
      <c r="Q44" s="382"/>
      <c r="R44" s="382"/>
      <c r="S44" s="382"/>
      <c r="T44" s="382"/>
      <c r="U44" s="382"/>
      <c r="V44" s="382"/>
      <c r="W44" s="382"/>
      <c r="X44" s="382"/>
      <c r="Y44" s="382"/>
      <c r="Z44" s="382"/>
      <c r="AA44" s="382"/>
      <c r="AB44" s="382"/>
      <c r="AC44" s="382"/>
      <c r="AD44" s="382"/>
      <c r="AE44" s="382"/>
    </row>
    <row r="45" spans="1:31">
      <c r="A45" s="382"/>
      <c r="B45" s="382"/>
      <c r="C45" s="382"/>
      <c r="D45" s="382"/>
      <c r="E45" s="382"/>
      <c r="F45" s="382"/>
      <c r="G45" s="382"/>
      <c r="H45" s="382"/>
      <c r="I45" s="382"/>
      <c r="J45" s="382"/>
      <c r="K45" s="382"/>
      <c r="L45" s="382"/>
      <c r="M45" s="382"/>
      <c r="N45" s="382"/>
      <c r="O45" s="382"/>
      <c r="P45" s="382"/>
      <c r="Q45" s="382"/>
      <c r="R45" s="382"/>
      <c r="S45" s="382"/>
      <c r="T45" s="382"/>
      <c r="U45" s="382"/>
      <c r="V45" s="382"/>
      <c r="W45" s="382"/>
      <c r="X45" s="382"/>
      <c r="Y45" s="382"/>
      <c r="Z45" s="382"/>
      <c r="AA45" s="382"/>
      <c r="AB45" s="382"/>
      <c r="AC45" s="382"/>
      <c r="AD45" s="382"/>
      <c r="AE45" s="382"/>
    </row>
    <row r="46" spans="1:31">
      <c r="A46" s="382"/>
      <c r="B46" s="382"/>
      <c r="C46" s="382"/>
      <c r="D46" s="382"/>
      <c r="E46" s="382"/>
      <c r="F46" s="382"/>
      <c r="G46" s="382"/>
      <c r="H46" s="382"/>
      <c r="I46" s="382"/>
      <c r="J46" s="382"/>
      <c r="K46" s="382"/>
      <c r="L46" s="382"/>
      <c r="M46" s="382"/>
      <c r="N46" s="382"/>
      <c r="O46" s="382"/>
      <c r="P46" s="382"/>
      <c r="Q46" s="382"/>
      <c r="R46" s="382"/>
      <c r="S46" s="382"/>
      <c r="T46" s="382"/>
      <c r="U46" s="382"/>
      <c r="V46" s="382"/>
      <c r="W46" s="382"/>
      <c r="X46" s="382"/>
      <c r="Y46" s="382"/>
      <c r="Z46" s="382"/>
      <c r="AA46" s="382"/>
      <c r="AB46" s="382"/>
      <c r="AC46" s="382"/>
      <c r="AD46" s="382"/>
      <c r="AE46" s="382"/>
    </row>
    <row r="47" spans="1:31">
      <c r="A47" s="382"/>
      <c r="B47" s="382"/>
      <c r="C47" s="382"/>
      <c r="D47" s="382"/>
      <c r="E47" s="382"/>
      <c r="F47" s="382"/>
      <c r="G47" s="382"/>
      <c r="H47" s="382"/>
      <c r="I47" s="382"/>
      <c r="J47" s="382"/>
      <c r="K47" s="382"/>
      <c r="L47" s="382"/>
      <c r="M47" s="382"/>
      <c r="N47" s="382"/>
      <c r="O47" s="382"/>
      <c r="P47" s="382"/>
      <c r="Q47" s="382"/>
      <c r="R47" s="382"/>
      <c r="S47" s="382"/>
      <c r="T47" s="382"/>
      <c r="U47" s="382"/>
      <c r="V47" s="382"/>
      <c r="W47" s="382"/>
      <c r="X47" s="382"/>
      <c r="Y47" s="382"/>
      <c r="Z47" s="382"/>
      <c r="AA47" s="382"/>
      <c r="AB47" s="382"/>
      <c r="AC47" s="382"/>
      <c r="AD47" s="382"/>
      <c r="AE47" s="382"/>
    </row>
    <row r="48" spans="1:31">
      <c r="A48" s="382"/>
      <c r="B48" s="382"/>
      <c r="C48" s="382"/>
      <c r="D48" s="382"/>
      <c r="E48" s="382"/>
      <c r="F48" s="382"/>
      <c r="G48" s="382"/>
      <c r="H48" s="382"/>
      <c r="I48" s="382"/>
      <c r="J48" s="382"/>
      <c r="K48" s="382"/>
      <c r="L48" s="382"/>
      <c r="M48" s="382"/>
      <c r="N48" s="382"/>
      <c r="O48" s="382"/>
      <c r="P48" s="382"/>
      <c r="Q48" s="382"/>
      <c r="R48" s="382"/>
      <c r="S48" s="382"/>
      <c r="T48" s="382"/>
      <c r="U48" s="382"/>
      <c r="V48" s="382"/>
      <c r="W48" s="382"/>
      <c r="X48" s="382"/>
      <c r="Y48" s="382"/>
      <c r="Z48" s="382"/>
      <c r="AA48" s="382"/>
      <c r="AB48" s="382"/>
      <c r="AC48" s="382"/>
      <c r="AD48" s="382"/>
      <c r="AE48" s="382"/>
    </row>
    <row r="49" spans="1:31">
      <c r="A49" s="382"/>
      <c r="B49" s="382"/>
      <c r="C49" s="382"/>
      <c r="D49" s="382"/>
      <c r="E49" s="382"/>
      <c r="F49" s="382"/>
      <c r="G49" s="382"/>
      <c r="H49" s="382"/>
      <c r="I49" s="382"/>
      <c r="J49" s="382"/>
      <c r="K49" s="382"/>
      <c r="L49" s="382"/>
      <c r="M49" s="382"/>
      <c r="N49" s="382"/>
      <c r="O49" s="382"/>
      <c r="P49" s="382"/>
      <c r="Q49" s="382"/>
      <c r="R49" s="382"/>
      <c r="S49" s="382"/>
      <c r="T49" s="382"/>
      <c r="U49" s="382"/>
      <c r="V49" s="382"/>
      <c r="W49" s="382"/>
      <c r="X49" s="382"/>
      <c r="Y49" s="382"/>
      <c r="Z49" s="382"/>
      <c r="AA49" s="382"/>
      <c r="AB49" s="382"/>
      <c r="AC49" s="382"/>
      <c r="AD49" s="382"/>
      <c r="AE49" s="382"/>
    </row>
    <row r="50" spans="1:31">
      <c r="A50" s="382"/>
      <c r="B50" s="382"/>
      <c r="C50" s="382"/>
      <c r="D50" s="382"/>
      <c r="E50" s="382"/>
      <c r="F50" s="382"/>
      <c r="G50" s="382"/>
      <c r="H50" s="382"/>
      <c r="I50" s="382"/>
      <c r="J50" s="382"/>
      <c r="K50" s="382"/>
      <c r="L50" s="382"/>
      <c r="M50" s="382"/>
      <c r="N50" s="382"/>
      <c r="O50" s="382"/>
      <c r="P50" s="382"/>
      <c r="Q50" s="382"/>
      <c r="R50" s="382"/>
      <c r="S50" s="382"/>
      <c r="T50" s="382"/>
      <c r="U50" s="382"/>
      <c r="V50" s="382"/>
      <c r="W50" s="382"/>
      <c r="X50" s="382"/>
      <c r="Y50" s="382"/>
      <c r="Z50" s="382"/>
      <c r="AA50" s="382"/>
      <c r="AB50" s="382"/>
      <c r="AC50" s="382"/>
      <c r="AD50" s="382"/>
      <c r="AE50" s="382"/>
    </row>
  </sheetData>
  <mergeCells count="3">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QW273"/>
  <sheetViews>
    <sheetView showGridLines="0" topLeftCell="A4" zoomScaleNormal="100" workbookViewId="0">
      <selection activeCell="D5" sqref="D5"/>
      <extLst>
        <ext xmlns:xlsdti="http://schemas.microsoft.com/office/spreadsheetml/2023/showDataTypeIcons" uri="{77bfe23e-c014-4d31-8a63-9c772dbf06b6}">
          <xlsdti:showDataTypeIcons visible="0"/>
        </ext>
      </extLst>
    </sheetView>
  </sheetViews>
  <sheetFormatPr baseColWidth="10" defaultColWidth="8.21875" defaultRowHeight="14.4"/>
  <cols>
    <col min="1" max="1" width="8.109375" style="1" bestFit="1" customWidth="1"/>
    <col min="2" max="2" width="7.88671875" style="1" bestFit="1" customWidth="1"/>
    <col min="3" max="3" width="55.77734375" style="1" bestFit="1" customWidth="1"/>
    <col min="4" max="4" width="7.5546875" style="1" customWidth="1"/>
    <col min="5" max="5" width="0.88671875" style="7" hidden="1" customWidth="1"/>
    <col min="6" max="6" width="0.88671875" style="717" hidden="1" customWidth="1"/>
    <col min="7" max="7" width="0.88671875" style="5" hidden="1" customWidth="1"/>
    <col min="8" max="8" width="1.77734375" style="5" customWidth="1"/>
    <col min="9" max="9" width="6.77734375" style="61" bestFit="1" customWidth="1"/>
    <col min="10" max="10" width="10" style="102" bestFit="1" customWidth="1"/>
    <col min="11" max="11" width="37.77734375" style="85" bestFit="1" customWidth="1"/>
    <col min="12" max="12" width="3.21875" style="61" bestFit="1" customWidth="1"/>
    <col min="13" max="13" width="29.33203125" style="85" bestFit="1" customWidth="1"/>
    <col min="14" max="17" width="2" style="442" bestFit="1" customWidth="1"/>
    <col min="18" max="18" width="2" style="5" bestFit="1" customWidth="1"/>
    <col min="19" max="19" width="26.5546875" style="85" bestFit="1" customWidth="1"/>
    <col min="20" max="20" width="2" style="85" bestFit="1" customWidth="1"/>
    <col min="21" max="21" width="2" style="20" bestFit="1" customWidth="1"/>
    <col min="22" max="22" width="30.44140625" style="85" bestFit="1" customWidth="1"/>
    <col min="23" max="23" width="3" style="85" bestFit="1" customWidth="1"/>
    <col min="24" max="24" width="2" style="20" bestFit="1" customWidth="1"/>
    <col min="25" max="25" width="31.6640625" style="85" bestFit="1" customWidth="1"/>
    <col min="26" max="26" width="3" style="85" bestFit="1" customWidth="1"/>
    <col min="27" max="27" width="2" style="20" bestFit="1" customWidth="1"/>
    <col min="28" max="28" width="37.88671875" style="85" bestFit="1" customWidth="1"/>
    <col min="29" max="29" width="3" style="85" bestFit="1" customWidth="1"/>
    <col min="30" max="30" width="2" style="20" bestFit="1" customWidth="1"/>
    <col min="31" max="31" width="30.33203125" style="85" bestFit="1" customWidth="1"/>
    <col min="32" max="32" width="3" style="85" bestFit="1" customWidth="1"/>
    <col min="33" max="33" width="2" style="20" bestFit="1" customWidth="1"/>
    <col min="34" max="34" width="37.88671875" style="785" bestFit="1" customWidth="1"/>
    <col min="35" max="35" width="3" style="785" bestFit="1" customWidth="1"/>
    <col min="36" max="36" width="2" style="785" bestFit="1" customWidth="1"/>
    <col min="37" max="37" width="32.109375" style="785" bestFit="1" customWidth="1"/>
    <col min="38" max="38" width="3" style="785" bestFit="1" customWidth="1"/>
    <col min="39" max="39" width="2" style="785" bestFit="1" customWidth="1"/>
    <col min="40" max="40" width="30.44140625" style="785" bestFit="1" customWidth="1"/>
    <col min="41" max="41" width="3" style="785" bestFit="1" customWidth="1"/>
    <col min="42" max="42" width="2" style="785" bestFit="1" customWidth="1"/>
    <col min="43" max="43" width="33" style="785" bestFit="1" customWidth="1"/>
    <col min="44" max="44" width="3" style="785" bestFit="1" customWidth="1"/>
    <col min="45" max="45" width="2" style="785" bestFit="1" customWidth="1"/>
    <col min="46" max="46" width="27" style="785" bestFit="1" customWidth="1"/>
    <col min="47" max="47" width="3" style="785" bestFit="1" customWidth="1"/>
    <col min="48" max="48" width="2" style="785" bestFit="1" customWidth="1"/>
    <col min="49" max="49" width="37.88671875" style="785" bestFit="1" customWidth="1"/>
    <col min="50" max="51" width="2" style="785" bestFit="1" customWidth="1"/>
    <col min="52" max="52" width="35.21875" style="785" bestFit="1" customWidth="1"/>
    <col min="53" max="54" width="2" style="785" bestFit="1" customWidth="1"/>
    <col min="55" max="55" width="27.44140625" style="785" bestFit="1" customWidth="1"/>
    <col min="56" max="57" width="2" style="785" bestFit="1" customWidth="1"/>
    <col min="58" max="58" width="37" style="785" bestFit="1" customWidth="1"/>
    <col min="59" max="60" width="2" style="785" bestFit="1" customWidth="1"/>
    <col min="61" max="61" width="30.44140625" style="785" bestFit="1" customWidth="1"/>
    <col min="62" max="63" width="2" style="785" bestFit="1" customWidth="1"/>
    <col min="64" max="64" width="30.33203125" style="785" bestFit="1" customWidth="1"/>
    <col min="65" max="66" width="2" style="785" bestFit="1" customWidth="1"/>
    <col min="67" max="67" width="30.44140625" style="785" bestFit="1" customWidth="1"/>
    <col min="68" max="69" width="2" style="785" bestFit="1" customWidth="1"/>
    <col min="70" max="70" width="30.44140625" style="785" bestFit="1" customWidth="1"/>
    <col min="71" max="71" width="3" style="785" bestFit="1" customWidth="1"/>
    <col min="72" max="72" width="2" style="785" bestFit="1" customWidth="1"/>
    <col min="73" max="73" width="27.33203125" style="785" bestFit="1" customWidth="1"/>
    <col min="74" max="74" width="3" style="785" bestFit="1" customWidth="1"/>
    <col min="75" max="75" width="2" style="785" bestFit="1" customWidth="1"/>
    <col min="76" max="76" width="27.109375" style="785" bestFit="1" customWidth="1"/>
    <col min="77" max="77" width="3" style="785" bestFit="1" customWidth="1"/>
    <col min="78" max="78" width="2" style="785" bestFit="1" customWidth="1"/>
    <col min="79" max="79" width="35.21875" style="785" bestFit="1" customWidth="1"/>
    <col min="80" max="80" width="3" style="785" bestFit="1" customWidth="1"/>
    <col min="81" max="81" width="2" style="785" bestFit="1" customWidth="1"/>
    <col min="82" max="82" width="37" style="785" bestFit="1" customWidth="1"/>
    <col min="83" max="84" width="2" style="785" bestFit="1" customWidth="1"/>
    <col min="85" max="85" width="33.21875" style="785" bestFit="1" customWidth="1"/>
    <col min="86" max="86" width="3" style="785" bestFit="1" customWidth="1"/>
    <col min="87" max="87" width="2" style="785" bestFit="1" customWidth="1"/>
    <col min="88" max="88" width="33" style="785" bestFit="1" customWidth="1"/>
    <col min="89" max="90" width="2" style="785" bestFit="1" customWidth="1"/>
    <col min="91" max="91" width="31.88671875" style="785" bestFit="1" customWidth="1"/>
    <col min="92" max="93" width="2" style="785" bestFit="1" customWidth="1"/>
    <col min="94" max="94" width="31.88671875" style="785" bestFit="1" customWidth="1"/>
    <col min="95" max="95" width="3" style="785" bestFit="1" customWidth="1"/>
    <col min="96" max="96" width="2" style="785" bestFit="1" customWidth="1"/>
    <col min="97" max="97" width="32.109375" style="785" bestFit="1" customWidth="1"/>
    <col min="98" max="99" width="2" style="785" bestFit="1" customWidth="1"/>
    <col min="100" max="100" width="30.44140625" style="785" bestFit="1" customWidth="1"/>
    <col min="101" max="101" width="3" style="785" bestFit="1" customWidth="1"/>
    <col min="102" max="102" width="2" style="785" bestFit="1" customWidth="1"/>
    <col min="103" max="103" width="37" style="785" bestFit="1" customWidth="1"/>
    <col min="104" max="105" width="2" style="785" bestFit="1" customWidth="1"/>
    <col min="106" max="106" width="31.6640625" style="785" bestFit="1" customWidth="1"/>
    <col min="107" max="108" width="2" style="785" bestFit="1" customWidth="1"/>
    <col min="109" max="109" width="28.6640625" style="785" bestFit="1" customWidth="1"/>
    <col min="110" max="110" width="3" style="785" bestFit="1" customWidth="1"/>
    <col min="111" max="111" width="2" style="785" bestFit="1" customWidth="1"/>
    <col min="112" max="112" width="28.6640625" style="785" bestFit="1" customWidth="1"/>
    <col min="113" max="113" width="3" style="785" bestFit="1" customWidth="1"/>
    <col min="114" max="114" width="2" style="785" bestFit="1" customWidth="1"/>
    <col min="115" max="115" width="32.21875" style="785" bestFit="1" customWidth="1"/>
    <col min="116" max="117" width="2" style="785" bestFit="1" customWidth="1"/>
    <col min="118" max="118" width="31.109375" style="785" bestFit="1" customWidth="1"/>
    <col min="119" max="119" width="3" style="785" bestFit="1" customWidth="1"/>
    <col min="120" max="120" width="2" style="785" bestFit="1" customWidth="1"/>
    <col min="121" max="121" width="29.5546875" style="785" bestFit="1" customWidth="1"/>
    <col min="122" max="123" width="2" style="785" bestFit="1" customWidth="1"/>
    <col min="124" max="124" width="28.6640625" style="785" bestFit="1" customWidth="1"/>
    <col min="125" max="125" width="3" style="785" bestFit="1" customWidth="1"/>
    <col min="126" max="126" width="2" style="785" bestFit="1" customWidth="1"/>
    <col min="127" max="127" width="28.6640625" style="785" bestFit="1" customWidth="1"/>
    <col min="128" max="129" width="2" style="785" bestFit="1" customWidth="1"/>
    <col min="130" max="130" width="28.6640625" style="785" bestFit="1" customWidth="1"/>
    <col min="131" max="131" width="3" style="785" bestFit="1" customWidth="1"/>
    <col min="132" max="132" width="2" style="785" bestFit="1" customWidth="1"/>
    <col min="133" max="133" width="28.6640625" style="785" bestFit="1" customWidth="1"/>
    <col min="134" max="135" width="2" style="785" bestFit="1" customWidth="1"/>
    <col min="136" max="136" width="28.6640625" style="785" bestFit="1" customWidth="1"/>
    <col min="137" max="138" width="2" style="785" bestFit="1" customWidth="1"/>
    <col min="139" max="139" width="28.6640625" style="785" bestFit="1" customWidth="1"/>
    <col min="140" max="141" width="2" style="785" bestFit="1" customWidth="1"/>
    <col min="142" max="142" width="28.6640625" style="785" bestFit="1" customWidth="1"/>
    <col min="143" max="144" width="2" style="785" bestFit="1" customWidth="1"/>
    <col min="145" max="145" width="28.6640625" style="785" bestFit="1" customWidth="1"/>
    <col min="146" max="147" width="2" style="785" bestFit="1" customWidth="1"/>
    <col min="148" max="148" width="28.6640625" style="785" bestFit="1" customWidth="1"/>
    <col min="149" max="150" width="2" style="785" bestFit="1" customWidth="1"/>
    <col min="151" max="151" width="28.6640625" style="785" bestFit="1" customWidth="1"/>
    <col min="152" max="153" width="2" style="785" bestFit="1" customWidth="1"/>
    <col min="154" max="154" width="28.6640625" style="785" bestFit="1" customWidth="1"/>
    <col min="155" max="156" width="2" style="785" bestFit="1" customWidth="1"/>
    <col min="157" max="157" width="28.6640625" style="785" bestFit="1" customWidth="1"/>
    <col min="158" max="159" width="2" style="785" bestFit="1" customWidth="1"/>
    <col min="160" max="160" width="28.6640625" style="785" bestFit="1" customWidth="1"/>
    <col min="161" max="162" width="2" style="785" bestFit="1" customWidth="1"/>
    <col min="163" max="163" width="28.6640625" style="785" bestFit="1" customWidth="1"/>
    <col min="164" max="165" width="2" style="785" bestFit="1" customWidth="1"/>
    <col min="166" max="166" width="28.6640625" style="785" bestFit="1" customWidth="1"/>
    <col min="167" max="168" width="2" style="785" bestFit="1" customWidth="1"/>
    <col min="169" max="169" width="28.6640625" style="785" bestFit="1" customWidth="1"/>
    <col min="170" max="171" width="2" style="785" bestFit="1" customWidth="1"/>
    <col min="172" max="172" width="28.6640625" style="785" bestFit="1" customWidth="1"/>
    <col min="173" max="174" width="2" style="785" bestFit="1" customWidth="1"/>
    <col min="175" max="175" width="28.6640625" style="785" bestFit="1" customWidth="1"/>
    <col min="176" max="177" width="2" style="785" bestFit="1" customWidth="1"/>
    <col min="178" max="178" width="28.6640625" style="785" bestFit="1" customWidth="1"/>
    <col min="179" max="180" width="2" style="785" bestFit="1" customWidth="1"/>
    <col min="181" max="181" width="28.6640625" style="785" bestFit="1" customWidth="1"/>
    <col min="182" max="183" width="2" style="785" bestFit="1" customWidth="1"/>
    <col min="184" max="184" width="28.6640625" style="785" bestFit="1" customWidth="1"/>
    <col min="185" max="186" width="2" style="785" bestFit="1" customWidth="1"/>
    <col min="187" max="187" width="28.6640625" style="785" bestFit="1" customWidth="1"/>
    <col min="188" max="189" width="2" style="785" bestFit="1" customWidth="1"/>
    <col min="190" max="190" width="28.6640625" style="785" bestFit="1" customWidth="1"/>
    <col min="191" max="192" width="2" style="785" bestFit="1" customWidth="1"/>
    <col min="193" max="193" width="28.6640625" style="785" bestFit="1" customWidth="1"/>
    <col min="194" max="195" width="2" style="785" bestFit="1" customWidth="1"/>
    <col min="196" max="196" width="28.6640625" style="785" bestFit="1" customWidth="1"/>
    <col min="197" max="198" width="2" style="785" bestFit="1" customWidth="1"/>
    <col min="199" max="199" width="28.6640625" style="785" bestFit="1" customWidth="1"/>
    <col min="200" max="201" width="2" style="785" bestFit="1" customWidth="1"/>
    <col min="202" max="202" width="28.6640625" style="785" bestFit="1" customWidth="1"/>
    <col min="203" max="204" width="2" style="785" bestFit="1" customWidth="1"/>
    <col min="205" max="205" width="28.6640625" style="785" bestFit="1" customWidth="1"/>
    <col min="206" max="207" width="2" style="785" bestFit="1" customWidth="1"/>
    <col min="208" max="208" width="28.6640625" style="785" bestFit="1" customWidth="1"/>
    <col min="209" max="210" width="2" style="785" bestFit="1" customWidth="1"/>
    <col min="211" max="211" width="28.6640625" style="785" bestFit="1" customWidth="1"/>
    <col min="212" max="213" width="2" style="785" bestFit="1" customWidth="1"/>
    <col min="214" max="214" width="28.6640625" style="785" bestFit="1" customWidth="1"/>
    <col min="215" max="216" width="2" style="785" bestFit="1" customWidth="1"/>
    <col min="217" max="217" width="28.6640625" style="785" bestFit="1" customWidth="1"/>
    <col min="218" max="219" width="2" style="785" bestFit="1" customWidth="1"/>
    <col min="220" max="220" width="28.6640625" style="785" bestFit="1" customWidth="1"/>
    <col min="221" max="222" width="2" style="785" bestFit="1" customWidth="1"/>
    <col min="223" max="223" width="28.6640625" style="785" bestFit="1" customWidth="1"/>
    <col min="224" max="225" width="2" style="785" bestFit="1" customWidth="1"/>
    <col min="226" max="226" width="28.6640625" style="785" bestFit="1" customWidth="1"/>
    <col min="227" max="228" width="2" style="785" bestFit="1" customWidth="1"/>
    <col min="229" max="229" width="28.6640625" style="785" bestFit="1" customWidth="1"/>
    <col min="230" max="231" width="2" style="785" bestFit="1" customWidth="1"/>
    <col min="232" max="232" width="28.6640625" style="785" bestFit="1" customWidth="1"/>
    <col min="233" max="234" width="2" style="785" bestFit="1" customWidth="1"/>
    <col min="235" max="235" width="28.6640625" style="785" bestFit="1" customWidth="1"/>
    <col min="236" max="237" width="2" style="785" bestFit="1" customWidth="1"/>
    <col min="238" max="238" width="28.6640625" style="785" bestFit="1" customWidth="1"/>
    <col min="239" max="240" width="2" style="785" bestFit="1" customWidth="1"/>
    <col min="241" max="241" width="28.6640625" style="785" bestFit="1" customWidth="1"/>
    <col min="242" max="243" width="2" style="785" bestFit="1" customWidth="1"/>
    <col min="244" max="244" width="28.6640625" style="785" bestFit="1" customWidth="1"/>
    <col min="245" max="246" width="2" style="785" bestFit="1" customWidth="1"/>
    <col min="247" max="247" width="28.6640625" style="785" bestFit="1" customWidth="1"/>
    <col min="248" max="249" width="2" style="785" bestFit="1" customWidth="1"/>
    <col min="250" max="250" width="28.6640625" style="785" bestFit="1" customWidth="1"/>
    <col min="251" max="252" width="2" style="785" bestFit="1" customWidth="1"/>
    <col min="253" max="253" width="28.6640625" style="785" bestFit="1" customWidth="1"/>
    <col min="254" max="255" width="2" style="785" bestFit="1" customWidth="1"/>
    <col min="256" max="256" width="28.6640625" style="785" bestFit="1" customWidth="1"/>
    <col min="257" max="258" width="2" style="785" bestFit="1" customWidth="1"/>
    <col min="259" max="259" width="28.6640625" style="785" bestFit="1" customWidth="1"/>
    <col min="260" max="261" width="2" style="785" bestFit="1" customWidth="1"/>
    <col min="262" max="262" width="28.6640625" style="785" bestFit="1" customWidth="1"/>
    <col min="263" max="264" width="2" style="785" bestFit="1" customWidth="1"/>
    <col min="265" max="265" width="28.6640625" style="785" bestFit="1" customWidth="1"/>
    <col min="266" max="267" width="2" style="785" bestFit="1" customWidth="1"/>
    <col min="268" max="268" width="28.6640625" style="785" bestFit="1" customWidth="1"/>
    <col min="269" max="270" width="2" style="785" bestFit="1" customWidth="1"/>
    <col min="271" max="271" width="28.6640625" style="785" bestFit="1" customWidth="1"/>
    <col min="272" max="273" width="2" style="785" bestFit="1" customWidth="1"/>
    <col min="274" max="274" width="28.6640625" style="785" bestFit="1" customWidth="1"/>
    <col min="275" max="276" width="2" style="785" bestFit="1" customWidth="1"/>
    <col min="277" max="277" width="28.6640625" style="785" bestFit="1" customWidth="1"/>
    <col min="278" max="279" width="2" style="785" bestFit="1" customWidth="1"/>
    <col min="280" max="280" width="28.6640625" style="785" bestFit="1" customWidth="1"/>
    <col min="281" max="282" width="2" style="785" bestFit="1" customWidth="1"/>
    <col min="283" max="283" width="28.6640625" style="785" bestFit="1" customWidth="1"/>
    <col min="284" max="285" width="2" style="785" bestFit="1" customWidth="1"/>
    <col min="286" max="286" width="28.6640625" style="785" bestFit="1" customWidth="1"/>
    <col min="287" max="288" width="2" style="785" bestFit="1" customWidth="1"/>
    <col min="289" max="289" width="28.6640625" style="785" bestFit="1" customWidth="1"/>
    <col min="290" max="291" width="2" style="785" bestFit="1" customWidth="1"/>
    <col min="292" max="292" width="28.6640625" style="785" bestFit="1" customWidth="1"/>
    <col min="293" max="294" width="2" style="785" bestFit="1" customWidth="1"/>
    <col min="295" max="295" width="28.6640625" style="785" bestFit="1" customWidth="1"/>
    <col min="296" max="297" width="2" style="785" bestFit="1" customWidth="1"/>
    <col min="298" max="298" width="28.6640625" style="785" bestFit="1" customWidth="1"/>
    <col min="299" max="300" width="2" style="785" bestFit="1" customWidth="1"/>
    <col min="301" max="301" width="28.6640625" style="785" bestFit="1" customWidth="1"/>
    <col min="302" max="303" width="2" style="785" bestFit="1" customWidth="1"/>
    <col min="304" max="304" width="28.6640625" style="785" bestFit="1" customWidth="1"/>
    <col min="305" max="306" width="2" style="785" bestFit="1" customWidth="1"/>
    <col min="307" max="307" width="28.6640625" style="785" bestFit="1" customWidth="1"/>
    <col min="308" max="309" width="2" style="785" bestFit="1" customWidth="1"/>
    <col min="310" max="310" width="28.6640625" style="785" bestFit="1" customWidth="1"/>
    <col min="311" max="312" width="2" style="785" bestFit="1" customWidth="1"/>
    <col min="313" max="313" width="28.6640625" style="785" bestFit="1" customWidth="1"/>
    <col min="314" max="315" width="2" style="785" bestFit="1" customWidth="1"/>
    <col min="316" max="316" width="28.6640625" style="785" bestFit="1" customWidth="1"/>
    <col min="317" max="318" width="2" style="785" bestFit="1" customWidth="1"/>
    <col min="319" max="319" width="8.21875" style="785"/>
    <col min="320" max="320" width="2" style="785" bestFit="1" customWidth="1"/>
    <col min="321" max="322" width="8.21875" style="785"/>
    <col min="323" max="323" width="2" style="785" bestFit="1" customWidth="1"/>
    <col min="324" max="325" width="8.21875" style="785"/>
    <col min="326" max="326" width="2" style="785" bestFit="1" customWidth="1"/>
    <col min="327" max="328" width="8.21875" style="785"/>
    <col min="329" max="329" width="2" style="785" bestFit="1" customWidth="1"/>
    <col min="330" max="331" width="8.21875" style="785"/>
    <col min="332" max="332" width="2" style="785" bestFit="1" customWidth="1"/>
    <col min="333" max="334" width="8.21875" style="785"/>
    <col min="335" max="335" width="2" style="785" bestFit="1" customWidth="1"/>
    <col min="336" max="337" width="8.21875" style="785"/>
    <col min="338" max="338" width="2" style="785" bestFit="1" customWidth="1"/>
    <col min="339" max="340" width="8.21875" style="785"/>
    <col min="341" max="341" width="2" style="785" bestFit="1" customWidth="1"/>
    <col min="342" max="343" width="8.21875" style="785"/>
    <col min="344" max="344" width="2" style="785" bestFit="1" customWidth="1"/>
    <col min="345" max="346" width="8.21875" style="785"/>
    <col min="347" max="347" width="2" style="785" bestFit="1" customWidth="1"/>
    <col min="348" max="349" width="8.21875" style="785"/>
    <col min="350" max="350" width="2" style="785" bestFit="1" customWidth="1"/>
    <col min="351" max="352" width="8.21875" style="785"/>
    <col min="353" max="353" width="2" style="785" bestFit="1" customWidth="1"/>
    <col min="354" max="355" width="8.21875" style="785"/>
    <col min="356" max="356" width="2" style="785" bestFit="1" customWidth="1"/>
    <col min="357" max="358" width="8.21875" style="785"/>
    <col min="359" max="359" width="2" style="785" bestFit="1" customWidth="1"/>
    <col min="360" max="361" width="8.21875" style="785"/>
    <col min="362" max="362" width="2" style="785" bestFit="1" customWidth="1"/>
    <col min="363" max="364" width="8.21875" style="785"/>
    <col min="365" max="365" width="2" style="785" bestFit="1" customWidth="1"/>
    <col min="366" max="367" width="8.21875" style="785"/>
    <col min="368" max="368" width="2" style="785" bestFit="1" customWidth="1"/>
    <col min="369" max="370" width="8.21875" style="785"/>
    <col min="371" max="371" width="2" style="785" bestFit="1" customWidth="1"/>
    <col min="372" max="373" width="8.21875" style="785"/>
    <col min="374" max="374" width="2" style="785" bestFit="1" customWidth="1"/>
    <col min="375" max="376" width="8.21875" style="785"/>
    <col min="377" max="377" width="2" style="785" bestFit="1" customWidth="1"/>
    <col min="378" max="379" width="8.21875" style="785"/>
    <col min="380" max="380" width="2" style="785" bestFit="1" customWidth="1"/>
    <col min="381" max="382" width="8.21875" style="785"/>
    <col min="383" max="383" width="2" style="785" bestFit="1" customWidth="1"/>
    <col min="384" max="385" width="8.21875" style="785"/>
    <col min="386" max="386" width="2" style="785" bestFit="1" customWidth="1"/>
    <col min="387" max="388" width="8.21875" style="785"/>
    <col min="389" max="389" width="2" style="785" bestFit="1" customWidth="1"/>
    <col min="390" max="391" width="8.21875" style="785"/>
    <col min="392" max="392" width="2" style="785" bestFit="1" customWidth="1"/>
    <col min="393" max="394" width="8.21875" style="785"/>
    <col min="395" max="395" width="2" style="785" bestFit="1" customWidth="1"/>
    <col min="396" max="397" width="8.21875" style="785"/>
    <col min="398" max="398" width="2" style="785" bestFit="1" customWidth="1"/>
    <col min="399" max="400" width="8.21875" style="785"/>
    <col min="401" max="401" width="2" style="785" bestFit="1" customWidth="1"/>
    <col min="402" max="403" width="8.21875" style="785"/>
    <col min="404" max="404" width="2" style="785" bestFit="1" customWidth="1"/>
    <col min="405" max="406" width="8.21875" style="785"/>
    <col min="407" max="407" width="2" style="785" bestFit="1" customWidth="1"/>
    <col min="408" max="409" width="8.21875" style="785"/>
    <col min="410" max="410" width="2" style="785" bestFit="1" customWidth="1"/>
    <col min="411" max="412" width="8.21875" style="785"/>
    <col min="413" max="413" width="2" style="785" bestFit="1" customWidth="1"/>
    <col min="414" max="415" width="8.21875" style="785"/>
    <col min="416" max="416" width="2" style="785" bestFit="1" customWidth="1"/>
    <col min="417" max="418" width="8.21875" style="785"/>
    <col min="419" max="419" width="2" style="785" bestFit="1" customWidth="1"/>
    <col min="420" max="421" width="8.21875" style="785"/>
    <col min="422" max="422" width="2" style="785" bestFit="1" customWidth="1"/>
    <col min="423" max="424" width="8.21875" style="785"/>
    <col min="425" max="425" width="2" style="785" bestFit="1" customWidth="1"/>
    <col min="426" max="427" width="8.21875" style="785"/>
    <col min="428" max="428" width="2" style="785" bestFit="1" customWidth="1"/>
    <col min="429" max="430" width="8.21875" style="785"/>
    <col min="431" max="431" width="2" style="785" bestFit="1" customWidth="1"/>
    <col min="432" max="433" width="8.21875" style="785"/>
    <col min="434" max="434" width="2" style="785" bestFit="1" customWidth="1"/>
    <col min="435" max="436" width="8.21875" style="785"/>
    <col min="437" max="437" width="2" style="785" bestFit="1" customWidth="1"/>
    <col min="438" max="439" width="8.21875" style="785"/>
    <col min="440" max="440" width="2" style="785" bestFit="1" customWidth="1"/>
    <col min="441" max="442" width="8.21875" style="785"/>
    <col min="443" max="443" width="2" style="785" bestFit="1" customWidth="1"/>
    <col min="444" max="445" width="8.21875" style="785"/>
    <col min="446" max="446" width="2" style="785" bestFit="1" customWidth="1"/>
    <col min="447" max="448" width="8.21875" style="785"/>
    <col min="449" max="449" width="2" style="785" bestFit="1" customWidth="1"/>
    <col min="450" max="451" width="8.21875" style="785"/>
    <col min="452" max="452" width="2" style="785" bestFit="1" customWidth="1"/>
    <col min="453" max="454" width="8.21875" style="785"/>
    <col min="455" max="455" width="2" style="785" bestFit="1" customWidth="1"/>
    <col min="456" max="457" width="8.21875" style="785"/>
    <col min="458" max="458" width="2" style="785" bestFit="1" customWidth="1"/>
    <col min="459" max="460" width="8.21875" style="785"/>
    <col min="461" max="461" width="2" style="785" bestFit="1" customWidth="1"/>
    <col min="462" max="463" width="8.21875" style="785"/>
    <col min="464" max="464" width="2" style="785" bestFit="1" customWidth="1"/>
    <col min="465" max="16384" width="8.21875" style="785"/>
  </cols>
  <sheetData>
    <row r="1" spans="1:318" s="784" customFormat="1">
      <c r="A1" s="64"/>
      <c r="B1" s="64"/>
      <c r="C1" s="64"/>
      <c r="D1" s="64"/>
      <c r="E1" s="109"/>
      <c r="F1" s="721"/>
      <c r="G1" s="49"/>
      <c r="H1" s="49"/>
      <c r="I1" s="64"/>
      <c r="J1" s="91"/>
      <c r="K1" s="662"/>
      <c r="L1" s="64"/>
      <c r="M1" s="86"/>
      <c r="N1" s="25"/>
      <c r="O1" s="25"/>
      <c r="P1" s="25"/>
      <c r="Q1" s="25"/>
      <c r="R1" s="49"/>
      <c r="S1" s="86">
        <f ca="1">+IFERROR(RANK(S2,OFFSET($S$2,0,0,1,$D$5*3),0),"-")</f>
        <v>28</v>
      </c>
      <c r="T1" s="86" t="str">
        <f t="shared" ref="T1:X1" ca="1" si="0">+IFERROR(RANK(T2,OFFSET($S$2,0,0,1,$D$5*3),0),"-")</f>
        <v>-</v>
      </c>
      <c r="U1" s="86" t="str">
        <f t="shared" ca="1" si="0"/>
        <v>-</v>
      </c>
      <c r="V1" s="86">
        <f t="shared" ca="1" si="0"/>
        <v>1</v>
      </c>
      <c r="W1" s="86" t="str">
        <f t="shared" ca="1" si="0"/>
        <v>-</v>
      </c>
      <c r="X1" s="86" t="str">
        <f t="shared" ca="1" si="0"/>
        <v>-</v>
      </c>
      <c r="Y1" s="86">
        <f ca="1">+IFERROR(RANK(Y2,OFFSET($S$2,0,0,1,$D$5*3),0),"-")</f>
        <v>20</v>
      </c>
      <c r="Z1" s="86"/>
      <c r="AA1" s="64"/>
      <c r="AB1" s="86">
        <f ca="1">+IFERROR(RANK(AB2,OFFSET($S$2,0,0,1,$D$5*3),0),"-")</f>
        <v>18</v>
      </c>
      <c r="AC1" s="86"/>
      <c r="AD1" s="64"/>
      <c r="AE1" s="86">
        <f ca="1">+IFERROR(RANK(AE2,OFFSET($S$2,0,0,1,$D$5*3),0),"-")</f>
        <v>3</v>
      </c>
      <c r="AF1" s="86"/>
      <c r="AG1" s="64"/>
      <c r="AH1" s="86">
        <f ca="1">+IFERROR(RANK(AH2,OFFSET($S$2,0,0,1,$D$5*3),0),"-")</f>
        <v>21</v>
      </c>
      <c r="AI1" s="86" t="str">
        <f t="shared" ref="AI1" ca="1" si="1">+IFERROR(RANK(AI2,OFFSET($S$2,0,0,1,$D$5*3),0),"-")</f>
        <v>-</v>
      </c>
      <c r="AJ1" s="86" t="str">
        <f t="shared" ref="AJ1" ca="1" si="2">+IFERROR(RANK(AJ2,OFFSET($S$2,0,0,1,$D$5*3),0),"-")</f>
        <v>-</v>
      </c>
      <c r="AK1" s="86">
        <f t="shared" ref="AK1" ca="1" si="3">+IFERROR(RANK(AK2,OFFSET($S$2,0,0,1,$D$5*3),0),"-")</f>
        <v>9</v>
      </c>
      <c r="AL1" s="86" t="str">
        <f t="shared" ref="AL1" ca="1" si="4">+IFERROR(RANK(AL2,OFFSET($S$2,0,0,1,$D$5*3),0),"-")</f>
        <v>-</v>
      </c>
      <c r="AM1" s="86" t="str">
        <f t="shared" ref="AM1" ca="1" si="5">+IFERROR(RANK(AM2,OFFSET($S$2,0,0,1,$D$5*3),0),"-")</f>
        <v>-</v>
      </c>
      <c r="AN1" s="86">
        <f ca="1">+IFERROR(RANK(AN2,OFFSET($S$2,0,0,1,$D$5*3),0),"-")</f>
        <v>2</v>
      </c>
      <c r="AO1" s="86"/>
      <c r="AP1" s="64"/>
      <c r="AQ1" s="86">
        <f ca="1">+IFERROR(RANK(AQ2,OFFSET($S$2,0,0,1,$D$5*3),0),"-")</f>
        <v>10</v>
      </c>
      <c r="AR1" s="86"/>
      <c r="AS1" s="64"/>
      <c r="AT1" s="86">
        <f ca="1">+IFERROR(RANK(AT2,OFFSET($S$2,0,0,1,$D$5*3),0),"-")</f>
        <v>11</v>
      </c>
      <c r="AU1" s="86"/>
      <c r="AV1" s="64"/>
      <c r="AW1" s="86">
        <f ca="1">+IFERROR(RANK(AW2,OFFSET($S$2,0,0,1,$D$5*3),0),"-")</f>
        <v>4</v>
      </c>
      <c r="AX1" s="86" t="str">
        <f t="shared" ref="AX1" ca="1" si="6">+IFERROR(RANK(AX2,OFFSET($S$2,0,0,1,$D$5*3),0),"-")</f>
        <v>-</v>
      </c>
      <c r="AY1" s="86" t="str">
        <f t="shared" ref="AY1" ca="1" si="7">+IFERROR(RANK(AY2,OFFSET($S$2,0,0,1,$D$5*3),0),"-")</f>
        <v>-</v>
      </c>
      <c r="AZ1" s="86">
        <f t="shared" ref="AZ1" ca="1" si="8">+IFERROR(RANK(AZ2,OFFSET($S$2,0,0,1,$D$5*3),0),"-")</f>
        <v>22</v>
      </c>
      <c r="BA1" s="86" t="str">
        <f t="shared" ref="BA1" ca="1" si="9">+IFERROR(RANK(BA2,OFFSET($S$2,0,0,1,$D$5*3),0),"-")</f>
        <v>-</v>
      </c>
      <c r="BB1" s="86" t="str">
        <f t="shared" ref="BB1" ca="1" si="10">+IFERROR(RANK(BB2,OFFSET($S$2,0,0,1,$D$5*3),0),"-")</f>
        <v>-</v>
      </c>
      <c r="BC1" s="86">
        <f ca="1">+IFERROR(RANK(BC2,OFFSET($S$2,0,0,1,$D$5*3),0),"-")</f>
        <v>29</v>
      </c>
      <c r="BD1" s="86"/>
      <c r="BE1" s="64"/>
      <c r="BF1" s="86">
        <f ca="1">+IFERROR(RANK(BF2,OFFSET($S$2,0,0,1,$D$5*3),0),"-")</f>
        <v>30</v>
      </c>
      <c r="BG1" s="86"/>
      <c r="BH1" s="64"/>
      <c r="BI1" s="86">
        <f ca="1">+IFERROR(RANK(BI2,OFFSET($S$2,0,0,1,$D$5*3),0),"-")</f>
        <v>5</v>
      </c>
      <c r="BJ1" s="86"/>
      <c r="BK1" s="64"/>
      <c r="BL1" s="86">
        <f ca="1">+IFERROR(RANK(BL2,OFFSET($S$2,0,0,1,$D$5*3),0),"-")</f>
        <v>31</v>
      </c>
      <c r="BM1" s="86" t="str">
        <f t="shared" ref="BM1" ca="1" si="11">+IFERROR(RANK(BM2,OFFSET($S$2,0,0,1,$D$5*3),0),"-")</f>
        <v>-</v>
      </c>
      <c r="BN1" s="86" t="str">
        <f t="shared" ref="BN1" ca="1" si="12">+IFERROR(RANK(BN2,OFFSET($S$2,0,0,1,$D$5*3),0),"-")</f>
        <v>-</v>
      </c>
      <c r="BO1" s="86">
        <f t="shared" ref="BO1" ca="1" si="13">+IFERROR(RANK(BO2,OFFSET($S$2,0,0,1,$D$5*3),0),"-")</f>
        <v>12</v>
      </c>
      <c r="BP1" s="86" t="str">
        <f t="shared" ref="BP1" ca="1" si="14">+IFERROR(RANK(BP2,OFFSET($S$2,0,0,1,$D$5*3),0),"-")</f>
        <v>-</v>
      </c>
      <c r="BQ1" s="86" t="str">
        <f t="shared" ref="BQ1" ca="1" si="15">+IFERROR(RANK(BQ2,OFFSET($S$2,0,0,1,$D$5*3),0),"-")</f>
        <v>-</v>
      </c>
      <c r="BR1" s="86">
        <f ca="1">+IFERROR(RANK(BR2,OFFSET($S$2,0,0,1,$D$5*3),0),"-")</f>
        <v>13</v>
      </c>
      <c r="BS1" s="86"/>
      <c r="BT1" s="64"/>
      <c r="BU1" s="86">
        <f ca="1">+IFERROR(RANK(BU2,OFFSET($S$2,0,0,1,$D$5*3),0),"-")</f>
        <v>16</v>
      </c>
      <c r="BV1" s="86"/>
      <c r="BW1" s="64"/>
      <c r="BX1" s="86">
        <f ca="1">+IFERROR(RANK(BX2,OFFSET($S$2,0,0,1,$D$5*3),0),"-")</f>
        <v>6</v>
      </c>
      <c r="BY1" s="86"/>
      <c r="BZ1" s="64"/>
      <c r="CA1" s="86">
        <f ca="1">+IFERROR(RANK(CA2,OFFSET($S$2,0,0,1,$D$5*3),0),"-")</f>
        <v>7</v>
      </c>
      <c r="CB1" s="86" t="str">
        <f t="shared" ref="CB1" ca="1" si="16">+IFERROR(RANK(CB2,OFFSET($S$2,0,0,1,$D$5*3),0),"-")</f>
        <v>-</v>
      </c>
      <c r="CC1" s="86" t="str">
        <f t="shared" ref="CC1" ca="1" si="17">+IFERROR(RANK(CC2,OFFSET($S$2,0,0,1,$D$5*3),0),"-")</f>
        <v>-</v>
      </c>
      <c r="CD1" s="86">
        <f t="shared" ref="CD1" ca="1" si="18">+IFERROR(RANK(CD2,OFFSET($S$2,0,0,1,$D$5*3),0),"-")</f>
        <v>17</v>
      </c>
      <c r="CE1" s="86" t="str">
        <f t="shared" ref="CE1" ca="1" si="19">+IFERROR(RANK(CE2,OFFSET($S$2,0,0,1,$D$5*3),0),"-")</f>
        <v>-</v>
      </c>
      <c r="CF1" s="86" t="str">
        <f t="shared" ref="CF1" ca="1" si="20">+IFERROR(RANK(CF2,OFFSET($S$2,0,0,1,$D$5*3),0),"-")</f>
        <v>-</v>
      </c>
      <c r="CG1" s="86">
        <f ca="1">+IFERROR(RANK(CG2,OFFSET($S$2,0,0,1,$D$5*3),0),"-")</f>
        <v>14</v>
      </c>
      <c r="CH1" s="86"/>
      <c r="CI1" s="64"/>
      <c r="CJ1" s="86">
        <f ca="1">+IFERROR(RANK(CJ2,OFFSET($S$2,0,0,1,$D$5*3),0),"-")</f>
        <v>32</v>
      </c>
      <c r="CK1" s="86"/>
      <c r="CL1" s="64"/>
      <c r="CM1" s="86">
        <f ca="1">+IFERROR(RANK(CM2,OFFSET($S$2,0,0,1,$D$5*3),0),"-")</f>
        <v>15</v>
      </c>
      <c r="CN1" s="86"/>
      <c r="CO1" s="64"/>
      <c r="CP1" s="86">
        <f ca="1">+IFERROR(RANK(CP2,OFFSET($S$2,0,0,1,$D$5*3),0),"-")</f>
        <v>19</v>
      </c>
      <c r="CQ1" s="86" t="str">
        <f t="shared" ref="CQ1" ca="1" si="21">+IFERROR(RANK(CQ2,OFFSET($S$2,0,0,1,$D$5*3),0),"-")</f>
        <v>-</v>
      </c>
      <c r="CR1" s="86" t="str">
        <f t="shared" ref="CR1" ca="1" si="22">+IFERROR(RANK(CR2,OFFSET($S$2,0,0,1,$D$5*3),0),"-")</f>
        <v>-</v>
      </c>
      <c r="CS1" s="86">
        <f t="shared" ref="CS1" ca="1" si="23">+IFERROR(RANK(CS2,OFFSET($S$2,0,0,1,$D$5*3),0),"-")</f>
        <v>23</v>
      </c>
      <c r="CT1" s="86" t="str">
        <f t="shared" ref="CT1" ca="1" si="24">+IFERROR(RANK(CT2,OFFSET($S$2,0,0,1,$D$5*3),0),"-")</f>
        <v>-</v>
      </c>
      <c r="CU1" s="86" t="str">
        <f t="shared" ref="CU1" ca="1" si="25">+IFERROR(RANK(CU2,OFFSET($S$2,0,0,1,$D$5*3),0),"-")</f>
        <v>-</v>
      </c>
      <c r="CV1" s="86">
        <f ca="1">+IFERROR(RANK(CV2,OFFSET($S$2,0,0,1,$D$5*3),0),"-")</f>
        <v>24</v>
      </c>
      <c r="CW1" s="86"/>
      <c r="CX1" s="64"/>
      <c r="CY1" s="86">
        <f ca="1">+IFERROR(RANK(CY2,OFFSET($S$2,0,0,1,$D$5*3),0),"-")</f>
        <v>25</v>
      </c>
      <c r="CZ1" s="86"/>
      <c r="DA1" s="64"/>
      <c r="DB1" s="86">
        <f ca="1">+IFERROR(RANK(DB2,OFFSET($S$2,0,0,1,$D$5*3),0),"-")</f>
        <v>26</v>
      </c>
      <c r="DC1" s="86"/>
      <c r="DD1" s="64"/>
      <c r="DE1" s="86">
        <f ca="1">+IFERROR(RANK(DE2,OFFSET($S$2,0,0,1,$D$5*3),0),"-")</f>
        <v>8</v>
      </c>
      <c r="DF1" s="86" t="str">
        <f t="shared" ref="DF1" ca="1" si="26">+IFERROR(RANK(DF2,OFFSET($S$2,0,0,1,$D$5*3),0),"-")</f>
        <v>-</v>
      </c>
      <c r="DG1" s="86" t="str">
        <f t="shared" ref="DG1" ca="1" si="27">+IFERROR(RANK(DG2,OFFSET($S$2,0,0,1,$D$5*3),0),"-")</f>
        <v>-</v>
      </c>
      <c r="DH1" s="86">
        <f t="shared" ref="DH1" ca="1" si="28">+IFERROR(RANK(DH2,OFFSET($S$2,0,0,1,$D$5*3),0),"-")</f>
        <v>27</v>
      </c>
      <c r="DI1" s="86" t="str">
        <f t="shared" ref="DI1" ca="1" si="29">+IFERROR(RANK(DI2,OFFSET($S$2,0,0,1,$D$5*3),0),"-")</f>
        <v>-</v>
      </c>
      <c r="DJ1" s="86" t="str">
        <f t="shared" ref="DJ1" ca="1" si="30">+IFERROR(RANK(DJ2,OFFSET($S$2,0,0,1,$D$5*3),0),"-")</f>
        <v>-</v>
      </c>
      <c r="DK1" s="86">
        <f ca="1">+IFERROR(RANK(DK2,OFFSET($S$2,0,0,1,$D$5*3),0),"-")</f>
        <v>33</v>
      </c>
      <c r="DL1" s="86"/>
      <c r="DM1" s="64"/>
      <c r="DN1" s="86">
        <f ca="1">+IFERROR(RANK(DN2,OFFSET($S$2,0,0,1,$D$5*3),0),"-")</f>
        <v>34</v>
      </c>
      <c r="DO1" s="86"/>
      <c r="DP1" s="64"/>
      <c r="DQ1" s="86">
        <f ca="1">+IFERROR(RANK(DQ2,OFFSET($S$2,0,0,1,$D$5*3),0),"-")</f>
        <v>35</v>
      </c>
      <c r="DR1" s="86"/>
      <c r="DS1" s="64"/>
      <c r="DT1" s="86">
        <f ca="1">+IFERROR(RANK(DT2,OFFSET($S$2,0,0,1,$D$5*3),0),"-")</f>
        <v>36</v>
      </c>
      <c r="DU1" s="86" t="str">
        <f t="shared" ref="DU1" ca="1" si="31">+IFERROR(RANK(DU2,OFFSET($S$2,0,0,1,$D$5*3),0),"-")</f>
        <v>-</v>
      </c>
      <c r="DV1" s="86" t="str">
        <f t="shared" ref="DV1" ca="1" si="32">+IFERROR(RANK(DV2,OFFSET($S$2,0,0,1,$D$5*3),0),"-")</f>
        <v>-</v>
      </c>
      <c r="DW1" s="86" t="str">
        <f t="shared" ref="DW1" ca="1" si="33">+IFERROR(RANK(DW2,OFFSET($S$2,0,0,1,$D$5*3),0),"-")</f>
        <v>-</v>
      </c>
      <c r="DX1" s="86" t="str">
        <f t="shared" ref="DX1" ca="1" si="34">+IFERROR(RANK(DX2,OFFSET($S$2,0,0,1,$D$5*3),0),"-")</f>
        <v>-</v>
      </c>
      <c r="DY1" s="86" t="str">
        <f t="shared" ref="DY1" ca="1" si="35">+IFERROR(RANK(DY2,OFFSET($S$2,0,0,1,$D$5*3),0),"-")</f>
        <v>-</v>
      </c>
      <c r="DZ1" s="86" t="str">
        <f ca="1">+IFERROR(RANK(DZ2,OFFSET($S$2,0,0,1,$D$5*3),0),"-")</f>
        <v>-</v>
      </c>
      <c r="EA1" s="86"/>
      <c r="EB1" s="64"/>
      <c r="EC1" s="86" t="str">
        <f ca="1">+IFERROR(RANK(EC2,OFFSET($S$2,0,0,1,$D$5*3),0),"-")</f>
        <v>-</v>
      </c>
      <c r="ED1" s="86"/>
      <c r="EE1" s="64"/>
      <c r="EF1" s="86" t="str">
        <f ca="1">+IFERROR(RANK(EF2,OFFSET($S$2,0,0,1,$D$5*3),0),"-")</f>
        <v>-</v>
      </c>
      <c r="EG1" s="86"/>
      <c r="EH1" s="64"/>
      <c r="EI1" s="86" t="str">
        <f ca="1">+IFERROR(RANK(EI2,OFFSET($S$2,0,0,1,$D$5*3),0),"-")</f>
        <v>-</v>
      </c>
      <c r="EJ1" s="86" t="str">
        <f t="shared" ref="EJ1" ca="1" si="36">+IFERROR(RANK(EJ2,OFFSET($S$2,0,0,1,$D$5*3),0),"-")</f>
        <v>-</v>
      </c>
      <c r="EK1" s="86" t="str">
        <f t="shared" ref="EK1" ca="1" si="37">+IFERROR(RANK(EK2,OFFSET($S$2,0,0,1,$D$5*3),0),"-")</f>
        <v>-</v>
      </c>
      <c r="EL1" s="86" t="str">
        <f t="shared" ref="EL1" ca="1" si="38">+IFERROR(RANK(EL2,OFFSET($S$2,0,0,1,$D$5*3),0),"-")</f>
        <v>-</v>
      </c>
      <c r="EM1" s="86" t="str">
        <f t="shared" ref="EM1" ca="1" si="39">+IFERROR(RANK(EM2,OFFSET($S$2,0,0,1,$D$5*3),0),"-")</f>
        <v>-</v>
      </c>
      <c r="EN1" s="86" t="str">
        <f t="shared" ref="EN1" ca="1" si="40">+IFERROR(RANK(EN2,OFFSET($S$2,0,0,1,$D$5*3),0),"-")</f>
        <v>-</v>
      </c>
      <c r="EO1" s="86" t="str">
        <f ca="1">+IFERROR(RANK(EO2,OFFSET($S$2,0,0,1,$D$5*3),0),"-")</f>
        <v>-</v>
      </c>
      <c r="EP1" s="86"/>
      <c r="EQ1" s="64"/>
      <c r="ER1" s="86" t="str">
        <f ca="1">+IFERROR(RANK(ER2,OFFSET($S$2,0,0,1,$D$5*3),0),"-")</f>
        <v>-</v>
      </c>
      <c r="ES1" s="86"/>
      <c r="ET1" s="64"/>
      <c r="EU1" s="86" t="str">
        <f ca="1">+IFERROR(RANK(EU2,OFFSET($S$2,0,0,1,$D$5*3),0),"-")</f>
        <v>-</v>
      </c>
      <c r="EV1" s="86"/>
      <c r="EW1" s="64"/>
      <c r="EX1" s="86" t="str">
        <f ca="1">+IFERROR(RANK(EX2,OFFSET($S$2,0,0,1,$D$5*3),0),"-")</f>
        <v>-</v>
      </c>
      <c r="EY1" s="86" t="str">
        <f t="shared" ref="EY1" ca="1" si="41">+IFERROR(RANK(EY2,OFFSET($S$2,0,0,1,$D$5*3),0),"-")</f>
        <v>-</v>
      </c>
      <c r="EZ1" s="86" t="str">
        <f t="shared" ref="EZ1" ca="1" si="42">+IFERROR(RANK(EZ2,OFFSET($S$2,0,0,1,$D$5*3),0),"-")</f>
        <v>-</v>
      </c>
      <c r="FA1" s="86" t="str">
        <f t="shared" ref="FA1" ca="1" si="43">+IFERROR(RANK(FA2,OFFSET($S$2,0,0,1,$D$5*3),0),"-")</f>
        <v>-</v>
      </c>
      <c r="FB1" s="86" t="str">
        <f t="shared" ref="FB1" ca="1" si="44">+IFERROR(RANK(FB2,OFFSET($S$2,0,0,1,$D$5*3),0),"-")</f>
        <v>-</v>
      </c>
      <c r="FC1" s="86" t="str">
        <f t="shared" ref="FC1" ca="1" si="45">+IFERROR(RANK(FC2,OFFSET($S$2,0,0,1,$D$5*3),0),"-")</f>
        <v>-</v>
      </c>
      <c r="FD1" s="86" t="str">
        <f ca="1">+IFERROR(RANK(FD2,OFFSET($S$2,0,0,1,$D$5*3),0),"-")</f>
        <v>-</v>
      </c>
      <c r="FE1" s="86"/>
      <c r="FF1" s="64"/>
      <c r="FG1" s="86" t="str">
        <f ca="1">+IFERROR(RANK(FG2,OFFSET($S$2,0,0,1,$D$5*3),0),"-")</f>
        <v>-</v>
      </c>
      <c r="FH1" s="86"/>
      <c r="FI1" s="64"/>
      <c r="FJ1" s="86" t="str">
        <f ca="1">+IFERROR(RANK(FJ2,OFFSET($S$2,0,0,1,$D$5*3),0),"-")</f>
        <v>-</v>
      </c>
      <c r="FK1" s="86"/>
      <c r="FL1" s="64"/>
      <c r="FM1" s="86" t="str">
        <f ca="1">+IFERROR(RANK(FM2,OFFSET($S$2,0,0,1,$D$5*3),0),"-")</f>
        <v>-</v>
      </c>
      <c r="FN1" s="86" t="str">
        <f t="shared" ref="FN1" ca="1" si="46">+IFERROR(RANK(FN2,OFFSET($S$2,0,0,1,$D$5*3),0),"-")</f>
        <v>-</v>
      </c>
      <c r="FO1" s="86" t="str">
        <f t="shared" ref="FO1" ca="1" si="47">+IFERROR(RANK(FO2,OFFSET($S$2,0,0,1,$D$5*3),0),"-")</f>
        <v>-</v>
      </c>
      <c r="FP1" s="86" t="str">
        <f t="shared" ref="FP1" ca="1" si="48">+IFERROR(RANK(FP2,OFFSET($S$2,0,0,1,$D$5*3),0),"-")</f>
        <v>-</v>
      </c>
      <c r="FQ1" s="86" t="str">
        <f t="shared" ref="FQ1" ca="1" si="49">+IFERROR(RANK(FQ2,OFFSET($S$2,0,0,1,$D$5*3),0),"-")</f>
        <v>-</v>
      </c>
      <c r="FR1" s="86" t="str">
        <f t="shared" ref="FR1" ca="1" si="50">+IFERROR(RANK(FR2,OFFSET($S$2,0,0,1,$D$5*3),0),"-")</f>
        <v>-</v>
      </c>
      <c r="FS1" s="86" t="str">
        <f ca="1">+IFERROR(RANK(FS2,OFFSET($S$2,0,0,1,$D$5*3),0),"-")</f>
        <v>-</v>
      </c>
      <c r="FT1" s="86"/>
      <c r="FU1" s="64"/>
      <c r="FV1" s="86" t="str">
        <f ca="1">+IFERROR(RANK(FV2,OFFSET($S$2,0,0,1,$D$5*3),0),"-")</f>
        <v>-</v>
      </c>
      <c r="FW1" s="86"/>
      <c r="FX1" s="64"/>
      <c r="FY1" s="86" t="str">
        <f ca="1">+IFERROR(RANK(FY2,OFFSET($S$2,0,0,1,$D$5*3),0),"-")</f>
        <v>-</v>
      </c>
      <c r="FZ1" s="86"/>
      <c r="GA1" s="64"/>
      <c r="GB1" s="86" t="str">
        <f ca="1">+IFERROR(RANK(GB2,OFFSET($S$2,0,0,1,$D$5*3),0),"-")</f>
        <v>-</v>
      </c>
      <c r="GC1" s="86" t="str">
        <f t="shared" ref="GC1" ca="1" si="51">+IFERROR(RANK(GC2,OFFSET($S$2,0,0,1,$D$5*3),0),"-")</f>
        <v>-</v>
      </c>
      <c r="GD1" s="86" t="str">
        <f t="shared" ref="GD1" ca="1" si="52">+IFERROR(RANK(GD2,OFFSET($S$2,0,0,1,$D$5*3),0),"-")</f>
        <v>-</v>
      </c>
      <c r="GE1" s="86" t="str">
        <f t="shared" ref="GE1" ca="1" si="53">+IFERROR(RANK(GE2,OFFSET($S$2,0,0,1,$D$5*3),0),"-")</f>
        <v>-</v>
      </c>
      <c r="GF1" s="86" t="str">
        <f t="shared" ref="GF1" ca="1" si="54">+IFERROR(RANK(GF2,OFFSET($S$2,0,0,1,$D$5*3),0),"-")</f>
        <v>-</v>
      </c>
      <c r="GG1" s="86" t="str">
        <f t="shared" ref="GG1" ca="1" si="55">+IFERROR(RANK(GG2,OFFSET($S$2,0,0,1,$D$5*3),0),"-")</f>
        <v>-</v>
      </c>
      <c r="GH1" s="86" t="str">
        <f ca="1">+IFERROR(RANK(GH2,OFFSET($S$2,0,0,1,$D$5*3),0),"-")</f>
        <v>-</v>
      </c>
      <c r="GI1" s="86"/>
      <c r="GJ1" s="64"/>
      <c r="GK1" s="86" t="str">
        <f ca="1">+IFERROR(RANK(GK2,OFFSET($S$2,0,0,1,$D$5*3),0),"-")</f>
        <v>-</v>
      </c>
      <c r="GL1" s="86"/>
      <c r="GM1" s="64"/>
      <c r="GN1" s="86" t="str">
        <f ca="1">+IFERROR(RANK(GN2,OFFSET($S$2,0,0,1,$D$5*3),0),"-")</f>
        <v>-</v>
      </c>
      <c r="GO1" s="86"/>
      <c r="GP1" s="64"/>
      <c r="GQ1" s="86" t="str">
        <f ca="1">+IFERROR(RANK(GQ2,OFFSET($S$2,0,0,1,$D$5*3),0),"-")</f>
        <v>-</v>
      </c>
      <c r="GR1" s="86" t="str">
        <f t="shared" ref="GR1" ca="1" si="56">+IFERROR(RANK(GR2,OFFSET($S$2,0,0,1,$D$5*3),0),"-")</f>
        <v>-</v>
      </c>
      <c r="GS1" s="86" t="str">
        <f t="shared" ref="GS1" ca="1" si="57">+IFERROR(RANK(GS2,OFFSET($S$2,0,0,1,$D$5*3),0),"-")</f>
        <v>-</v>
      </c>
      <c r="GT1" s="86" t="str">
        <f t="shared" ref="GT1" ca="1" si="58">+IFERROR(RANK(GT2,OFFSET($S$2,0,0,1,$D$5*3),0),"-")</f>
        <v>-</v>
      </c>
      <c r="GU1" s="86" t="str">
        <f t="shared" ref="GU1" ca="1" si="59">+IFERROR(RANK(GU2,OFFSET($S$2,0,0,1,$D$5*3),0),"-")</f>
        <v>-</v>
      </c>
      <c r="GV1" s="86" t="str">
        <f t="shared" ref="GV1" ca="1" si="60">+IFERROR(RANK(GV2,OFFSET($S$2,0,0,1,$D$5*3),0),"-")</f>
        <v>-</v>
      </c>
      <c r="GW1" s="86" t="str">
        <f ca="1">+IFERROR(RANK(GW2,OFFSET($S$2,0,0,1,$D$5*3),0),"-")</f>
        <v>-</v>
      </c>
      <c r="GX1" s="86"/>
      <c r="GY1" s="64"/>
      <c r="GZ1" s="86" t="str">
        <f ca="1">+IFERROR(RANK(GZ2,OFFSET($S$2,0,0,1,$D$5*3),0),"-")</f>
        <v>-</v>
      </c>
      <c r="HA1" s="86"/>
      <c r="HB1" s="64"/>
      <c r="HC1" s="86" t="str">
        <f ca="1">+IFERROR(RANK(HC2,OFFSET($S$2,0,0,1,$D$5*3),0),"-")</f>
        <v>-</v>
      </c>
      <c r="HD1" s="86"/>
      <c r="HE1" s="64"/>
      <c r="HF1" s="86" t="str">
        <f ca="1">+IFERROR(RANK(HF2,OFFSET($S$2,0,0,1,$D$5*3),0),"-")</f>
        <v>-</v>
      </c>
      <c r="HG1" s="86" t="str">
        <f t="shared" ref="HG1" ca="1" si="61">+IFERROR(RANK(HG2,OFFSET($S$2,0,0,1,$D$5*3),0),"-")</f>
        <v>-</v>
      </c>
      <c r="HH1" s="86" t="str">
        <f t="shared" ref="HH1" ca="1" si="62">+IFERROR(RANK(HH2,OFFSET($S$2,0,0,1,$D$5*3),0),"-")</f>
        <v>-</v>
      </c>
      <c r="HI1" s="86" t="str">
        <f t="shared" ref="HI1" ca="1" si="63">+IFERROR(RANK(HI2,OFFSET($S$2,0,0,1,$D$5*3),0),"-")</f>
        <v>-</v>
      </c>
      <c r="HJ1" s="86" t="str">
        <f t="shared" ref="HJ1" ca="1" si="64">+IFERROR(RANK(HJ2,OFFSET($S$2,0,0,1,$D$5*3),0),"-")</f>
        <v>-</v>
      </c>
      <c r="HK1" s="86" t="str">
        <f t="shared" ref="HK1" ca="1" si="65">+IFERROR(RANK(HK2,OFFSET($S$2,0,0,1,$D$5*3),0),"-")</f>
        <v>-</v>
      </c>
      <c r="HL1" s="86" t="str">
        <f ca="1">+IFERROR(RANK(HL2,OFFSET($S$2,0,0,1,$D$5*3),0),"-")</f>
        <v>-</v>
      </c>
      <c r="HM1" s="86"/>
      <c r="HN1" s="64"/>
      <c r="HO1" s="86" t="str">
        <f ca="1">+IFERROR(RANK(HO2,OFFSET($S$2,0,0,1,$D$5*3),0),"-")</f>
        <v>-</v>
      </c>
      <c r="HP1" s="86"/>
      <c r="HQ1" s="64"/>
      <c r="HR1" s="86" t="str">
        <f ca="1">+IFERROR(RANK(HR2,OFFSET($S$2,0,0,1,$D$5*3),0),"-")</f>
        <v>-</v>
      </c>
      <c r="HS1" s="86"/>
      <c r="HT1" s="64"/>
      <c r="HU1" s="86" t="str">
        <f ca="1">+IFERROR(RANK(HU2,OFFSET($S$2,0,0,1,$D$5*3),0),"-")</f>
        <v>-</v>
      </c>
      <c r="HV1" s="86" t="str">
        <f t="shared" ref="HV1" ca="1" si="66">+IFERROR(RANK(HV2,OFFSET($S$2,0,0,1,$D$5*3),0),"-")</f>
        <v>-</v>
      </c>
      <c r="HW1" s="86" t="str">
        <f t="shared" ref="HW1" ca="1" si="67">+IFERROR(RANK(HW2,OFFSET($S$2,0,0,1,$D$5*3),0),"-")</f>
        <v>-</v>
      </c>
      <c r="HX1" s="86" t="str">
        <f t="shared" ref="HX1" ca="1" si="68">+IFERROR(RANK(HX2,OFFSET($S$2,0,0,1,$D$5*3),0),"-")</f>
        <v>-</v>
      </c>
      <c r="HY1" s="86" t="str">
        <f t="shared" ref="HY1" ca="1" si="69">+IFERROR(RANK(HY2,OFFSET($S$2,0,0,1,$D$5*3),0),"-")</f>
        <v>-</v>
      </c>
      <c r="HZ1" s="86" t="str">
        <f t="shared" ref="HZ1" ca="1" si="70">+IFERROR(RANK(HZ2,OFFSET($S$2,0,0,1,$D$5*3),0),"-")</f>
        <v>-</v>
      </c>
      <c r="IA1" s="86" t="str">
        <f ca="1">+IFERROR(RANK(IA2,OFFSET($S$2,0,0,1,$D$5*3),0),"-")</f>
        <v>-</v>
      </c>
      <c r="IB1" s="86"/>
      <c r="IC1" s="64"/>
      <c r="ID1" s="86" t="str">
        <f ca="1">+IFERROR(RANK(ID2,OFFSET($S$2,0,0,1,$D$5*3),0),"-")</f>
        <v>-</v>
      </c>
      <c r="IE1" s="86"/>
      <c r="IF1" s="64"/>
      <c r="IG1" s="86" t="str">
        <f ca="1">+IFERROR(RANK(IG2,OFFSET($S$2,0,0,1,$D$5*3),0),"-")</f>
        <v>-</v>
      </c>
      <c r="IH1" s="86"/>
      <c r="II1" s="64"/>
      <c r="IJ1" s="86" t="str">
        <f ca="1">+IFERROR(RANK(IJ2,OFFSET($S$2,0,0,1,$D$5*3),0),"-")</f>
        <v>-</v>
      </c>
      <c r="IK1" s="86" t="str">
        <f t="shared" ref="IK1" ca="1" si="71">+IFERROR(RANK(IK2,OFFSET($S$2,0,0,1,$D$5*3),0),"-")</f>
        <v>-</v>
      </c>
      <c r="IL1" s="86" t="str">
        <f t="shared" ref="IL1" ca="1" si="72">+IFERROR(RANK(IL2,OFFSET($S$2,0,0,1,$D$5*3),0),"-")</f>
        <v>-</v>
      </c>
      <c r="IM1" s="86" t="str">
        <f t="shared" ref="IM1" ca="1" si="73">+IFERROR(RANK(IM2,OFFSET($S$2,0,0,1,$D$5*3),0),"-")</f>
        <v>-</v>
      </c>
      <c r="IN1" s="86" t="str">
        <f t="shared" ref="IN1" ca="1" si="74">+IFERROR(RANK(IN2,OFFSET($S$2,0,0,1,$D$5*3),0),"-")</f>
        <v>-</v>
      </c>
      <c r="IO1" s="86" t="str">
        <f t="shared" ref="IO1" ca="1" si="75">+IFERROR(RANK(IO2,OFFSET($S$2,0,0,1,$D$5*3),0),"-")</f>
        <v>-</v>
      </c>
      <c r="IP1" s="86" t="str">
        <f ca="1">+IFERROR(RANK(IP2,OFFSET($S$2,0,0,1,$D$5*3),0),"-")</f>
        <v>-</v>
      </c>
      <c r="IQ1" s="86"/>
      <c r="IR1" s="64"/>
      <c r="IS1" s="86" t="str">
        <f ca="1">+IFERROR(RANK(IS2,OFFSET($S$2,0,0,1,$D$5*3),0),"-")</f>
        <v>-</v>
      </c>
      <c r="IT1" s="86"/>
      <c r="IU1" s="64"/>
      <c r="IV1" s="86" t="str">
        <f ca="1">+IFERROR(RANK(IV2,OFFSET($S$2,0,0,1,$D$5*3),0),"-")</f>
        <v>-</v>
      </c>
      <c r="IW1" s="86"/>
      <c r="IX1" s="64"/>
      <c r="IY1" s="86" t="str">
        <f ca="1">+IFERROR(RANK(IY2,OFFSET($S$2,0,0,1,$D$5*3),0),"-")</f>
        <v>-</v>
      </c>
      <c r="IZ1" s="86" t="str">
        <f t="shared" ref="IZ1" ca="1" si="76">+IFERROR(RANK(IZ2,OFFSET($S$2,0,0,1,$D$5*3),0),"-")</f>
        <v>-</v>
      </c>
      <c r="JA1" s="86" t="str">
        <f t="shared" ref="JA1" ca="1" si="77">+IFERROR(RANK(JA2,OFFSET($S$2,0,0,1,$D$5*3),0),"-")</f>
        <v>-</v>
      </c>
      <c r="JB1" s="86" t="str">
        <f t="shared" ref="JB1" ca="1" si="78">+IFERROR(RANK(JB2,OFFSET($S$2,0,0,1,$D$5*3),0),"-")</f>
        <v>-</v>
      </c>
      <c r="JC1" s="86" t="str">
        <f t="shared" ref="JC1" ca="1" si="79">+IFERROR(RANK(JC2,OFFSET($S$2,0,0,1,$D$5*3),0),"-")</f>
        <v>-</v>
      </c>
      <c r="JD1" s="86" t="str">
        <f t="shared" ref="JD1" ca="1" si="80">+IFERROR(RANK(JD2,OFFSET($S$2,0,0,1,$D$5*3),0),"-")</f>
        <v>-</v>
      </c>
      <c r="JE1" s="86" t="str">
        <f ca="1">+IFERROR(RANK(JE2,OFFSET($S$2,0,0,1,$D$5*3),0),"-")</f>
        <v>-</v>
      </c>
      <c r="JF1" s="86"/>
      <c r="JG1" s="64"/>
      <c r="JH1" s="86" t="str">
        <f ca="1">+IFERROR(RANK(JH2,OFFSET($S$2,0,0,1,$D$5*3),0),"-")</f>
        <v>-</v>
      </c>
      <c r="JI1" s="86"/>
      <c r="JJ1" s="64"/>
      <c r="JK1" s="86" t="str">
        <f ca="1">+IFERROR(RANK(JK2,OFFSET($S$2,0,0,1,$D$5*3),0),"-")</f>
        <v>-</v>
      </c>
      <c r="JL1" s="86"/>
      <c r="JM1" s="64"/>
      <c r="JN1" s="86" t="str">
        <f ca="1">+IFERROR(RANK(JN2,OFFSET($S$2,0,0,1,$D$5*3),0),"-")</f>
        <v>-</v>
      </c>
      <c r="JO1" s="86" t="str">
        <f t="shared" ref="JO1" ca="1" si="81">+IFERROR(RANK(JO2,OFFSET($S$2,0,0,1,$D$5*3),0),"-")</f>
        <v>-</v>
      </c>
      <c r="JP1" s="86" t="str">
        <f t="shared" ref="JP1" ca="1" si="82">+IFERROR(RANK(JP2,OFFSET($S$2,0,0,1,$D$5*3),0),"-")</f>
        <v>-</v>
      </c>
      <c r="JQ1" s="86" t="str">
        <f t="shared" ref="JQ1" ca="1" si="83">+IFERROR(RANK(JQ2,OFFSET($S$2,0,0,1,$D$5*3),0),"-")</f>
        <v>-</v>
      </c>
      <c r="JR1" s="86" t="str">
        <f t="shared" ref="JR1" ca="1" si="84">+IFERROR(RANK(JR2,OFFSET($S$2,0,0,1,$D$5*3),0),"-")</f>
        <v>-</v>
      </c>
      <c r="JS1" s="86" t="str">
        <f t="shared" ref="JS1" ca="1" si="85">+IFERROR(RANK(JS2,OFFSET($S$2,0,0,1,$D$5*3),0),"-")</f>
        <v>-</v>
      </c>
      <c r="JT1" s="86" t="str">
        <f ca="1">+IFERROR(RANK(JT2,OFFSET($S$2,0,0,1,$D$5*3),0),"-")</f>
        <v>-</v>
      </c>
      <c r="JU1" s="86"/>
      <c r="JV1" s="64"/>
      <c r="JW1" s="86" t="str">
        <f ca="1">+IFERROR(RANK(JW2,OFFSET($S$2,0,0,1,$D$5*3),0),"-")</f>
        <v>-</v>
      </c>
      <c r="JX1" s="86"/>
      <c r="JY1" s="64"/>
      <c r="JZ1" s="86" t="str">
        <f ca="1">+IFERROR(RANK(JZ2,OFFSET($S$2,0,0,1,$D$5*3),0),"-")</f>
        <v>-</v>
      </c>
      <c r="KA1" s="86"/>
      <c r="KB1" s="64"/>
      <c r="KC1" s="86" t="str">
        <f ca="1">+IFERROR(RANK(KC2,OFFSET($S$2,0,0,1,$D$5*3),0),"-")</f>
        <v>-</v>
      </c>
      <c r="KD1" s="86" t="str">
        <f t="shared" ref="KD1" ca="1" si="86">+IFERROR(RANK(KD2,OFFSET($S$2,0,0,1,$D$5*3),0),"-")</f>
        <v>-</v>
      </c>
      <c r="KE1" s="86" t="str">
        <f t="shared" ref="KE1" ca="1" si="87">+IFERROR(RANK(KE2,OFFSET($S$2,0,0,1,$D$5*3),0),"-")</f>
        <v>-</v>
      </c>
      <c r="KF1" s="86" t="str">
        <f t="shared" ref="KF1" ca="1" si="88">+IFERROR(RANK(KF2,OFFSET($S$2,0,0,1,$D$5*3),0),"-")</f>
        <v>-</v>
      </c>
      <c r="KG1" s="86" t="str">
        <f t="shared" ref="KG1" ca="1" si="89">+IFERROR(RANK(KG2,OFFSET($S$2,0,0,1,$D$5*3),0),"-")</f>
        <v>-</v>
      </c>
      <c r="KH1" s="86" t="str">
        <f t="shared" ref="KH1" ca="1" si="90">+IFERROR(RANK(KH2,OFFSET($S$2,0,0,1,$D$5*3),0),"-")</f>
        <v>-</v>
      </c>
      <c r="KI1" s="86" t="str">
        <f ca="1">+IFERROR(RANK(KI2,OFFSET($S$2,0,0,1,$D$5*3),0),"-")</f>
        <v>-</v>
      </c>
      <c r="KJ1" s="86"/>
      <c r="KK1" s="64"/>
      <c r="KL1" s="86" t="str">
        <f ca="1">+IFERROR(RANK(KL2,OFFSET($S$2,0,0,1,$D$5*3),0),"-")</f>
        <v>-</v>
      </c>
      <c r="KM1" s="86"/>
      <c r="KN1" s="64"/>
      <c r="KO1" s="86" t="str">
        <f ca="1">+IFERROR(RANK(KO2,OFFSET($S$2,0,0,1,$D$5*3),0),"-")</f>
        <v>-</v>
      </c>
      <c r="KP1" s="86"/>
      <c r="KQ1" s="64"/>
      <c r="KR1" s="86" t="str">
        <f ca="1">+IFERROR(RANK(KR2,OFFSET($S$2,0,0,1,$D$5*3),0),"-")</f>
        <v>-</v>
      </c>
      <c r="KS1" s="86" t="str">
        <f t="shared" ref="KS1" ca="1" si="91">+IFERROR(RANK(KS2,OFFSET($S$2,0,0,1,$D$5*3),0),"-")</f>
        <v>-</v>
      </c>
      <c r="KT1" s="86" t="str">
        <f t="shared" ref="KT1" ca="1" si="92">+IFERROR(RANK(KT2,OFFSET($S$2,0,0,1,$D$5*3),0),"-")</f>
        <v>-</v>
      </c>
      <c r="KU1" s="86" t="str">
        <f t="shared" ref="KU1" ca="1" si="93">+IFERROR(RANK(KU2,OFFSET($S$2,0,0,1,$D$5*3),0),"-")</f>
        <v>-</v>
      </c>
      <c r="KV1" s="86" t="str">
        <f t="shared" ref="KV1" ca="1" si="94">+IFERROR(RANK(KV2,OFFSET($S$2,0,0,1,$D$5*3),0),"-")</f>
        <v>-</v>
      </c>
      <c r="KW1" s="86" t="str">
        <f t="shared" ref="KW1" ca="1" si="95">+IFERROR(RANK(KW2,OFFSET($S$2,0,0,1,$D$5*3),0),"-")</f>
        <v>-</v>
      </c>
      <c r="KX1" s="86" t="str">
        <f ca="1">+IFERROR(RANK(KX2,OFFSET($S$2,0,0,1,$D$5*3),0),"-")</f>
        <v>-</v>
      </c>
      <c r="KY1" s="86"/>
      <c r="KZ1" s="64"/>
      <c r="LA1" s="86" t="str">
        <f ca="1">+IFERROR(RANK(LA2,OFFSET($S$2,0,0,1,$D$5*3),0),"-")</f>
        <v>-</v>
      </c>
      <c r="LB1" s="86"/>
      <c r="LC1" s="64"/>
      <c r="LD1" s="86" t="str">
        <f ca="1">+IFERROR(RANK(LD2,OFFSET($S$2,0,0,1,$D$5*3),0),"-")</f>
        <v>-</v>
      </c>
      <c r="LE1" s="86"/>
      <c r="LF1" s="64"/>
    </row>
    <row r="2" spans="1:318" s="784" customFormat="1" ht="22.05" customHeight="1">
      <c r="A2" s="64"/>
      <c r="B2" s="17"/>
      <c r="C2" s="17"/>
      <c r="D2" s="64"/>
      <c r="E2" s="109"/>
      <c r="F2" s="721"/>
      <c r="G2" s="49"/>
      <c r="H2" s="49"/>
      <c r="I2" s="64"/>
      <c r="J2" s="91"/>
      <c r="K2" s="25"/>
      <c r="L2" s="64"/>
      <c r="M2" s="86"/>
      <c r="N2" s="25"/>
      <c r="O2" s="25"/>
      <c r="P2" s="25"/>
      <c r="Q2" s="25"/>
      <c r="R2" s="49"/>
      <c r="S2" s="86">
        <f ca="1">S4-(COLUMN()/10000)</f>
        <v>6.9981</v>
      </c>
      <c r="T2" s="86"/>
      <c r="U2" s="64"/>
      <c r="V2" s="86">
        <f t="shared" ref="V2" ca="1" si="96">V4-(COLUMN()/10000)</f>
        <v>36.997799999999998</v>
      </c>
      <c r="W2" s="86"/>
      <c r="X2" s="64"/>
      <c r="Y2" s="86">
        <f t="shared" ref="Y2" ca="1" si="97">Y4-(COLUMN()/10000)</f>
        <v>13.9975</v>
      </c>
      <c r="Z2" s="86"/>
      <c r="AA2" s="64"/>
      <c r="AB2" s="86">
        <f t="shared" ref="AB2" ca="1" si="98">AB4-(COLUMN()/10000)</f>
        <v>14.997199999999999</v>
      </c>
      <c r="AC2" s="86"/>
      <c r="AD2" s="64"/>
      <c r="AE2" s="86">
        <f t="shared" ref="AE2" ca="1" si="99">AE4-(COLUMN()/10000)</f>
        <v>28.9969</v>
      </c>
      <c r="AF2" s="86"/>
      <c r="AG2" s="64"/>
      <c r="AH2" s="86">
        <f ca="1">AH4-(COLUMN()/10000)</f>
        <v>13.996600000000001</v>
      </c>
      <c r="AI2" s="86"/>
      <c r="AJ2" s="64"/>
      <c r="AK2" s="86">
        <f t="shared" ref="AK2" ca="1" si="100">AK4-(COLUMN()/10000)</f>
        <v>21.996300000000002</v>
      </c>
      <c r="AL2" s="86"/>
      <c r="AM2" s="64"/>
      <c r="AN2" s="86">
        <f t="shared" ref="AN2" ca="1" si="101">AN4-(COLUMN()/10000)</f>
        <v>29.995999999999999</v>
      </c>
      <c r="AO2" s="86"/>
      <c r="AP2" s="64"/>
      <c r="AQ2" s="86">
        <f t="shared" ref="AQ2" ca="1" si="102">AQ4-(COLUMN()/10000)</f>
        <v>21.995699999999999</v>
      </c>
      <c r="AR2" s="86"/>
      <c r="AS2" s="64"/>
      <c r="AT2" s="86">
        <f t="shared" ref="AT2" ca="1" si="103">AT4-(COLUMN()/10000)</f>
        <v>21.9954</v>
      </c>
      <c r="AU2" s="86"/>
      <c r="AV2" s="64"/>
      <c r="AW2" s="86">
        <f ca="1">AW4-(COLUMN()/10000)</f>
        <v>28.995100000000001</v>
      </c>
      <c r="AX2" s="86"/>
      <c r="AY2" s="64"/>
      <c r="AZ2" s="86">
        <f t="shared" ref="AZ2" ca="1" si="104">AZ4-(COLUMN()/10000)</f>
        <v>13.9948</v>
      </c>
      <c r="BA2" s="86"/>
      <c r="BB2" s="64"/>
      <c r="BC2" s="86">
        <f t="shared" ref="BC2" ca="1" si="105">BC4-(COLUMN()/10000)</f>
        <v>6.9945000000000004</v>
      </c>
      <c r="BD2" s="86"/>
      <c r="BE2" s="64"/>
      <c r="BF2" s="86">
        <f t="shared" ref="BF2" ca="1" si="106">BF4-(COLUMN()/10000)</f>
        <v>6.9942000000000002</v>
      </c>
      <c r="BG2" s="86"/>
      <c r="BH2" s="64"/>
      <c r="BI2" s="86">
        <f t="shared" ref="BI2" ca="1" si="107">BI4-(COLUMN()/10000)</f>
        <v>28.9939</v>
      </c>
      <c r="BJ2" s="86"/>
      <c r="BK2" s="64"/>
      <c r="BL2" s="86">
        <f ca="1">BL4-(COLUMN()/10000)</f>
        <v>6.9935999999999998</v>
      </c>
      <c r="BM2" s="86"/>
      <c r="BN2" s="64"/>
      <c r="BO2" s="86">
        <f t="shared" ref="BO2" ca="1" si="108">BO4-(COLUMN()/10000)</f>
        <v>21.993300000000001</v>
      </c>
      <c r="BP2" s="86"/>
      <c r="BQ2" s="64"/>
      <c r="BR2" s="86">
        <f t="shared" ref="BR2" ca="1" si="109">BR4-(COLUMN()/10000)</f>
        <v>21.992999999999999</v>
      </c>
      <c r="BS2" s="86"/>
      <c r="BT2" s="64"/>
      <c r="BU2" s="86">
        <f t="shared" ref="BU2" ca="1" si="110">BU4-(COLUMN()/10000)</f>
        <v>20.992699999999999</v>
      </c>
      <c r="BV2" s="86"/>
      <c r="BW2" s="64"/>
      <c r="BX2" s="86">
        <f t="shared" ref="BX2" ca="1" si="111">BX4-(COLUMN()/10000)</f>
        <v>28.9924</v>
      </c>
      <c r="BY2" s="86"/>
      <c r="BZ2" s="64"/>
      <c r="CA2" s="86">
        <f ca="1">CA4-(COLUMN()/10000)</f>
        <v>28.992100000000001</v>
      </c>
      <c r="CB2" s="86"/>
      <c r="CC2" s="64"/>
      <c r="CD2" s="86">
        <f t="shared" ref="CD2" ca="1" si="112">CD4-(COLUMN()/10000)</f>
        <v>20.991800000000001</v>
      </c>
      <c r="CE2" s="86"/>
      <c r="CF2" s="64"/>
      <c r="CG2" s="86">
        <f t="shared" ref="CG2" ca="1" si="113">CG4-(COLUMN()/10000)</f>
        <v>21.991499999999998</v>
      </c>
      <c r="CH2" s="86"/>
      <c r="CI2" s="64"/>
      <c r="CJ2" s="86">
        <f t="shared" ref="CJ2" ca="1" si="114">CJ4-(COLUMN()/10000)</f>
        <v>6.9912000000000001</v>
      </c>
      <c r="CK2" s="86"/>
      <c r="CL2" s="64"/>
      <c r="CM2" s="86">
        <f t="shared" ref="CM2" ca="1" si="115">CM4-(COLUMN()/10000)</f>
        <v>21.9909</v>
      </c>
      <c r="CN2" s="86"/>
      <c r="CO2" s="64"/>
      <c r="CP2" s="86">
        <f ca="1">CP4-(COLUMN()/10000)</f>
        <v>14.990600000000001</v>
      </c>
      <c r="CQ2" s="86"/>
      <c r="CR2" s="64"/>
      <c r="CS2" s="86">
        <f t="shared" ref="CS2" ca="1" si="116">CS4-(COLUMN()/10000)</f>
        <v>13.9903</v>
      </c>
      <c r="CT2" s="86"/>
      <c r="CU2" s="64"/>
      <c r="CV2" s="86">
        <f t="shared" ref="CV2" ca="1" si="117">CV4-(COLUMN()/10000)</f>
        <v>13.99</v>
      </c>
      <c r="CW2" s="86"/>
      <c r="CX2" s="64"/>
      <c r="CY2" s="86">
        <f t="shared" ref="CY2" ca="1" si="118">CY4-(COLUMN()/10000)</f>
        <v>13.989699999999999</v>
      </c>
      <c r="CZ2" s="86"/>
      <c r="DA2" s="64"/>
      <c r="DB2" s="86">
        <f t="shared" ref="DB2" ca="1" si="119">DB4-(COLUMN()/10000)</f>
        <v>13.9894</v>
      </c>
      <c r="DC2" s="86"/>
      <c r="DD2" s="64"/>
      <c r="DE2" s="86">
        <f ca="1">DE4-(COLUMN()/10000)</f>
        <v>28.989100000000001</v>
      </c>
      <c r="DF2" s="86"/>
      <c r="DG2" s="64"/>
      <c r="DH2" s="86">
        <f t="shared" ref="DH2" ca="1" si="120">DH4-(COLUMN()/10000)</f>
        <v>13.988799999999999</v>
      </c>
      <c r="DI2" s="86"/>
      <c r="DJ2" s="64"/>
      <c r="DK2" s="86">
        <f t="shared" ref="DK2" ca="1" si="121">DK4-(COLUMN()/10000)</f>
        <v>6.9885000000000002</v>
      </c>
      <c r="DL2" s="86"/>
      <c r="DM2" s="64"/>
      <c r="DN2" s="86">
        <f t="shared" ref="DN2" ca="1" si="122">DN4-(COLUMN()/10000)</f>
        <v>6.9882</v>
      </c>
      <c r="DO2" s="86"/>
      <c r="DP2" s="64"/>
      <c r="DQ2" s="86">
        <f t="shared" ref="DQ2" ca="1" si="123">DQ4-(COLUMN()/10000)</f>
        <v>6.9878999999999998</v>
      </c>
      <c r="DR2" s="86"/>
      <c r="DS2" s="64"/>
      <c r="DT2" s="86">
        <f ca="1">DT4-(COLUMN()/10000)</f>
        <v>6.9875999999999996</v>
      </c>
      <c r="DU2" s="86"/>
      <c r="DV2" s="64"/>
      <c r="DW2" s="86">
        <f t="shared" ref="DW2" ca="1" si="124">DW4-(COLUMN()/10000)</f>
        <v>-1.2699999999999999E-2</v>
      </c>
      <c r="DX2" s="86"/>
      <c r="DY2" s="64"/>
      <c r="DZ2" s="86">
        <f t="shared" ref="DZ2" ca="1" si="125">DZ4-(COLUMN()/10000)</f>
        <v>-1.2999999999999999E-2</v>
      </c>
      <c r="EA2" s="86"/>
      <c r="EB2" s="64"/>
      <c r="EC2" s="86">
        <f t="shared" ref="EC2" ca="1" si="126">EC4-(COLUMN()/10000)</f>
        <v>-1.3299999999999999E-2</v>
      </c>
      <c r="ED2" s="86"/>
      <c r="EE2" s="64"/>
      <c r="EF2" s="86">
        <f t="shared" ref="EF2" ca="1" si="127">EF4-(COLUMN()/10000)</f>
        <v>-1.3599999999999999E-2</v>
      </c>
      <c r="EG2" s="86"/>
      <c r="EH2" s="64"/>
      <c r="EI2" s="86">
        <f ca="1">EI4-(COLUMN()/10000)</f>
        <v>-1.3899999999999999E-2</v>
      </c>
      <c r="EJ2" s="86"/>
      <c r="EK2" s="64"/>
      <c r="EL2" s="86">
        <f t="shared" ref="EL2" ca="1" si="128">EL4-(COLUMN()/10000)</f>
        <v>-1.4200000000000001E-2</v>
      </c>
      <c r="EM2" s="86"/>
      <c r="EN2" s="64"/>
      <c r="EO2" s="86">
        <f t="shared" ref="EO2" ca="1" si="129">EO4-(COLUMN()/10000)</f>
        <v>-1.4500000000000001E-2</v>
      </c>
      <c r="EP2" s="86"/>
      <c r="EQ2" s="64"/>
      <c r="ER2" s="86">
        <f t="shared" ref="ER2" ca="1" si="130">ER4-(COLUMN()/10000)</f>
        <v>-1.4800000000000001E-2</v>
      </c>
      <c r="ES2" s="86"/>
      <c r="ET2" s="64"/>
      <c r="EU2" s="86">
        <f t="shared" ref="EU2" ca="1" si="131">EU4-(COLUMN()/10000)</f>
        <v>-1.5100000000000001E-2</v>
      </c>
      <c r="EV2" s="86"/>
      <c r="EW2" s="64"/>
      <c r="EX2" s="86">
        <f ca="1">EX4-(COLUMN()/10000)</f>
        <v>-1.54E-2</v>
      </c>
      <c r="EY2" s="86"/>
      <c r="EZ2" s="64"/>
      <c r="FA2" s="86">
        <f t="shared" ref="FA2" ca="1" si="132">FA4-(COLUMN()/10000)</f>
        <v>-1.5699999999999999E-2</v>
      </c>
      <c r="FB2" s="86"/>
      <c r="FC2" s="64"/>
      <c r="FD2" s="86">
        <f t="shared" ref="FD2" ca="1" si="133">FD4-(COLUMN()/10000)</f>
        <v>-1.6E-2</v>
      </c>
      <c r="FE2" s="86"/>
      <c r="FF2" s="64"/>
      <c r="FG2" s="86">
        <f t="shared" ref="FG2" ca="1" si="134">FG4-(COLUMN()/10000)</f>
        <v>-1.6299999999999999E-2</v>
      </c>
      <c r="FH2" s="86"/>
      <c r="FI2" s="64"/>
      <c r="FJ2" s="86">
        <f t="shared" ref="FJ2" ca="1" si="135">FJ4-(COLUMN()/10000)</f>
        <v>-1.66E-2</v>
      </c>
      <c r="FK2" s="86"/>
      <c r="FL2" s="64"/>
      <c r="FM2" s="86">
        <f ca="1">FM4-(COLUMN()/10000)</f>
        <v>-1.6899999999999998E-2</v>
      </c>
      <c r="FN2" s="86"/>
      <c r="FO2" s="64"/>
      <c r="FP2" s="86">
        <f t="shared" ref="FP2" ca="1" si="136">FP4-(COLUMN()/10000)</f>
        <v>-1.72E-2</v>
      </c>
      <c r="FQ2" s="86"/>
      <c r="FR2" s="64"/>
      <c r="FS2" s="86">
        <f t="shared" ref="FS2" ca="1" si="137">FS4-(COLUMN()/10000)</f>
        <v>-1.7500000000000002E-2</v>
      </c>
      <c r="FT2" s="86"/>
      <c r="FU2" s="64"/>
      <c r="FV2" s="86">
        <f t="shared" ref="FV2" ca="1" si="138">FV4-(COLUMN()/10000)</f>
        <v>-1.78E-2</v>
      </c>
      <c r="FW2" s="86"/>
      <c r="FX2" s="64"/>
      <c r="FY2" s="86">
        <f t="shared" ref="FY2" ca="1" si="139">FY4-(COLUMN()/10000)</f>
        <v>-1.8100000000000002E-2</v>
      </c>
      <c r="FZ2" s="86"/>
      <c r="GA2" s="64"/>
      <c r="GB2" s="86">
        <f ca="1">GB4-(COLUMN()/10000)</f>
        <v>-1.84E-2</v>
      </c>
      <c r="GC2" s="86"/>
      <c r="GD2" s="64"/>
      <c r="GE2" s="86">
        <f t="shared" ref="GE2" ca="1" si="140">GE4-(COLUMN()/10000)</f>
        <v>-1.8700000000000001E-2</v>
      </c>
      <c r="GF2" s="86"/>
      <c r="GG2" s="64"/>
      <c r="GH2" s="86">
        <f t="shared" ref="GH2" ca="1" si="141">GH4-(COLUMN()/10000)</f>
        <v>-1.9E-2</v>
      </c>
      <c r="GI2" s="86"/>
      <c r="GJ2" s="64"/>
      <c r="GK2" s="86">
        <f t="shared" ref="GK2" ca="1" si="142">GK4-(COLUMN()/10000)</f>
        <v>-1.9300000000000001E-2</v>
      </c>
      <c r="GL2" s="86"/>
      <c r="GM2" s="64"/>
      <c r="GN2" s="86">
        <f t="shared" ref="GN2" ca="1" si="143">GN4-(COLUMN()/10000)</f>
        <v>-1.9599999999999999E-2</v>
      </c>
      <c r="GO2" s="86"/>
      <c r="GP2" s="64"/>
      <c r="GQ2" s="86">
        <f ca="1">GQ4-(COLUMN()/10000)</f>
        <v>-1.9900000000000001E-2</v>
      </c>
      <c r="GR2" s="86"/>
      <c r="GS2" s="64"/>
      <c r="GT2" s="86">
        <f t="shared" ref="GT2" ca="1" si="144">GT4-(COLUMN()/10000)</f>
        <v>-2.0199999999999999E-2</v>
      </c>
      <c r="GU2" s="86"/>
      <c r="GV2" s="64"/>
      <c r="GW2" s="86">
        <f t="shared" ref="GW2" ca="1" si="145">GW4-(COLUMN()/10000)</f>
        <v>-2.0500000000000001E-2</v>
      </c>
      <c r="GX2" s="86"/>
      <c r="GY2" s="64"/>
      <c r="GZ2" s="86">
        <f t="shared" ref="GZ2" ca="1" si="146">GZ4-(COLUMN()/10000)</f>
        <v>-2.0799999999999999E-2</v>
      </c>
      <c r="HA2" s="86"/>
      <c r="HB2" s="64"/>
      <c r="HC2" s="86">
        <f t="shared" ref="HC2" ca="1" si="147">HC4-(COLUMN()/10000)</f>
        <v>-2.1100000000000001E-2</v>
      </c>
      <c r="HD2" s="86"/>
      <c r="HE2" s="64"/>
      <c r="HF2" s="86">
        <f ca="1">HF4-(COLUMN()/10000)</f>
        <v>-2.1399999999999999E-2</v>
      </c>
      <c r="HG2" s="86"/>
      <c r="HH2" s="64"/>
      <c r="HI2" s="86">
        <f t="shared" ref="HI2" ca="1" si="148">HI4-(COLUMN()/10000)</f>
        <v>-2.1700000000000001E-2</v>
      </c>
      <c r="HJ2" s="86"/>
      <c r="HK2" s="64"/>
      <c r="HL2" s="86">
        <f t="shared" ref="HL2" ca="1" si="149">HL4-(COLUMN()/10000)</f>
        <v>-2.1999999999999999E-2</v>
      </c>
      <c r="HM2" s="86"/>
      <c r="HN2" s="64"/>
      <c r="HO2" s="86">
        <f t="shared" ref="HO2" ca="1" si="150">HO4-(COLUMN()/10000)</f>
        <v>-2.23E-2</v>
      </c>
      <c r="HP2" s="86"/>
      <c r="HQ2" s="64"/>
      <c r="HR2" s="86">
        <f t="shared" ref="HR2" ca="1" si="151">HR4-(COLUMN()/10000)</f>
        <v>-2.2599999999999999E-2</v>
      </c>
      <c r="HS2" s="86"/>
      <c r="HT2" s="64"/>
      <c r="HU2" s="86">
        <f ca="1">HU4-(COLUMN()/10000)</f>
        <v>-2.29E-2</v>
      </c>
      <c r="HV2" s="86"/>
      <c r="HW2" s="64"/>
      <c r="HX2" s="86">
        <f t="shared" ref="HX2" ca="1" si="152">HX4-(COLUMN()/10000)</f>
        <v>-2.3199999999999998E-2</v>
      </c>
      <c r="HY2" s="86"/>
      <c r="HZ2" s="64"/>
      <c r="IA2" s="86">
        <f t="shared" ref="IA2" ca="1" si="153">IA4-(COLUMN()/10000)</f>
        <v>-2.35E-2</v>
      </c>
      <c r="IB2" s="86"/>
      <c r="IC2" s="64"/>
      <c r="ID2" s="86">
        <f t="shared" ref="ID2" ca="1" si="154">ID4-(COLUMN()/10000)</f>
        <v>-2.3800000000000002E-2</v>
      </c>
      <c r="IE2" s="86"/>
      <c r="IF2" s="64"/>
      <c r="IG2" s="86">
        <f t="shared" ref="IG2" ca="1" si="155">IG4-(COLUMN()/10000)</f>
        <v>-2.41E-2</v>
      </c>
      <c r="IH2" s="86"/>
      <c r="II2" s="64"/>
      <c r="IJ2" s="86">
        <f ca="1">IJ4-(COLUMN()/10000)</f>
        <v>-2.4400000000000002E-2</v>
      </c>
      <c r="IK2" s="86"/>
      <c r="IL2" s="64"/>
      <c r="IM2" s="86">
        <f t="shared" ref="IM2" ca="1" si="156">IM4-(COLUMN()/10000)</f>
        <v>-2.47E-2</v>
      </c>
      <c r="IN2" s="86"/>
      <c r="IO2" s="64"/>
      <c r="IP2" s="86">
        <f t="shared" ref="IP2" ca="1" si="157">IP4-(COLUMN()/10000)</f>
        <v>-2.5000000000000001E-2</v>
      </c>
      <c r="IQ2" s="86"/>
      <c r="IR2" s="64"/>
      <c r="IS2" s="86">
        <f t="shared" ref="IS2" ca="1" si="158">IS4-(COLUMN()/10000)</f>
        <v>-2.53E-2</v>
      </c>
      <c r="IT2" s="86"/>
      <c r="IU2" s="64"/>
      <c r="IV2" s="86">
        <f t="shared" ref="IV2" ca="1" si="159">IV4-(COLUMN()/10000)</f>
        <v>-2.5600000000000001E-2</v>
      </c>
      <c r="IW2" s="86"/>
      <c r="IX2" s="64"/>
      <c r="IY2" s="86">
        <f ca="1">IY4-(COLUMN()/10000)</f>
        <v>-2.5899999999999999E-2</v>
      </c>
      <c r="IZ2" s="86"/>
      <c r="JA2" s="64"/>
      <c r="JB2" s="86">
        <f t="shared" ref="JB2" ca="1" si="160">JB4-(COLUMN()/10000)</f>
        <v>-2.6200000000000001E-2</v>
      </c>
      <c r="JC2" s="86"/>
      <c r="JD2" s="64"/>
      <c r="JE2" s="86">
        <f t="shared" ref="JE2" ca="1" si="161">JE4-(COLUMN()/10000)</f>
        <v>-2.6499999999999999E-2</v>
      </c>
      <c r="JF2" s="86"/>
      <c r="JG2" s="64"/>
      <c r="JH2" s="86">
        <f t="shared" ref="JH2" ca="1" si="162">JH4-(COLUMN()/10000)</f>
        <v>-2.6800000000000001E-2</v>
      </c>
      <c r="JI2" s="86"/>
      <c r="JJ2" s="64"/>
      <c r="JK2" s="86">
        <f t="shared" ref="JK2" ca="1" si="163">JK4-(COLUMN()/10000)</f>
        <v>-2.7099999999999999E-2</v>
      </c>
      <c r="JL2" s="86"/>
      <c r="JM2" s="64"/>
      <c r="JN2" s="86">
        <f ca="1">JN4-(COLUMN()/10000)</f>
        <v>-2.7400000000000001E-2</v>
      </c>
      <c r="JO2" s="86"/>
      <c r="JP2" s="64"/>
      <c r="JQ2" s="86">
        <f t="shared" ref="JQ2" ca="1" si="164">JQ4-(COLUMN()/10000)</f>
        <v>-2.7699999999999999E-2</v>
      </c>
      <c r="JR2" s="86"/>
      <c r="JS2" s="64"/>
      <c r="JT2" s="86">
        <f t="shared" ref="JT2" ca="1" si="165">JT4-(COLUMN()/10000)</f>
        <v>-2.8000000000000001E-2</v>
      </c>
      <c r="JU2" s="86"/>
      <c r="JV2" s="64"/>
      <c r="JW2" s="86">
        <f t="shared" ref="JW2" ca="1" si="166">JW4-(COLUMN()/10000)</f>
        <v>-2.8299999999999999E-2</v>
      </c>
      <c r="JX2" s="86"/>
      <c r="JY2" s="64"/>
      <c r="JZ2" s="86">
        <f t="shared" ref="JZ2" ca="1" si="167">JZ4-(COLUMN()/10000)</f>
        <v>-2.86E-2</v>
      </c>
      <c r="KA2" s="86"/>
      <c r="KB2" s="64"/>
      <c r="KC2" s="86">
        <f ca="1">KC4-(COLUMN()/10000)</f>
        <v>-2.8899999999999999E-2</v>
      </c>
      <c r="KD2" s="86"/>
      <c r="KE2" s="64"/>
      <c r="KF2" s="86">
        <f t="shared" ref="KF2" ca="1" si="168">KF4-(COLUMN()/10000)</f>
        <v>-2.92E-2</v>
      </c>
      <c r="KG2" s="86"/>
      <c r="KH2" s="64"/>
      <c r="KI2" s="86">
        <f t="shared" ref="KI2" ca="1" si="169">KI4-(COLUMN()/10000)</f>
        <v>-2.9499999999999998E-2</v>
      </c>
      <c r="KJ2" s="86"/>
      <c r="KK2" s="64"/>
      <c r="KL2" s="86">
        <f t="shared" ref="KL2" ca="1" si="170">KL4-(COLUMN()/10000)</f>
        <v>-2.98E-2</v>
      </c>
      <c r="KM2" s="86"/>
      <c r="KN2" s="64"/>
      <c r="KO2" s="86">
        <f t="shared" ref="KO2" ca="1" si="171">KO4-(COLUMN()/10000)</f>
        <v>-3.0099999999999998E-2</v>
      </c>
      <c r="KP2" s="86"/>
      <c r="KQ2" s="64"/>
      <c r="KR2" s="86">
        <f ca="1">KR4-(COLUMN()/10000)</f>
        <v>-3.04E-2</v>
      </c>
      <c r="KS2" s="86"/>
      <c r="KT2" s="64"/>
      <c r="KU2" s="86">
        <f t="shared" ref="KU2" ca="1" si="172">KU4-(COLUMN()/10000)</f>
        <v>-3.0700000000000002E-2</v>
      </c>
      <c r="KV2" s="86"/>
      <c r="KW2" s="64"/>
      <c r="KX2" s="86">
        <f t="shared" ref="KX2" ca="1" si="173">KX4-(COLUMN()/10000)</f>
        <v>-3.1E-2</v>
      </c>
      <c r="KY2" s="86"/>
      <c r="KZ2" s="64"/>
      <c r="LA2" s="86">
        <f t="shared" ref="LA2" ca="1" si="174">LA4-(COLUMN()/10000)</f>
        <v>-3.1300000000000001E-2</v>
      </c>
      <c r="LB2" s="86"/>
      <c r="LC2" s="64"/>
      <c r="LD2" s="86">
        <f t="shared" ref="LD2" ca="1" si="175">LD4-(COLUMN()/10000)</f>
        <v>-3.1600000000000003E-2</v>
      </c>
      <c r="LE2" s="86"/>
      <c r="LF2" s="64"/>
    </row>
    <row r="3" spans="1:318" s="784" customFormat="1">
      <c r="A3" s="64"/>
      <c r="B3" s="64"/>
      <c r="C3" s="64"/>
      <c r="D3" s="64"/>
      <c r="E3" s="109"/>
      <c r="F3" s="721"/>
      <c r="G3" s="49"/>
      <c r="H3" s="49"/>
      <c r="I3" s="64"/>
      <c r="J3" s="91"/>
      <c r="K3" s="86"/>
      <c r="L3" s="64"/>
      <c r="M3" s="86"/>
      <c r="N3" s="25"/>
      <c r="O3" s="25"/>
      <c r="P3" s="25"/>
      <c r="Q3" s="25"/>
      <c r="R3" s="49"/>
      <c r="S3" s="86">
        <f ca="1">RANK(S4,OFFSET($S$4,0,0,1,$D$5*3),0)</f>
        <v>28</v>
      </c>
      <c r="T3" s="86"/>
      <c r="U3" s="64"/>
      <c r="V3" s="86">
        <f ca="1">RANK(V4,OFFSET($S$4,0,0,1,$D$5*3),0)</f>
        <v>1</v>
      </c>
      <c r="W3" s="86"/>
      <c r="X3" s="64"/>
      <c r="Y3" s="86">
        <f ca="1">RANK(Y4,OFFSET($S$4,0,0,1,$D$5*3),0)</f>
        <v>20</v>
      </c>
      <c r="Z3" s="86"/>
      <c r="AA3" s="64"/>
      <c r="AB3" s="86">
        <f ca="1">RANK(AB4,OFFSET($S$4,0,0,1,$D$5*3),0)</f>
        <v>18</v>
      </c>
      <c r="AC3" s="86"/>
      <c r="AD3" s="64"/>
      <c r="AE3" s="86">
        <f ca="1">RANK(AE4,OFFSET($S$4,0,0,1,$D$5*3),0)</f>
        <v>3</v>
      </c>
      <c r="AF3" s="86"/>
      <c r="AG3" s="64"/>
      <c r="AH3" s="86">
        <f ca="1">RANK(AH4,OFFSET($S$4,0,0,1,$D$5*3),0)</f>
        <v>20</v>
      </c>
      <c r="AI3" s="86"/>
      <c r="AJ3" s="64"/>
      <c r="AK3" s="86">
        <f ca="1">RANK(AK4,OFFSET($S$4,0,0,1,$D$5*3),0)</f>
        <v>9</v>
      </c>
      <c r="AL3" s="86"/>
      <c r="AM3" s="64"/>
      <c r="AN3" s="86">
        <f ca="1">RANK(AN4,OFFSET($S$4,0,0,1,$D$5*3),0)</f>
        <v>2</v>
      </c>
      <c r="AO3" s="86"/>
      <c r="AP3" s="64"/>
      <c r="AQ3" s="86">
        <f ca="1">RANK(AQ4,OFFSET($S$4,0,0,1,$D$5*3),0)</f>
        <v>9</v>
      </c>
      <c r="AR3" s="86"/>
      <c r="AS3" s="64"/>
      <c r="AT3" s="86">
        <f ca="1">RANK(AT4,OFFSET($S$4,0,0,1,$D$5*3),0)</f>
        <v>9</v>
      </c>
      <c r="AU3" s="86"/>
      <c r="AV3" s="64"/>
      <c r="AW3" s="86">
        <f ca="1">RANK(AW4,OFFSET($S$4,0,0,1,$D$5*3),0)</f>
        <v>3</v>
      </c>
      <c r="AX3" s="86"/>
      <c r="AY3" s="64"/>
      <c r="AZ3" s="86">
        <f ca="1">RANK(AZ4,OFFSET($S$4,0,0,1,$D$5*3),0)</f>
        <v>20</v>
      </c>
      <c r="BA3" s="86"/>
      <c r="BB3" s="64"/>
      <c r="BC3" s="86">
        <f ca="1">RANK(BC4,OFFSET($S$4,0,0,1,$D$5*3),0)</f>
        <v>28</v>
      </c>
      <c r="BD3" s="86"/>
      <c r="BE3" s="64"/>
      <c r="BF3" s="86">
        <f ca="1">RANK(BF4,OFFSET($S$4,0,0,1,$D$5*3),0)</f>
        <v>28</v>
      </c>
      <c r="BG3" s="86"/>
      <c r="BH3" s="64"/>
      <c r="BI3" s="86">
        <f ca="1">RANK(BI4,OFFSET($S$4,0,0,1,$D$5*3),0)</f>
        <v>3</v>
      </c>
      <c r="BJ3" s="86"/>
      <c r="BK3" s="64"/>
      <c r="BL3" s="86">
        <f ca="1">RANK(BL4,OFFSET($S$4,0,0,1,$D$5*3),0)</f>
        <v>28</v>
      </c>
      <c r="BM3" s="86"/>
      <c r="BN3" s="64"/>
      <c r="BO3" s="86">
        <f ca="1">RANK(BO4,OFFSET($S$4,0,0,1,$D$5*3),0)</f>
        <v>9</v>
      </c>
      <c r="BP3" s="86"/>
      <c r="BQ3" s="64"/>
      <c r="BR3" s="86">
        <f ca="1">RANK(BR4,OFFSET($S$4,0,0,1,$D$5*3),0)</f>
        <v>9</v>
      </c>
      <c r="BS3" s="86"/>
      <c r="BT3" s="64"/>
      <c r="BU3" s="86">
        <f ca="1">RANK(BU4,OFFSET($S$4,0,0,1,$D$5*3),0)</f>
        <v>16</v>
      </c>
      <c r="BV3" s="86"/>
      <c r="BW3" s="64"/>
      <c r="BX3" s="86">
        <f ca="1">RANK(BX4,OFFSET($S$4,0,0,1,$D$5*3),0)</f>
        <v>3</v>
      </c>
      <c r="BY3" s="86"/>
      <c r="BZ3" s="64"/>
      <c r="CA3" s="86">
        <f ca="1">RANK(CA4,OFFSET($S$4,0,0,1,$D$5*3),0)</f>
        <v>3</v>
      </c>
      <c r="CB3" s="86"/>
      <c r="CC3" s="64"/>
      <c r="CD3" s="86">
        <f ca="1">RANK(CD4,OFFSET($S$4,0,0,1,$D$5*3),0)</f>
        <v>16</v>
      </c>
      <c r="CE3" s="86"/>
      <c r="CF3" s="64"/>
      <c r="CG3" s="86">
        <f ca="1">RANK(CG4,OFFSET($S$4,0,0,1,$D$5*3),0)</f>
        <v>9</v>
      </c>
      <c r="CH3" s="86"/>
      <c r="CI3" s="64"/>
      <c r="CJ3" s="86">
        <f ca="1">RANK(CJ4,OFFSET($S$4,0,0,1,$D$5*3),0)</f>
        <v>28</v>
      </c>
      <c r="CK3" s="86"/>
      <c r="CL3" s="64"/>
      <c r="CM3" s="86">
        <f ca="1">RANK(CM4,OFFSET($S$4,0,0,1,$D$5*3),0)</f>
        <v>9</v>
      </c>
      <c r="CN3" s="86"/>
      <c r="CO3" s="64"/>
      <c r="CP3" s="86">
        <f ca="1">RANK(CP4,OFFSET($S$4,0,0,1,$D$5*3),0)</f>
        <v>18</v>
      </c>
      <c r="CQ3" s="86"/>
      <c r="CR3" s="64"/>
      <c r="CS3" s="86">
        <f ca="1">RANK(CS4,OFFSET($S$4,0,0,1,$D$5*3),0)</f>
        <v>20</v>
      </c>
      <c r="CT3" s="86"/>
      <c r="CU3" s="64"/>
      <c r="CV3" s="86">
        <f ca="1">RANK(CV4,OFFSET($S$4,0,0,1,$D$5*3),0)</f>
        <v>20</v>
      </c>
      <c r="CW3" s="86"/>
      <c r="CX3" s="64"/>
      <c r="CY3" s="86">
        <f ca="1">RANK(CY4,OFFSET($S$4,0,0,1,$D$5*3),0)</f>
        <v>20</v>
      </c>
      <c r="CZ3" s="86"/>
      <c r="DA3" s="64"/>
      <c r="DB3" s="86">
        <f ca="1">RANK(DB4,OFFSET($S$4,0,0,1,$D$5*3),0)</f>
        <v>20</v>
      </c>
      <c r="DC3" s="86"/>
      <c r="DD3" s="64"/>
      <c r="DE3" s="86">
        <f ca="1">RANK(DE4,OFFSET($S$4,0,0,1,$D$5*3),0)</f>
        <v>3</v>
      </c>
      <c r="DF3" s="86"/>
      <c r="DG3" s="64"/>
      <c r="DH3" s="86">
        <f ca="1">RANK(DH4,OFFSET($S$4,0,0,1,$D$5*3),0)</f>
        <v>20</v>
      </c>
      <c r="DI3" s="86"/>
      <c r="DJ3" s="64"/>
      <c r="DK3" s="86">
        <f ca="1">RANK(DK4,OFFSET($S$4,0,0,1,$D$5*3),0)</f>
        <v>28</v>
      </c>
      <c r="DL3" s="86"/>
      <c r="DM3" s="64"/>
      <c r="DN3" s="86">
        <f ca="1">RANK(DN4,OFFSET($S$4,0,0,1,$D$5*3),0)</f>
        <v>28</v>
      </c>
      <c r="DO3" s="86"/>
      <c r="DP3" s="64"/>
      <c r="DQ3" s="86">
        <f ca="1">RANK(DQ4,OFFSET($S$4,0,0,1,$D$5*3),0)</f>
        <v>28</v>
      </c>
      <c r="DR3" s="86"/>
      <c r="DS3" s="64"/>
      <c r="DT3" s="86">
        <f ca="1">RANK(DT4,OFFSET($S$4,0,0,1,$D$5*3),0)</f>
        <v>28</v>
      </c>
      <c r="DU3" s="86"/>
      <c r="DV3" s="64"/>
      <c r="DW3" s="86" t="e">
        <f ca="1">RANK(DW4,OFFSET($S$4,0,0,1,$D$5*3),0)</f>
        <v>#N/A</v>
      </c>
      <c r="DX3" s="86"/>
      <c r="DY3" s="64"/>
      <c r="DZ3" s="86" t="e">
        <f ca="1">RANK(DZ4,OFFSET($S$4,0,0,1,$D$5*3),0)</f>
        <v>#N/A</v>
      </c>
      <c r="EA3" s="86"/>
      <c r="EB3" s="64"/>
      <c r="EC3" s="86" t="e">
        <f ca="1">RANK(EC4,OFFSET($S$4,0,0,1,$D$5*3),0)</f>
        <v>#N/A</v>
      </c>
      <c r="ED3" s="86"/>
      <c r="EE3" s="64"/>
      <c r="EF3" s="86" t="e">
        <f ca="1">RANK(EF4,OFFSET($S$4,0,0,1,$D$5*3),0)</f>
        <v>#N/A</v>
      </c>
      <c r="EG3" s="86"/>
      <c r="EH3" s="64"/>
      <c r="EI3" s="86" t="e">
        <f ca="1">RANK(EI4,OFFSET($S$4,0,0,1,$D$5*3),0)</f>
        <v>#N/A</v>
      </c>
      <c r="EJ3" s="86"/>
      <c r="EK3" s="64"/>
      <c r="EL3" s="86" t="e">
        <f ca="1">RANK(EL4,OFFSET($S$4,0,0,1,$D$5*3),0)</f>
        <v>#N/A</v>
      </c>
      <c r="EM3" s="86"/>
      <c r="EN3" s="64"/>
      <c r="EO3" s="86" t="e">
        <f ca="1">RANK(EO4,OFFSET($S$4,0,0,1,$D$5*3),0)</f>
        <v>#N/A</v>
      </c>
      <c r="EP3" s="86"/>
      <c r="EQ3" s="64"/>
      <c r="ER3" s="86" t="e">
        <f ca="1">RANK(ER4,OFFSET($S$4,0,0,1,$D$5*3),0)</f>
        <v>#N/A</v>
      </c>
      <c r="ES3" s="86"/>
      <c r="ET3" s="64"/>
      <c r="EU3" s="86" t="e">
        <f ca="1">RANK(EU4,OFFSET($S$4,0,0,1,$D$5*3),0)</f>
        <v>#N/A</v>
      </c>
      <c r="EV3" s="86"/>
      <c r="EW3" s="64"/>
      <c r="EX3" s="86" t="e">
        <f ca="1">RANK(EX4,OFFSET($S$4,0,0,1,$D$5*3),0)</f>
        <v>#N/A</v>
      </c>
      <c r="EY3" s="86"/>
      <c r="EZ3" s="64"/>
      <c r="FA3" s="86" t="e">
        <f ca="1">RANK(FA4,OFFSET($S$4,0,0,1,$D$5*3),0)</f>
        <v>#N/A</v>
      </c>
      <c r="FB3" s="86"/>
      <c r="FC3" s="64"/>
      <c r="FD3" s="86" t="e">
        <f ca="1">RANK(FD4,OFFSET($S$4,0,0,1,$D$5*3),0)</f>
        <v>#N/A</v>
      </c>
      <c r="FE3" s="86"/>
      <c r="FF3" s="64"/>
      <c r="FG3" s="86" t="e">
        <f ca="1">RANK(FG4,OFFSET($S$4,0,0,1,$D$5*3),0)</f>
        <v>#N/A</v>
      </c>
      <c r="FH3" s="86"/>
      <c r="FI3" s="64"/>
      <c r="FJ3" s="86" t="e">
        <f ca="1">RANK(FJ4,OFFSET($S$4,0,0,1,$D$5*3),0)</f>
        <v>#N/A</v>
      </c>
      <c r="FK3" s="86"/>
      <c r="FL3" s="64"/>
      <c r="FM3" s="86" t="e">
        <f ca="1">RANK(FM4,OFFSET($S$4,0,0,1,$D$5*3),0)</f>
        <v>#N/A</v>
      </c>
      <c r="FN3" s="86"/>
      <c r="FO3" s="64"/>
      <c r="FP3" s="86" t="e">
        <f ca="1">RANK(FP4,OFFSET($S$4,0,0,1,$D$5*3),0)</f>
        <v>#N/A</v>
      </c>
      <c r="FQ3" s="86"/>
      <c r="FR3" s="64"/>
      <c r="FS3" s="86" t="e">
        <f ca="1">RANK(FS4,OFFSET($S$4,0,0,1,$D$5*3),0)</f>
        <v>#N/A</v>
      </c>
      <c r="FT3" s="86"/>
      <c r="FU3" s="64"/>
      <c r="FV3" s="86" t="e">
        <f ca="1">RANK(FV4,OFFSET($S$4,0,0,1,$D$5*3),0)</f>
        <v>#N/A</v>
      </c>
      <c r="FW3" s="86"/>
      <c r="FX3" s="64"/>
      <c r="FY3" s="86" t="e">
        <f ca="1">RANK(FY4,OFFSET($S$4,0,0,1,$D$5*3),0)</f>
        <v>#N/A</v>
      </c>
      <c r="FZ3" s="86"/>
      <c r="GA3" s="64"/>
      <c r="GB3" s="86" t="e">
        <f ca="1">RANK(GB4,OFFSET($S$4,0,0,1,$D$5*3),0)</f>
        <v>#N/A</v>
      </c>
      <c r="GC3" s="86"/>
      <c r="GD3" s="64"/>
      <c r="GE3" s="86" t="e">
        <f ca="1">RANK(GE4,OFFSET($S$4,0,0,1,$D$5*3),0)</f>
        <v>#N/A</v>
      </c>
      <c r="GF3" s="86"/>
      <c r="GG3" s="64"/>
      <c r="GH3" s="86" t="e">
        <f ca="1">RANK(GH4,OFFSET($S$4,0,0,1,$D$5*3),0)</f>
        <v>#N/A</v>
      </c>
      <c r="GI3" s="86"/>
      <c r="GJ3" s="64"/>
      <c r="GK3" s="86" t="e">
        <f ca="1">RANK(GK4,OFFSET($S$4,0,0,1,$D$5*3),0)</f>
        <v>#N/A</v>
      </c>
      <c r="GL3" s="86"/>
      <c r="GM3" s="64"/>
      <c r="GN3" s="86" t="e">
        <f ca="1">RANK(GN4,OFFSET($S$4,0,0,1,$D$5*3),0)</f>
        <v>#N/A</v>
      </c>
      <c r="GO3" s="86"/>
      <c r="GP3" s="64"/>
      <c r="GQ3" s="86" t="e">
        <f ca="1">RANK(GQ4,OFFSET($S$4,0,0,1,$D$5*3),0)</f>
        <v>#N/A</v>
      </c>
      <c r="GR3" s="86"/>
      <c r="GS3" s="64"/>
      <c r="GT3" s="86" t="e">
        <f ca="1">RANK(GT4,OFFSET($S$4,0,0,1,$D$5*3),0)</f>
        <v>#N/A</v>
      </c>
      <c r="GU3" s="86"/>
      <c r="GV3" s="64"/>
      <c r="GW3" s="86" t="e">
        <f ca="1">RANK(GW4,OFFSET($S$4,0,0,1,$D$5*3),0)</f>
        <v>#N/A</v>
      </c>
      <c r="GX3" s="86"/>
      <c r="GY3" s="64"/>
      <c r="GZ3" s="86" t="e">
        <f ca="1">RANK(GZ4,OFFSET($S$4,0,0,1,$D$5*3),0)</f>
        <v>#N/A</v>
      </c>
      <c r="HA3" s="86"/>
      <c r="HB3" s="64"/>
      <c r="HC3" s="86" t="e">
        <f ca="1">RANK(HC4,OFFSET($S$4,0,0,1,$D$5*3),0)</f>
        <v>#N/A</v>
      </c>
      <c r="HD3" s="86"/>
      <c r="HE3" s="64"/>
      <c r="HF3" s="86" t="e">
        <f ca="1">RANK(HF4,OFFSET($S$4,0,0,1,$D$5*3),0)</f>
        <v>#N/A</v>
      </c>
      <c r="HG3" s="86"/>
      <c r="HH3" s="64"/>
      <c r="HI3" s="86" t="e">
        <f ca="1">RANK(HI4,OFFSET($S$4,0,0,1,$D$5*3),0)</f>
        <v>#N/A</v>
      </c>
      <c r="HJ3" s="86"/>
      <c r="HK3" s="64"/>
      <c r="HL3" s="86" t="e">
        <f ca="1">RANK(HL4,OFFSET($S$4,0,0,1,$D$5*3),0)</f>
        <v>#N/A</v>
      </c>
      <c r="HM3" s="86"/>
      <c r="HN3" s="64"/>
      <c r="HO3" s="86" t="e">
        <f ca="1">RANK(HO4,OFFSET($S$4,0,0,1,$D$5*3),0)</f>
        <v>#N/A</v>
      </c>
      <c r="HP3" s="86"/>
      <c r="HQ3" s="64"/>
      <c r="HR3" s="86" t="e">
        <f ca="1">RANK(HR4,OFFSET($S$4,0,0,1,$D$5*3),0)</f>
        <v>#N/A</v>
      </c>
      <c r="HS3" s="86"/>
      <c r="HT3" s="64"/>
      <c r="HU3" s="86" t="e">
        <f ca="1">RANK(HU4,OFFSET($S$4,0,0,1,$D$5*3),0)</f>
        <v>#N/A</v>
      </c>
      <c r="HV3" s="86"/>
      <c r="HW3" s="64"/>
      <c r="HX3" s="86" t="e">
        <f ca="1">RANK(HX4,OFFSET($S$4,0,0,1,$D$5*3),0)</f>
        <v>#N/A</v>
      </c>
      <c r="HY3" s="86"/>
      <c r="HZ3" s="64"/>
      <c r="IA3" s="86" t="e">
        <f ca="1">RANK(IA4,OFFSET($S$4,0,0,1,$D$5*3),0)</f>
        <v>#N/A</v>
      </c>
      <c r="IB3" s="86"/>
      <c r="IC3" s="64"/>
      <c r="ID3" s="86" t="e">
        <f ca="1">RANK(ID4,OFFSET($S$4,0,0,1,$D$5*3),0)</f>
        <v>#N/A</v>
      </c>
      <c r="IE3" s="86"/>
      <c r="IF3" s="64"/>
      <c r="IG3" s="86" t="e">
        <f ca="1">RANK(IG4,OFFSET($S$4,0,0,1,$D$5*3),0)</f>
        <v>#N/A</v>
      </c>
      <c r="IH3" s="86"/>
      <c r="II3" s="64"/>
      <c r="IJ3" s="86" t="e">
        <f ca="1">RANK(IJ4,OFFSET($S$4,0,0,1,$D$5*3),0)</f>
        <v>#N/A</v>
      </c>
      <c r="IK3" s="86"/>
      <c r="IL3" s="64"/>
      <c r="IM3" s="86" t="e">
        <f ca="1">RANK(IM4,OFFSET($S$4,0,0,1,$D$5*3),0)</f>
        <v>#N/A</v>
      </c>
      <c r="IN3" s="86"/>
      <c r="IO3" s="64"/>
      <c r="IP3" s="86" t="e">
        <f ca="1">RANK(IP4,OFFSET($S$4,0,0,1,$D$5*3),0)</f>
        <v>#N/A</v>
      </c>
      <c r="IQ3" s="86"/>
      <c r="IR3" s="64"/>
      <c r="IS3" s="86" t="e">
        <f ca="1">RANK(IS4,OFFSET($S$4,0,0,1,$D$5*3),0)</f>
        <v>#N/A</v>
      </c>
      <c r="IT3" s="86"/>
      <c r="IU3" s="64"/>
      <c r="IV3" s="86" t="e">
        <f ca="1">RANK(IV4,OFFSET($S$4,0,0,1,$D$5*3),0)</f>
        <v>#N/A</v>
      </c>
      <c r="IW3" s="86"/>
      <c r="IX3" s="64"/>
      <c r="IY3" s="86" t="e">
        <f ca="1">RANK(IY4,OFFSET($S$4,0,0,1,$D$5*3),0)</f>
        <v>#N/A</v>
      </c>
      <c r="IZ3" s="86"/>
      <c r="JA3" s="64"/>
      <c r="JB3" s="86" t="e">
        <f ca="1">RANK(JB4,OFFSET($S$4,0,0,1,$D$5*3),0)</f>
        <v>#N/A</v>
      </c>
      <c r="JC3" s="86"/>
      <c r="JD3" s="64"/>
      <c r="JE3" s="86" t="e">
        <f ca="1">RANK(JE4,OFFSET($S$4,0,0,1,$D$5*3),0)</f>
        <v>#N/A</v>
      </c>
      <c r="JF3" s="86"/>
      <c r="JG3" s="64"/>
      <c r="JH3" s="86" t="e">
        <f ca="1">RANK(JH4,OFFSET($S$4,0,0,1,$D$5*3),0)</f>
        <v>#N/A</v>
      </c>
      <c r="JI3" s="86"/>
      <c r="JJ3" s="64"/>
      <c r="JK3" s="86" t="e">
        <f ca="1">RANK(JK4,OFFSET($S$4,0,0,1,$D$5*3),0)</f>
        <v>#N/A</v>
      </c>
      <c r="JL3" s="86"/>
      <c r="JM3" s="64"/>
      <c r="JN3" s="86" t="e">
        <f ca="1">RANK(JN4,OFFSET($S$4,0,0,1,$D$5*3),0)</f>
        <v>#N/A</v>
      </c>
      <c r="JO3" s="86"/>
      <c r="JP3" s="64"/>
      <c r="JQ3" s="86" t="e">
        <f ca="1">RANK(JQ4,OFFSET($S$4,0,0,1,$D$5*3),0)</f>
        <v>#N/A</v>
      </c>
      <c r="JR3" s="86"/>
      <c r="JS3" s="64"/>
      <c r="JT3" s="86" t="e">
        <f ca="1">RANK(JT4,OFFSET($S$4,0,0,1,$D$5*3),0)</f>
        <v>#N/A</v>
      </c>
      <c r="JU3" s="86"/>
      <c r="JV3" s="64"/>
      <c r="JW3" s="86" t="e">
        <f ca="1">RANK(JW4,OFFSET($S$4,0,0,1,$D$5*3),0)</f>
        <v>#N/A</v>
      </c>
      <c r="JX3" s="86"/>
      <c r="JY3" s="64"/>
      <c r="JZ3" s="86" t="e">
        <f ca="1">RANK(JZ4,OFFSET($S$4,0,0,1,$D$5*3),0)</f>
        <v>#N/A</v>
      </c>
      <c r="KA3" s="86"/>
      <c r="KB3" s="64"/>
      <c r="KC3" s="86" t="e">
        <f ca="1">RANK(KC4,OFFSET($S$4,0,0,1,$D$5*3),0)</f>
        <v>#N/A</v>
      </c>
      <c r="KD3" s="86"/>
      <c r="KE3" s="64"/>
      <c r="KF3" s="86" t="e">
        <f ca="1">RANK(KF4,OFFSET($S$4,0,0,1,$D$5*3),0)</f>
        <v>#N/A</v>
      </c>
      <c r="KG3" s="86"/>
      <c r="KH3" s="64"/>
      <c r="KI3" s="86" t="e">
        <f ca="1">RANK(KI4,OFFSET($S$4,0,0,1,$D$5*3),0)</f>
        <v>#N/A</v>
      </c>
      <c r="KJ3" s="86"/>
      <c r="KK3" s="64"/>
      <c r="KL3" s="86" t="e">
        <f ca="1">RANK(KL4,OFFSET($S$4,0,0,1,$D$5*3),0)</f>
        <v>#N/A</v>
      </c>
      <c r="KM3" s="86"/>
      <c r="KN3" s="64"/>
      <c r="KO3" s="86" t="e">
        <f ca="1">RANK(KO4,OFFSET($S$4,0,0,1,$D$5*3),0)</f>
        <v>#N/A</v>
      </c>
      <c r="KP3" s="86"/>
      <c r="KQ3" s="64"/>
      <c r="KR3" s="86" t="e">
        <f ca="1">RANK(KR4,OFFSET($S$4,0,0,1,$D$5*3),0)</f>
        <v>#N/A</v>
      </c>
      <c r="KS3" s="86"/>
      <c r="KT3" s="64"/>
      <c r="KU3" s="86" t="e">
        <f ca="1">RANK(KU4,OFFSET($S$4,0,0,1,$D$5*3),0)</f>
        <v>#N/A</v>
      </c>
      <c r="KV3" s="86"/>
      <c r="KW3" s="64"/>
      <c r="KX3" s="86" t="e">
        <f ca="1">RANK(KX4,OFFSET($S$4,0,0,1,$D$5*3),0)</f>
        <v>#N/A</v>
      </c>
      <c r="KY3" s="86"/>
      <c r="KZ3" s="64"/>
      <c r="LA3" s="86" t="e">
        <f ca="1">RANK(LA4,OFFSET($S$4,0,0,1,$D$5*3),0)</f>
        <v>#N/A</v>
      </c>
      <c r="LB3" s="86"/>
      <c r="LC3" s="64"/>
      <c r="LD3" s="86" t="e">
        <f ca="1">RANK(LD4,OFFSET($S$4,0,0,1,$D$5*3),0)</f>
        <v>#N/A</v>
      </c>
      <c r="LE3" s="86"/>
      <c r="LF3" s="64"/>
    </row>
    <row r="4" spans="1:318" s="784" customFormat="1" ht="15" customHeight="1" thickBot="1">
      <c r="A4" s="49"/>
      <c r="B4" s="49"/>
      <c r="C4" s="50"/>
      <c r="D4" s="49"/>
      <c r="E4" s="109"/>
      <c r="F4" s="721"/>
      <c r="G4" s="49"/>
      <c r="H4" s="49"/>
      <c r="I4" s="663"/>
      <c r="J4" s="91"/>
      <c r="K4" s="86"/>
      <c r="L4" s="64"/>
      <c r="M4" s="86"/>
      <c r="N4" s="25"/>
      <c r="O4" s="25"/>
      <c r="P4" s="25"/>
      <c r="Q4" s="25"/>
      <c r="R4" s="49"/>
      <c r="S4" s="66">
        <f ca="1">SUM(T6:T259)/2</f>
        <v>7</v>
      </c>
      <c r="T4" s="67"/>
      <c r="U4" s="64"/>
      <c r="V4" s="66">
        <f ca="1">SUM(W6:W259)/2</f>
        <v>37</v>
      </c>
      <c r="W4" s="67"/>
      <c r="X4" s="64"/>
      <c r="Y4" s="66">
        <f ca="1">SUM(Z6:Z259)/2</f>
        <v>14</v>
      </c>
      <c r="Z4" s="67"/>
      <c r="AA4" s="64"/>
      <c r="AB4" s="66">
        <f ca="1">SUM(AC6:AC259)/2</f>
        <v>15</v>
      </c>
      <c r="AC4" s="67"/>
      <c r="AD4" s="64"/>
      <c r="AE4" s="66">
        <f ca="1">SUM(AF6:AF259)/2</f>
        <v>29</v>
      </c>
      <c r="AF4" s="67"/>
      <c r="AG4" s="64"/>
      <c r="AH4" s="66">
        <f ca="1">SUM(AI6:AI259)/2</f>
        <v>14</v>
      </c>
      <c r="AI4" s="67"/>
      <c r="AJ4" s="64"/>
      <c r="AK4" s="66">
        <f ca="1">SUM(AL6:AL259)/2</f>
        <v>22</v>
      </c>
      <c r="AL4" s="67"/>
      <c r="AM4" s="64"/>
      <c r="AN4" s="66">
        <f ca="1">SUM(AO6:AO259)/2</f>
        <v>30</v>
      </c>
      <c r="AO4" s="67"/>
      <c r="AP4" s="64"/>
      <c r="AQ4" s="66">
        <f ca="1">SUM(AR6:AR259)/2</f>
        <v>22</v>
      </c>
      <c r="AR4" s="67"/>
      <c r="AS4" s="64"/>
      <c r="AT4" s="66">
        <f ca="1">SUM(AU6:AU259)/2</f>
        <v>22</v>
      </c>
      <c r="AU4" s="67"/>
      <c r="AV4" s="64"/>
      <c r="AW4" s="66">
        <f ca="1">SUM(AX6:AX259)/2</f>
        <v>29</v>
      </c>
      <c r="AX4" s="67"/>
      <c r="AY4" s="64"/>
      <c r="AZ4" s="66">
        <f ca="1">SUM(BA6:BA259)/2</f>
        <v>14</v>
      </c>
      <c r="BA4" s="67"/>
      <c r="BB4" s="64"/>
      <c r="BC4" s="66">
        <f ca="1">SUM(BD6:BD259)/2</f>
        <v>7</v>
      </c>
      <c r="BD4" s="67"/>
      <c r="BE4" s="64"/>
      <c r="BF4" s="66">
        <f ca="1">SUM(BG6:BG259)/2</f>
        <v>7</v>
      </c>
      <c r="BG4" s="67"/>
      <c r="BH4" s="64"/>
      <c r="BI4" s="66">
        <f ca="1">SUM(BJ6:BJ259)/2</f>
        <v>29</v>
      </c>
      <c r="BJ4" s="67"/>
      <c r="BK4" s="64"/>
      <c r="BL4" s="66">
        <f ca="1">SUM(BM6:BM259)/2</f>
        <v>7</v>
      </c>
      <c r="BM4" s="67"/>
      <c r="BN4" s="64"/>
      <c r="BO4" s="66">
        <f ca="1">SUM(BP6:BP259)/2</f>
        <v>22</v>
      </c>
      <c r="BP4" s="67"/>
      <c r="BQ4" s="64"/>
      <c r="BR4" s="66">
        <f ca="1">SUM(BS6:BS259)/2</f>
        <v>22</v>
      </c>
      <c r="BS4" s="67"/>
      <c r="BT4" s="64"/>
      <c r="BU4" s="66">
        <f ca="1">SUM(BV6:BV259)/2</f>
        <v>21</v>
      </c>
      <c r="BV4" s="67"/>
      <c r="BW4" s="64"/>
      <c r="BX4" s="66">
        <f ca="1">SUM(BY6:BY259)/2</f>
        <v>29</v>
      </c>
      <c r="BY4" s="67"/>
      <c r="BZ4" s="64"/>
      <c r="CA4" s="66">
        <f ca="1">SUM(CB6:CB259)/2</f>
        <v>29</v>
      </c>
      <c r="CB4" s="67"/>
      <c r="CC4" s="64"/>
      <c r="CD4" s="66">
        <f ca="1">SUM(CE6:CE259)/2</f>
        <v>21</v>
      </c>
      <c r="CE4" s="67"/>
      <c r="CF4" s="64"/>
      <c r="CG4" s="66">
        <f ca="1">SUM(CH6:CH259)/2</f>
        <v>22</v>
      </c>
      <c r="CH4" s="67"/>
      <c r="CI4" s="64"/>
      <c r="CJ4" s="66">
        <f ca="1">SUM(CK6:CK259)/2</f>
        <v>7</v>
      </c>
      <c r="CK4" s="67"/>
      <c r="CL4" s="64"/>
      <c r="CM4" s="66">
        <f ca="1">SUM(CN6:CN259)/2</f>
        <v>22</v>
      </c>
      <c r="CN4" s="67"/>
      <c r="CO4" s="64"/>
      <c r="CP4" s="66">
        <f ca="1">SUM(CQ6:CQ259)/2</f>
        <v>15</v>
      </c>
      <c r="CQ4" s="67"/>
      <c r="CR4" s="64"/>
      <c r="CS4" s="66">
        <f ca="1">SUM(CT6:CT259)/2</f>
        <v>14</v>
      </c>
      <c r="CT4" s="67"/>
      <c r="CU4" s="64"/>
      <c r="CV4" s="66">
        <f ca="1">SUM(CW6:CW259)/2</f>
        <v>14</v>
      </c>
      <c r="CW4" s="67"/>
      <c r="CX4" s="64"/>
      <c r="CY4" s="66">
        <f ca="1">SUM(CZ6:CZ259)/2</f>
        <v>14</v>
      </c>
      <c r="CZ4" s="67"/>
      <c r="DA4" s="64"/>
      <c r="DB4" s="66">
        <f ca="1">SUM(DC6:DC259)/2</f>
        <v>14</v>
      </c>
      <c r="DC4" s="67"/>
      <c r="DD4" s="64"/>
      <c r="DE4" s="66">
        <f ca="1">SUM(DF6:DF259)/2</f>
        <v>29</v>
      </c>
      <c r="DF4" s="67"/>
      <c r="DG4" s="64"/>
      <c r="DH4" s="66">
        <f ca="1">SUM(DI6:DI259)/2</f>
        <v>14</v>
      </c>
      <c r="DI4" s="67"/>
      <c r="DJ4" s="64"/>
      <c r="DK4" s="66">
        <f ca="1">SUM(DL6:DL259)/2</f>
        <v>7</v>
      </c>
      <c r="DL4" s="67"/>
      <c r="DM4" s="64"/>
      <c r="DN4" s="66">
        <f ca="1">SUM(DO6:DO259)/2</f>
        <v>7</v>
      </c>
      <c r="DO4" s="67"/>
      <c r="DP4" s="64"/>
      <c r="DQ4" s="66">
        <f ca="1">SUM(DR6:DR259)/2</f>
        <v>7</v>
      </c>
      <c r="DR4" s="67"/>
      <c r="DS4" s="64"/>
      <c r="DT4" s="66">
        <f ca="1">SUM(DU6:DU259)/2</f>
        <v>7</v>
      </c>
      <c r="DU4" s="67"/>
      <c r="DV4" s="64"/>
      <c r="DW4" s="66">
        <f ca="1">SUM(DX6:DX259)/2</f>
        <v>0</v>
      </c>
      <c r="DX4" s="67"/>
      <c r="DY4" s="64"/>
      <c r="DZ4" s="66">
        <f ca="1">SUM(EA6:EA259)/2</f>
        <v>0</v>
      </c>
      <c r="EA4" s="67"/>
      <c r="EB4" s="64"/>
      <c r="EC4" s="66">
        <f ca="1">SUM(ED6:ED259)/2</f>
        <v>0</v>
      </c>
      <c r="ED4" s="67"/>
      <c r="EE4" s="64"/>
      <c r="EF4" s="66">
        <f ca="1">SUM(EG6:EG259)/2</f>
        <v>0</v>
      </c>
      <c r="EG4" s="67"/>
      <c r="EH4" s="64"/>
      <c r="EI4" s="66">
        <f ca="1">SUM(EJ6:EJ259)/2</f>
        <v>0</v>
      </c>
      <c r="EJ4" s="67"/>
      <c r="EK4" s="64"/>
      <c r="EL4" s="66">
        <f ca="1">SUM(EM6:EM259)/2</f>
        <v>0</v>
      </c>
      <c r="EM4" s="67"/>
      <c r="EN4" s="64"/>
      <c r="EO4" s="66">
        <f ca="1">SUM(EP6:EP259)/2</f>
        <v>0</v>
      </c>
      <c r="EP4" s="67"/>
      <c r="EQ4" s="64"/>
      <c r="ER4" s="66">
        <f ca="1">SUM(ES6:ES259)/2</f>
        <v>0</v>
      </c>
      <c r="ES4" s="67"/>
      <c r="ET4" s="64"/>
      <c r="EU4" s="66">
        <f ca="1">SUM(EV6:EV259)/2</f>
        <v>0</v>
      </c>
      <c r="EV4" s="67"/>
      <c r="EW4" s="64"/>
      <c r="EX4" s="66">
        <f ca="1">SUM(EY6:EY259)/2</f>
        <v>0</v>
      </c>
      <c r="EY4" s="67"/>
      <c r="EZ4" s="64"/>
      <c r="FA4" s="66">
        <f ca="1">SUM(FB6:FB259)/2</f>
        <v>0</v>
      </c>
      <c r="FB4" s="67"/>
      <c r="FC4" s="64"/>
      <c r="FD4" s="66">
        <f ca="1">SUM(FE6:FE259)/2</f>
        <v>0</v>
      </c>
      <c r="FE4" s="67"/>
      <c r="FF4" s="64"/>
      <c r="FG4" s="66">
        <f ca="1">SUM(FH6:FH259)/2</f>
        <v>0</v>
      </c>
      <c r="FH4" s="67"/>
      <c r="FI4" s="64"/>
      <c r="FJ4" s="66">
        <f ca="1">SUM(FK6:FK259)/2</f>
        <v>0</v>
      </c>
      <c r="FK4" s="67"/>
      <c r="FL4" s="64"/>
      <c r="FM4" s="66">
        <f ca="1">SUM(FN6:FN259)/2</f>
        <v>0</v>
      </c>
      <c r="FN4" s="67"/>
      <c r="FO4" s="64"/>
      <c r="FP4" s="66">
        <f ca="1">SUM(FQ6:FQ259)/2</f>
        <v>0</v>
      </c>
      <c r="FQ4" s="67"/>
      <c r="FR4" s="64"/>
      <c r="FS4" s="66">
        <f ca="1">SUM(FT6:FT259)/2</f>
        <v>0</v>
      </c>
      <c r="FT4" s="67"/>
      <c r="FU4" s="64"/>
      <c r="FV4" s="66">
        <f ca="1">SUM(FW6:FW259)/2</f>
        <v>0</v>
      </c>
      <c r="FW4" s="67"/>
      <c r="FX4" s="64"/>
      <c r="FY4" s="66">
        <f ca="1">SUM(FZ6:FZ259)/2</f>
        <v>0</v>
      </c>
      <c r="FZ4" s="67"/>
      <c r="GA4" s="64"/>
      <c r="GB4" s="66">
        <f ca="1">SUM(GC6:GC259)/2</f>
        <v>0</v>
      </c>
      <c r="GC4" s="67"/>
      <c r="GD4" s="64"/>
      <c r="GE4" s="66">
        <f ca="1">SUM(GF6:GF259)/2</f>
        <v>0</v>
      </c>
      <c r="GF4" s="67"/>
      <c r="GG4" s="64"/>
      <c r="GH4" s="66">
        <f ca="1">SUM(GI6:GI259)/2</f>
        <v>0</v>
      </c>
      <c r="GI4" s="67"/>
      <c r="GJ4" s="64"/>
      <c r="GK4" s="66">
        <f ca="1">SUM(GL6:GL259)/2</f>
        <v>0</v>
      </c>
      <c r="GL4" s="67"/>
      <c r="GM4" s="64"/>
      <c r="GN4" s="66">
        <f ca="1">SUM(GO6:GO259)/2</f>
        <v>0</v>
      </c>
      <c r="GO4" s="67"/>
      <c r="GP4" s="64"/>
      <c r="GQ4" s="66">
        <f ca="1">SUM(GR6:GR259)/2</f>
        <v>0</v>
      </c>
      <c r="GR4" s="67"/>
      <c r="GS4" s="64"/>
      <c r="GT4" s="66">
        <f ca="1">SUM(GU6:GU259)/2</f>
        <v>0</v>
      </c>
      <c r="GU4" s="67"/>
      <c r="GV4" s="64"/>
      <c r="GW4" s="66">
        <f ca="1">SUM(GX6:GX259)/2</f>
        <v>0</v>
      </c>
      <c r="GX4" s="67"/>
      <c r="GY4" s="64"/>
      <c r="GZ4" s="66">
        <f ca="1">SUM(HA6:HA259)/2</f>
        <v>0</v>
      </c>
      <c r="HA4" s="67"/>
      <c r="HB4" s="64"/>
      <c r="HC4" s="66">
        <f ca="1">SUM(HD6:HD259)/2</f>
        <v>0</v>
      </c>
      <c r="HD4" s="67"/>
      <c r="HE4" s="64"/>
      <c r="HF4" s="66">
        <f ca="1">SUM(HG6:HG259)/2</f>
        <v>0</v>
      </c>
      <c r="HG4" s="67"/>
      <c r="HH4" s="64"/>
      <c r="HI4" s="66">
        <f ca="1">SUM(HJ6:HJ259)/2</f>
        <v>0</v>
      </c>
      <c r="HJ4" s="67"/>
      <c r="HK4" s="64"/>
      <c r="HL4" s="66">
        <f ca="1">SUM(HM6:HM259)/2</f>
        <v>0</v>
      </c>
      <c r="HM4" s="67"/>
      <c r="HN4" s="64"/>
      <c r="HO4" s="66">
        <f ca="1">SUM(HP6:HP259)/2</f>
        <v>0</v>
      </c>
      <c r="HP4" s="67"/>
      <c r="HQ4" s="64"/>
      <c r="HR4" s="66">
        <f ca="1">SUM(HS6:HS259)/2</f>
        <v>0</v>
      </c>
      <c r="HS4" s="67"/>
      <c r="HT4" s="64"/>
      <c r="HU4" s="66">
        <f ca="1">SUM(HV6:HV259)/2</f>
        <v>0</v>
      </c>
      <c r="HV4" s="67"/>
      <c r="HW4" s="64"/>
      <c r="HX4" s="66">
        <f ca="1">SUM(HY6:HY259)/2</f>
        <v>0</v>
      </c>
      <c r="HY4" s="67"/>
      <c r="HZ4" s="64"/>
      <c r="IA4" s="66">
        <f ca="1">SUM(IB6:IB259)/2</f>
        <v>0</v>
      </c>
      <c r="IB4" s="67"/>
      <c r="IC4" s="64"/>
      <c r="ID4" s="66">
        <f ca="1">SUM(IE6:IE259)/2</f>
        <v>0</v>
      </c>
      <c r="IE4" s="67"/>
      <c r="IF4" s="64"/>
      <c r="IG4" s="66">
        <f ca="1">SUM(IH6:IH259)/2</f>
        <v>0</v>
      </c>
      <c r="IH4" s="67"/>
      <c r="II4" s="64"/>
      <c r="IJ4" s="66">
        <f ca="1">SUM(IK6:IK259)/2</f>
        <v>0</v>
      </c>
      <c r="IK4" s="67"/>
      <c r="IL4" s="64"/>
      <c r="IM4" s="66">
        <f ca="1">SUM(IN6:IN259)/2</f>
        <v>0</v>
      </c>
      <c r="IN4" s="67"/>
      <c r="IO4" s="64"/>
      <c r="IP4" s="66">
        <f ca="1">SUM(IQ6:IQ259)/2</f>
        <v>0</v>
      </c>
      <c r="IQ4" s="67"/>
      <c r="IR4" s="64"/>
      <c r="IS4" s="66">
        <f ca="1">SUM(IT6:IT259)/2</f>
        <v>0</v>
      </c>
      <c r="IT4" s="67"/>
      <c r="IU4" s="64"/>
      <c r="IV4" s="66">
        <f ca="1">SUM(IW6:IW259)/2</f>
        <v>0</v>
      </c>
      <c r="IW4" s="67"/>
      <c r="IX4" s="64"/>
      <c r="IY4" s="66">
        <f ca="1">SUM(IZ6:IZ259)/2</f>
        <v>0</v>
      </c>
      <c r="IZ4" s="67"/>
      <c r="JA4" s="64"/>
      <c r="JB4" s="66">
        <f ca="1">SUM(JC6:JC259)/2</f>
        <v>0</v>
      </c>
      <c r="JC4" s="67"/>
      <c r="JD4" s="64"/>
      <c r="JE4" s="66">
        <f ca="1">SUM(JF6:JF259)/2</f>
        <v>0</v>
      </c>
      <c r="JF4" s="67"/>
      <c r="JG4" s="64"/>
      <c r="JH4" s="66">
        <f ca="1">SUM(JI6:JI259)/2</f>
        <v>0</v>
      </c>
      <c r="JI4" s="67"/>
      <c r="JJ4" s="64"/>
      <c r="JK4" s="66">
        <f ca="1">SUM(JL6:JL259)/2</f>
        <v>0</v>
      </c>
      <c r="JL4" s="67"/>
      <c r="JM4" s="64"/>
      <c r="JN4" s="66">
        <f ca="1">SUM(JO6:JO259)/2</f>
        <v>0</v>
      </c>
      <c r="JO4" s="67"/>
      <c r="JP4" s="64"/>
      <c r="JQ4" s="66">
        <f ca="1">SUM(JR6:JR259)/2</f>
        <v>0</v>
      </c>
      <c r="JR4" s="67"/>
      <c r="JS4" s="64"/>
      <c r="JT4" s="66">
        <f ca="1">SUM(JU6:JU259)/2</f>
        <v>0</v>
      </c>
      <c r="JU4" s="67"/>
      <c r="JV4" s="64"/>
      <c r="JW4" s="66">
        <f ca="1">SUM(JX6:JX259)/2</f>
        <v>0</v>
      </c>
      <c r="JX4" s="67"/>
      <c r="JY4" s="64"/>
      <c r="JZ4" s="66">
        <f ca="1">SUM(KA6:KA259)/2</f>
        <v>0</v>
      </c>
      <c r="KA4" s="67"/>
      <c r="KB4" s="64"/>
      <c r="KC4" s="66">
        <f ca="1">SUM(KD6:KD259)/2</f>
        <v>0</v>
      </c>
      <c r="KD4" s="67"/>
      <c r="KE4" s="64"/>
      <c r="KF4" s="66">
        <f ca="1">SUM(KG6:KG259)/2</f>
        <v>0</v>
      </c>
      <c r="KG4" s="67"/>
      <c r="KH4" s="64"/>
      <c r="KI4" s="66">
        <f ca="1">SUM(KJ6:KJ259)/2</f>
        <v>0</v>
      </c>
      <c r="KJ4" s="67"/>
      <c r="KK4" s="64"/>
      <c r="KL4" s="66">
        <f ca="1">SUM(KM6:KM259)/2</f>
        <v>0</v>
      </c>
      <c r="KM4" s="67"/>
      <c r="KN4" s="64"/>
      <c r="KO4" s="66">
        <f ca="1">SUM(KP6:KP259)/2</f>
        <v>0</v>
      </c>
      <c r="KP4" s="67"/>
      <c r="KQ4" s="64"/>
      <c r="KR4" s="66">
        <f ca="1">SUM(KS6:KS259)/2</f>
        <v>0</v>
      </c>
      <c r="KS4" s="67"/>
      <c r="KT4" s="64"/>
      <c r="KU4" s="66">
        <f ca="1">SUM(KV6:KV259)/2</f>
        <v>0</v>
      </c>
      <c r="KV4" s="67"/>
      <c r="KW4" s="64"/>
      <c r="KX4" s="66">
        <f ca="1">SUM(KY6:KY259)/2</f>
        <v>0</v>
      </c>
      <c r="KY4" s="67"/>
      <c r="KZ4" s="64"/>
      <c r="LA4" s="66">
        <f ca="1">SUM(LB6:LB259)/2</f>
        <v>0</v>
      </c>
      <c r="LB4" s="67"/>
      <c r="LC4" s="64"/>
      <c r="LD4" s="66">
        <f ca="1">SUM(LE6:LE259)/2</f>
        <v>0</v>
      </c>
      <c r="LE4" s="67"/>
      <c r="LF4" s="64"/>
    </row>
    <row r="5" spans="1:318" s="784" customFormat="1" ht="21.6" thickBot="1">
      <c r="A5" s="49"/>
      <c r="B5" s="49"/>
      <c r="C5" s="51" t="str">
        <f>Idiomas!D299&amp;" -&gt;"</f>
        <v>Selecciona el Nº de Jugadores -&gt;</v>
      </c>
      <c r="D5" s="449">
        <v>36</v>
      </c>
      <c r="E5" s="109"/>
      <c r="F5" s="443" t="s">
        <v>1577</v>
      </c>
      <c r="G5" s="443" t="s">
        <v>1649</v>
      </c>
      <c r="H5" s="443" t="s">
        <v>10</v>
      </c>
      <c r="I5" s="116" t="s">
        <v>1578</v>
      </c>
      <c r="J5" s="782" t="str">
        <f>HYPERLINK(Idiomas!D446,Idiomas!D445)</f>
        <v>?</v>
      </c>
      <c r="K5" s="111" t="str">
        <f>Idiomas!D135</f>
        <v>FASE DE GRUPOS</v>
      </c>
      <c r="L5" s="50"/>
      <c r="M5" s="70"/>
      <c r="N5" s="25"/>
      <c r="O5" s="25"/>
      <c r="P5" s="25"/>
      <c r="Q5" s="25"/>
      <c r="R5" s="64">
        <v>0</v>
      </c>
      <c r="S5" s="793" t="s">
        <v>1946</v>
      </c>
      <c r="T5" s="69"/>
      <c r="U5" s="64">
        <v>1</v>
      </c>
      <c r="V5" s="820" t="s">
        <v>2004</v>
      </c>
      <c r="W5" s="69"/>
      <c r="X5" s="64">
        <v>2</v>
      </c>
      <c r="Y5" s="793" t="s">
        <v>2124</v>
      </c>
      <c r="Z5" s="69"/>
      <c r="AA5" s="64">
        <v>3</v>
      </c>
      <c r="AB5" s="793" t="s">
        <v>2087</v>
      </c>
      <c r="AC5" s="69"/>
      <c r="AD5" s="64">
        <v>4</v>
      </c>
      <c r="AE5" s="793" t="s">
        <v>2125</v>
      </c>
      <c r="AF5" s="69"/>
      <c r="AG5" s="64">
        <v>5</v>
      </c>
      <c r="AH5" s="793" t="s">
        <v>2159</v>
      </c>
      <c r="AI5" s="69"/>
      <c r="AJ5" s="64">
        <v>1</v>
      </c>
      <c r="AK5" s="803" t="s">
        <v>2193</v>
      </c>
      <c r="AL5" s="69"/>
      <c r="AM5" s="64">
        <v>2</v>
      </c>
      <c r="AN5" s="793" t="s">
        <v>2227</v>
      </c>
      <c r="AO5" s="69"/>
      <c r="AP5" s="64">
        <v>3</v>
      </c>
      <c r="AQ5" s="803" t="s">
        <v>2253</v>
      </c>
      <c r="AR5" s="69"/>
      <c r="AS5" s="64">
        <v>4</v>
      </c>
      <c r="AT5" s="793" t="s">
        <v>2287</v>
      </c>
      <c r="AU5" s="69"/>
      <c r="AV5" s="64">
        <v>5</v>
      </c>
      <c r="AW5" s="793" t="s">
        <v>2315</v>
      </c>
      <c r="AX5" s="69"/>
      <c r="AY5" s="64">
        <v>1</v>
      </c>
      <c r="AZ5" s="793" t="s">
        <v>2337</v>
      </c>
      <c r="BA5" s="69"/>
      <c r="BB5" s="64">
        <v>2</v>
      </c>
      <c r="BC5" s="793" t="s">
        <v>2389</v>
      </c>
      <c r="BD5" s="69"/>
      <c r="BE5" s="64">
        <v>3</v>
      </c>
      <c r="BF5" s="793" t="s">
        <v>2415</v>
      </c>
      <c r="BG5" s="69"/>
      <c r="BH5" s="64">
        <v>4</v>
      </c>
      <c r="BI5" s="793" t="s">
        <v>2450</v>
      </c>
      <c r="BJ5" s="69"/>
      <c r="BK5" s="64">
        <v>5</v>
      </c>
      <c r="BL5" s="793" t="s">
        <v>2473</v>
      </c>
      <c r="BM5" s="69"/>
      <c r="BN5" s="64">
        <v>1</v>
      </c>
      <c r="BO5" s="813" t="s">
        <v>2497</v>
      </c>
      <c r="BP5" s="69"/>
      <c r="BQ5" s="64">
        <v>2</v>
      </c>
      <c r="BR5" s="793" t="s">
        <v>2515</v>
      </c>
      <c r="BS5" s="69"/>
      <c r="BT5" s="64">
        <v>3</v>
      </c>
      <c r="BU5" s="793" t="s">
        <v>2531</v>
      </c>
      <c r="BV5" s="69"/>
      <c r="BW5" s="64">
        <v>4</v>
      </c>
      <c r="BX5" s="820" t="s">
        <v>2555</v>
      </c>
      <c r="BY5" s="69"/>
      <c r="BZ5" s="64">
        <v>5</v>
      </c>
      <c r="CA5" s="813" t="s">
        <v>2577</v>
      </c>
      <c r="CB5" s="69"/>
      <c r="CC5" s="64">
        <v>1</v>
      </c>
      <c r="CD5" s="822" t="s">
        <v>2590</v>
      </c>
      <c r="CE5" s="69"/>
      <c r="CF5" s="64">
        <v>2</v>
      </c>
      <c r="CG5" s="793" t="s">
        <v>2606</v>
      </c>
      <c r="CH5" s="69"/>
      <c r="CI5" s="64">
        <v>3</v>
      </c>
      <c r="CJ5" s="793" t="s">
        <v>2626</v>
      </c>
      <c r="CK5" s="69"/>
      <c r="CL5" s="64">
        <v>4</v>
      </c>
      <c r="CM5" s="793" t="s">
        <v>2644</v>
      </c>
      <c r="CN5" s="69"/>
      <c r="CO5" s="64">
        <v>5</v>
      </c>
      <c r="CP5" s="793" t="s">
        <v>2668</v>
      </c>
      <c r="CQ5" s="69"/>
      <c r="CR5" s="64">
        <v>1</v>
      </c>
      <c r="CS5" s="793" t="s">
        <v>2690</v>
      </c>
      <c r="CT5" s="69"/>
      <c r="CU5" s="64">
        <v>2</v>
      </c>
      <c r="CV5" s="793" t="s">
        <v>2715</v>
      </c>
      <c r="CW5" s="69"/>
      <c r="CX5" s="64">
        <v>3</v>
      </c>
      <c r="CY5" s="793" t="s">
        <v>2743</v>
      </c>
      <c r="CZ5" s="69"/>
      <c r="DA5" s="64">
        <v>4</v>
      </c>
      <c r="DB5" s="793" t="s">
        <v>2766</v>
      </c>
      <c r="DC5" s="69"/>
      <c r="DD5" s="64">
        <v>5</v>
      </c>
      <c r="DE5" s="793" t="s">
        <v>2792</v>
      </c>
      <c r="DF5" s="69"/>
      <c r="DG5" s="64">
        <v>1</v>
      </c>
      <c r="DH5" s="793" t="s">
        <v>2850</v>
      </c>
      <c r="DI5" s="69"/>
      <c r="DJ5" s="64">
        <v>2</v>
      </c>
      <c r="DK5" s="793" t="s">
        <v>2813</v>
      </c>
      <c r="DL5" s="69"/>
      <c r="DM5" s="64">
        <v>3</v>
      </c>
      <c r="DN5" s="820" t="s">
        <v>2791</v>
      </c>
      <c r="DO5" s="69"/>
      <c r="DP5" s="64">
        <v>4</v>
      </c>
      <c r="DQ5" s="793" t="s">
        <v>2830</v>
      </c>
      <c r="DR5" s="69"/>
      <c r="DS5" s="64">
        <v>5</v>
      </c>
      <c r="DT5" s="820" t="s">
        <v>2868</v>
      </c>
      <c r="DU5" s="69"/>
      <c r="DV5" s="64">
        <v>1</v>
      </c>
      <c r="DW5" s="68" t="str">
        <f>Idiomas!$G$363&amp;ADMIN!DY5</f>
        <v>Pegar Valores Nombre J2</v>
      </c>
      <c r="DX5" s="69"/>
      <c r="DY5" s="64">
        <v>2</v>
      </c>
      <c r="DZ5" s="68" t="str">
        <f>Idiomas!$G$363&amp;ADMIN!EB5</f>
        <v>Pegar Valores Nombre J3</v>
      </c>
      <c r="EA5" s="69"/>
      <c r="EB5" s="64">
        <v>3</v>
      </c>
      <c r="EC5" s="68" t="str">
        <f>Idiomas!$G$363&amp;ADMIN!EE5</f>
        <v>Pegar Valores Nombre J4</v>
      </c>
      <c r="ED5" s="69"/>
      <c r="EE5" s="64">
        <v>4</v>
      </c>
      <c r="EF5" s="68" t="str">
        <f>Idiomas!$G$363&amp;ADMIN!EH5</f>
        <v>Pegar Valores Nombre J5</v>
      </c>
      <c r="EG5" s="69"/>
      <c r="EH5" s="64">
        <v>5</v>
      </c>
      <c r="EI5" s="68" t="str">
        <f>Idiomas!$G$363&amp;ADMIN!EK5</f>
        <v>Pegar Valores Nombre J1</v>
      </c>
      <c r="EJ5" s="69"/>
      <c r="EK5" s="64">
        <v>1</v>
      </c>
      <c r="EL5" s="68" t="str">
        <f>Idiomas!$G$363&amp;ADMIN!EN5</f>
        <v>Pegar Valores Nombre J2</v>
      </c>
      <c r="EM5" s="69"/>
      <c r="EN5" s="64">
        <v>2</v>
      </c>
      <c r="EO5" s="68" t="str">
        <f>Idiomas!$G$363&amp;ADMIN!EQ5</f>
        <v>Pegar Valores Nombre J3</v>
      </c>
      <c r="EP5" s="69"/>
      <c r="EQ5" s="64">
        <v>3</v>
      </c>
      <c r="ER5" s="68" t="str">
        <f>Idiomas!$G$363&amp;ADMIN!ET5</f>
        <v>Pegar Valores Nombre J4</v>
      </c>
      <c r="ES5" s="69"/>
      <c r="ET5" s="64">
        <v>4</v>
      </c>
      <c r="EU5" s="68" t="str">
        <f>Idiomas!$G$363&amp;ADMIN!EW5</f>
        <v>Pegar Valores Nombre J5</v>
      </c>
      <c r="EV5" s="69"/>
      <c r="EW5" s="64">
        <v>5</v>
      </c>
      <c r="EX5" s="68" t="str">
        <f>Idiomas!$G$363&amp;ADMIN!EZ5</f>
        <v>Pegar Valores Nombre J1</v>
      </c>
      <c r="EY5" s="69"/>
      <c r="EZ5" s="64">
        <v>1</v>
      </c>
      <c r="FA5" s="68" t="str">
        <f>Idiomas!$G$363&amp;ADMIN!FC5</f>
        <v>Pegar Valores Nombre J2</v>
      </c>
      <c r="FB5" s="69"/>
      <c r="FC5" s="64">
        <v>2</v>
      </c>
      <c r="FD5" s="68" t="str">
        <f>Idiomas!$G$363&amp;ADMIN!FF5</f>
        <v>Pegar Valores Nombre J3</v>
      </c>
      <c r="FE5" s="69"/>
      <c r="FF5" s="64">
        <v>3</v>
      </c>
      <c r="FG5" s="68" t="str">
        <f>Idiomas!$G$363&amp;ADMIN!FI5</f>
        <v>Pegar Valores Nombre J4</v>
      </c>
      <c r="FH5" s="69"/>
      <c r="FI5" s="64">
        <v>4</v>
      </c>
      <c r="FJ5" s="68" t="str">
        <f>Idiomas!$G$363&amp;ADMIN!FL5</f>
        <v>Pegar Valores Nombre J5</v>
      </c>
      <c r="FK5" s="69"/>
      <c r="FL5" s="64">
        <v>5</v>
      </c>
      <c r="FM5" s="68" t="str">
        <f>Idiomas!$G$363&amp;ADMIN!FO5</f>
        <v>Pegar Valores Nombre J1</v>
      </c>
      <c r="FN5" s="69"/>
      <c r="FO5" s="64">
        <v>1</v>
      </c>
      <c r="FP5" s="68" t="str">
        <f>Idiomas!$G$363&amp;ADMIN!FR5</f>
        <v>Pegar Valores Nombre J2</v>
      </c>
      <c r="FQ5" s="69"/>
      <c r="FR5" s="64">
        <v>2</v>
      </c>
      <c r="FS5" s="68" t="str">
        <f>Idiomas!$G$363&amp;ADMIN!FU5</f>
        <v>Pegar Valores Nombre J3</v>
      </c>
      <c r="FT5" s="69"/>
      <c r="FU5" s="64">
        <v>3</v>
      </c>
      <c r="FV5" s="68" t="str">
        <f>Idiomas!$G$363&amp;ADMIN!FX5</f>
        <v>Pegar Valores Nombre J4</v>
      </c>
      <c r="FW5" s="69"/>
      <c r="FX5" s="64">
        <v>4</v>
      </c>
      <c r="FY5" s="68" t="str">
        <f>Idiomas!$G$363&amp;ADMIN!GA5</f>
        <v>Pegar Valores Nombre J5</v>
      </c>
      <c r="FZ5" s="69"/>
      <c r="GA5" s="64">
        <v>5</v>
      </c>
      <c r="GB5" s="68" t="str">
        <f>Idiomas!$G$363&amp;ADMIN!GD5</f>
        <v>Pegar Valores Nombre J1</v>
      </c>
      <c r="GC5" s="69"/>
      <c r="GD5" s="64">
        <v>1</v>
      </c>
      <c r="GE5" s="68" t="str">
        <f>Idiomas!$G$363&amp;ADMIN!GG5</f>
        <v>Pegar Valores Nombre J2</v>
      </c>
      <c r="GF5" s="69"/>
      <c r="GG5" s="64">
        <v>2</v>
      </c>
      <c r="GH5" s="68" t="str">
        <f>Idiomas!$G$363&amp;ADMIN!GJ5</f>
        <v>Pegar Valores Nombre J3</v>
      </c>
      <c r="GI5" s="69"/>
      <c r="GJ5" s="64">
        <v>3</v>
      </c>
      <c r="GK5" s="68" t="str">
        <f>Idiomas!$G$363&amp;ADMIN!GM5</f>
        <v>Pegar Valores Nombre J4</v>
      </c>
      <c r="GL5" s="69"/>
      <c r="GM5" s="64">
        <v>4</v>
      </c>
      <c r="GN5" s="68" t="str">
        <f>Idiomas!$G$363&amp;ADMIN!GP5</f>
        <v>Pegar Valores Nombre J5</v>
      </c>
      <c r="GO5" s="69"/>
      <c r="GP5" s="64">
        <v>5</v>
      </c>
      <c r="GQ5" s="68" t="str">
        <f>Idiomas!$G$363&amp;ADMIN!GS5</f>
        <v>Pegar Valores Nombre J1</v>
      </c>
      <c r="GR5" s="69"/>
      <c r="GS5" s="64">
        <v>1</v>
      </c>
      <c r="GT5" s="68" t="str">
        <f>Idiomas!$G$363&amp;ADMIN!GV5</f>
        <v>Pegar Valores Nombre J2</v>
      </c>
      <c r="GU5" s="69"/>
      <c r="GV5" s="64">
        <v>2</v>
      </c>
      <c r="GW5" s="68" t="str">
        <f>Idiomas!$G$363&amp;ADMIN!GY5</f>
        <v>Pegar Valores Nombre J3</v>
      </c>
      <c r="GX5" s="69"/>
      <c r="GY5" s="64">
        <v>3</v>
      </c>
      <c r="GZ5" s="68" t="str">
        <f>Idiomas!$G$363&amp;ADMIN!HB5</f>
        <v>Pegar Valores Nombre J4</v>
      </c>
      <c r="HA5" s="69"/>
      <c r="HB5" s="64">
        <v>4</v>
      </c>
      <c r="HC5" s="68" t="str">
        <f>Idiomas!$G$363&amp;ADMIN!HE5</f>
        <v>Pegar Valores Nombre J5</v>
      </c>
      <c r="HD5" s="69"/>
      <c r="HE5" s="64">
        <v>5</v>
      </c>
      <c r="HF5" s="68" t="str">
        <f>Idiomas!$G$363&amp;ADMIN!HH5</f>
        <v>Pegar Valores Nombre J1</v>
      </c>
      <c r="HG5" s="69"/>
      <c r="HH5" s="64">
        <v>1</v>
      </c>
      <c r="HI5" s="68" t="str">
        <f>Idiomas!$G$363&amp;ADMIN!HK5</f>
        <v>Pegar Valores Nombre J2</v>
      </c>
      <c r="HJ5" s="69"/>
      <c r="HK5" s="64">
        <v>2</v>
      </c>
      <c r="HL5" s="68" t="str">
        <f>Idiomas!$G$363&amp;ADMIN!HN5</f>
        <v>Pegar Valores Nombre J3</v>
      </c>
      <c r="HM5" s="69"/>
      <c r="HN5" s="64">
        <v>3</v>
      </c>
      <c r="HO5" s="68" t="str">
        <f>Idiomas!$G$363&amp;ADMIN!HQ5</f>
        <v>Pegar Valores Nombre J4</v>
      </c>
      <c r="HP5" s="69"/>
      <c r="HQ5" s="64">
        <v>4</v>
      </c>
      <c r="HR5" s="68" t="str">
        <f>Idiomas!$G$363&amp;ADMIN!HT5</f>
        <v>Pegar Valores Nombre J5</v>
      </c>
      <c r="HS5" s="69"/>
      <c r="HT5" s="64">
        <v>5</v>
      </c>
      <c r="HU5" s="68" t="str">
        <f>Idiomas!$G$363&amp;ADMIN!HW5</f>
        <v>Pegar Valores Nombre J1</v>
      </c>
      <c r="HV5" s="69"/>
      <c r="HW5" s="64">
        <v>1</v>
      </c>
      <c r="HX5" s="68" t="str">
        <f>Idiomas!$G$363&amp;ADMIN!HZ5</f>
        <v>Pegar Valores Nombre J2</v>
      </c>
      <c r="HY5" s="69"/>
      <c r="HZ5" s="64">
        <v>2</v>
      </c>
      <c r="IA5" s="68" t="str">
        <f>Idiomas!$G$363&amp;ADMIN!IC5</f>
        <v>Pegar Valores Nombre J3</v>
      </c>
      <c r="IB5" s="69"/>
      <c r="IC5" s="64">
        <v>3</v>
      </c>
      <c r="ID5" s="68" t="str">
        <f>Idiomas!$G$363&amp;ADMIN!IF5</f>
        <v>Pegar Valores Nombre J4</v>
      </c>
      <c r="IE5" s="69"/>
      <c r="IF5" s="64">
        <v>4</v>
      </c>
      <c r="IG5" s="68" t="str">
        <f>Idiomas!$G$363&amp;ADMIN!II5</f>
        <v>Pegar Valores Nombre J5</v>
      </c>
      <c r="IH5" s="69"/>
      <c r="II5" s="64">
        <v>5</v>
      </c>
      <c r="IJ5" s="68" t="str">
        <f>Idiomas!$G$363&amp;ADMIN!IL5</f>
        <v>Pegar Valores Nombre J1</v>
      </c>
      <c r="IK5" s="69"/>
      <c r="IL5" s="64">
        <v>1</v>
      </c>
      <c r="IM5" s="68" t="str">
        <f>Idiomas!$G$363&amp;ADMIN!IO5</f>
        <v>Pegar Valores Nombre J2</v>
      </c>
      <c r="IN5" s="69"/>
      <c r="IO5" s="64">
        <v>2</v>
      </c>
      <c r="IP5" s="68" t="str">
        <f>Idiomas!$G$363&amp;ADMIN!IR5</f>
        <v>Pegar Valores Nombre J3</v>
      </c>
      <c r="IQ5" s="69"/>
      <c r="IR5" s="64">
        <v>3</v>
      </c>
      <c r="IS5" s="68" t="str">
        <f>Idiomas!$G$363&amp;ADMIN!IU5</f>
        <v>Pegar Valores Nombre J4</v>
      </c>
      <c r="IT5" s="69"/>
      <c r="IU5" s="64">
        <v>4</v>
      </c>
      <c r="IV5" s="68" t="str">
        <f>Idiomas!$G$363&amp;ADMIN!IX5</f>
        <v>Pegar Valores Nombre J5</v>
      </c>
      <c r="IW5" s="69"/>
      <c r="IX5" s="64">
        <v>5</v>
      </c>
      <c r="IY5" s="68" t="str">
        <f>Idiomas!$G$363&amp;ADMIN!JA5</f>
        <v>Pegar Valores Nombre J1</v>
      </c>
      <c r="IZ5" s="69"/>
      <c r="JA5" s="64">
        <v>1</v>
      </c>
      <c r="JB5" s="68" t="str">
        <f>Idiomas!$G$363&amp;ADMIN!JD5</f>
        <v>Pegar Valores Nombre J2</v>
      </c>
      <c r="JC5" s="69"/>
      <c r="JD5" s="64">
        <v>2</v>
      </c>
      <c r="JE5" s="68" t="str">
        <f>Idiomas!$G$363&amp;ADMIN!JG5</f>
        <v>Pegar Valores Nombre J3</v>
      </c>
      <c r="JF5" s="69"/>
      <c r="JG5" s="64">
        <v>3</v>
      </c>
      <c r="JH5" s="68" t="str">
        <f>Idiomas!$G$363&amp;ADMIN!JJ5</f>
        <v>Pegar Valores Nombre J4</v>
      </c>
      <c r="JI5" s="69"/>
      <c r="JJ5" s="64">
        <v>4</v>
      </c>
      <c r="JK5" s="68" t="str">
        <f>Idiomas!$G$363&amp;ADMIN!JM5</f>
        <v>Pegar Valores Nombre J5</v>
      </c>
      <c r="JL5" s="69"/>
      <c r="JM5" s="64">
        <v>5</v>
      </c>
      <c r="JN5" s="68" t="str">
        <f>Idiomas!$G$363&amp;ADMIN!JP5</f>
        <v>Pegar Valores Nombre J1</v>
      </c>
      <c r="JO5" s="69"/>
      <c r="JP5" s="64">
        <v>1</v>
      </c>
      <c r="JQ5" s="68" t="str">
        <f>Idiomas!$G$363&amp;ADMIN!JS5</f>
        <v>Pegar Valores Nombre J2</v>
      </c>
      <c r="JR5" s="69"/>
      <c r="JS5" s="64">
        <v>2</v>
      </c>
      <c r="JT5" s="68" t="str">
        <f>Idiomas!$G$363&amp;ADMIN!JV5</f>
        <v>Pegar Valores Nombre J3</v>
      </c>
      <c r="JU5" s="69"/>
      <c r="JV5" s="64">
        <v>3</v>
      </c>
      <c r="JW5" s="68" t="str">
        <f>Idiomas!$G$363&amp;ADMIN!JY5</f>
        <v>Pegar Valores Nombre J4</v>
      </c>
      <c r="JX5" s="69"/>
      <c r="JY5" s="64">
        <v>4</v>
      </c>
      <c r="JZ5" s="68" t="str">
        <f>Idiomas!$G$363&amp;ADMIN!KB5</f>
        <v>Pegar Valores Nombre J5</v>
      </c>
      <c r="KA5" s="69"/>
      <c r="KB5" s="64">
        <v>5</v>
      </c>
      <c r="KC5" s="68" t="str">
        <f>Idiomas!$G$363&amp;ADMIN!KE5</f>
        <v>Pegar Valores Nombre J1</v>
      </c>
      <c r="KD5" s="69"/>
      <c r="KE5" s="64">
        <v>1</v>
      </c>
      <c r="KF5" s="68" t="str">
        <f>Idiomas!$G$363&amp;ADMIN!KH5</f>
        <v>Pegar Valores Nombre J2</v>
      </c>
      <c r="KG5" s="69"/>
      <c r="KH5" s="64">
        <v>2</v>
      </c>
      <c r="KI5" s="68" t="str">
        <f>Idiomas!$G$363&amp;ADMIN!KK5</f>
        <v>Pegar Valores Nombre J3</v>
      </c>
      <c r="KJ5" s="69"/>
      <c r="KK5" s="64">
        <v>3</v>
      </c>
      <c r="KL5" s="68" t="str">
        <f>Idiomas!$G$363&amp;ADMIN!KN5</f>
        <v>Pegar Valores Nombre J4</v>
      </c>
      <c r="KM5" s="69"/>
      <c r="KN5" s="64">
        <v>4</v>
      </c>
      <c r="KO5" s="68" t="str">
        <f>Idiomas!$G$363&amp;ADMIN!KQ5</f>
        <v>Pegar Valores Nombre J5</v>
      </c>
      <c r="KP5" s="69"/>
      <c r="KQ5" s="64">
        <v>5</v>
      </c>
      <c r="KR5" s="68" t="str">
        <f>Idiomas!$G$363&amp;ADMIN!KT5</f>
        <v>Pegar Valores Nombre J1</v>
      </c>
      <c r="KS5" s="69"/>
      <c r="KT5" s="64">
        <v>1</v>
      </c>
      <c r="KU5" s="68" t="str">
        <f>Idiomas!$G$363&amp;ADMIN!KW5</f>
        <v>Pegar Valores Nombre J2</v>
      </c>
      <c r="KV5" s="69"/>
      <c r="KW5" s="64">
        <v>2</v>
      </c>
      <c r="KX5" s="68" t="str">
        <f>Idiomas!$G$363&amp;ADMIN!KZ5</f>
        <v>Pegar Valores Nombre J3</v>
      </c>
      <c r="KY5" s="69"/>
      <c r="KZ5" s="64">
        <v>3</v>
      </c>
      <c r="LA5" s="68" t="str">
        <f>Idiomas!$G$363&amp;ADMIN!LC5</f>
        <v>Pegar Valores Nombre J4</v>
      </c>
      <c r="LB5" s="69"/>
      <c r="LC5" s="64">
        <v>4</v>
      </c>
      <c r="LD5" s="68" t="str">
        <f>Idiomas!$G$363&amp;ADMIN!LF5</f>
        <v>Pegar Valores Nombre J5</v>
      </c>
      <c r="LE5" s="69"/>
      <c r="LF5" s="64">
        <v>5</v>
      </c>
    </row>
    <row r="6" spans="1:318" s="784" customFormat="1" ht="15" thickBot="1">
      <c r="A6" s="49"/>
      <c r="B6" s="49"/>
      <c r="C6" s="666"/>
      <c r="D6" s="49"/>
      <c r="E6" s="109"/>
      <c r="F6" s="443">
        <f>SUM($D$8:$D$10)*I6</f>
        <v>15</v>
      </c>
      <c r="G6" s="443">
        <f ca="1">VLOOKUP(H6,Equipos!$Q$1:$R$25,2,0)</f>
        <v>1</v>
      </c>
      <c r="H6" s="444">
        <f ca="1">TRUNC(INDEX(WORLDCUP!$X$4:$X$147,MATCH(ADMIN!K6,WORLDCUP!$DT$4:$DT$147,0))+INDEX(Horarios!$R$3:$R$86,MATCH(Horarios!$C$3,Horarios!$P$3:$P$86,0))/24)</f>
        <v>46184</v>
      </c>
      <c r="I6" s="48">
        <v>1</v>
      </c>
      <c r="J6" s="93"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94" t="s">
        <v>1947</v>
      </c>
      <c r="T6" s="72">
        <f>IFERROR(IF($M6=S6,($D$8+$D$9+$D$10)*$I6,IF($N6=LEFT(S6,1),($D$8+MAX(0,IF($D$50=1,$D$9*(1-(ABS($Q6-ABS(VALUE(MID(S6,FIND("|",S6)+1,FIND("-",S6)-FIND("|",S6)-1))-VALUE(MID(S6,FIND("-",S6)+1,10)))))*$D$50),$D$9*(1-(IF($N6="X",ABS($O6-VALUE(MID(S6,FIND("|",S6)+1,FIND("-",S6)-FIND("|",S6)-1))),ABS($Q6-ABS(VALUE(MID(S6,FIND("|",S6)+1,FIND("-",S6)-FIND("|",S6)-1))-VALUE(MID(S6,FIND("-",S6)+1,10)))))*$D$50)))))*$I6,0)),0)</f>
        <v>0</v>
      </c>
      <c r="U6" s="109"/>
      <c r="V6" s="71" t="s">
        <v>1958</v>
      </c>
      <c r="W6" s="72">
        <f>IFERROR(IF($M6=V6,($D$8+$D$9+$D$10)*$I6,IF($N6=LEFT(V6,1),($D$8+MAX(0,IF($D$50=1,$D$9*(1-(ABS($Q6-ABS(VALUE(MID(V6,FIND("|",V6)+1,FIND("-",V6)-FIND("|",V6)-1))-VALUE(MID(V6,FIND("-",V6)+1,10)))))*$D$50),$D$9*(1-(IF($N6="X",ABS($O6-VALUE(MID(V6,FIND("|",V6)+1,FIND("-",V6)-FIND("|",V6)-1))),ABS($Q6-ABS(VALUE(MID(V6,FIND("|",V6)+1,FIND("-",V6)-FIND("|",V6)-1))-VALUE(MID(V6,FIND("-",V6)+1,10)))))*$D$50)))))*$I6,0)),0)</f>
        <v>7</v>
      </c>
      <c r="X6" s="109"/>
      <c r="Y6" s="794" t="s">
        <v>1955</v>
      </c>
      <c r="Z6" s="72">
        <f t="shared" ref="Z6:Z69" si="176">IFERROR(IF($M6=Y6,($D$8+$D$9+$D$10)*$I6,IF($N6=LEFT(Y6,1),($D$8+MAX(0,IF($D$50=1,$D$9*(1-(ABS($Q6-ABS(VALUE(MID(Y6,FIND("|",Y6)+1,FIND("-",Y6)-FIND("|",Y6)-1))-VALUE(MID(Y6,FIND("-",Y6)+1,10)))))*$D$50),$D$9*(1-(IF($N6="X",ABS($O6-VALUE(MID(Y6,FIND("|",Y6)+1,FIND("-",Y6)-FIND("|",Y6)-1))),ABS($Q6-ABS(VALUE(MID(Y6,FIND("|",Y6)+1,FIND("-",Y6)-FIND("|",Y6)-1))-VALUE(MID(Y6,FIND("-",Y6)+1,10)))))*$D$50)))))*$I6,0)),0)</f>
        <v>7</v>
      </c>
      <c r="AA6" s="109"/>
      <c r="AB6" s="794" t="s">
        <v>1948</v>
      </c>
      <c r="AC6" s="72">
        <f t="shared" ref="AC6:AC69" si="177">IFERROR(IF($M6=AB6,($D$8+$D$9+$D$10)*$I6,IF($N6=LEFT(AB6,1),($D$8+MAX(0,IF($D$50=1,$D$9*(1-(ABS($Q6-ABS(VALUE(MID(AB6,FIND("|",AB6)+1,FIND("-",AB6)-FIND("|",AB6)-1))-VALUE(MID(AB6,FIND("-",AB6)+1,10)))))*$D$50),$D$9*(1-(IF($N6="X",ABS($O6-VALUE(MID(AB6,FIND("|",AB6)+1,FIND("-",AB6)-FIND("|",AB6)-1))),ABS($Q6-ABS(VALUE(MID(AB6,FIND("|",AB6)+1,FIND("-",AB6)-FIND("|",AB6)-1))-VALUE(MID(AB6,FIND("-",AB6)+1,10)))))*$D$50)))))*$I6,0)),0)</f>
        <v>15</v>
      </c>
      <c r="AD6" s="109"/>
      <c r="AE6" s="794" t="s">
        <v>1958</v>
      </c>
      <c r="AF6" s="72">
        <f t="shared" ref="AF6" si="178">IFERROR(IF($M6=AE6,($D$8+$D$9+$D$10)*$I6,IF($N6=LEFT(AE6,1),($D$8+MAX(0,IF($D$50=1,$D$9*(1-(ABS($Q6-ABS(VALUE(MID(AE6,FIND("|",AE6)+1,FIND("-",AE6)-FIND("|",AE6)-1))-VALUE(MID(AE6,FIND("-",AE6)+1,10)))))*$D$50),$D$9*(1-(IF($N6="X",ABS($O6-VALUE(MID(AE6,FIND("|",AE6)+1,FIND("-",AE6)-FIND("|",AE6)-1))),ABS($Q6-ABS(VALUE(MID(AE6,FIND("|",AE6)+1,FIND("-",AE6)-FIND("|",AE6)-1))-VALUE(MID(AE6,FIND("-",AE6)+1,10)))))*$D$50)))))*$I6,0)),0)</f>
        <v>7</v>
      </c>
      <c r="AG6" s="109"/>
      <c r="AH6" s="794" t="s">
        <v>1958</v>
      </c>
      <c r="AI6" s="72">
        <f>IFERROR(IF($M6=AH6,($D$8+$D$9+$D$10)*$I6,IF($N6=LEFT(AH6,1),($D$8+MAX(0,IF($D$50=1,$D$9*(1-(ABS($Q6-ABS(VALUE(MID(AH6,FIND("|",AH6)+1,FIND("-",AH6)-FIND("|",AH6)-1))-VALUE(MID(AH6,FIND("-",AH6)+1,10)))))*$D$50),$D$9*(1-(IF($N6="X",ABS($O6-VALUE(MID(AH6,FIND("|",AH6)+1,FIND("-",AH6)-FIND("|",AH6)-1))),ABS($Q6-ABS(VALUE(MID(AH6,FIND("|",AH6)+1,FIND("-",AH6)-FIND("|",AH6)-1))-VALUE(MID(AH6,FIND("-",AH6)+1,10)))))*$D$50)))))*$I6,0)),0)</f>
        <v>7</v>
      </c>
      <c r="AJ6" s="109"/>
      <c r="AK6" s="804" t="s">
        <v>1948</v>
      </c>
      <c r="AL6" s="72">
        <f>IFERROR(IF($M6=AK6,($D$8+$D$9+$D$10)*$I6,IF($N6=LEFT(AK6,1),($D$8+MAX(0,IF($D$50=1,$D$9*(1-(ABS($Q6-ABS(VALUE(MID(AK6,FIND("|",AK6)+1,FIND("-",AK6)-FIND("|",AK6)-1))-VALUE(MID(AK6,FIND("-",AK6)+1,10)))))*$D$50),$D$9*(1-(IF($N6="X",ABS($O6-VALUE(MID(AK6,FIND("|",AK6)+1,FIND("-",AK6)-FIND("|",AK6)-1))),ABS($Q6-ABS(VALUE(MID(AK6,FIND("|",AK6)+1,FIND("-",AK6)-FIND("|",AK6)-1))-VALUE(MID(AK6,FIND("-",AK6)+1,10)))))*$D$50)))))*$I6,0)),0)</f>
        <v>15</v>
      </c>
      <c r="AM6" s="109"/>
      <c r="AN6" s="794" t="s">
        <v>1948</v>
      </c>
      <c r="AO6" s="72">
        <f t="shared" ref="AO6:AO69" si="179">IFERROR(IF($M6=AN6,($D$8+$D$9+$D$10)*$I6,IF($N6=LEFT(AN6,1),($D$8+MAX(0,IF($D$50=1,$D$9*(1-(ABS($Q6-ABS(VALUE(MID(AN6,FIND("|",AN6)+1,FIND("-",AN6)-FIND("|",AN6)-1))-VALUE(MID(AN6,FIND("-",AN6)+1,10)))))*$D$50),$D$9*(1-(IF($N6="X",ABS($O6-VALUE(MID(AN6,FIND("|",AN6)+1,FIND("-",AN6)-FIND("|",AN6)-1))),ABS($Q6-ABS(VALUE(MID(AN6,FIND("|",AN6)+1,FIND("-",AN6)-FIND("|",AN6)-1))-VALUE(MID(AN6,FIND("-",AN6)+1,10)))))*$D$50)))))*$I6,0)),0)</f>
        <v>15</v>
      </c>
      <c r="AP6" s="109"/>
      <c r="AQ6" s="804" t="s">
        <v>1948</v>
      </c>
      <c r="AR6" s="72">
        <f t="shared" ref="AR6:AR69" si="180">IFERROR(IF($M6=AQ6,($D$8+$D$9+$D$10)*$I6,IF($N6=LEFT(AQ6,1),($D$8+MAX(0,IF($D$50=1,$D$9*(1-(ABS($Q6-ABS(VALUE(MID(AQ6,FIND("|",AQ6)+1,FIND("-",AQ6)-FIND("|",AQ6)-1))-VALUE(MID(AQ6,FIND("-",AQ6)+1,10)))))*$D$50),$D$9*(1-(IF($N6="X",ABS($O6-VALUE(MID(AQ6,FIND("|",AQ6)+1,FIND("-",AQ6)-FIND("|",AQ6)-1))),ABS($Q6-ABS(VALUE(MID(AQ6,FIND("|",AQ6)+1,FIND("-",AQ6)-FIND("|",AQ6)-1))-VALUE(MID(AQ6,FIND("-",AQ6)+1,10)))))*$D$50)))))*$I6,0)),0)</f>
        <v>15</v>
      </c>
      <c r="AS6" s="109"/>
      <c r="AT6" s="794" t="s">
        <v>1955</v>
      </c>
      <c r="AU6" s="72">
        <f t="shared" ref="AU6:AU69" si="181">IFERROR(IF($M6=AT6,($D$8+$D$9+$D$10)*$I6,IF($N6=LEFT(AT6,1),($D$8+MAX(0,IF($D$50=1,$D$9*(1-(ABS($Q6-ABS(VALUE(MID(AT6,FIND("|",AT6)+1,FIND("-",AT6)-FIND("|",AT6)-1))-VALUE(MID(AT6,FIND("-",AT6)+1,10)))))*$D$50),$D$9*(1-(IF($N6="X",ABS($O6-VALUE(MID(AT6,FIND("|",AT6)+1,FIND("-",AT6)-FIND("|",AT6)-1))),ABS($Q6-ABS(VALUE(MID(AT6,FIND("|",AT6)+1,FIND("-",AT6)-FIND("|",AT6)-1))-VALUE(MID(AT6,FIND("-",AT6)+1,10)))))*$D$50)))))*$I6,0)),0)</f>
        <v>7</v>
      </c>
      <c r="AV6" s="109"/>
      <c r="AW6" s="794" t="s">
        <v>1956</v>
      </c>
      <c r="AX6" s="72">
        <f>IFERROR(IF($M6=AW6,($D$8+$D$9+$D$10)*$I6,IF($N6=LEFT(AW6,1),($D$8+MAX(0,IF($D$50=1,$D$9*(1-(ABS($Q6-ABS(VALUE(MID(AW6,FIND("|",AW6)+1,FIND("-",AW6)-FIND("|",AW6)-1))-VALUE(MID(AW6,FIND("-",AW6)+1,10)))))*$D$50),$D$9*(1-(IF($N6="X",ABS($O6-VALUE(MID(AW6,FIND("|",AW6)+1,FIND("-",AW6)-FIND("|",AW6)-1))),ABS($Q6-ABS(VALUE(MID(AW6,FIND("|",AW6)+1,FIND("-",AW6)-FIND("|",AW6)-1))-VALUE(MID(AW6,FIND("-",AW6)+1,10)))))*$D$50)))))*$I6,0)),0)</f>
        <v>7</v>
      </c>
      <c r="AY6" s="109"/>
      <c r="AZ6" s="794" t="s">
        <v>1959</v>
      </c>
      <c r="BA6" s="72">
        <f>IFERROR(IF($M6=AZ6,($D$8+$D$9+$D$10)*$I6,IF($N6=LEFT(AZ6,1),($D$8+MAX(0,IF($D$50=1,$D$9*(1-(ABS($Q6-ABS(VALUE(MID(AZ6,FIND("|",AZ6)+1,FIND("-",AZ6)-FIND("|",AZ6)-1))-VALUE(MID(AZ6,FIND("-",AZ6)+1,10)))))*$D$50),$D$9*(1-(IF($N6="X",ABS($O6-VALUE(MID(AZ6,FIND("|",AZ6)+1,FIND("-",AZ6)-FIND("|",AZ6)-1))),ABS($Q6-ABS(VALUE(MID(AZ6,FIND("|",AZ6)+1,FIND("-",AZ6)-FIND("|",AZ6)-1))-VALUE(MID(AZ6,FIND("-",AZ6)+1,10)))))*$D$50)))))*$I6,0)),0)</f>
        <v>0</v>
      </c>
      <c r="BB6" s="109"/>
      <c r="BC6" s="794" t="s">
        <v>1961</v>
      </c>
      <c r="BD6" s="72">
        <f t="shared" ref="BD6:BD69" si="182">IFERROR(IF($M6=BC6,($D$8+$D$9+$D$10)*$I6,IF($N6=LEFT(BC6,1),($D$8+MAX(0,IF($D$50=1,$D$9*(1-(ABS($Q6-ABS(VALUE(MID(BC6,FIND("|",BC6)+1,FIND("-",BC6)-FIND("|",BC6)-1))-VALUE(MID(BC6,FIND("-",BC6)+1,10)))))*$D$50),$D$9*(1-(IF($N6="X",ABS($O6-VALUE(MID(BC6,FIND("|",BC6)+1,FIND("-",BC6)-FIND("|",BC6)-1))),ABS($Q6-ABS(VALUE(MID(BC6,FIND("|",BC6)+1,FIND("-",BC6)-FIND("|",BC6)-1))-VALUE(MID(BC6,FIND("-",BC6)+1,10)))))*$D$50)))))*$I6,0)),0)</f>
        <v>0</v>
      </c>
      <c r="BE6" s="109"/>
      <c r="BF6" s="794" t="s">
        <v>1955</v>
      </c>
      <c r="BG6" s="72">
        <f t="shared" ref="BG6:BG69" si="183">IFERROR(IF($M6=BF6,($D$8+$D$9+$D$10)*$I6,IF($N6=LEFT(BF6,1),($D$8+MAX(0,IF($D$50=1,$D$9*(1-(ABS($Q6-ABS(VALUE(MID(BF6,FIND("|",BF6)+1,FIND("-",BF6)-FIND("|",BF6)-1))-VALUE(MID(BF6,FIND("-",BF6)+1,10)))))*$D$50),$D$9*(1-(IF($N6="X",ABS($O6-VALUE(MID(BF6,FIND("|",BF6)+1,FIND("-",BF6)-FIND("|",BF6)-1))),ABS($Q6-ABS(VALUE(MID(BF6,FIND("|",BF6)+1,FIND("-",BF6)-FIND("|",BF6)-1))-VALUE(MID(BF6,FIND("-",BF6)+1,10)))))*$D$50)))))*$I6,0)),0)</f>
        <v>7</v>
      </c>
      <c r="BH6" s="109"/>
      <c r="BI6" s="794" t="s">
        <v>1955</v>
      </c>
      <c r="BJ6" s="72">
        <f t="shared" ref="BJ6:BJ69" si="184">IFERROR(IF($M6=BI6,($D$8+$D$9+$D$10)*$I6,IF($N6=LEFT(BI6,1),($D$8+MAX(0,IF($D$50=1,$D$9*(1-(ABS($Q6-ABS(VALUE(MID(BI6,FIND("|",BI6)+1,FIND("-",BI6)-FIND("|",BI6)-1))-VALUE(MID(BI6,FIND("-",BI6)+1,10)))))*$D$50),$D$9*(1-(IF($N6="X",ABS($O6-VALUE(MID(BI6,FIND("|",BI6)+1,FIND("-",BI6)-FIND("|",BI6)-1))),ABS($Q6-ABS(VALUE(MID(BI6,FIND("|",BI6)+1,FIND("-",BI6)-FIND("|",BI6)-1))-VALUE(MID(BI6,FIND("-",BI6)+1,10)))))*$D$50)))))*$I6,0)),0)</f>
        <v>7</v>
      </c>
      <c r="BK6" s="109"/>
      <c r="BL6" s="794" t="s">
        <v>1956</v>
      </c>
      <c r="BM6" s="72">
        <f>IFERROR(IF($M6=BL6,($D$8+$D$9+$D$10)*$I6,IF($N6=LEFT(BL6,1),($D$8+MAX(0,IF($D$50=1,$D$9*(1-(ABS($Q6-ABS(VALUE(MID(BL6,FIND("|",BL6)+1,FIND("-",BL6)-FIND("|",BL6)-1))-VALUE(MID(BL6,FIND("-",BL6)+1,10)))))*$D$50),$D$9*(1-(IF($N6="X",ABS($O6-VALUE(MID(BL6,FIND("|",BL6)+1,FIND("-",BL6)-FIND("|",BL6)-1))),ABS($Q6-ABS(VALUE(MID(BL6,FIND("|",BL6)+1,FIND("-",BL6)-FIND("|",BL6)-1))-VALUE(MID(BL6,FIND("-",BL6)+1,10)))))*$D$50)))))*$I6,0)),0)</f>
        <v>7</v>
      </c>
      <c r="BN6" s="109"/>
      <c r="BO6" s="814" t="s">
        <v>1955</v>
      </c>
      <c r="BP6" s="72">
        <f>IFERROR(IF($M6=BO6,($D$8+$D$9+$D$10)*$I6,IF($N6=LEFT(BO6,1),($D$8+MAX(0,IF($D$50=1,$D$9*(1-(ABS($Q6-ABS(VALUE(MID(BO6,FIND("|",BO6)+1,FIND("-",BO6)-FIND("|",BO6)-1))-VALUE(MID(BO6,FIND("-",BO6)+1,10)))))*$D$50),$D$9*(1-(IF($N6="X",ABS($O6-VALUE(MID(BO6,FIND("|",BO6)+1,FIND("-",BO6)-FIND("|",BO6)-1))),ABS($Q6-ABS(VALUE(MID(BO6,FIND("|",BO6)+1,FIND("-",BO6)-FIND("|",BO6)-1))-VALUE(MID(BO6,FIND("-",BO6)+1,10)))))*$D$50)))))*$I6,0)),0)</f>
        <v>7</v>
      </c>
      <c r="BQ6" s="109"/>
      <c r="BR6" s="794" t="s">
        <v>1956</v>
      </c>
      <c r="BS6" s="72">
        <f t="shared" ref="BS6:BS69" si="185">IFERROR(IF($M6=BR6,($D$8+$D$9+$D$10)*$I6,IF($N6=LEFT(BR6,1),($D$8+MAX(0,IF($D$50=1,$D$9*(1-(ABS($Q6-ABS(VALUE(MID(BR6,FIND("|",BR6)+1,FIND("-",BR6)-FIND("|",BR6)-1))-VALUE(MID(BR6,FIND("-",BR6)+1,10)))))*$D$50),$D$9*(1-(IF($N6="X",ABS($O6-VALUE(MID(BR6,FIND("|",BR6)+1,FIND("-",BR6)-FIND("|",BR6)-1))),ABS($Q6-ABS(VALUE(MID(BR6,FIND("|",BR6)+1,FIND("-",BR6)-FIND("|",BR6)-1))-VALUE(MID(BR6,FIND("-",BR6)+1,10)))))*$D$50)))))*$I6,0)),0)</f>
        <v>7</v>
      </c>
      <c r="BT6" s="109"/>
      <c r="BU6" s="794" t="s">
        <v>1955</v>
      </c>
      <c r="BV6" s="72">
        <f t="shared" ref="BV6:BV69" si="186">IFERROR(IF($M6=BU6,($D$8+$D$9+$D$10)*$I6,IF($N6=LEFT(BU6,1),($D$8+MAX(0,IF($D$50=1,$D$9*(1-(ABS($Q6-ABS(VALUE(MID(BU6,FIND("|",BU6)+1,FIND("-",BU6)-FIND("|",BU6)-1))-VALUE(MID(BU6,FIND("-",BU6)+1,10)))))*$D$50),$D$9*(1-(IF($N6="X",ABS($O6-VALUE(MID(BU6,FIND("|",BU6)+1,FIND("-",BU6)-FIND("|",BU6)-1))),ABS($Q6-ABS(VALUE(MID(BU6,FIND("|",BU6)+1,FIND("-",BU6)-FIND("|",BU6)-1))-VALUE(MID(BU6,FIND("-",BU6)+1,10)))))*$D$50)))))*$I6,0)),0)</f>
        <v>7</v>
      </c>
      <c r="BW6" s="109"/>
      <c r="BX6" s="71" t="s">
        <v>1955</v>
      </c>
      <c r="BY6" s="72">
        <f t="shared" ref="BY6:BY69" si="187">IFERROR(IF($M6=BX6,($D$8+$D$9+$D$10)*$I6,IF($N6=LEFT(BX6,1),($D$8+MAX(0,IF($D$50=1,$D$9*(1-(ABS($Q6-ABS(VALUE(MID(BX6,FIND("|",BX6)+1,FIND("-",BX6)-FIND("|",BX6)-1))-VALUE(MID(BX6,FIND("-",BX6)+1,10)))))*$D$50),$D$9*(1-(IF($N6="X",ABS($O6-VALUE(MID(BX6,FIND("|",BX6)+1,FIND("-",BX6)-FIND("|",BX6)-1))),ABS($Q6-ABS(VALUE(MID(BX6,FIND("|",BX6)+1,FIND("-",BX6)-FIND("|",BX6)-1))-VALUE(MID(BX6,FIND("-",BX6)+1,10)))))*$D$50)))))*$I6,0)),0)</f>
        <v>7</v>
      </c>
      <c r="BZ6" s="109"/>
      <c r="CA6" s="814" t="s">
        <v>1948</v>
      </c>
      <c r="CB6" s="72">
        <f>IFERROR(IF($M6=CA6,($D$8+$D$9+$D$10)*$I6,IF($N6=LEFT(CA6,1),($D$8+MAX(0,IF($D$50=1,$D$9*(1-(ABS($Q6-ABS(VALUE(MID(CA6,FIND("|",CA6)+1,FIND("-",CA6)-FIND("|",CA6)-1))-VALUE(MID(CA6,FIND("-",CA6)+1,10)))))*$D$50),$D$9*(1-(IF($N6="X",ABS($O6-VALUE(MID(CA6,FIND("|",CA6)+1,FIND("-",CA6)-FIND("|",CA6)-1))),ABS($Q6-ABS(VALUE(MID(CA6,FIND("|",CA6)+1,FIND("-",CA6)-FIND("|",CA6)-1))-VALUE(MID(CA6,FIND("-",CA6)+1,10)))))*$D$50)))))*$I6,0)),0)</f>
        <v>15</v>
      </c>
      <c r="CC6" s="109"/>
      <c r="CD6" s="823" t="s">
        <v>1960</v>
      </c>
      <c r="CE6" s="72">
        <f>IFERROR(IF($M6=CD6,($D$8+$D$9+$D$10)*$I6,IF($N6=LEFT(CD6,1),($D$8+MAX(0,IF($D$50=1,$D$9*(1-(ABS($Q6-ABS(VALUE(MID(CD6,FIND("|",CD6)+1,FIND("-",CD6)-FIND("|",CD6)-1))-VALUE(MID(CD6,FIND("-",CD6)+1,10)))))*$D$50),$D$9*(1-(IF($N6="X",ABS($O6-VALUE(MID(CD6,FIND("|",CD6)+1,FIND("-",CD6)-FIND("|",CD6)-1))),ABS($Q6-ABS(VALUE(MID(CD6,FIND("|",CD6)+1,FIND("-",CD6)-FIND("|",CD6)-1))-VALUE(MID(CD6,FIND("-",CD6)+1,10)))))*$D$50)))))*$I6,0)),0)</f>
        <v>7</v>
      </c>
      <c r="CF6" s="109"/>
      <c r="CG6" s="794" t="s">
        <v>1958</v>
      </c>
      <c r="CH6" s="72">
        <f t="shared" ref="CH6:CH69" si="188">IFERROR(IF($M6=CG6,($D$8+$D$9+$D$10)*$I6,IF($N6=LEFT(CG6,1),($D$8+MAX(0,IF($D$50=1,$D$9*(1-(ABS($Q6-ABS(VALUE(MID(CG6,FIND("|",CG6)+1,FIND("-",CG6)-FIND("|",CG6)-1))-VALUE(MID(CG6,FIND("-",CG6)+1,10)))))*$D$50),$D$9*(1-(IF($N6="X",ABS($O6-VALUE(MID(CG6,FIND("|",CG6)+1,FIND("-",CG6)-FIND("|",CG6)-1))),ABS($Q6-ABS(VALUE(MID(CG6,FIND("|",CG6)+1,FIND("-",CG6)-FIND("|",CG6)-1))-VALUE(MID(CG6,FIND("-",CG6)+1,10)))))*$D$50)))))*$I6,0)),0)</f>
        <v>7</v>
      </c>
      <c r="CI6" s="109"/>
      <c r="CJ6" s="794" t="s">
        <v>1961</v>
      </c>
      <c r="CK6" s="72">
        <f t="shared" ref="CK6:CK69" si="189">IFERROR(IF($M6=CJ6,($D$8+$D$9+$D$10)*$I6,IF($N6=LEFT(CJ6,1),($D$8+MAX(0,IF($D$50=1,$D$9*(1-(ABS($Q6-ABS(VALUE(MID(CJ6,FIND("|",CJ6)+1,FIND("-",CJ6)-FIND("|",CJ6)-1))-VALUE(MID(CJ6,FIND("-",CJ6)+1,10)))))*$D$50),$D$9*(1-(IF($N6="X",ABS($O6-VALUE(MID(CJ6,FIND("|",CJ6)+1,FIND("-",CJ6)-FIND("|",CJ6)-1))),ABS($Q6-ABS(VALUE(MID(CJ6,FIND("|",CJ6)+1,FIND("-",CJ6)-FIND("|",CJ6)-1))-VALUE(MID(CJ6,FIND("-",CJ6)+1,10)))))*$D$50)))))*$I6,0)),0)</f>
        <v>0</v>
      </c>
      <c r="CL6" s="109"/>
      <c r="CM6" s="794" t="s">
        <v>1955</v>
      </c>
      <c r="CN6" s="72">
        <f t="shared" ref="CN6:CN69" si="190">IFERROR(IF($M6=CM6,($D$8+$D$9+$D$10)*$I6,IF($N6=LEFT(CM6,1),($D$8+MAX(0,IF($D$50=1,$D$9*(1-(ABS($Q6-ABS(VALUE(MID(CM6,FIND("|",CM6)+1,FIND("-",CM6)-FIND("|",CM6)-1))-VALUE(MID(CM6,FIND("-",CM6)+1,10)))))*$D$50),$D$9*(1-(IF($N6="X",ABS($O6-VALUE(MID(CM6,FIND("|",CM6)+1,FIND("-",CM6)-FIND("|",CM6)-1))),ABS($Q6-ABS(VALUE(MID(CM6,FIND("|",CM6)+1,FIND("-",CM6)-FIND("|",CM6)-1))-VALUE(MID(CM6,FIND("-",CM6)+1,10)))))*$D$50)))))*$I6,0)),0)</f>
        <v>7</v>
      </c>
      <c r="CO6" s="109"/>
      <c r="CP6" s="794" t="s">
        <v>1947</v>
      </c>
      <c r="CQ6" s="72">
        <f>IFERROR(IF($M6=CP6,($D$8+$D$9+$D$10)*$I6,IF($N6=LEFT(CP6,1),($D$8+MAX(0,IF($D$50=1,$D$9*(1-(ABS($Q6-ABS(VALUE(MID(CP6,FIND("|",CP6)+1,FIND("-",CP6)-FIND("|",CP6)-1))-VALUE(MID(CP6,FIND("-",CP6)+1,10)))))*$D$50),$D$9*(1-(IF($N6="X",ABS($O6-VALUE(MID(CP6,FIND("|",CP6)+1,FIND("-",CP6)-FIND("|",CP6)-1))),ABS($Q6-ABS(VALUE(MID(CP6,FIND("|",CP6)+1,FIND("-",CP6)-FIND("|",CP6)-1))-VALUE(MID(CP6,FIND("-",CP6)+1,10)))))*$D$50)))))*$I6,0)),0)</f>
        <v>0</v>
      </c>
      <c r="CR6" s="109"/>
      <c r="CS6" s="794" t="s">
        <v>1949</v>
      </c>
      <c r="CT6" s="72">
        <f>IFERROR(IF($M6=CS6,($D$8+$D$9+$D$10)*$I6,IF($N6=LEFT(CS6,1),($D$8+MAX(0,IF($D$50=1,$D$9*(1-(ABS($Q6-ABS(VALUE(MID(CS6,FIND("|",CS6)+1,FIND("-",CS6)-FIND("|",CS6)-1))-VALUE(MID(CS6,FIND("-",CS6)+1,10)))))*$D$50),$D$9*(1-(IF($N6="X",ABS($O6-VALUE(MID(CS6,FIND("|",CS6)+1,FIND("-",CS6)-FIND("|",CS6)-1))),ABS($Q6-ABS(VALUE(MID(CS6,FIND("|",CS6)+1,FIND("-",CS6)-FIND("|",CS6)-1))-VALUE(MID(CS6,FIND("-",CS6)+1,10)))))*$D$50)))))*$I6,0)),0)</f>
        <v>0</v>
      </c>
      <c r="CU6" s="109"/>
      <c r="CV6" s="794" t="s">
        <v>1955</v>
      </c>
      <c r="CW6" s="72">
        <f t="shared" ref="CW6:CW69" si="191">IFERROR(IF($M6=CV6,($D$8+$D$9+$D$10)*$I6,IF($N6=LEFT(CV6,1),($D$8+MAX(0,IF($D$50=1,$D$9*(1-(ABS($Q6-ABS(VALUE(MID(CV6,FIND("|",CV6)+1,FIND("-",CV6)-FIND("|",CV6)-1))-VALUE(MID(CV6,FIND("-",CV6)+1,10)))))*$D$50),$D$9*(1-(IF($N6="X",ABS($O6-VALUE(MID(CV6,FIND("|",CV6)+1,FIND("-",CV6)-FIND("|",CV6)-1))),ABS($Q6-ABS(VALUE(MID(CV6,FIND("|",CV6)+1,FIND("-",CV6)-FIND("|",CV6)-1))-VALUE(MID(CV6,FIND("-",CV6)+1,10)))))*$D$50)))))*$I6,0)),0)</f>
        <v>7</v>
      </c>
      <c r="CX6" s="109"/>
      <c r="CY6" s="794" t="s">
        <v>1948</v>
      </c>
      <c r="CZ6" s="72">
        <f>IFERROR(IF($M6=CY6,($D$8+$D$9+$D$10)*$I6,IF($N6=LEFT(CY6,1),($D$8+MAX(0,IF($D$50=1,$D$9*(1-(ABS($Q6-ABS(VALUE(MID(CY6,FIND("|",CY6)+1,FIND("-",CY6)-FIND("|",CY6)-1))-VALUE(MID(CY6,FIND("-",CY6)+1,10)))))*$D$50),$D$9*(1-(IF($N6="X",ABS($O6-VALUE(MID(CY6,FIND("|",CY6)+1,FIND("-",CY6)-FIND("|",CY6)-1))),ABS($Q6-ABS(VALUE(MID(CY6,FIND("|",CY6)+1,FIND("-",CY6)-FIND("|",CY6)-1))-VALUE(MID(CY6,FIND("-",CY6)+1,10)))))*$D$50)))))*$I6,0)),0)*0</f>
        <v>0</v>
      </c>
      <c r="DA6" s="109"/>
      <c r="DB6" s="794" t="s">
        <v>1955</v>
      </c>
      <c r="DC6" s="72">
        <f t="shared" ref="DC6:DC69" si="192">IFERROR(IF($M6=DB6,($D$8+$D$9+$D$10)*$I6,IF($N6=LEFT(DB6,1),($D$8+MAX(0,IF($D$50=1,$D$9*(1-(ABS($Q6-ABS(VALUE(MID(DB6,FIND("|",DB6)+1,FIND("-",DB6)-FIND("|",DB6)-1))-VALUE(MID(DB6,FIND("-",DB6)+1,10)))))*$D$50),$D$9*(1-(IF($N6="X",ABS($O6-VALUE(MID(DB6,FIND("|",DB6)+1,FIND("-",DB6)-FIND("|",DB6)-1))),ABS($Q6-ABS(VALUE(MID(DB6,FIND("|",DB6)+1,FIND("-",DB6)-FIND("|",DB6)-1))-VALUE(MID(DB6,FIND("-",DB6)+1,10)))))*$D$50)))))*$I6,0)),0)</f>
        <v>7</v>
      </c>
      <c r="DD6" s="109"/>
      <c r="DE6" s="794" t="s">
        <v>1960</v>
      </c>
      <c r="DF6" s="72">
        <f t="shared" ref="DF6:DF37" si="193">IFERROR(IF($M6=DE6,($D$8+$D$9+$D$10)*$I6,IF($N6=LEFT(DE6,1),($D$8+MAX(0,IF($D$50=1,$D$9*(1-(ABS($Q6-ABS(VALUE(MID(DE6,FIND("|",DE6)+1,FIND("-",DE6)-FIND("|",DE6)-1))-VALUE(MID(DE6,FIND("-",DE6)+1,10)))))*$D$50),$D$9*(1-(IF($N6="X",ABS($O6-VALUE(MID(DE6,FIND("|",DE6)+1,FIND("-",DE6)-FIND("|",DE6)-1))),ABS($Q6-ABS(VALUE(MID(DE6,FIND("|",DE6)+1,FIND("-",DE6)-FIND("|",DE6)-1))-VALUE(MID(DE6,FIND("-",DE6)+1,10)))))*$D$50)))))*$I6,0)),0)</f>
        <v>7</v>
      </c>
      <c r="DG6" s="109"/>
      <c r="DH6" s="794" t="s">
        <v>1955</v>
      </c>
      <c r="DI6" s="72">
        <f t="shared" ref="DI6:DI37" si="194">IFERROR(IF($M6=DH6,($D$8+$D$9+$D$10)*$I6,IF($N6=LEFT(DH6,1),($D$8+MAX(0,IF($D$50=1,$D$9*(1-(ABS($Q6-ABS(VALUE(MID(DH6,FIND("|",DH6)+1,FIND("-",DH6)-FIND("|",DH6)-1))-VALUE(MID(DH6,FIND("-",DH6)+1,10)))))*$D$50),$D$9*(1-(IF($N6="X",ABS($O6-VALUE(MID(DH6,FIND("|",DH6)+1,FIND("-",DH6)-FIND("|",DH6)-1))),ABS($Q6-ABS(VALUE(MID(DH6,FIND("|",DH6)+1,FIND("-",DH6)-FIND("|",DH6)-1))-VALUE(MID(DH6,FIND("-",DH6)+1,10)))))*$D$50)))))*$I6,0)),0)</f>
        <v>7</v>
      </c>
      <c r="DJ6" s="109"/>
      <c r="DK6" s="794" t="s">
        <v>1955</v>
      </c>
      <c r="DL6" s="72">
        <f t="shared" ref="DL6:DL37" si="195">IFERROR(IF($M6=DK6,($D$8+$D$9+$D$10)*$I6,IF($N6=LEFT(DK6,1),($D$8+MAX(0,IF($D$50=1,$D$9*(1-(ABS($Q6-ABS(VALUE(MID(DK6,FIND("|",DK6)+1,FIND("-",DK6)-FIND("|",DK6)-1))-VALUE(MID(DK6,FIND("-",DK6)+1,10)))))*$D$50),$D$9*(1-(IF($N6="X",ABS($O6-VALUE(MID(DK6,FIND("|",DK6)+1,FIND("-",DK6)-FIND("|",DK6)-1))),ABS($Q6-ABS(VALUE(MID(DK6,FIND("|",DK6)+1,FIND("-",DK6)-FIND("|",DK6)-1))-VALUE(MID(DK6,FIND("-",DK6)+1,10)))))*$D$50)))))*$I6,0)),0)</f>
        <v>7</v>
      </c>
      <c r="DM6" s="109"/>
      <c r="DN6" s="795" t="s">
        <v>1961</v>
      </c>
      <c r="DO6" s="72">
        <f t="shared" ref="DO6:DO69" si="196">IFERROR(IF($M6=DN6,($D$8+$D$9+$D$10)*$I6,IF($N6=LEFT(DN6,1),($D$8+MAX(0,IF($D$50=1,$D$9*(1-(ABS($Q6-ABS(VALUE(MID(DN6,FIND("|",DN6)+1,FIND("-",DN6)-FIND("|",DN6)-1))-VALUE(MID(DN6,FIND("-",DN6)+1,10)))))*$D$50),$D$9*(1-(IF($N6="X",ABS($O6-VALUE(MID(DN6,FIND("|",DN6)+1,FIND("-",DN6)-FIND("|",DN6)-1))),ABS($Q6-ABS(VALUE(MID(DN6,FIND("|",DN6)+1,FIND("-",DN6)-FIND("|",DN6)-1))-VALUE(MID(DN6,FIND("-",DN6)+1,10)))))*$D$50)))))*$I6,0)),0)</f>
        <v>0</v>
      </c>
      <c r="DP6" s="109"/>
      <c r="DQ6" s="794" t="s">
        <v>1958</v>
      </c>
      <c r="DR6" s="72">
        <f>IFERROR(IF($M6=DQ6,($D$8+$D$9+$D$10)*$I6,IF($N6=LEFT(DQ6,1),($D$8+MAX(0,IF($D$50=1,$D$9*(1-(ABS($Q6-ABS(VALUE(MID(DQ6,FIND("|",DQ6)+1,FIND("-",DQ6)-FIND("|",DQ6)-1))-VALUE(MID(DQ6,FIND("-",DQ6)+1,10)))))*$D$50),$D$9*(1-(IF($N6="X",ABS($O6-VALUE(MID(DQ6,FIND("|",DQ6)+1,FIND("-",DQ6)-FIND("|",DQ6)-1))),ABS($Q6-ABS(VALUE(MID(DQ6,FIND("|",DQ6)+1,FIND("-",DQ6)-FIND("|",DQ6)-1))-VALUE(MID(DQ6,FIND("-",DQ6)+1,10)))))*$D$50)))))*$I6,0)),0)*0</f>
        <v>0</v>
      </c>
      <c r="DS6" s="109"/>
      <c r="DT6" s="71" t="s">
        <v>1948</v>
      </c>
      <c r="DU6" s="72">
        <f>IFERROR(IF($M6=DT6,($D$8+$D$9+$D$10)*$I6,IF($N6=LEFT(DT6,1),($D$8+MAX(0,IF($D$50=1,$D$9*(1-(ABS($Q6-ABS(VALUE(MID(DT6,FIND("|",DT6)+1,FIND("-",DT6)-FIND("|",DT6)-1))-VALUE(MID(DT6,FIND("-",DT6)+1,10)))))*$D$50),$D$9*(1-(IF($N6="X",ABS($O6-VALUE(MID(DT6,FIND("|",DT6)+1,FIND("-",DT6)-FIND("|",DT6)-1))),ABS($Q6-ABS(VALUE(MID(DT6,FIND("|",DT6)+1,FIND("-",DT6)-FIND("|",DT6)-1))-VALUE(MID(DT6,FIND("-",DT6)+1,10)))))*$D$50)))))*$I6,0)),0)*0</f>
        <v>0</v>
      </c>
      <c r="DV6" s="109"/>
      <c r="DW6" s="71" t="str">
        <f>Idiomas!$D$364</f>
        <v>Pegar Valores (J1)</v>
      </c>
      <c r="DX6" s="72">
        <f>IFERROR(IF($M6=DW6,($D$8+$D$9+$D$10)*$I6,IF($N6=LEFT(DW6,1),($D$8+MAX(0,IF($D$50=1,$D$9*(1-(ABS($Q6-ABS(VALUE(MID(DW6,FIND("|",DW6)+1,FIND("-",DW6)-FIND("|",DW6)-1))-VALUE(MID(DW6,FIND("-",DW6)+1,10)))))*$D$50),$D$9*(1-(IF($N6="X",ABS($O6-VALUE(MID(DW6,FIND("|",DW6)+1,FIND("-",DW6)-FIND("|",DW6)-1))),ABS($Q6-ABS(VALUE(MID(DW6,FIND("|",DW6)+1,FIND("-",DW6)-FIND("|",DW6)-1))-VALUE(MID(DW6,FIND("-",DW6)+1,10)))))*$D$50)))))*$I6,0)),0)*0</f>
        <v>0</v>
      </c>
      <c r="DY6" s="109"/>
      <c r="DZ6" s="71" t="str">
        <f>Idiomas!$D$364</f>
        <v>Pegar Valores (J1)</v>
      </c>
      <c r="EA6" s="72">
        <f t="shared" ref="EA6:EA37" si="197">IFERROR(IF($M6=DZ6,($D$8+$D$9+$D$10)*$I6,IF($N6=LEFT(DZ6,1),($D$8+MAX(0,IF($D$50=1,$D$9*(1-(ABS($Q6-ABS(VALUE(MID(DZ6,FIND("|",DZ6)+1,FIND("-",DZ6)-FIND("|",DZ6)-1))-VALUE(MID(DZ6,FIND("-",DZ6)+1,10)))))*$D$50),$D$9*(1-(IF($N6="X",ABS($O6-VALUE(MID(DZ6,FIND("|",DZ6)+1,FIND("-",DZ6)-FIND("|",DZ6)-1))),ABS($Q6-ABS(VALUE(MID(DZ6,FIND("|",DZ6)+1,FIND("-",DZ6)-FIND("|",DZ6)-1))-VALUE(MID(DZ6,FIND("-",DZ6)+1,10)))))*$D$50)))))*$I6,0)),0)</f>
        <v>0</v>
      </c>
      <c r="EB6" s="109"/>
      <c r="EC6" s="71" t="str">
        <f>Idiomas!$D$364</f>
        <v>Pegar Valores (J1)</v>
      </c>
      <c r="ED6" s="72">
        <f t="shared" ref="ED6:ED69" si="198">IFERROR(IF($M6=EC6,($D$8+$D$9+$D$10)*$I6,IF($N6=LEFT(EC6,1),($D$8+MAX(0,IF($D$50=1,$D$9*(1-(ABS($Q6-ABS(VALUE(MID(EC6,FIND("|",EC6)+1,FIND("-",EC6)-FIND("|",EC6)-1))-VALUE(MID(EC6,FIND("-",EC6)+1,10)))))*$D$50),$D$9*(1-(IF($N6="X",ABS($O6-VALUE(MID(EC6,FIND("|",EC6)+1,FIND("-",EC6)-FIND("|",EC6)-1))),ABS($Q6-ABS(VALUE(MID(EC6,FIND("|",EC6)+1,FIND("-",EC6)-FIND("|",EC6)-1))-VALUE(MID(EC6,FIND("-",EC6)+1,10)))))*$D$50)))))*$I6,0)),0)</f>
        <v>0</v>
      </c>
      <c r="EE6" s="109"/>
      <c r="EF6" s="71" t="str">
        <f>Idiomas!$D$364</f>
        <v>Pegar Valores (J1)</v>
      </c>
      <c r="EG6" s="72">
        <f t="shared" ref="EG6:EG69" si="199">IFERROR(IF($M6=EF6,($D$8+$D$9+$D$10)*$I6,IF($N6=LEFT(EF6,1),($D$8+MAX(0,IF($D$50=1,$D$9*(1-(ABS($Q6-ABS(VALUE(MID(EF6,FIND("|",EF6)+1,FIND("-",EF6)-FIND("|",EF6)-1))-VALUE(MID(EF6,FIND("-",EF6)+1,10)))))*$D$50),$D$9*(1-(IF($N6="X",ABS($O6-VALUE(MID(EF6,FIND("|",EF6)+1,FIND("-",EF6)-FIND("|",EF6)-1))),ABS($Q6-ABS(VALUE(MID(EF6,FIND("|",EF6)+1,FIND("-",EF6)-FIND("|",EF6)-1))-VALUE(MID(EF6,FIND("-",EF6)+1,10)))))*$D$50)))))*$I6,0)),0)</f>
        <v>0</v>
      </c>
      <c r="EH6" s="109"/>
      <c r="EI6" s="71" t="str">
        <f>Idiomas!$D$364</f>
        <v>Pegar Valores (J1)</v>
      </c>
      <c r="EJ6" s="72">
        <f>IFERROR(IF($M6=EI6,($D$8+$D$9+$D$10)*$I6,IF($N6=LEFT(EI6,1),($D$8+MAX(0,IF($D$50=1,$D$9*(1-(ABS($Q6-ABS(VALUE(MID(EI6,FIND("|",EI6)+1,FIND("-",EI6)-FIND("|",EI6)-1))-VALUE(MID(EI6,FIND("-",EI6)+1,10)))))*$D$50),$D$9*(1-(IF($N6="X",ABS($O6-VALUE(MID(EI6,FIND("|",EI6)+1,FIND("-",EI6)-FIND("|",EI6)-1))),ABS($Q6-ABS(VALUE(MID(EI6,FIND("|",EI6)+1,FIND("-",EI6)-FIND("|",EI6)-1))-VALUE(MID(EI6,FIND("-",EI6)+1,10)))))*$D$50)))))*$I6,0)),0)</f>
        <v>0</v>
      </c>
      <c r="EK6" s="109"/>
      <c r="EL6" s="71" t="str">
        <f>Idiomas!$D$364</f>
        <v>Pegar Valores (J1)</v>
      </c>
      <c r="EM6" s="72">
        <f>IFERROR(IF($M6=EL6,($D$8+$D$9+$D$10)*$I6,IF($N6=LEFT(EL6,1),($D$8+MAX(0,IF($D$50=1,$D$9*(1-(ABS($Q6-ABS(VALUE(MID(EL6,FIND("|",EL6)+1,FIND("-",EL6)-FIND("|",EL6)-1))-VALUE(MID(EL6,FIND("-",EL6)+1,10)))))*$D$50),$D$9*(1-(IF($N6="X",ABS($O6-VALUE(MID(EL6,FIND("|",EL6)+1,FIND("-",EL6)-FIND("|",EL6)-1))),ABS($Q6-ABS(VALUE(MID(EL6,FIND("|",EL6)+1,FIND("-",EL6)-FIND("|",EL6)-1))-VALUE(MID(EL6,FIND("-",EL6)+1,10)))))*$D$50)))))*$I6,0)),0)</f>
        <v>0</v>
      </c>
      <c r="EN6" s="109"/>
      <c r="EO6" s="71" t="str">
        <f>Idiomas!$D$364</f>
        <v>Pegar Valores (J1)</v>
      </c>
      <c r="EP6" s="72">
        <f t="shared" ref="EP6:EP69" si="200">IFERROR(IF($M6=EO6,($D$8+$D$9+$D$10)*$I6,IF($N6=LEFT(EO6,1),($D$8+MAX(0,IF($D$50=1,$D$9*(1-(ABS($Q6-ABS(VALUE(MID(EO6,FIND("|",EO6)+1,FIND("-",EO6)-FIND("|",EO6)-1))-VALUE(MID(EO6,FIND("-",EO6)+1,10)))))*$D$50),$D$9*(1-(IF($N6="X",ABS($O6-VALUE(MID(EO6,FIND("|",EO6)+1,FIND("-",EO6)-FIND("|",EO6)-1))),ABS($Q6-ABS(VALUE(MID(EO6,FIND("|",EO6)+1,FIND("-",EO6)-FIND("|",EO6)-1))-VALUE(MID(EO6,FIND("-",EO6)+1,10)))))*$D$50)))))*$I6,0)),0)</f>
        <v>0</v>
      </c>
      <c r="EQ6" s="109"/>
      <c r="ER6" s="71" t="str">
        <f>Idiomas!$D$364</f>
        <v>Pegar Valores (J1)</v>
      </c>
      <c r="ES6" s="72">
        <f t="shared" ref="ES6:ES69" si="201">IFERROR(IF($M6=ER6,($D$8+$D$9+$D$10)*$I6,IF($N6=LEFT(ER6,1),($D$8+MAX(0,IF($D$50=1,$D$9*(1-(ABS($Q6-ABS(VALUE(MID(ER6,FIND("|",ER6)+1,FIND("-",ER6)-FIND("|",ER6)-1))-VALUE(MID(ER6,FIND("-",ER6)+1,10)))))*$D$50),$D$9*(1-(IF($N6="X",ABS($O6-VALUE(MID(ER6,FIND("|",ER6)+1,FIND("-",ER6)-FIND("|",ER6)-1))),ABS($Q6-ABS(VALUE(MID(ER6,FIND("|",ER6)+1,FIND("-",ER6)-FIND("|",ER6)-1))-VALUE(MID(ER6,FIND("-",ER6)+1,10)))))*$D$50)))))*$I6,0)),0)</f>
        <v>0</v>
      </c>
      <c r="ET6" s="109"/>
      <c r="EU6" s="71" t="str">
        <f>Idiomas!$D$364</f>
        <v>Pegar Valores (J1)</v>
      </c>
      <c r="EV6" s="72">
        <f t="shared" ref="EV6:EV69" si="202">IFERROR(IF($M6=EU6,($D$8+$D$9+$D$10)*$I6,IF($N6=LEFT(EU6,1),($D$8+MAX(0,IF($D$50=1,$D$9*(1-(ABS($Q6-ABS(VALUE(MID(EU6,FIND("|",EU6)+1,FIND("-",EU6)-FIND("|",EU6)-1))-VALUE(MID(EU6,FIND("-",EU6)+1,10)))))*$D$50),$D$9*(1-(IF($N6="X",ABS($O6-VALUE(MID(EU6,FIND("|",EU6)+1,FIND("-",EU6)-FIND("|",EU6)-1))),ABS($Q6-ABS(VALUE(MID(EU6,FIND("|",EU6)+1,FIND("-",EU6)-FIND("|",EU6)-1))-VALUE(MID(EU6,FIND("-",EU6)+1,10)))))*$D$50)))))*$I6,0)),0)</f>
        <v>0</v>
      </c>
      <c r="EW6" s="109"/>
      <c r="EX6" s="71" t="str">
        <f>Idiomas!$D$364</f>
        <v>Pegar Valores (J1)</v>
      </c>
      <c r="EY6" s="72">
        <f>IFERROR(IF($M6=EX6,($D$8+$D$9+$D$10)*$I6,IF($N6=LEFT(EX6,1),($D$8+MAX(0,IF($D$50=1,$D$9*(1-(ABS($Q6-ABS(VALUE(MID(EX6,FIND("|",EX6)+1,FIND("-",EX6)-FIND("|",EX6)-1))-VALUE(MID(EX6,FIND("-",EX6)+1,10)))))*$D$50),$D$9*(1-(IF($N6="X",ABS($O6-VALUE(MID(EX6,FIND("|",EX6)+1,FIND("-",EX6)-FIND("|",EX6)-1))),ABS($Q6-ABS(VALUE(MID(EX6,FIND("|",EX6)+1,FIND("-",EX6)-FIND("|",EX6)-1))-VALUE(MID(EX6,FIND("-",EX6)+1,10)))))*$D$50)))))*$I6,0)),0)</f>
        <v>0</v>
      </c>
      <c r="EZ6" s="109"/>
      <c r="FA6" s="71" t="str">
        <f>Idiomas!$D$364</f>
        <v>Pegar Valores (J1)</v>
      </c>
      <c r="FB6" s="72">
        <f>IFERROR(IF($M6=FA6,($D$8+$D$9+$D$10)*$I6,IF($N6=LEFT(FA6,1),($D$8+MAX(0,IF($D$50=1,$D$9*(1-(ABS($Q6-ABS(VALUE(MID(FA6,FIND("|",FA6)+1,FIND("-",FA6)-FIND("|",FA6)-1))-VALUE(MID(FA6,FIND("-",FA6)+1,10)))))*$D$50),$D$9*(1-(IF($N6="X",ABS($O6-VALUE(MID(FA6,FIND("|",FA6)+1,FIND("-",FA6)-FIND("|",FA6)-1))),ABS($Q6-ABS(VALUE(MID(FA6,FIND("|",FA6)+1,FIND("-",FA6)-FIND("|",FA6)-1))-VALUE(MID(FA6,FIND("-",FA6)+1,10)))))*$D$50)))))*$I6,0)),0)</f>
        <v>0</v>
      </c>
      <c r="FC6" s="109"/>
      <c r="FD6" s="71" t="str">
        <f>Idiomas!$D$364</f>
        <v>Pegar Valores (J1)</v>
      </c>
      <c r="FE6" s="72">
        <f t="shared" ref="FE6:FE69" si="203">IFERROR(IF($M6=FD6,($D$8+$D$9+$D$10)*$I6,IF($N6=LEFT(FD6,1),($D$8+MAX(0,IF($D$50=1,$D$9*(1-(ABS($Q6-ABS(VALUE(MID(FD6,FIND("|",FD6)+1,FIND("-",FD6)-FIND("|",FD6)-1))-VALUE(MID(FD6,FIND("-",FD6)+1,10)))))*$D$50),$D$9*(1-(IF($N6="X",ABS($O6-VALUE(MID(FD6,FIND("|",FD6)+1,FIND("-",FD6)-FIND("|",FD6)-1))),ABS($Q6-ABS(VALUE(MID(FD6,FIND("|",FD6)+1,FIND("-",FD6)-FIND("|",FD6)-1))-VALUE(MID(FD6,FIND("-",FD6)+1,10)))))*$D$50)))))*$I6,0)),0)</f>
        <v>0</v>
      </c>
      <c r="FF6" s="109"/>
      <c r="FG6" s="71" t="str">
        <f>Idiomas!$D$364</f>
        <v>Pegar Valores (J1)</v>
      </c>
      <c r="FH6" s="72">
        <f t="shared" ref="FH6:FH69" si="204">IFERROR(IF($M6=FG6,($D$8+$D$9+$D$10)*$I6,IF($N6=LEFT(FG6,1),($D$8+MAX(0,IF($D$50=1,$D$9*(1-(ABS($Q6-ABS(VALUE(MID(FG6,FIND("|",FG6)+1,FIND("-",FG6)-FIND("|",FG6)-1))-VALUE(MID(FG6,FIND("-",FG6)+1,10)))))*$D$50),$D$9*(1-(IF($N6="X",ABS($O6-VALUE(MID(FG6,FIND("|",FG6)+1,FIND("-",FG6)-FIND("|",FG6)-1))),ABS($Q6-ABS(VALUE(MID(FG6,FIND("|",FG6)+1,FIND("-",FG6)-FIND("|",FG6)-1))-VALUE(MID(FG6,FIND("-",FG6)+1,10)))))*$D$50)))))*$I6,0)),0)</f>
        <v>0</v>
      </c>
      <c r="FI6" s="109"/>
      <c r="FJ6" s="71" t="str">
        <f>Idiomas!$D$364</f>
        <v>Pegar Valores (J1)</v>
      </c>
      <c r="FK6" s="72">
        <f t="shared" ref="FK6:FK69" si="205">IFERROR(IF($M6=FJ6,($D$8+$D$9+$D$10)*$I6,IF($N6=LEFT(FJ6,1),($D$8+MAX(0,IF($D$50=1,$D$9*(1-(ABS($Q6-ABS(VALUE(MID(FJ6,FIND("|",FJ6)+1,FIND("-",FJ6)-FIND("|",FJ6)-1))-VALUE(MID(FJ6,FIND("-",FJ6)+1,10)))))*$D$50),$D$9*(1-(IF($N6="X",ABS($O6-VALUE(MID(FJ6,FIND("|",FJ6)+1,FIND("-",FJ6)-FIND("|",FJ6)-1))),ABS($Q6-ABS(VALUE(MID(FJ6,FIND("|",FJ6)+1,FIND("-",FJ6)-FIND("|",FJ6)-1))-VALUE(MID(FJ6,FIND("-",FJ6)+1,10)))))*$D$50)))))*$I6,0)),0)</f>
        <v>0</v>
      </c>
      <c r="FL6" s="109"/>
      <c r="FM6" s="71" t="str">
        <f>Idiomas!$D$364</f>
        <v>Pegar Valores (J1)</v>
      </c>
      <c r="FN6" s="72">
        <f>IFERROR(IF($M6=FM6,($D$8+$D$9+$D$10)*$I6,IF($N6=LEFT(FM6,1),($D$8+MAX(0,IF($D$50=1,$D$9*(1-(ABS($Q6-ABS(VALUE(MID(FM6,FIND("|",FM6)+1,FIND("-",FM6)-FIND("|",FM6)-1))-VALUE(MID(FM6,FIND("-",FM6)+1,10)))))*$D$50),$D$9*(1-(IF($N6="X",ABS($O6-VALUE(MID(FM6,FIND("|",FM6)+1,FIND("-",FM6)-FIND("|",FM6)-1))),ABS($Q6-ABS(VALUE(MID(FM6,FIND("|",FM6)+1,FIND("-",FM6)-FIND("|",FM6)-1))-VALUE(MID(FM6,FIND("-",FM6)+1,10)))))*$D$50)))))*$I6,0)),0)</f>
        <v>0</v>
      </c>
      <c r="FO6" s="109"/>
      <c r="FP6" s="71" t="str">
        <f>Idiomas!$D$364</f>
        <v>Pegar Valores (J1)</v>
      </c>
      <c r="FQ6" s="72">
        <f>IFERROR(IF($M6=FP6,($D$8+$D$9+$D$10)*$I6,IF($N6=LEFT(FP6,1),($D$8+MAX(0,IF($D$50=1,$D$9*(1-(ABS($Q6-ABS(VALUE(MID(FP6,FIND("|",FP6)+1,FIND("-",FP6)-FIND("|",FP6)-1))-VALUE(MID(FP6,FIND("-",FP6)+1,10)))))*$D$50),$D$9*(1-(IF($N6="X",ABS($O6-VALUE(MID(FP6,FIND("|",FP6)+1,FIND("-",FP6)-FIND("|",FP6)-1))),ABS($Q6-ABS(VALUE(MID(FP6,FIND("|",FP6)+1,FIND("-",FP6)-FIND("|",FP6)-1))-VALUE(MID(FP6,FIND("-",FP6)+1,10)))))*$D$50)))))*$I6,0)),0)</f>
        <v>0</v>
      </c>
      <c r="FR6" s="109"/>
      <c r="FS6" s="71" t="str">
        <f>Idiomas!$D$364</f>
        <v>Pegar Valores (J1)</v>
      </c>
      <c r="FT6" s="72">
        <f t="shared" ref="FT6:FT69" si="206">IFERROR(IF($M6=FS6,($D$8+$D$9+$D$10)*$I6,IF($N6=LEFT(FS6,1),($D$8+MAX(0,IF($D$50=1,$D$9*(1-(ABS($Q6-ABS(VALUE(MID(FS6,FIND("|",FS6)+1,FIND("-",FS6)-FIND("|",FS6)-1))-VALUE(MID(FS6,FIND("-",FS6)+1,10)))))*$D$50),$D$9*(1-(IF($N6="X",ABS($O6-VALUE(MID(FS6,FIND("|",FS6)+1,FIND("-",FS6)-FIND("|",FS6)-1))),ABS($Q6-ABS(VALUE(MID(FS6,FIND("|",FS6)+1,FIND("-",FS6)-FIND("|",FS6)-1))-VALUE(MID(FS6,FIND("-",FS6)+1,10)))))*$D$50)))))*$I6,0)),0)</f>
        <v>0</v>
      </c>
      <c r="FU6" s="109"/>
      <c r="FV6" s="71" t="str">
        <f>Idiomas!$D$364</f>
        <v>Pegar Valores (J1)</v>
      </c>
      <c r="FW6" s="72">
        <f t="shared" ref="FW6:FW69" si="207">IFERROR(IF($M6=FV6,($D$8+$D$9+$D$10)*$I6,IF($N6=LEFT(FV6,1),($D$8+MAX(0,IF($D$50=1,$D$9*(1-(ABS($Q6-ABS(VALUE(MID(FV6,FIND("|",FV6)+1,FIND("-",FV6)-FIND("|",FV6)-1))-VALUE(MID(FV6,FIND("-",FV6)+1,10)))))*$D$50),$D$9*(1-(IF($N6="X",ABS($O6-VALUE(MID(FV6,FIND("|",FV6)+1,FIND("-",FV6)-FIND("|",FV6)-1))),ABS($Q6-ABS(VALUE(MID(FV6,FIND("|",FV6)+1,FIND("-",FV6)-FIND("|",FV6)-1))-VALUE(MID(FV6,FIND("-",FV6)+1,10)))))*$D$50)))))*$I6,0)),0)</f>
        <v>0</v>
      </c>
      <c r="FX6" s="109"/>
      <c r="FY6" s="71" t="str">
        <f>Idiomas!$D$364</f>
        <v>Pegar Valores (J1)</v>
      </c>
      <c r="FZ6" s="72">
        <f t="shared" ref="FZ6:FZ69" si="208">IFERROR(IF($M6=FY6,($D$8+$D$9+$D$10)*$I6,IF($N6=LEFT(FY6,1),($D$8+MAX(0,IF($D$50=1,$D$9*(1-(ABS($Q6-ABS(VALUE(MID(FY6,FIND("|",FY6)+1,FIND("-",FY6)-FIND("|",FY6)-1))-VALUE(MID(FY6,FIND("-",FY6)+1,10)))))*$D$50),$D$9*(1-(IF($N6="X",ABS($O6-VALUE(MID(FY6,FIND("|",FY6)+1,FIND("-",FY6)-FIND("|",FY6)-1))),ABS($Q6-ABS(VALUE(MID(FY6,FIND("|",FY6)+1,FIND("-",FY6)-FIND("|",FY6)-1))-VALUE(MID(FY6,FIND("-",FY6)+1,10)))))*$D$50)))))*$I6,0)),0)</f>
        <v>0</v>
      </c>
      <c r="GA6" s="109"/>
      <c r="GB6" s="71" t="str">
        <f>Idiomas!$D$364</f>
        <v>Pegar Valores (J1)</v>
      </c>
      <c r="GC6" s="72">
        <f>IFERROR(IF($M6=GB6,($D$8+$D$9+$D$10)*$I6,IF($N6=LEFT(GB6,1),($D$8+MAX(0,IF($D$50=1,$D$9*(1-(ABS($Q6-ABS(VALUE(MID(GB6,FIND("|",GB6)+1,FIND("-",GB6)-FIND("|",GB6)-1))-VALUE(MID(GB6,FIND("-",GB6)+1,10)))))*$D$50),$D$9*(1-(IF($N6="X",ABS($O6-VALUE(MID(GB6,FIND("|",GB6)+1,FIND("-",GB6)-FIND("|",GB6)-1))),ABS($Q6-ABS(VALUE(MID(GB6,FIND("|",GB6)+1,FIND("-",GB6)-FIND("|",GB6)-1))-VALUE(MID(GB6,FIND("-",GB6)+1,10)))))*$D$50)))))*$I6,0)),0)</f>
        <v>0</v>
      </c>
      <c r="GD6" s="109"/>
      <c r="GE6" s="71" t="str">
        <f>Idiomas!$D$364</f>
        <v>Pegar Valores (J1)</v>
      </c>
      <c r="GF6" s="72">
        <f>IFERROR(IF($M6=GE6,($D$8+$D$9+$D$10)*$I6,IF($N6=LEFT(GE6,1),($D$8+MAX(0,IF($D$50=1,$D$9*(1-(ABS($Q6-ABS(VALUE(MID(GE6,FIND("|",GE6)+1,FIND("-",GE6)-FIND("|",GE6)-1))-VALUE(MID(GE6,FIND("-",GE6)+1,10)))))*$D$50),$D$9*(1-(IF($N6="X",ABS($O6-VALUE(MID(GE6,FIND("|",GE6)+1,FIND("-",GE6)-FIND("|",GE6)-1))),ABS($Q6-ABS(VALUE(MID(GE6,FIND("|",GE6)+1,FIND("-",GE6)-FIND("|",GE6)-1))-VALUE(MID(GE6,FIND("-",GE6)+1,10)))))*$D$50)))))*$I6,0)),0)</f>
        <v>0</v>
      </c>
      <c r="GG6" s="109"/>
      <c r="GH6" s="71" t="str">
        <f>Idiomas!$D$364</f>
        <v>Pegar Valores (J1)</v>
      </c>
      <c r="GI6" s="72">
        <f t="shared" ref="GI6:GI69" si="209">IFERROR(IF($M6=GH6,($D$8+$D$9+$D$10)*$I6,IF($N6=LEFT(GH6,1),($D$8+MAX(0,IF($D$50=1,$D$9*(1-(ABS($Q6-ABS(VALUE(MID(GH6,FIND("|",GH6)+1,FIND("-",GH6)-FIND("|",GH6)-1))-VALUE(MID(GH6,FIND("-",GH6)+1,10)))))*$D$50),$D$9*(1-(IF($N6="X",ABS($O6-VALUE(MID(GH6,FIND("|",GH6)+1,FIND("-",GH6)-FIND("|",GH6)-1))),ABS($Q6-ABS(VALUE(MID(GH6,FIND("|",GH6)+1,FIND("-",GH6)-FIND("|",GH6)-1))-VALUE(MID(GH6,FIND("-",GH6)+1,10)))))*$D$50)))))*$I6,0)),0)</f>
        <v>0</v>
      </c>
      <c r="GJ6" s="109"/>
      <c r="GK6" s="71" t="str">
        <f>Idiomas!$D$364</f>
        <v>Pegar Valores (J1)</v>
      </c>
      <c r="GL6" s="72">
        <f t="shared" ref="GL6:GL69" si="210">IFERROR(IF($M6=GK6,($D$8+$D$9+$D$10)*$I6,IF($N6=LEFT(GK6,1),($D$8+MAX(0,IF($D$50=1,$D$9*(1-(ABS($Q6-ABS(VALUE(MID(GK6,FIND("|",GK6)+1,FIND("-",GK6)-FIND("|",GK6)-1))-VALUE(MID(GK6,FIND("-",GK6)+1,10)))))*$D$50),$D$9*(1-(IF($N6="X",ABS($O6-VALUE(MID(GK6,FIND("|",GK6)+1,FIND("-",GK6)-FIND("|",GK6)-1))),ABS($Q6-ABS(VALUE(MID(GK6,FIND("|",GK6)+1,FIND("-",GK6)-FIND("|",GK6)-1))-VALUE(MID(GK6,FIND("-",GK6)+1,10)))))*$D$50)))))*$I6,0)),0)</f>
        <v>0</v>
      </c>
      <c r="GM6" s="109"/>
      <c r="GN6" s="71" t="str">
        <f>Idiomas!$D$364</f>
        <v>Pegar Valores (J1)</v>
      </c>
      <c r="GO6" s="72">
        <f t="shared" ref="GO6:GO69" si="211">IFERROR(IF($M6=GN6,($D$8+$D$9+$D$10)*$I6,IF($N6=LEFT(GN6,1),($D$8+MAX(0,IF($D$50=1,$D$9*(1-(ABS($Q6-ABS(VALUE(MID(GN6,FIND("|",GN6)+1,FIND("-",GN6)-FIND("|",GN6)-1))-VALUE(MID(GN6,FIND("-",GN6)+1,10)))))*$D$50),$D$9*(1-(IF($N6="X",ABS($O6-VALUE(MID(GN6,FIND("|",GN6)+1,FIND("-",GN6)-FIND("|",GN6)-1))),ABS($Q6-ABS(VALUE(MID(GN6,FIND("|",GN6)+1,FIND("-",GN6)-FIND("|",GN6)-1))-VALUE(MID(GN6,FIND("-",GN6)+1,10)))))*$D$50)))))*$I6,0)),0)</f>
        <v>0</v>
      </c>
      <c r="GP6" s="109"/>
      <c r="GQ6" s="71" t="str">
        <f>Idiomas!$D$364</f>
        <v>Pegar Valores (J1)</v>
      </c>
      <c r="GR6" s="72">
        <f>IFERROR(IF($M6=GQ6,($D$8+$D$9+$D$10)*$I6,IF($N6=LEFT(GQ6,1),($D$8+MAX(0,IF($D$50=1,$D$9*(1-(ABS($Q6-ABS(VALUE(MID(GQ6,FIND("|",GQ6)+1,FIND("-",GQ6)-FIND("|",GQ6)-1))-VALUE(MID(GQ6,FIND("-",GQ6)+1,10)))))*$D$50),$D$9*(1-(IF($N6="X",ABS($O6-VALUE(MID(GQ6,FIND("|",GQ6)+1,FIND("-",GQ6)-FIND("|",GQ6)-1))),ABS($Q6-ABS(VALUE(MID(GQ6,FIND("|",GQ6)+1,FIND("-",GQ6)-FIND("|",GQ6)-1))-VALUE(MID(GQ6,FIND("-",GQ6)+1,10)))))*$D$50)))))*$I6,0)),0)</f>
        <v>0</v>
      </c>
      <c r="GS6" s="109"/>
      <c r="GT6" s="71" t="str">
        <f>Idiomas!$D$364</f>
        <v>Pegar Valores (J1)</v>
      </c>
      <c r="GU6" s="72">
        <f>IFERROR(IF($M6=GT6,($D$8+$D$9+$D$10)*$I6,IF($N6=LEFT(GT6,1),($D$8+MAX(0,IF($D$50=1,$D$9*(1-(ABS($Q6-ABS(VALUE(MID(GT6,FIND("|",GT6)+1,FIND("-",GT6)-FIND("|",GT6)-1))-VALUE(MID(GT6,FIND("-",GT6)+1,10)))))*$D$50),$D$9*(1-(IF($N6="X",ABS($O6-VALUE(MID(GT6,FIND("|",GT6)+1,FIND("-",GT6)-FIND("|",GT6)-1))),ABS($Q6-ABS(VALUE(MID(GT6,FIND("|",GT6)+1,FIND("-",GT6)-FIND("|",GT6)-1))-VALUE(MID(GT6,FIND("-",GT6)+1,10)))))*$D$50)))))*$I6,0)),0)</f>
        <v>0</v>
      </c>
      <c r="GV6" s="109"/>
      <c r="GW6" s="71" t="str">
        <f>Idiomas!$D$364</f>
        <v>Pegar Valores (J1)</v>
      </c>
      <c r="GX6" s="72">
        <f t="shared" ref="GX6:GX69" si="212">IFERROR(IF($M6=GW6,($D$8+$D$9+$D$10)*$I6,IF($N6=LEFT(GW6,1),($D$8+MAX(0,IF($D$50=1,$D$9*(1-(ABS($Q6-ABS(VALUE(MID(GW6,FIND("|",GW6)+1,FIND("-",GW6)-FIND("|",GW6)-1))-VALUE(MID(GW6,FIND("-",GW6)+1,10)))))*$D$50),$D$9*(1-(IF($N6="X",ABS($O6-VALUE(MID(GW6,FIND("|",GW6)+1,FIND("-",GW6)-FIND("|",GW6)-1))),ABS($Q6-ABS(VALUE(MID(GW6,FIND("|",GW6)+1,FIND("-",GW6)-FIND("|",GW6)-1))-VALUE(MID(GW6,FIND("-",GW6)+1,10)))))*$D$50)))))*$I6,0)),0)</f>
        <v>0</v>
      </c>
      <c r="GY6" s="109"/>
      <c r="GZ6" s="71" t="str">
        <f>Idiomas!$D$364</f>
        <v>Pegar Valores (J1)</v>
      </c>
      <c r="HA6" s="72">
        <f t="shared" ref="HA6:HA69" si="213">IFERROR(IF($M6=GZ6,($D$8+$D$9+$D$10)*$I6,IF($N6=LEFT(GZ6,1),($D$8+MAX(0,IF($D$50=1,$D$9*(1-(ABS($Q6-ABS(VALUE(MID(GZ6,FIND("|",GZ6)+1,FIND("-",GZ6)-FIND("|",GZ6)-1))-VALUE(MID(GZ6,FIND("-",GZ6)+1,10)))))*$D$50),$D$9*(1-(IF($N6="X",ABS($O6-VALUE(MID(GZ6,FIND("|",GZ6)+1,FIND("-",GZ6)-FIND("|",GZ6)-1))),ABS($Q6-ABS(VALUE(MID(GZ6,FIND("|",GZ6)+1,FIND("-",GZ6)-FIND("|",GZ6)-1))-VALUE(MID(GZ6,FIND("-",GZ6)+1,10)))))*$D$50)))))*$I6,0)),0)</f>
        <v>0</v>
      </c>
      <c r="HB6" s="109"/>
      <c r="HC6" s="71" t="str">
        <f>Idiomas!$D$364</f>
        <v>Pegar Valores (J1)</v>
      </c>
      <c r="HD6" s="72">
        <f t="shared" ref="HD6:HD69" si="214">IFERROR(IF($M6=HC6,($D$8+$D$9+$D$10)*$I6,IF($N6=LEFT(HC6,1),($D$8+MAX(0,IF($D$50=1,$D$9*(1-(ABS($Q6-ABS(VALUE(MID(HC6,FIND("|",HC6)+1,FIND("-",HC6)-FIND("|",HC6)-1))-VALUE(MID(HC6,FIND("-",HC6)+1,10)))))*$D$50),$D$9*(1-(IF($N6="X",ABS($O6-VALUE(MID(HC6,FIND("|",HC6)+1,FIND("-",HC6)-FIND("|",HC6)-1))),ABS($Q6-ABS(VALUE(MID(HC6,FIND("|",HC6)+1,FIND("-",HC6)-FIND("|",HC6)-1))-VALUE(MID(HC6,FIND("-",HC6)+1,10)))))*$D$50)))))*$I6,0)),0)</f>
        <v>0</v>
      </c>
      <c r="HE6" s="109"/>
      <c r="HF6" s="71" t="str">
        <f>Idiomas!$D$364</f>
        <v>Pegar Valores (J1)</v>
      </c>
      <c r="HG6" s="72">
        <f>IFERROR(IF($M6=HF6,($D$8+$D$9+$D$10)*$I6,IF($N6=LEFT(HF6,1),($D$8+MAX(0,IF($D$50=1,$D$9*(1-(ABS($Q6-ABS(VALUE(MID(HF6,FIND("|",HF6)+1,FIND("-",HF6)-FIND("|",HF6)-1))-VALUE(MID(HF6,FIND("-",HF6)+1,10)))))*$D$50),$D$9*(1-(IF($N6="X",ABS($O6-VALUE(MID(HF6,FIND("|",HF6)+1,FIND("-",HF6)-FIND("|",HF6)-1))),ABS($Q6-ABS(VALUE(MID(HF6,FIND("|",HF6)+1,FIND("-",HF6)-FIND("|",HF6)-1))-VALUE(MID(HF6,FIND("-",HF6)+1,10)))))*$D$50)))))*$I6,0)),0)</f>
        <v>0</v>
      </c>
      <c r="HH6" s="109"/>
      <c r="HI6" s="71" t="str">
        <f>Idiomas!$D$364</f>
        <v>Pegar Valores (J1)</v>
      </c>
      <c r="HJ6" s="72">
        <f>IFERROR(IF($M6=HI6,($D$8+$D$9+$D$10)*$I6,IF($N6=LEFT(HI6,1),($D$8+MAX(0,IF($D$50=1,$D$9*(1-(ABS($Q6-ABS(VALUE(MID(HI6,FIND("|",HI6)+1,FIND("-",HI6)-FIND("|",HI6)-1))-VALUE(MID(HI6,FIND("-",HI6)+1,10)))))*$D$50),$D$9*(1-(IF($N6="X",ABS($O6-VALUE(MID(HI6,FIND("|",HI6)+1,FIND("-",HI6)-FIND("|",HI6)-1))),ABS($Q6-ABS(VALUE(MID(HI6,FIND("|",HI6)+1,FIND("-",HI6)-FIND("|",HI6)-1))-VALUE(MID(HI6,FIND("-",HI6)+1,10)))))*$D$50)))))*$I6,0)),0)</f>
        <v>0</v>
      </c>
      <c r="HK6" s="109"/>
      <c r="HL6" s="71" t="str">
        <f>Idiomas!$D$364</f>
        <v>Pegar Valores (J1)</v>
      </c>
      <c r="HM6" s="72">
        <f t="shared" ref="HM6:HM69" si="215">IFERROR(IF($M6=HL6,($D$8+$D$9+$D$10)*$I6,IF($N6=LEFT(HL6,1),($D$8+MAX(0,IF($D$50=1,$D$9*(1-(ABS($Q6-ABS(VALUE(MID(HL6,FIND("|",HL6)+1,FIND("-",HL6)-FIND("|",HL6)-1))-VALUE(MID(HL6,FIND("-",HL6)+1,10)))))*$D$50),$D$9*(1-(IF($N6="X",ABS($O6-VALUE(MID(HL6,FIND("|",HL6)+1,FIND("-",HL6)-FIND("|",HL6)-1))),ABS($Q6-ABS(VALUE(MID(HL6,FIND("|",HL6)+1,FIND("-",HL6)-FIND("|",HL6)-1))-VALUE(MID(HL6,FIND("-",HL6)+1,10)))))*$D$50)))))*$I6,0)),0)</f>
        <v>0</v>
      </c>
      <c r="HN6" s="109"/>
      <c r="HO6" s="71" t="str">
        <f>Idiomas!$D$364</f>
        <v>Pegar Valores (J1)</v>
      </c>
      <c r="HP6" s="72">
        <f t="shared" ref="HP6:HP69" si="216">IFERROR(IF($M6=HO6,($D$8+$D$9+$D$10)*$I6,IF($N6=LEFT(HO6,1),($D$8+MAX(0,IF($D$50=1,$D$9*(1-(ABS($Q6-ABS(VALUE(MID(HO6,FIND("|",HO6)+1,FIND("-",HO6)-FIND("|",HO6)-1))-VALUE(MID(HO6,FIND("-",HO6)+1,10)))))*$D$50),$D$9*(1-(IF($N6="X",ABS($O6-VALUE(MID(HO6,FIND("|",HO6)+1,FIND("-",HO6)-FIND("|",HO6)-1))),ABS($Q6-ABS(VALUE(MID(HO6,FIND("|",HO6)+1,FIND("-",HO6)-FIND("|",HO6)-1))-VALUE(MID(HO6,FIND("-",HO6)+1,10)))))*$D$50)))))*$I6,0)),0)</f>
        <v>0</v>
      </c>
      <c r="HQ6" s="109"/>
      <c r="HR6" s="71" t="str">
        <f>Idiomas!$D$364</f>
        <v>Pegar Valores (J1)</v>
      </c>
      <c r="HS6" s="72">
        <f t="shared" ref="HS6:HS69" si="217">IFERROR(IF($M6=HR6,($D$8+$D$9+$D$10)*$I6,IF($N6=LEFT(HR6,1),($D$8+MAX(0,IF($D$50=1,$D$9*(1-(ABS($Q6-ABS(VALUE(MID(HR6,FIND("|",HR6)+1,FIND("-",HR6)-FIND("|",HR6)-1))-VALUE(MID(HR6,FIND("-",HR6)+1,10)))))*$D$50),$D$9*(1-(IF($N6="X",ABS($O6-VALUE(MID(HR6,FIND("|",HR6)+1,FIND("-",HR6)-FIND("|",HR6)-1))),ABS($Q6-ABS(VALUE(MID(HR6,FIND("|",HR6)+1,FIND("-",HR6)-FIND("|",HR6)-1))-VALUE(MID(HR6,FIND("-",HR6)+1,10)))))*$D$50)))))*$I6,0)),0)</f>
        <v>0</v>
      </c>
      <c r="HT6" s="109"/>
      <c r="HU6" s="71" t="str">
        <f>Idiomas!$D$364</f>
        <v>Pegar Valores (J1)</v>
      </c>
      <c r="HV6" s="72">
        <f>IFERROR(IF($M6=HU6,($D$8+$D$9+$D$10)*$I6,IF($N6=LEFT(HU6,1),($D$8+MAX(0,IF($D$50=1,$D$9*(1-(ABS($Q6-ABS(VALUE(MID(HU6,FIND("|",HU6)+1,FIND("-",HU6)-FIND("|",HU6)-1))-VALUE(MID(HU6,FIND("-",HU6)+1,10)))))*$D$50),$D$9*(1-(IF($N6="X",ABS($O6-VALUE(MID(HU6,FIND("|",HU6)+1,FIND("-",HU6)-FIND("|",HU6)-1))),ABS($Q6-ABS(VALUE(MID(HU6,FIND("|",HU6)+1,FIND("-",HU6)-FIND("|",HU6)-1))-VALUE(MID(HU6,FIND("-",HU6)+1,10)))))*$D$50)))))*$I6,0)),0)</f>
        <v>0</v>
      </c>
      <c r="HW6" s="109"/>
      <c r="HX6" s="71" t="str">
        <f>Idiomas!$D$364</f>
        <v>Pegar Valores (J1)</v>
      </c>
      <c r="HY6" s="72">
        <f>IFERROR(IF($M6=HX6,($D$8+$D$9+$D$10)*$I6,IF($N6=LEFT(HX6,1),($D$8+MAX(0,IF($D$50=1,$D$9*(1-(ABS($Q6-ABS(VALUE(MID(HX6,FIND("|",HX6)+1,FIND("-",HX6)-FIND("|",HX6)-1))-VALUE(MID(HX6,FIND("-",HX6)+1,10)))))*$D$50),$D$9*(1-(IF($N6="X",ABS($O6-VALUE(MID(HX6,FIND("|",HX6)+1,FIND("-",HX6)-FIND("|",HX6)-1))),ABS($Q6-ABS(VALUE(MID(HX6,FIND("|",HX6)+1,FIND("-",HX6)-FIND("|",HX6)-1))-VALUE(MID(HX6,FIND("-",HX6)+1,10)))))*$D$50)))))*$I6,0)),0)</f>
        <v>0</v>
      </c>
      <c r="HZ6" s="109"/>
      <c r="IA6" s="71" t="str">
        <f>Idiomas!$D$364</f>
        <v>Pegar Valores (J1)</v>
      </c>
      <c r="IB6" s="72">
        <f t="shared" ref="IB6:IB69" si="218">IFERROR(IF($M6=IA6,($D$8+$D$9+$D$10)*$I6,IF($N6=LEFT(IA6,1),($D$8+MAX(0,IF($D$50=1,$D$9*(1-(ABS($Q6-ABS(VALUE(MID(IA6,FIND("|",IA6)+1,FIND("-",IA6)-FIND("|",IA6)-1))-VALUE(MID(IA6,FIND("-",IA6)+1,10)))))*$D$50),$D$9*(1-(IF($N6="X",ABS($O6-VALUE(MID(IA6,FIND("|",IA6)+1,FIND("-",IA6)-FIND("|",IA6)-1))),ABS($Q6-ABS(VALUE(MID(IA6,FIND("|",IA6)+1,FIND("-",IA6)-FIND("|",IA6)-1))-VALUE(MID(IA6,FIND("-",IA6)+1,10)))))*$D$50)))))*$I6,0)),0)</f>
        <v>0</v>
      </c>
      <c r="IC6" s="109"/>
      <c r="ID6" s="71" t="str">
        <f>Idiomas!$D$364</f>
        <v>Pegar Valores (J1)</v>
      </c>
      <c r="IE6" s="72">
        <f t="shared" ref="IE6:IE69" si="219">IFERROR(IF($M6=ID6,($D$8+$D$9+$D$10)*$I6,IF($N6=LEFT(ID6,1),($D$8+MAX(0,IF($D$50=1,$D$9*(1-(ABS($Q6-ABS(VALUE(MID(ID6,FIND("|",ID6)+1,FIND("-",ID6)-FIND("|",ID6)-1))-VALUE(MID(ID6,FIND("-",ID6)+1,10)))))*$D$50),$D$9*(1-(IF($N6="X",ABS($O6-VALUE(MID(ID6,FIND("|",ID6)+1,FIND("-",ID6)-FIND("|",ID6)-1))),ABS($Q6-ABS(VALUE(MID(ID6,FIND("|",ID6)+1,FIND("-",ID6)-FIND("|",ID6)-1))-VALUE(MID(ID6,FIND("-",ID6)+1,10)))))*$D$50)))))*$I6,0)),0)</f>
        <v>0</v>
      </c>
      <c r="IF6" s="109"/>
      <c r="IG6" s="71" t="str">
        <f>Idiomas!$D$364</f>
        <v>Pegar Valores (J1)</v>
      </c>
      <c r="IH6" s="72">
        <f t="shared" ref="IH6:IH69" si="220">IFERROR(IF($M6=IG6,($D$8+$D$9+$D$10)*$I6,IF($N6=LEFT(IG6,1),($D$8+MAX(0,IF($D$50=1,$D$9*(1-(ABS($Q6-ABS(VALUE(MID(IG6,FIND("|",IG6)+1,FIND("-",IG6)-FIND("|",IG6)-1))-VALUE(MID(IG6,FIND("-",IG6)+1,10)))))*$D$50),$D$9*(1-(IF($N6="X",ABS($O6-VALUE(MID(IG6,FIND("|",IG6)+1,FIND("-",IG6)-FIND("|",IG6)-1))),ABS($Q6-ABS(VALUE(MID(IG6,FIND("|",IG6)+1,FIND("-",IG6)-FIND("|",IG6)-1))-VALUE(MID(IG6,FIND("-",IG6)+1,10)))))*$D$50)))))*$I6,0)),0)</f>
        <v>0</v>
      </c>
      <c r="II6" s="109"/>
      <c r="IJ6" s="71" t="str">
        <f>Idiomas!$D$364</f>
        <v>Pegar Valores (J1)</v>
      </c>
      <c r="IK6" s="72">
        <f>IFERROR(IF($M6=IJ6,($D$8+$D$9+$D$10)*$I6,IF($N6=LEFT(IJ6,1),($D$8+MAX(0,IF($D$50=1,$D$9*(1-(ABS($Q6-ABS(VALUE(MID(IJ6,FIND("|",IJ6)+1,FIND("-",IJ6)-FIND("|",IJ6)-1))-VALUE(MID(IJ6,FIND("-",IJ6)+1,10)))))*$D$50),$D$9*(1-(IF($N6="X",ABS($O6-VALUE(MID(IJ6,FIND("|",IJ6)+1,FIND("-",IJ6)-FIND("|",IJ6)-1))),ABS($Q6-ABS(VALUE(MID(IJ6,FIND("|",IJ6)+1,FIND("-",IJ6)-FIND("|",IJ6)-1))-VALUE(MID(IJ6,FIND("-",IJ6)+1,10)))))*$D$50)))))*$I6,0)),0)</f>
        <v>0</v>
      </c>
      <c r="IL6" s="109"/>
      <c r="IM6" s="71" t="str">
        <f>Idiomas!$D$364</f>
        <v>Pegar Valores (J1)</v>
      </c>
      <c r="IN6" s="72">
        <f>IFERROR(IF($M6=IM6,($D$8+$D$9+$D$10)*$I6,IF($N6=LEFT(IM6,1),($D$8+MAX(0,IF($D$50=1,$D$9*(1-(ABS($Q6-ABS(VALUE(MID(IM6,FIND("|",IM6)+1,FIND("-",IM6)-FIND("|",IM6)-1))-VALUE(MID(IM6,FIND("-",IM6)+1,10)))))*$D$50),$D$9*(1-(IF($N6="X",ABS($O6-VALUE(MID(IM6,FIND("|",IM6)+1,FIND("-",IM6)-FIND("|",IM6)-1))),ABS($Q6-ABS(VALUE(MID(IM6,FIND("|",IM6)+1,FIND("-",IM6)-FIND("|",IM6)-1))-VALUE(MID(IM6,FIND("-",IM6)+1,10)))))*$D$50)))))*$I6,0)),0)</f>
        <v>0</v>
      </c>
      <c r="IO6" s="109"/>
      <c r="IP6" s="71" t="str">
        <f>Idiomas!$D$364</f>
        <v>Pegar Valores (J1)</v>
      </c>
      <c r="IQ6" s="72">
        <f t="shared" ref="IQ6:IQ69" si="221">IFERROR(IF($M6=IP6,($D$8+$D$9+$D$10)*$I6,IF($N6=LEFT(IP6,1),($D$8+MAX(0,IF($D$50=1,$D$9*(1-(ABS($Q6-ABS(VALUE(MID(IP6,FIND("|",IP6)+1,FIND("-",IP6)-FIND("|",IP6)-1))-VALUE(MID(IP6,FIND("-",IP6)+1,10)))))*$D$50),$D$9*(1-(IF($N6="X",ABS($O6-VALUE(MID(IP6,FIND("|",IP6)+1,FIND("-",IP6)-FIND("|",IP6)-1))),ABS($Q6-ABS(VALUE(MID(IP6,FIND("|",IP6)+1,FIND("-",IP6)-FIND("|",IP6)-1))-VALUE(MID(IP6,FIND("-",IP6)+1,10)))))*$D$50)))))*$I6,0)),0)</f>
        <v>0</v>
      </c>
      <c r="IR6" s="109"/>
      <c r="IS6" s="71" t="str">
        <f>Idiomas!$D$364</f>
        <v>Pegar Valores (J1)</v>
      </c>
      <c r="IT6" s="72">
        <f t="shared" ref="IT6:IT69" si="222">IFERROR(IF($M6=IS6,($D$8+$D$9+$D$10)*$I6,IF($N6=LEFT(IS6,1),($D$8+MAX(0,IF($D$50=1,$D$9*(1-(ABS($Q6-ABS(VALUE(MID(IS6,FIND("|",IS6)+1,FIND("-",IS6)-FIND("|",IS6)-1))-VALUE(MID(IS6,FIND("-",IS6)+1,10)))))*$D$50),$D$9*(1-(IF($N6="X",ABS($O6-VALUE(MID(IS6,FIND("|",IS6)+1,FIND("-",IS6)-FIND("|",IS6)-1))),ABS($Q6-ABS(VALUE(MID(IS6,FIND("|",IS6)+1,FIND("-",IS6)-FIND("|",IS6)-1))-VALUE(MID(IS6,FIND("-",IS6)+1,10)))))*$D$50)))))*$I6,0)),0)</f>
        <v>0</v>
      </c>
      <c r="IU6" s="109"/>
      <c r="IV6" s="71" t="str">
        <f>Idiomas!$D$364</f>
        <v>Pegar Valores (J1)</v>
      </c>
      <c r="IW6" s="72">
        <f t="shared" ref="IW6:IW69" si="223">IFERROR(IF($M6=IV6,($D$8+$D$9+$D$10)*$I6,IF($N6=LEFT(IV6,1),($D$8+MAX(0,IF($D$50=1,$D$9*(1-(ABS($Q6-ABS(VALUE(MID(IV6,FIND("|",IV6)+1,FIND("-",IV6)-FIND("|",IV6)-1))-VALUE(MID(IV6,FIND("-",IV6)+1,10)))))*$D$50),$D$9*(1-(IF($N6="X",ABS($O6-VALUE(MID(IV6,FIND("|",IV6)+1,FIND("-",IV6)-FIND("|",IV6)-1))),ABS($Q6-ABS(VALUE(MID(IV6,FIND("|",IV6)+1,FIND("-",IV6)-FIND("|",IV6)-1))-VALUE(MID(IV6,FIND("-",IV6)+1,10)))))*$D$50)))))*$I6,0)),0)</f>
        <v>0</v>
      </c>
      <c r="IX6" s="109"/>
      <c r="IY6" s="71" t="str">
        <f>Idiomas!$D$364</f>
        <v>Pegar Valores (J1)</v>
      </c>
      <c r="IZ6" s="72">
        <f>IFERROR(IF($M6=IY6,($D$8+$D$9+$D$10)*$I6,IF($N6=LEFT(IY6,1),($D$8+MAX(0,IF($D$50=1,$D$9*(1-(ABS($Q6-ABS(VALUE(MID(IY6,FIND("|",IY6)+1,FIND("-",IY6)-FIND("|",IY6)-1))-VALUE(MID(IY6,FIND("-",IY6)+1,10)))))*$D$50),$D$9*(1-(IF($N6="X",ABS($O6-VALUE(MID(IY6,FIND("|",IY6)+1,FIND("-",IY6)-FIND("|",IY6)-1))),ABS($Q6-ABS(VALUE(MID(IY6,FIND("|",IY6)+1,FIND("-",IY6)-FIND("|",IY6)-1))-VALUE(MID(IY6,FIND("-",IY6)+1,10)))))*$D$50)))))*$I6,0)),0)</f>
        <v>0</v>
      </c>
      <c r="JA6" s="109"/>
      <c r="JB6" s="71" t="str">
        <f>Idiomas!$D$364</f>
        <v>Pegar Valores (J1)</v>
      </c>
      <c r="JC6" s="72">
        <f>IFERROR(IF($M6=JB6,($D$8+$D$9+$D$10)*$I6,IF($N6=LEFT(JB6,1),($D$8+MAX(0,IF($D$50=1,$D$9*(1-(ABS($Q6-ABS(VALUE(MID(JB6,FIND("|",JB6)+1,FIND("-",JB6)-FIND("|",JB6)-1))-VALUE(MID(JB6,FIND("-",JB6)+1,10)))))*$D$50),$D$9*(1-(IF($N6="X",ABS($O6-VALUE(MID(JB6,FIND("|",JB6)+1,FIND("-",JB6)-FIND("|",JB6)-1))),ABS($Q6-ABS(VALUE(MID(JB6,FIND("|",JB6)+1,FIND("-",JB6)-FIND("|",JB6)-1))-VALUE(MID(JB6,FIND("-",JB6)+1,10)))))*$D$50)))))*$I6,0)),0)</f>
        <v>0</v>
      </c>
      <c r="JD6" s="109"/>
      <c r="JE6" s="71" t="str">
        <f>Idiomas!$D$364</f>
        <v>Pegar Valores (J1)</v>
      </c>
      <c r="JF6" s="72">
        <f t="shared" ref="JF6:JF69" si="224">IFERROR(IF($M6=JE6,($D$8+$D$9+$D$10)*$I6,IF($N6=LEFT(JE6,1),($D$8+MAX(0,IF($D$50=1,$D$9*(1-(ABS($Q6-ABS(VALUE(MID(JE6,FIND("|",JE6)+1,FIND("-",JE6)-FIND("|",JE6)-1))-VALUE(MID(JE6,FIND("-",JE6)+1,10)))))*$D$50),$D$9*(1-(IF($N6="X",ABS($O6-VALUE(MID(JE6,FIND("|",JE6)+1,FIND("-",JE6)-FIND("|",JE6)-1))),ABS($Q6-ABS(VALUE(MID(JE6,FIND("|",JE6)+1,FIND("-",JE6)-FIND("|",JE6)-1))-VALUE(MID(JE6,FIND("-",JE6)+1,10)))))*$D$50)))))*$I6,0)),0)</f>
        <v>0</v>
      </c>
      <c r="JG6" s="109"/>
      <c r="JH6" s="71" t="str">
        <f>Idiomas!$D$364</f>
        <v>Pegar Valores (J1)</v>
      </c>
      <c r="JI6" s="72">
        <f t="shared" ref="JI6:JI69" si="225">IFERROR(IF($M6=JH6,($D$8+$D$9+$D$10)*$I6,IF($N6=LEFT(JH6,1),($D$8+MAX(0,IF($D$50=1,$D$9*(1-(ABS($Q6-ABS(VALUE(MID(JH6,FIND("|",JH6)+1,FIND("-",JH6)-FIND("|",JH6)-1))-VALUE(MID(JH6,FIND("-",JH6)+1,10)))))*$D$50),$D$9*(1-(IF($N6="X",ABS($O6-VALUE(MID(JH6,FIND("|",JH6)+1,FIND("-",JH6)-FIND("|",JH6)-1))),ABS($Q6-ABS(VALUE(MID(JH6,FIND("|",JH6)+1,FIND("-",JH6)-FIND("|",JH6)-1))-VALUE(MID(JH6,FIND("-",JH6)+1,10)))))*$D$50)))))*$I6,0)),0)</f>
        <v>0</v>
      </c>
      <c r="JJ6" s="109"/>
      <c r="JK6" s="71" t="str">
        <f>Idiomas!$D$364</f>
        <v>Pegar Valores (J1)</v>
      </c>
      <c r="JL6" s="72">
        <f t="shared" ref="JL6:JL69" si="226">IFERROR(IF($M6=JK6,($D$8+$D$9+$D$10)*$I6,IF($N6=LEFT(JK6,1),($D$8+MAX(0,IF($D$50=1,$D$9*(1-(ABS($Q6-ABS(VALUE(MID(JK6,FIND("|",JK6)+1,FIND("-",JK6)-FIND("|",JK6)-1))-VALUE(MID(JK6,FIND("-",JK6)+1,10)))))*$D$50),$D$9*(1-(IF($N6="X",ABS($O6-VALUE(MID(JK6,FIND("|",JK6)+1,FIND("-",JK6)-FIND("|",JK6)-1))),ABS($Q6-ABS(VALUE(MID(JK6,FIND("|",JK6)+1,FIND("-",JK6)-FIND("|",JK6)-1))-VALUE(MID(JK6,FIND("-",JK6)+1,10)))))*$D$50)))))*$I6,0)),0)</f>
        <v>0</v>
      </c>
      <c r="JM6" s="109"/>
      <c r="JN6" s="71" t="str">
        <f>Idiomas!$D$364</f>
        <v>Pegar Valores (J1)</v>
      </c>
      <c r="JO6" s="72">
        <f>IFERROR(IF($M6=JN6,($D$8+$D$9+$D$10)*$I6,IF($N6=LEFT(JN6,1),($D$8+MAX(0,IF($D$50=1,$D$9*(1-(ABS($Q6-ABS(VALUE(MID(JN6,FIND("|",JN6)+1,FIND("-",JN6)-FIND("|",JN6)-1))-VALUE(MID(JN6,FIND("-",JN6)+1,10)))))*$D$50),$D$9*(1-(IF($N6="X",ABS($O6-VALUE(MID(JN6,FIND("|",JN6)+1,FIND("-",JN6)-FIND("|",JN6)-1))),ABS($Q6-ABS(VALUE(MID(JN6,FIND("|",JN6)+1,FIND("-",JN6)-FIND("|",JN6)-1))-VALUE(MID(JN6,FIND("-",JN6)+1,10)))))*$D$50)))))*$I6,0)),0)</f>
        <v>0</v>
      </c>
      <c r="JP6" s="109"/>
      <c r="JQ6" s="71" t="str">
        <f>Idiomas!$D$364</f>
        <v>Pegar Valores (J1)</v>
      </c>
      <c r="JR6" s="72">
        <f>IFERROR(IF($M6=JQ6,($D$8+$D$9+$D$10)*$I6,IF($N6=LEFT(JQ6,1),($D$8+MAX(0,IF($D$50=1,$D$9*(1-(ABS($Q6-ABS(VALUE(MID(JQ6,FIND("|",JQ6)+1,FIND("-",JQ6)-FIND("|",JQ6)-1))-VALUE(MID(JQ6,FIND("-",JQ6)+1,10)))))*$D$50),$D$9*(1-(IF($N6="X",ABS($O6-VALUE(MID(JQ6,FIND("|",JQ6)+1,FIND("-",JQ6)-FIND("|",JQ6)-1))),ABS($Q6-ABS(VALUE(MID(JQ6,FIND("|",JQ6)+1,FIND("-",JQ6)-FIND("|",JQ6)-1))-VALUE(MID(JQ6,FIND("-",JQ6)+1,10)))))*$D$50)))))*$I6,0)),0)</f>
        <v>0</v>
      </c>
      <c r="JS6" s="109"/>
      <c r="JT6" s="71" t="str">
        <f>Idiomas!$D$364</f>
        <v>Pegar Valores (J1)</v>
      </c>
      <c r="JU6" s="72">
        <f t="shared" ref="JU6:JU69" si="227">IFERROR(IF($M6=JT6,($D$8+$D$9+$D$10)*$I6,IF($N6=LEFT(JT6,1),($D$8+MAX(0,IF($D$50=1,$D$9*(1-(ABS($Q6-ABS(VALUE(MID(JT6,FIND("|",JT6)+1,FIND("-",JT6)-FIND("|",JT6)-1))-VALUE(MID(JT6,FIND("-",JT6)+1,10)))))*$D$50),$D$9*(1-(IF($N6="X",ABS($O6-VALUE(MID(JT6,FIND("|",JT6)+1,FIND("-",JT6)-FIND("|",JT6)-1))),ABS($Q6-ABS(VALUE(MID(JT6,FIND("|",JT6)+1,FIND("-",JT6)-FIND("|",JT6)-1))-VALUE(MID(JT6,FIND("-",JT6)+1,10)))))*$D$50)))))*$I6,0)),0)</f>
        <v>0</v>
      </c>
      <c r="JV6" s="109"/>
      <c r="JW6" s="71" t="str">
        <f>Idiomas!$D$364</f>
        <v>Pegar Valores (J1)</v>
      </c>
      <c r="JX6" s="72">
        <f t="shared" ref="JX6:JX69" si="228">IFERROR(IF($M6=JW6,($D$8+$D$9+$D$10)*$I6,IF($N6=LEFT(JW6,1),($D$8+MAX(0,IF($D$50=1,$D$9*(1-(ABS($Q6-ABS(VALUE(MID(JW6,FIND("|",JW6)+1,FIND("-",JW6)-FIND("|",JW6)-1))-VALUE(MID(JW6,FIND("-",JW6)+1,10)))))*$D$50),$D$9*(1-(IF($N6="X",ABS($O6-VALUE(MID(JW6,FIND("|",JW6)+1,FIND("-",JW6)-FIND("|",JW6)-1))),ABS($Q6-ABS(VALUE(MID(JW6,FIND("|",JW6)+1,FIND("-",JW6)-FIND("|",JW6)-1))-VALUE(MID(JW6,FIND("-",JW6)+1,10)))))*$D$50)))))*$I6,0)),0)</f>
        <v>0</v>
      </c>
      <c r="JY6" s="109"/>
      <c r="JZ6" s="71" t="str">
        <f>Idiomas!$D$364</f>
        <v>Pegar Valores (J1)</v>
      </c>
      <c r="KA6" s="72">
        <f t="shared" ref="KA6:KA69" si="229">IFERROR(IF($M6=JZ6,($D$8+$D$9+$D$10)*$I6,IF($N6=LEFT(JZ6,1),($D$8+MAX(0,IF($D$50=1,$D$9*(1-(ABS($Q6-ABS(VALUE(MID(JZ6,FIND("|",JZ6)+1,FIND("-",JZ6)-FIND("|",JZ6)-1))-VALUE(MID(JZ6,FIND("-",JZ6)+1,10)))))*$D$50),$D$9*(1-(IF($N6="X",ABS($O6-VALUE(MID(JZ6,FIND("|",JZ6)+1,FIND("-",JZ6)-FIND("|",JZ6)-1))),ABS($Q6-ABS(VALUE(MID(JZ6,FIND("|",JZ6)+1,FIND("-",JZ6)-FIND("|",JZ6)-1))-VALUE(MID(JZ6,FIND("-",JZ6)+1,10)))))*$D$50)))))*$I6,0)),0)</f>
        <v>0</v>
      </c>
      <c r="KB6" s="109"/>
      <c r="KC6" s="71" t="str">
        <f>Idiomas!$D$364</f>
        <v>Pegar Valores (J1)</v>
      </c>
      <c r="KD6" s="72">
        <f>IFERROR(IF($M6=KC6,($D$8+$D$9+$D$10)*$I6,IF($N6=LEFT(KC6,1),($D$8+MAX(0,IF($D$50=1,$D$9*(1-(ABS($Q6-ABS(VALUE(MID(KC6,FIND("|",KC6)+1,FIND("-",KC6)-FIND("|",KC6)-1))-VALUE(MID(KC6,FIND("-",KC6)+1,10)))))*$D$50),$D$9*(1-(IF($N6="X",ABS($O6-VALUE(MID(KC6,FIND("|",KC6)+1,FIND("-",KC6)-FIND("|",KC6)-1))),ABS($Q6-ABS(VALUE(MID(KC6,FIND("|",KC6)+1,FIND("-",KC6)-FIND("|",KC6)-1))-VALUE(MID(KC6,FIND("-",KC6)+1,10)))))*$D$50)))))*$I6,0)),0)</f>
        <v>0</v>
      </c>
      <c r="KE6" s="109"/>
      <c r="KF6" s="71" t="str">
        <f>Idiomas!$D$364</f>
        <v>Pegar Valores (J1)</v>
      </c>
      <c r="KG6" s="72">
        <f>IFERROR(IF($M6=KF6,($D$8+$D$9+$D$10)*$I6,IF($N6=LEFT(KF6,1),($D$8+MAX(0,IF($D$50=1,$D$9*(1-(ABS($Q6-ABS(VALUE(MID(KF6,FIND("|",KF6)+1,FIND("-",KF6)-FIND("|",KF6)-1))-VALUE(MID(KF6,FIND("-",KF6)+1,10)))))*$D$50),$D$9*(1-(IF($N6="X",ABS($O6-VALUE(MID(KF6,FIND("|",KF6)+1,FIND("-",KF6)-FIND("|",KF6)-1))),ABS($Q6-ABS(VALUE(MID(KF6,FIND("|",KF6)+1,FIND("-",KF6)-FIND("|",KF6)-1))-VALUE(MID(KF6,FIND("-",KF6)+1,10)))))*$D$50)))))*$I6,0)),0)</f>
        <v>0</v>
      </c>
      <c r="KH6" s="109"/>
      <c r="KI6" s="71" t="str">
        <f>Idiomas!$D$364</f>
        <v>Pegar Valores (J1)</v>
      </c>
      <c r="KJ6" s="72">
        <f t="shared" ref="KJ6:KJ69" si="230">IFERROR(IF($M6=KI6,($D$8+$D$9+$D$10)*$I6,IF($N6=LEFT(KI6,1),($D$8+MAX(0,IF($D$50=1,$D$9*(1-(ABS($Q6-ABS(VALUE(MID(KI6,FIND("|",KI6)+1,FIND("-",KI6)-FIND("|",KI6)-1))-VALUE(MID(KI6,FIND("-",KI6)+1,10)))))*$D$50),$D$9*(1-(IF($N6="X",ABS($O6-VALUE(MID(KI6,FIND("|",KI6)+1,FIND("-",KI6)-FIND("|",KI6)-1))),ABS($Q6-ABS(VALUE(MID(KI6,FIND("|",KI6)+1,FIND("-",KI6)-FIND("|",KI6)-1))-VALUE(MID(KI6,FIND("-",KI6)+1,10)))))*$D$50)))))*$I6,0)),0)</f>
        <v>0</v>
      </c>
      <c r="KK6" s="109"/>
      <c r="KL6" s="71" t="str">
        <f>Idiomas!$D$364</f>
        <v>Pegar Valores (J1)</v>
      </c>
      <c r="KM6" s="72">
        <f t="shared" ref="KM6:KM69" si="231">IFERROR(IF($M6=KL6,($D$8+$D$9+$D$10)*$I6,IF($N6=LEFT(KL6,1),($D$8+MAX(0,IF($D$50=1,$D$9*(1-(ABS($Q6-ABS(VALUE(MID(KL6,FIND("|",KL6)+1,FIND("-",KL6)-FIND("|",KL6)-1))-VALUE(MID(KL6,FIND("-",KL6)+1,10)))))*$D$50),$D$9*(1-(IF($N6="X",ABS($O6-VALUE(MID(KL6,FIND("|",KL6)+1,FIND("-",KL6)-FIND("|",KL6)-1))),ABS($Q6-ABS(VALUE(MID(KL6,FIND("|",KL6)+1,FIND("-",KL6)-FIND("|",KL6)-1))-VALUE(MID(KL6,FIND("-",KL6)+1,10)))))*$D$50)))))*$I6,0)),0)</f>
        <v>0</v>
      </c>
      <c r="KN6" s="109"/>
      <c r="KO6" s="71" t="str">
        <f>Idiomas!$D$364</f>
        <v>Pegar Valores (J1)</v>
      </c>
      <c r="KP6" s="72">
        <f t="shared" ref="KP6:KP69" si="232">IFERROR(IF($M6=KO6,($D$8+$D$9+$D$10)*$I6,IF($N6=LEFT(KO6,1),($D$8+MAX(0,IF($D$50=1,$D$9*(1-(ABS($Q6-ABS(VALUE(MID(KO6,FIND("|",KO6)+1,FIND("-",KO6)-FIND("|",KO6)-1))-VALUE(MID(KO6,FIND("-",KO6)+1,10)))))*$D$50),$D$9*(1-(IF($N6="X",ABS($O6-VALUE(MID(KO6,FIND("|",KO6)+1,FIND("-",KO6)-FIND("|",KO6)-1))),ABS($Q6-ABS(VALUE(MID(KO6,FIND("|",KO6)+1,FIND("-",KO6)-FIND("|",KO6)-1))-VALUE(MID(KO6,FIND("-",KO6)+1,10)))))*$D$50)))))*$I6,0)),0)</f>
        <v>0</v>
      </c>
      <c r="KQ6" s="109"/>
      <c r="KR6" s="71" t="str">
        <f>Idiomas!$D$364</f>
        <v>Pegar Valores (J1)</v>
      </c>
      <c r="KS6" s="72">
        <f>IFERROR(IF($M6=KR6,($D$8+$D$9+$D$10)*$I6,IF($N6=LEFT(KR6,1),($D$8+MAX(0,IF($D$50=1,$D$9*(1-(ABS($Q6-ABS(VALUE(MID(KR6,FIND("|",KR6)+1,FIND("-",KR6)-FIND("|",KR6)-1))-VALUE(MID(KR6,FIND("-",KR6)+1,10)))))*$D$50),$D$9*(1-(IF($N6="X",ABS($O6-VALUE(MID(KR6,FIND("|",KR6)+1,FIND("-",KR6)-FIND("|",KR6)-1))),ABS($Q6-ABS(VALUE(MID(KR6,FIND("|",KR6)+1,FIND("-",KR6)-FIND("|",KR6)-1))-VALUE(MID(KR6,FIND("-",KR6)+1,10)))))*$D$50)))))*$I6,0)),0)</f>
        <v>0</v>
      </c>
      <c r="KT6" s="109"/>
      <c r="KU6" s="71" t="str">
        <f>Idiomas!$D$364</f>
        <v>Pegar Valores (J1)</v>
      </c>
      <c r="KV6" s="72">
        <f>IFERROR(IF($M6=KU6,($D$8+$D$9+$D$10)*$I6,IF($N6=LEFT(KU6,1),($D$8+MAX(0,IF($D$50=1,$D$9*(1-(ABS($Q6-ABS(VALUE(MID(KU6,FIND("|",KU6)+1,FIND("-",KU6)-FIND("|",KU6)-1))-VALUE(MID(KU6,FIND("-",KU6)+1,10)))))*$D$50),$D$9*(1-(IF($N6="X",ABS($O6-VALUE(MID(KU6,FIND("|",KU6)+1,FIND("-",KU6)-FIND("|",KU6)-1))),ABS($Q6-ABS(VALUE(MID(KU6,FIND("|",KU6)+1,FIND("-",KU6)-FIND("|",KU6)-1))-VALUE(MID(KU6,FIND("-",KU6)+1,10)))))*$D$50)))))*$I6,0)),0)</f>
        <v>0</v>
      </c>
      <c r="KW6" s="109"/>
      <c r="KX6" s="71" t="str">
        <f>Idiomas!$D$364</f>
        <v>Pegar Valores (J1)</v>
      </c>
      <c r="KY6" s="72">
        <f t="shared" ref="KY6:KY69" si="233">IFERROR(IF($M6=KX6,($D$8+$D$9+$D$10)*$I6,IF($N6=LEFT(KX6,1),($D$8+MAX(0,IF($D$50=1,$D$9*(1-(ABS($Q6-ABS(VALUE(MID(KX6,FIND("|",KX6)+1,FIND("-",KX6)-FIND("|",KX6)-1))-VALUE(MID(KX6,FIND("-",KX6)+1,10)))))*$D$50),$D$9*(1-(IF($N6="X",ABS($O6-VALUE(MID(KX6,FIND("|",KX6)+1,FIND("-",KX6)-FIND("|",KX6)-1))),ABS($Q6-ABS(VALUE(MID(KX6,FIND("|",KX6)+1,FIND("-",KX6)-FIND("|",KX6)-1))-VALUE(MID(KX6,FIND("-",KX6)+1,10)))))*$D$50)))))*$I6,0)),0)</f>
        <v>0</v>
      </c>
      <c r="KZ6" s="109"/>
      <c r="LA6" s="71" t="str">
        <f>Idiomas!$D$364</f>
        <v>Pegar Valores (J1)</v>
      </c>
      <c r="LB6" s="72">
        <f t="shared" ref="LB6:LB69" si="234">IFERROR(IF($M6=LA6,($D$8+$D$9+$D$10)*$I6,IF($N6=LEFT(LA6,1),($D$8+MAX(0,IF($D$50=1,$D$9*(1-(ABS($Q6-ABS(VALUE(MID(LA6,FIND("|",LA6)+1,FIND("-",LA6)-FIND("|",LA6)-1))-VALUE(MID(LA6,FIND("-",LA6)+1,10)))))*$D$50),$D$9*(1-(IF($N6="X",ABS($O6-VALUE(MID(LA6,FIND("|",LA6)+1,FIND("-",LA6)-FIND("|",LA6)-1))),ABS($Q6-ABS(VALUE(MID(LA6,FIND("|",LA6)+1,FIND("-",LA6)-FIND("|",LA6)-1))-VALUE(MID(LA6,FIND("-",LA6)+1,10)))))*$D$50)))))*$I6,0)),0)</f>
        <v>0</v>
      </c>
      <c r="LC6" s="109"/>
      <c r="LD6" s="71" t="str">
        <f>Idiomas!$D$364</f>
        <v>Pegar Valores (J1)</v>
      </c>
      <c r="LE6" s="72">
        <f t="shared" ref="LE6:LE69" si="235">IFERROR(IF($M6=LD6,($D$8+$D$9+$D$10)*$I6,IF($N6=LEFT(LD6,1),($D$8+MAX(0,IF($D$50=1,$D$9*(1-(ABS($Q6-ABS(VALUE(MID(LD6,FIND("|",LD6)+1,FIND("-",LD6)-FIND("|",LD6)-1))-VALUE(MID(LD6,FIND("-",LD6)+1,10)))))*$D$50),$D$9*(1-(IF($N6="X",ABS($O6-VALUE(MID(LD6,FIND("|",LD6)+1,FIND("-",LD6)-FIND("|",LD6)-1))),ABS($Q6-ABS(VALUE(MID(LD6,FIND("|",LD6)+1,FIND("-",LD6)-FIND("|",LD6)-1))-VALUE(MID(LD6,FIND("-",LD6)+1,10)))))*$D$50)))))*$I6,0)),0)</f>
        <v>0</v>
      </c>
      <c r="LF6" s="109"/>
    </row>
    <row r="7" spans="1:318" s="784" customFormat="1">
      <c r="A7" s="49"/>
      <c r="B7" s="49"/>
      <c r="C7" s="755" t="str">
        <f>HYPERLINK(Idiomas!D302,Idiomas!D301)</f>
        <v>Regla* (Click para ver la explicación)</v>
      </c>
      <c r="D7" s="54" t="str">
        <f>Idiomas!D303</f>
        <v>Puntos</v>
      </c>
      <c r="E7" s="109"/>
      <c r="F7" s="443">
        <f t="shared" ref="F7:F70" si="236">SUM($D$8:$D$10)*I7</f>
        <v>15</v>
      </c>
      <c r="G7" s="443">
        <f ca="1">VLOOKUP(H7,Equipos!$Q$1:$R$25,2,0)</f>
        <v>1</v>
      </c>
      <c r="H7" s="444">
        <f ca="1">TRUNC(INDEX(WORLDCUP!$X$4:$X$147,MATCH(ADMIN!K7,WORLDCUP!$DT$4:$DT$147,0))+INDEX(Horarios!$R$3:$R$86,MATCH(Horarios!$C$3,Horarios!$P$3:$P$86,0))/24)</f>
        <v>46184</v>
      </c>
      <c r="I7" s="48">
        <v>1</v>
      </c>
      <c r="J7" s="93"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95" t="s">
        <v>1948</v>
      </c>
      <c r="T7" s="72">
        <f t="shared" ref="T7:T41" si="237">IFERROR(IF($M7=S7,($D$8+$D$9+$D$10)*$I7,IF($N7=LEFT(S7,1),($D$8+MAX(0,IF($D$50=1,$D$9*(1-(ABS($Q7-ABS(VALUE(MID(S7,FIND("|",S7)+1,FIND("-",S7)-FIND("|",S7)-1))-VALUE(MID(S7,FIND("-",S7)+1,10)))))*$D$50),$D$9*(1-(IF($N7="X",ABS($O7-VALUE(MID(S7,FIND("|",S7)+1,FIND("-",S7)-FIND("|",S7)-1))),ABS($Q7-ABS(VALUE(MID(S7,FIND("|",S7)+1,FIND("-",S7)-FIND("|",S7)-1))-VALUE(MID(S7,FIND("-",S7)+1,10)))))*$D$50)))))*$I7,0)),0)</f>
        <v>7</v>
      </c>
      <c r="U7" s="109"/>
      <c r="V7" s="71" t="s">
        <v>1955</v>
      </c>
      <c r="W7" s="72">
        <f t="shared" ref="W7:W41" si="238">IFERROR(IF($M7=V7,($D$8+$D$9+$D$10)*$I7,IF($N7=LEFT(V7,1),($D$8+MAX(0,IF($D$50=1,$D$9*(1-(ABS($Q7-ABS(VALUE(MID(V7,FIND("|",V7)+1,FIND("-",V7)-FIND("|",V7)-1))-VALUE(MID(V7,FIND("-",V7)+1,10)))))*$D$50),$D$9*(1-(IF($N7="X",ABS($O7-VALUE(MID(V7,FIND("|",V7)+1,FIND("-",V7)-FIND("|",V7)-1))),ABS($Q7-ABS(VALUE(MID(V7,FIND("|",V7)+1,FIND("-",V7)-FIND("|",V7)-1))-VALUE(MID(V7,FIND("-",V7)+1,10)))))*$D$50)))))*$I7,0)),0)</f>
        <v>15</v>
      </c>
      <c r="X7" s="109"/>
      <c r="Y7" s="795" t="s">
        <v>1948</v>
      </c>
      <c r="Z7" s="72">
        <f t="shared" si="176"/>
        <v>7</v>
      </c>
      <c r="AA7" s="109"/>
      <c r="AB7" s="795" t="s">
        <v>2007</v>
      </c>
      <c r="AC7" s="72">
        <f t="shared" si="177"/>
        <v>0</v>
      </c>
      <c r="AD7" s="109"/>
      <c r="AE7" s="795" t="s">
        <v>1948</v>
      </c>
      <c r="AF7" s="72">
        <f t="shared" ref="AF7:AF18" si="239">IFERROR(IF($M7=AE7,($D$8+$D$9+$D$10)*$I7,IF($N7=LEFT(AE7,1),($D$8+MAX(0,IF($D$50=1,$D$9*(1-(ABS($Q7-ABS(VALUE(MID(AE7,FIND("|",AE7)+1,FIND("-",AE7)-FIND("|",AE7)-1))-VALUE(MID(AE7,FIND("-",AE7)+1,10)))))*$D$50),$D$9*(1-(IF($N7="X",ABS($O7-VALUE(MID(AE7,FIND("|",AE7)+1,FIND("-",AE7)-FIND("|",AE7)-1))),ABS($Q7-ABS(VALUE(MID(AE7,FIND("|",AE7)+1,FIND("-",AE7)-FIND("|",AE7)-1))-VALUE(MID(AE7,FIND("-",AE7)+1,10)))))*$D$50)))))*$I7,0)),0)</f>
        <v>7</v>
      </c>
      <c r="AG7" s="109"/>
      <c r="AH7" s="795" t="s">
        <v>1958</v>
      </c>
      <c r="AI7" s="72">
        <f t="shared" ref="AI7:AI41" si="240">IFERROR(IF($M7=AH7,($D$8+$D$9+$D$10)*$I7,IF($N7=LEFT(AH7,1),($D$8+MAX(0,IF($D$50=1,$D$9*(1-(ABS($Q7-ABS(VALUE(MID(AH7,FIND("|",AH7)+1,FIND("-",AH7)-FIND("|",AH7)-1))-VALUE(MID(AH7,FIND("-",AH7)+1,10)))))*$D$50),$D$9*(1-(IF($N7="X",ABS($O7-VALUE(MID(AH7,FIND("|",AH7)+1,FIND("-",AH7)-FIND("|",AH7)-1))),ABS($Q7-ABS(VALUE(MID(AH7,FIND("|",AH7)+1,FIND("-",AH7)-FIND("|",AH7)-1))-VALUE(MID(AH7,FIND("-",AH7)+1,10)))))*$D$50)))))*$I7,0)),0)</f>
        <v>7</v>
      </c>
      <c r="AJ7" s="109"/>
      <c r="AK7" s="805" t="s">
        <v>1961</v>
      </c>
      <c r="AL7" s="72">
        <f t="shared" ref="AL7:AL41" si="241">IFERROR(IF($M7=AK7,($D$8+$D$9+$D$10)*$I7,IF($N7=LEFT(AK7,1),($D$8+MAX(0,IF($D$50=1,$D$9*(1-(ABS($Q7-ABS(VALUE(MID(AK7,FIND("|",AK7)+1,FIND("-",AK7)-FIND("|",AK7)-1))-VALUE(MID(AK7,FIND("-",AK7)+1,10)))))*$D$50),$D$9*(1-(IF($N7="X",ABS($O7-VALUE(MID(AK7,FIND("|",AK7)+1,FIND("-",AK7)-FIND("|",AK7)-1))),ABS($Q7-ABS(VALUE(MID(AK7,FIND("|",AK7)+1,FIND("-",AK7)-FIND("|",AK7)-1))-VALUE(MID(AK7,FIND("-",AK7)+1,10)))))*$D$50)))))*$I7,0)),0)</f>
        <v>0</v>
      </c>
      <c r="AM7" s="109"/>
      <c r="AN7" s="795" t="s">
        <v>1955</v>
      </c>
      <c r="AO7" s="72">
        <f t="shared" si="179"/>
        <v>15</v>
      </c>
      <c r="AP7" s="109"/>
      <c r="AQ7" s="805" t="s">
        <v>1947</v>
      </c>
      <c r="AR7" s="72">
        <f t="shared" si="180"/>
        <v>0</v>
      </c>
      <c r="AS7" s="109"/>
      <c r="AT7" s="795" t="s">
        <v>1955</v>
      </c>
      <c r="AU7" s="72">
        <f t="shared" si="181"/>
        <v>15</v>
      </c>
      <c r="AV7" s="109"/>
      <c r="AW7" s="795" t="s">
        <v>1961</v>
      </c>
      <c r="AX7" s="72">
        <f t="shared" ref="AX7:AX41" si="242">IFERROR(IF($M7=AW7,($D$8+$D$9+$D$10)*$I7,IF($N7=LEFT(AW7,1),($D$8+MAX(0,IF($D$50=1,$D$9*(1-(ABS($Q7-ABS(VALUE(MID(AW7,FIND("|",AW7)+1,FIND("-",AW7)-FIND("|",AW7)-1))-VALUE(MID(AW7,FIND("-",AW7)+1,10)))))*$D$50),$D$9*(1-(IF($N7="X",ABS($O7-VALUE(MID(AW7,FIND("|",AW7)+1,FIND("-",AW7)-FIND("|",AW7)-1))),ABS($Q7-ABS(VALUE(MID(AW7,FIND("|",AW7)+1,FIND("-",AW7)-FIND("|",AW7)-1))-VALUE(MID(AW7,FIND("-",AW7)+1,10)))))*$D$50)))))*$I7,0)),0)</f>
        <v>0</v>
      </c>
      <c r="AY7" s="109"/>
      <c r="AZ7" s="795" t="s">
        <v>2338</v>
      </c>
      <c r="BA7" s="72">
        <f t="shared" ref="BA7:BA41" si="243">IFERROR(IF($M7=AZ7,($D$8+$D$9+$D$10)*$I7,IF($N7=LEFT(AZ7,1),($D$8+MAX(0,IF($D$50=1,$D$9*(1-(ABS($Q7-ABS(VALUE(MID(AZ7,FIND("|",AZ7)+1,FIND("-",AZ7)-FIND("|",AZ7)-1))-VALUE(MID(AZ7,FIND("-",AZ7)+1,10)))))*$D$50),$D$9*(1-(IF($N7="X",ABS($O7-VALUE(MID(AZ7,FIND("|",AZ7)+1,FIND("-",AZ7)-FIND("|",AZ7)-1))),ABS($Q7-ABS(VALUE(MID(AZ7,FIND("|",AZ7)+1,FIND("-",AZ7)-FIND("|",AZ7)-1))-VALUE(MID(AZ7,FIND("-",AZ7)+1,10)))))*$D$50)))))*$I7,0)),0)</f>
        <v>7</v>
      </c>
      <c r="BB7" s="109"/>
      <c r="BC7" s="795" t="s">
        <v>1949</v>
      </c>
      <c r="BD7" s="72">
        <f t="shared" si="182"/>
        <v>0</v>
      </c>
      <c r="BE7" s="109"/>
      <c r="BF7" s="795" t="s">
        <v>1961</v>
      </c>
      <c r="BG7" s="72">
        <f t="shared" si="183"/>
        <v>0</v>
      </c>
      <c r="BH7" s="109"/>
      <c r="BI7" s="795" t="s">
        <v>1961</v>
      </c>
      <c r="BJ7" s="72">
        <f t="shared" si="184"/>
        <v>0</v>
      </c>
      <c r="BK7" s="109"/>
      <c r="BL7" s="795" t="s">
        <v>2007</v>
      </c>
      <c r="BM7" s="72">
        <f t="shared" ref="BM7:BM41" si="244">IFERROR(IF($M7=BL7,($D$8+$D$9+$D$10)*$I7,IF($N7=LEFT(BL7,1),($D$8+MAX(0,IF($D$50=1,$D$9*(1-(ABS($Q7-ABS(VALUE(MID(BL7,FIND("|",BL7)+1,FIND("-",BL7)-FIND("|",BL7)-1))-VALUE(MID(BL7,FIND("-",BL7)+1,10)))))*$D$50),$D$9*(1-(IF($N7="X",ABS($O7-VALUE(MID(BL7,FIND("|",BL7)+1,FIND("-",BL7)-FIND("|",BL7)-1))),ABS($Q7-ABS(VALUE(MID(BL7,FIND("|",BL7)+1,FIND("-",BL7)-FIND("|",BL7)-1))-VALUE(MID(BL7,FIND("-",BL7)+1,10)))))*$D$50)))))*$I7,0)),0)</f>
        <v>0</v>
      </c>
      <c r="BN7" s="109"/>
      <c r="BO7" s="815" t="s">
        <v>1961</v>
      </c>
      <c r="BP7" s="72">
        <f t="shared" ref="BP7:BP41" si="245">IFERROR(IF($M7=BO7,($D$8+$D$9+$D$10)*$I7,IF($N7=LEFT(BO7,1),($D$8+MAX(0,IF($D$50=1,$D$9*(1-(ABS($Q7-ABS(VALUE(MID(BO7,FIND("|",BO7)+1,FIND("-",BO7)-FIND("|",BO7)-1))-VALUE(MID(BO7,FIND("-",BO7)+1,10)))))*$D$50),$D$9*(1-(IF($N7="X",ABS($O7-VALUE(MID(BO7,FIND("|",BO7)+1,FIND("-",BO7)-FIND("|",BO7)-1))),ABS($Q7-ABS(VALUE(MID(BO7,FIND("|",BO7)+1,FIND("-",BO7)-FIND("|",BO7)-1))-VALUE(MID(BO7,FIND("-",BO7)+1,10)))))*$D$50)))))*$I7,0)),0)</f>
        <v>0</v>
      </c>
      <c r="BQ7" s="109"/>
      <c r="BR7" s="795" t="s">
        <v>1955</v>
      </c>
      <c r="BS7" s="72">
        <f t="shared" si="185"/>
        <v>15</v>
      </c>
      <c r="BT7" s="109"/>
      <c r="BU7" s="795" t="s">
        <v>1956</v>
      </c>
      <c r="BV7" s="72">
        <f t="shared" si="186"/>
        <v>7</v>
      </c>
      <c r="BW7" s="109"/>
      <c r="BX7" s="71" t="s">
        <v>1948</v>
      </c>
      <c r="BY7" s="72">
        <f t="shared" si="187"/>
        <v>7</v>
      </c>
      <c r="BZ7" s="109"/>
      <c r="CA7" s="815" t="s">
        <v>1948</v>
      </c>
      <c r="CB7" s="72">
        <f t="shared" ref="CB7:CB41" si="246">IFERROR(IF($M7=CA7,($D$8+$D$9+$D$10)*$I7,IF($N7=LEFT(CA7,1),($D$8+MAX(0,IF($D$50=1,$D$9*(1-(ABS($Q7-ABS(VALUE(MID(CA7,FIND("|",CA7)+1,FIND("-",CA7)-FIND("|",CA7)-1))-VALUE(MID(CA7,FIND("-",CA7)+1,10)))))*$D$50),$D$9*(1-(IF($N7="X",ABS($O7-VALUE(MID(CA7,FIND("|",CA7)+1,FIND("-",CA7)-FIND("|",CA7)-1))),ABS($Q7-ABS(VALUE(MID(CA7,FIND("|",CA7)+1,FIND("-",CA7)-FIND("|",CA7)-1))-VALUE(MID(CA7,FIND("-",CA7)+1,10)))))*$D$50)))))*$I7,0)),0)</f>
        <v>7</v>
      </c>
      <c r="CC7" s="109"/>
      <c r="CD7" s="824" t="s">
        <v>2007</v>
      </c>
      <c r="CE7" s="72">
        <f t="shared" ref="CE7:CE41" si="247">IFERROR(IF($M7=CD7,($D$8+$D$9+$D$10)*$I7,IF($N7=LEFT(CD7,1),($D$8+MAX(0,IF($D$50=1,$D$9*(1-(ABS($Q7-ABS(VALUE(MID(CD7,FIND("|",CD7)+1,FIND("-",CD7)-FIND("|",CD7)-1))-VALUE(MID(CD7,FIND("-",CD7)+1,10)))))*$D$50),$D$9*(1-(IF($N7="X",ABS($O7-VALUE(MID(CD7,FIND("|",CD7)+1,FIND("-",CD7)-FIND("|",CD7)-1))),ABS($Q7-ABS(VALUE(MID(CD7,FIND("|",CD7)+1,FIND("-",CD7)-FIND("|",CD7)-1))-VALUE(MID(CD7,FIND("-",CD7)+1,10)))))*$D$50)))))*$I7,0)),0)</f>
        <v>0</v>
      </c>
      <c r="CF7" s="109"/>
      <c r="CG7" s="795" t="s">
        <v>1955</v>
      </c>
      <c r="CH7" s="72">
        <f t="shared" si="188"/>
        <v>15</v>
      </c>
      <c r="CI7" s="109"/>
      <c r="CJ7" s="795" t="s">
        <v>1949</v>
      </c>
      <c r="CK7" s="72">
        <f t="shared" si="189"/>
        <v>0</v>
      </c>
      <c r="CL7" s="109"/>
      <c r="CM7" s="795" t="s">
        <v>1961</v>
      </c>
      <c r="CN7" s="72">
        <f t="shared" si="190"/>
        <v>0</v>
      </c>
      <c r="CO7" s="109"/>
      <c r="CP7" s="795" t="s">
        <v>1955</v>
      </c>
      <c r="CQ7" s="72">
        <f t="shared" ref="CQ7:CQ41" si="248">IFERROR(IF($M7=CP7,($D$8+$D$9+$D$10)*$I7,IF($N7=LEFT(CP7,1),($D$8+MAX(0,IF($D$50=1,$D$9*(1-(ABS($Q7-ABS(VALUE(MID(CP7,FIND("|",CP7)+1,FIND("-",CP7)-FIND("|",CP7)-1))-VALUE(MID(CP7,FIND("-",CP7)+1,10)))))*$D$50),$D$9*(1-(IF($N7="X",ABS($O7-VALUE(MID(CP7,FIND("|",CP7)+1,FIND("-",CP7)-FIND("|",CP7)-1))),ABS($Q7-ABS(VALUE(MID(CP7,FIND("|",CP7)+1,FIND("-",CP7)-FIND("|",CP7)-1))-VALUE(MID(CP7,FIND("-",CP7)+1,10)))))*$D$50)))))*$I7,0)),0)</f>
        <v>15</v>
      </c>
      <c r="CR7" s="109"/>
      <c r="CS7" s="795" t="s">
        <v>1958</v>
      </c>
      <c r="CT7" s="72">
        <f t="shared" ref="CT7:CT41" si="249">IFERROR(IF($M7=CS7,($D$8+$D$9+$D$10)*$I7,IF($N7=LEFT(CS7,1),($D$8+MAX(0,IF($D$50=1,$D$9*(1-(ABS($Q7-ABS(VALUE(MID(CS7,FIND("|",CS7)+1,FIND("-",CS7)-FIND("|",CS7)-1))-VALUE(MID(CS7,FIND("-",CS7)+1,10)))))*$D$50),$D$9*(1-(IF($N7="X",ABS($O7-VALUE(MID(CS7,FIND("|",CS7)+1,FIND("-",CS7)-FIND("|",CS7)-1))),ABS($Q7-ABS(VALUE(MID(CS7,FIND("|",CS7)+1,FIND("-",CS7)-FIND("|",CS7)-1))-VALUE(MID(CS7,FIND("-",CS7)+1,10)))))*$D$50)))))*$I7,0)),0)</f>
        <v>7</v>
      </c>
      <c r="CU7" s="109"/>
      <c r="CV7" s="795" t="s">
        <v>1958</v>
      </c>
      <c r="CW7" s="72">
        <f t="shared" si="191"/>
        <v>7</v>
      </c>
      <c r="CX7" s="109"/>
      <c r="CY7" s="795" t="s">
        <v>1948</v>
      </c>
      <c r="CZ7" s="72">
        <f t="shared" ref="CZ7:CZ69" si="250">IFERROR(IF($M7=CY7,($D$8+$D$9+$D$10)*$I7,IF($N7=LEFT(CY7,1),($D$8+MAX(0,IF($D$50=1,$D$9*(1-(ABS($Q7-ABS(VALUE(MID(CY7,FIND("|",CY7)+1,FIND("-",CY7)-FIND("|",CY7)-1))-VALUE(MID(CY7,FIND("-",CY7)+1,10)))))*$D$50),$D$9*(1-(IF($N7="X",ABS($O7-VALUE(MID(CY7,FIND("|",CY7)+1,FIND("-",CY7)-FIND("|",CY7)-1))),ABS($Q7-ABS(VALUE(MID(CY7,FIND("|",CY7)+1,FIND("-",CY7)-FIND("|",CY7)-1))-VALUE(MID(CY7,FIND("-",CY7)+1,10)))))*$D$50)))))*$I7,0)),0)</f>
        <v>7</v>
      </c>
      <c r="DA7" s="109"/>
      <c r="DB7" s="795" t="s">
        <v>1961</v>
      </c>
      <c r="DC7" s="72">
        <f t="shared" si="192"/>
        <v>0</v>
      </c>
      <c r="DD7" s="109"/>
      <c r="DE7" s="795" t="s">
        <v>1955</v>
      </c>
      <c r="DF7" s="72">
        <f t="shared" si="193"/>
        <v>15</v>
      </c>
      <c r="DG7" s="109"/>
      <c r="DH7" s="795" t="s">
        <v>2007</v>
      </c>
      <c r="DI7" s="72">
        <f t="shared" si="194"/>
        <v>0</v>
      </c>
      <c r="DJ7" s="109"/>
      <c r="DK7" s="795" t="s">
        <v>1961</v>
      </c>
      <c r="DL7" s="72">
        <f t="shared" si="195"/>
        <v>0</v>
      </c>
      <c r="DM7" s="109"/>
      <c r="DN7" s="795" t="s">
        <v>1958</v>
      </c>
      <c r="DO7" s="72">
        <f t="shared" si="196"/>
        <v>7</v>
      </c>
      <c r="DP7" s="109"/>
      <c r="DQ7" s="795" t="s">
        <v>1960</v>
      </c>
      <c r="DR7" s="72">
        <f t="shared" ref="DR7:DR69" si="251">IFERROR(IF($M7=DQ7,($D$8+$D$9+$D$10)*$I7,IF($N7=LEFT(DQ7,1),($D$8+MAX(0,IF($D$50=1,$D$9*(1-(ABS($Q7-ABS(VALUE(MID(DQ7,FIND("|",DQ7)+1,FIND("-",DQ7)-FIND("|",DQ7)-1))-VALUE(MID(DQ7,FIND("-",DQ7)+1,10)))))*$D$50),$D$9*(1-(IF($N7="X",ABS($O7-VALUE(MID(DQ7,FIND("|",DQ7)+1,FIND("-",DQ7)-FIND("|",DQ7)-1))),ABS($Q7-ABS(VALUE(MID(DQ7,FIND("|",DQ7)+1,FIND("-",DQ7)-FIND("|",DQ7)-1))-VALUE(MID(DQ7,FIND("-",DQ7)+1,10)))))*$D$50)))))*$I7,0)),0)</f>
        <v>7</v>
      </c>
      <c r="DS7" s="109"/>
      <c r="DT7" s="71" t="s">
        <v>1955</v>
      </c>
      <c r="DU7" s="72">
        <f>IFERROR(IF($M7=DT7,($D$8+$D$9+$D$10)*$I7,IF($N7=LEFT(DT7,1),($D$8+MAX(0,IF($D$50=1,$D$9*(1-(ABS($Q7-ABS(VALUE(MID(DT7,FIND("|",DT7)+1,FIND("-",DT7)-FIND("|",DT7)-1))-VALUE(MID(DT7,FIND("-",DT7)+1,10)))))*$D$50),$D$9*(1-(IF($N7="X",ABS($O7-VALUE(MID(DT7,FIND("|",DT7)+1,FIND("-",DT7)-FIND("|",DT7)-1))),ABS($Q7-ABS(VALUE(MID(DT7,FIND("|",DT7)+1,FIND("-",DT7)-FIND("|",DT7)-1))-VALUE(MID(DT7,FIND("-",DT7)+1,10)))))*$D$50)))))*$I7,0)),0)*0</f>
        <v>0</v>
      </c>
      <c r="DV7" s="109"/>
      <c r="DW7" s="71"/>
      <c r="DX7" s="72">
        <f>IFERROR(IF($M7=DW7,($D$8+$D$9+$D$10)*$I7,IF($N7=LEFT(DW7,1),($D$8+MAX(0,IF($D$50=1,$D$9*(1-(ABS($Q7-ABS(VALUE(MID(DW7,FIND("|",DW7)+1,FIND("-",DW7)-FIND("|",DW7)-1))-VALUE(MID(DW7,FIND("-",DW7)+1,10)))))*$D$50),$D$9*(1-(IF($N7="X",ABS($O7-VALUE(MID(DW7,FIND("|",DW7)+1,FIND("-",DW7)-FIND("|",DW7)-1))),ABS($Q7-ABS(VALUE(MID(DW7,FIND("|",DW7)+1,FIND("-",DW7)-FIND("|",DW7)-1))-VALUE(MID(DW7,FIND("-",DW7)+1,10)))))*$D$50)))))*$I7,0)),0)*0</f>
        <v>0</v>
      </c>
      <c r="DY7" s="109"/>
      <c r="DZ7" s="71"/>
      <c r="EA7" s="72">
        <f t="shared" si="197"/>
        <v>0</v>
      </c>
      <c r="EB7" s="109"/>
      <c r="EC7" s="71"/>
      <c r="ED7" s="72">
        <f t="shared" si="198"/>
        <v>0</v>
      </c>
      <c r="EE7" s="109"/>
      <c r="EF7" s="71"/>
      <c r="EG7" s="72">
        <f t="shared" si="199"/>
        <v>0</v>
      </c>
      <c r="EH7" s="109"/>
      <c r="EI7" s="71"/>
      <c r="EJ7" s="72">
        <f t="shared" ref="EJ7:EJ41" si="252">IFERROR(IF($M7=EI7,($D$8+$D$9+$D$10)*$I7,IF($N7=LEFT(EI7,1),($D$8+MAX(0,IF($D$50=1,$D$9*(1-(ABS($Q7-ABS(VALUE(MID(EI7,FIND("|",EI7)+1,FIND("-",EI7)-FIND("|",EI7)-1))-VALUE(MID(EI7,FIND("-",EI7)+1,10)))))*$D$50),$D$9*(1-(IF($N7="X",ABS($O7-VALUE(MID(EI7,FIND("|",EI7)+1,FIND("-",EI7)-FIND("|",EI7)-1))),ABS($Q7-ABS(VALUE(MID(EI7,FIND("|",EI7)+1,FIND("-",EI7)-FIND("|",EI7)-1))-VALUE(MID(EI7,FIND("-",EI7)+1,10)))))*$D$50)))))*$I7,0)),0)</f>
        <v>0</v>
      </c>
      <c r="EK7" s="109"/>
      <c r="EL7" s="71"/>
      <c r="EM7" s="72">
        <f t="shared" ref="EM7:EM41" si="253">IFERROR(IF($M7=EL7,($D$8+$D$9+$D$10)*$I7,IF($N7=LEFT(EL7,1),($D$8+MAX(0,IF($D$50=1,$D$9*(1-(ABS($Q7-ABS(VALUE(MID(EL7,FIND("|",EL7)+1,FIND("-",EL7)-FIND("|",EL7)-1))-VALUE(MID(EL7,FIND("-",EL7)+1,10)))))*$D$50),$D$9*(1-(IF($N7="X",ABS($O7-VALUE(MID(EL7,FIND("|",EL7)+1,FIND("-",EL7)-FIND("|",EL7)-1))),ABS($Q7-ABS(VALUE(MID(EL7,FIND("|",EL7)+1,FIND("-",EL7)-FIND("|",EL7)-1))-VALUE(MID(EL7,FIND("-",EL7)+1,10)))))*$D$50)))))*$I7,0)),0)</f>
        <v>0</v>
      </c>
      <c r="EN7" s="109"/>
      <c r="EO7" s="71"/>
      <c r="EP7" s="72">
        <f t="shared" si="200"/>
        <v>0</v>
      </c>
      <c r="EQ7" s="109"/>
      <c r="ER7" s="71"/>
      <c r="ES7" s="72">
        <f t="shared" si="201"/>
        <v>0</v>
      </c>
      <c r="ET7" s="109"/>
      <c r="EU7" s="71"/>
      <c r="EV7" s="72">
        <f t="shared" si="202"/>
        <v>0</v>
      </c>
      <c r="EW7" s="109"/>
      <c r="EX7" s="71"/>
      <c r="EY7" s="72">
        <f t="shared" ref="EY7:EY41" si="254">IFERROR(IF($M7=EX7,($D$8+$D$9+$D$10)*$I7,IF($N7=LEFT(EX7,1),($D$8+MAX(0,IF($D$50=1,$D$9*(1-(ABS($Q7-ABS(VALUE(MID(EX7,FIND("|",EX7)+1,FIND("-",EX7)-FIND("|",EX7)-1))-VALUE(MID(EX7,FIND("-",EX7)+1,10)))))*$D$50),$D$9*(1-(IF($N7="X",ABS($O7-VALUE(MID(EX7,FIND("|",EX7)+1,FIND("-",EX7)-FIND("|",EX7)-1))),ABS($Q7-ABS(VALUE(MID(EX7,FIND("|",EX7)+1,FIND("-",EX7)-FIND("|",EX7)-1))-VALUE(MID(EX7,FIND("-",EX7)+1,10)))))*$D$50)))))*$I7,0)),0)</f>
        <v>0</v>
      </c>
      <c r="EZ7" s="109"/>
      <c r="FA7" s="71"/>
      <c r="FB7" s="72">
        <f t="shared" ref="FB7:FB41" si="255">IFERROR(IF($M7=FA7,($D$8+$D$9+$D$10)*$I7,IF($N7=LEFT(FA7,1),($D$8+MAX(0,IF($D$50=1,$D$9*(1-(ABS($Q7-ABS(VALUE(MID(FA7,FIND("|",FA7)+1,FIND("-",FA7)-FIND("|",FA7)-1))-VALUE(MID(FA7,FIND("-",FA7)+1,10)))))*$D$50),$D$9*(1-(IF($N7="X",ABS($O7-VALUE(MID(FA7,FIND("|",FA7)+1,FIND("-",FA7)-FIND("|",FA7)-1))),ABS($Q7-ABS(VALUE(MID(FA7,FIND("|",FA7)+1,FIND("-",FA7)-FIND("|",FA7)-1))-VALUE(MID(FA7,FIND("-",FA7)+1,10)))))*$D$50)))))*$I7,0)),0)</f>
        <v>0</v>
      </c>
      <c r="FC7" s="109"/>
      <c r="FD7" s="71"/>
      <c r="FE7" s="72">
        <f t="shared" si="203"/>
        <v>0</v>
      </c>
      <c r="FF7" s="109"/>
      <c r="FG7" s="71"/>
      <c r="FH7" s="72">
        <f t="shared" si="204"/>
        <v>0</v>
      </c>
      <c r="FI7" s="109"/>
      <c r="FJ7" s="71"/>
      <c r="FK7" s="72">
        <f t="shared" si="205"/>
        <v>0</v>
      </c>
      <c r="FL7" s="109"/>
      <c r="FM7" s="71"/>
      <c r="FN7" s="72">
        <f t="shared" ref="FN7:FN41" si="256">IFERROR(IF($M7=FM7,($D$8+$D$9+$D$10)*$I7,IF($N7=LEFT(FM7,1),($D$8+MAX(0,IF($D$50=1,$D$9*(1-(ABS($Q7-ABS(VALUE(MID(FM7,FIND("|",FM7)+1,FIND("-",FM7)-FIND("|",FM7)-1))-VALUE(MID(FM7,FIND("-",FM7)+1,10)))))*$D$50),$D$9*(1-(IF($N7="X",ABS($O7-VALUE(MID(FM7,FIND("|",FM7)+1,FIND("-",FM7)-FIND("|",FM7)-1))),ABS($Q7-ABS(VALUE(MID(FM7,FIND("|",FM7)+1,FIND("-",FM7)-FIND("|",FM7)-1))-VALUE(MID(FM7,FIND("-",FM7)+1,10)))))*$D$50)))))*$I7,0)),0)</f>
        <v>0</v>
      </c>
      <c r="FO7" s="109"/>
      <c r="FP7" s="71"/>
      <c r="FQ7" s="72">
        <f t="shared" ref="FQ7:FQ41" si="257">IFERROR(IF($M7=FP7,($D$8+$D$9+$D$10)*$I7,IF($N7=LEFT(FP7,1),($D$8+MAX(0,IF($D$50=1,$D$9*(1-(ABS($Q7-ABS(VALUE(MID(FP7,FIND("|",FP7)+1,FIND("-",FP7)-FIND("|",FP7)-1))-VALUE(MID(FP7,FIND("-",FP7)+1,10)))))*$D$50),$D$9*(1-(IF($N7="X",ABS($O7-VALUE(MID(FP7,FIND("|",FP7)+1,FIND("-",FP7)-FIND("|",FP7)-1))),ABS($Q7-ABS(VALUE(MID(FP7,FIND("|",FP7)+1,FIND("-",FP7)-FIND("|",FP7)-1))-VALUE(MID(FP7,FIND("-",FP7)+1,10)))))*$D$50)))))*$I7,0)),0)</f>
        <v>0</v>
      </c>
      <c r="FR7" s="109"/>
      <c r="FS7" s="71"/>
      <c r="FT7" s="72">
        <f t="shared" si="206"/>
        <v>0</v>
      </c>
      <c r="FU7" s="109"/>
      <c r="FV7" s="71"/>
      <c r="FW7" s="72">
        <f t="shared" si="207"/>
        <v>0</v>
      </c>
      <c r="FX7" s="109"/>
      <c r="FY7" s="71"/>
      <c r="FZ7" s="72">
        <f t="shared" si="208"/>
        <v>0</v>
      </c>
      <c r="GA7" s="109"/>
      <c r="GB7" s="71"/>
      <c r="GC7" s="72">
        <f t="shared" ref="GC7:GC41" si="258">IFERROR(IF($M7=GB7,($D$8+$D$9+$D$10)*$I7,IF($N7=LEFT(GB7,1),($D$8+MAX(0,IF($D$50=1,$D$9*(1-(ABS($Q7-ABS(VALUE(MID(GB7,FIND("|",GB7)+1,FIND("-",GB7)-FIND("|",GB7)-1))-VALUE(MID(GB7,FIND("-",GB7)+1,10)))))*$D$50),$D$9*(1-(IF($N7="X",ABS($O7-VALUE(MID(GB7,FIND("|",GB7)+1,FIND("-",GB7)-FIND("|",GB7)-1))),ABS($Q7-ABS(VALUE(MID(GB7,FIND("|",GB7)+1,FIND("-",GB7)-FIND("|",GB7)-1))-VALUE(MID(GB7,FIND("-",GB7)+1,10)))))*$D$50)))))*$I7,0)),0)</f>
        <v>0</v>
      </c>
      <c r="GD7" s="109"/>
      <c r="GE7" s="71"/>
      <c r="GF7" s="72">
        <f t="shared" ref="GF7:GF41" si="259">IFERROR(IF($M7=GE7,($D$8+$D$9+$D$10)*$I7,IF($N7=LEFT(GE7,1),($D$8+MAX(0,IF($D$50=1,$D$9*(1-(ABS($Q7-ABS(VALUE(MID(GE7,FIND("|",GE7)+1,FIND("-",GE7)-FIND("|",GE7)-1))-VALUE(MID(GE7,FIND("-",GE7)+1,10)))))*$D$50),$D$9*(1-(IF($N7="X",ABS($O7-VALUE(MID(GE7,FIND("|",GE7)+1,FIND("-",GE7)-FIND("|",GE7)-1))),ABS($Q7-ABS(VALUE(MID(GE7,FIND("|",GE7)+1,FIND("-",GE7)-FIND("|",GE7)-1))-VALUE(MID(GE7,FIND("-",GE7)+1,10)))))*$D$50)))))*$I7,0)),0)</f>
        <v>0</v>
      </c>
      <c r="GG7" s="109"/>
      <c r="GH7" s="71"/>
      <c r="GI7" s="72">
        <f t="shared" si="209"/>
        <v>0</v>
      </c>
      <c r="GJ7" s="109"/>
      <c r="GK7" s="71"/>
      <c r="GL7" s="72">
        <f t="shared" si="210"/>
        <v>0</v>
      </c>
      <c r="GM7" s="109"/>
      <c r="GN7" s="71"/>
      <c r="GO7" s="72">
        <f t="shared" si="211"/>
        <v>0</v>
      </c>
      <c r="GP7" s="109"/>
      <c r="GQ7" s="71"/>
      <c r="GR7" s="72">
        <f t="shared" ref="GR7:GR41" si="260">IFERROR(IF($M7=GQ7,($D$8+$D$9+$D$10)*$I7,IF($N7=LEFT(GQ7,1),($D$8+MAX(0,IF($D$50=1,$D$9*(1-(ABS($Q7-ABS(VALUE(MID(GQ7,FIND("|",GQ7)+1,FIND("-",GQ7)-FIND("|",GQ7)-1))-VALUE(MID(GQ7,FIND("-",GQ7)+1,10)))))*$D$50),$D$9*(1-(IF($N7="X",ABS($O7-VALUE(MID(GQ7,FIND("|",GQ7)+1,FIND("-",GQ7)-FIND("|",GQ7)-1))),ABS($Q7-ABS(VALUE(MID(GQ7,FIND("|",GQ7)+1,FIND("-",GQ7)-FIND("|",GQ7)-1))-VALUE(MID(GQ7,FIND("-",GQ7)+1,10)))))*$D$50)))))*$I7,0)),0)</f>
        <v>0</v>
      </c>
      <c r="GS7" s="109"/>
      <c r="GT7" s="71"/>
      <c r="GU7" s="72">
        <f t="shared" ref="GU7:GU41" si="261">IFERROR(IF($M7=GT7,($D$8+$D$9+$D$10)*$I7,IF($N7=LEFT(GT7,1),($D$8+MAX(0,IF($D$50=1,$D$9*(1-(ABS($Q7-ABS(VALUE(MID(GT7,FIND("|",GT7)+1,FIND("-",GT7)-FIND("|",GT7)-1))-VALUE(MID(GT7,FIND("-",GT7)+1,10)))))*$D$50),$D$9*(1-(IF($N7="X",ABS($O7-VALUE(MID(GT7,FIND("|",GT7)+1,FIND("-",GT7)-FIND("|",GT7)-1))),ABS($Q7-ABS(VALUE(MID(GT7,FIND("|",GT7)+1,FIND("-",GT7)-FIND("|",GT7)-1))-VALUE(MID(GT7,FIND("-",GT7)+1,10)))))*$D$50)))))*$I7,0)),0)</f>
        <v>0</v>
      </c>
      <c r="GV7" s="109"/>
      <c r="GW7" s="71"/>
      <c r="GX7" s="72">
        <f t="shared" si="212"/>
        <v>0</v>
      </c>
      <c r="GY7" s="109"/>
      <c r="GZ7" s="71"/>
      <c r="HA7" s="72">
        <f t="shared" si="213"/>
        <v>0</v>
      </c>
      <c r="HB7" s="109"/>
      <c r="HC7" s="71"/>
      <c r="HD7" s="72">
        <f t="shared" si="214"/>
        <v>0</v>
      </c>
      <c r="HE7" s="109"/>
      <c r="HF7" s="71"/>
      <c r="HG7" s="72">
        <f t="shared" ref="HG7:HG41" si="262">IFERROR(IF($M7=HF7,($D$8+$D$9+$D$10)*$I7,IF($N7=LEFT(HF7,1),($D$8+MAX(0,IF($D$50=1,$D$9*(1-(ABS($Q7-ABS(VALUE(MID(HF7,FIND("|",HF7)+1,FIND("-",HF7)-FIND("|",HF7)-1))-VALUE(MID(HF7,FIND("-",HF7)+1,10)))))*$D$50),$D$9*(1-(IF($N7="X",ABS($O7-VALUE(MID(HF7,FIND("|",HF7)+1,FIND("-",HF7)-FIND("|",HF7)-1))),ABS($Q7-ABS(VALUE(MID(HF7,FIND("|",HF7)+1,FIND("-",HF7)-FIND("|",HF7)-1))-VALUE(MID(HF7,FIND("-",HF7)+1,10)))))*$D$50)))))*$I7,0)),0)</f>
        <v>0</v>
      </c>
      <c r="HH7" s="109"/>
      <c r="HI7" s="71"/>
      <c r="HJ7" s="72">
        <f t="shared" ref="HJ7:HJ41" si="263">IFERROR(IF($M7=HI7,($D$8+$D$9+$D$10)*$I7,IF($N7=LEFT(HI7,1),($D$8+MAX(0,IF($D$50=1,$D$9*(1-(ABS($Q7-ABS(VALUE(MID(HI7,FIND("|",HI7)+1,FIND("-",HI7)-FIND("|",HI7)-1))-VALUE(MID(HI7,FIND("-",HI7)+1,10)))))*$D$50),$D$9*(1-(IF($N7="X",ABS($O7-VALUE(MID(HI7,FIND("|",HI7)+1,FIND("-",HI7)-FIND("|",HI7)-1))),ABS($Q7-ABS(VALUE(MID(HI7,FIND("|",HI7)+1,FIND("-",HI7)-FIND("|",HI7)-1))-VALUE(MID(HI7,FIND("-",HI7)+1,10)))))*$D$50)))))*$I7,0)),0)</f>
        <v>0</v>
      </c>
      <c r="HK7" s="109"/>
      <c r="HL7" s="71"/>
      <c r="HM7" s="72">
        <f t="shared" si="215"/>
        <v>0</v>
      </c>
      <c r="HN7" s="109"/>
      <c r="HO7" s="71"/>
      <c r="HP7" s="72">
        <f t="shared" si="216"/>
        <v>0</v>
      </c>
      <c r="HQ7" s="109"/>
      <c r="HR7" s="71"/>
      <c r="HS7" s="72">
        <f t="shared" si="217"/>
        <v>0</v>
      </c>
      <c r="HT7" s="109"/>
      <c r="HU7" s="71"/>
      <c r="HV7" s="72">
        <f t="shared" ref="HV7:HV41" si="264">IFERROR(IF($M7=HU7,($D$8+$D$9+$D$10)*$I7,IF($N7=LEFT(HU7,1),($D$8+MAX(0,IF($D$50=1,$D$9*(1-(ABS($Q7-ABS(VALUE(MID(HU7,FIND("|",HU7)+1,FIND("-",HU7)-FIND("|",HU7)-1))-VALUE(MID(HU7,FIND("-",HU7)+1,10)))))*$D$50),$D$9*(1-(IF($N7="X",ABS($O7-VALUE(MID(HU7,FIND("|",HU7)+1,FIND("-",HU7)-FIND("|",HU7)-1))),ABS($Q7-ABS(VALUE(MID(HU7,FIND("|",HU7)+1,FIND("-",HU7)-FIND("|",HU7)-1))-VALUE(MID(HU7,FIND("-",HU7)+1,10)))))*$D$50)))))*$I7,0)),0)</f>
        <v>0</v>
      </c>
      <c r="HW7" s="109"/>
      <c r="HX7" s="71"/>
      <c r="HY7" s="72">
        <f t="shared" ref="HY7:HY41" si="265">IFERROR(IF($M7=HX7,($D$8+$D$9+$D$10)*$I7,IF($N7=LEFT(HX7,1),($D$8+MAX(0,IF($D$50=1,$D$9*(1-(ABS($Q7-ABS(VALUE(MID(HX7,FIND("|",HX7)+1,FIND("-",HX7)-FIND("|",HX7)-1))-VALUE(MID(HX7,FIND("-",HX7)+1,10)))))*$D$50),$D$9*(1-(IF($N7="X",ABS($O7-VALUE(MID(HX7,FIND("|",HX7)+1,FIND("-",HX7)-FIND("|",HX7)-1))),ABS($Q7-ABS(VALUE(MID(HX7,FIND("|",HX7)+1,FIND("-",HX7)-FIND("|",HX7)-1))-VALUE(MID(HX7,FIND("-",HX7)+1,10)))))*$D$50)))))*$I7,0)),0)</f>
        <v>0</v>
      </c>
      <c r="HZ7" s="109"/>
      <c r="IA7" s="71"/>
      <c r="IB7" s="72">
        <f t="shared" si="218"/>
        <v>0</v>
      </c>
      <c r="IC7" s="109"/>
      <c r="ID7" s="71"/>
      <c r="IE7" s="72">
        <f t="shared" si="219"/>
        <v>0</v>
      </c>
      <c r="IF7" s="109"/>
      <c r="IG7" s="71"/>
      <c r="IH7" s="72">
        <f t="shared" si="220"/>
        <v>0</v>
      </c>
      <c r="II7" s="109"/>
      <c r="IJ7" s="71"/>
      <c r="IK7" s="72">
        <f t="shared" ref="IK7:IK41" si="266">IFERROR(IF($M7=IJ7,($D$8+$D$9+$D$10)*$I7,IF($N7=LEFT(IJ7,1),($D$8+MAX(0,IF($D$50=1,$D$9*(1-(ABS($Q7-ABS(VALUE(MID(IJ7,FIND("|",IJ7)+1,FIND("-",IJ7)-FIND("|",IJ7)-1))-VALUE(MID(IJ7,FIND("-",IJ7)+1,10)))))*$D$50),$D$9*(1-(IF($N7="X",ABS($O7-VALUE(MID(IJ7,FIND("|",IJ7)+1,FIND("-",IJ7)-FIND("|",IJ7)-1))),ABS($Q7-ABS(VALUE(MID(IJ7,FIND("|",IJ7)+1,FIND("-",IJ7)-FIND("|",IJ7)-1))-VALUE(MID(IJ7,FIND("-",IJ7)+1,10)))))*$D$50)))))*$I7,0)),0)</f>
        <v>0</v>
      </c>
      <c r="IL7" s="109"/>
      <c r="IM7" s="71"/>
      <c r="IN7" s="72">
        <f t="shared" ref="IN7:IN41" si="267">IFERROR(IF($M7=IM7,($D$8+$D$9+$D$10)*$I7,IF($N7=LEFT(IM7,1),($D$8+MAX(0,IF($D$50=1,$D$9*(1-(ABS($Q7-ABS(VALUE(MID(IM7,FIND("|",IM7)+1,FIND("-",IM7)-FIND("|",IM7)-1))-VALUE(MID(IM7,FIND("-",IM7)+1,10)))))*$D$50),$D$9*(1-(IF($N7="X",ABS($O7-VALUE(MID(IM7,FIND("|",IM7)+1,FIND("-",IM7)-FIND("|",IM7)-1))),ABS($Q7-ABS(VALUE(MID(IM7,FIND("|",IM7)+1,FIND("-",IM7)-FIND("|",IM7)-1))-VALUE(MID(IM7,FIND("-",IM7)+1,10)))))*$D$50)))))*$I7,0)),0)</f>
        <v>0</v>
      </c>
      <c r="IO7" s="109"/>
      <c r="IP7" s="71"/>
      <c r="IQ7" s="72">
        <f t="shared" si="221"/>
        <v>0</v>
      </c>
      <c r="IR7" s="109"/>
      <c r="IS7" s="71"/>
      <c r="IT7" s="72">
        <f t="shared" si="222"/>
        <v>0</v>
      </c>
      <c r="IU7" s="109"/>
      <c r="IV7" s="71"/>
      <c r="IW7" s="72">
        <f t="shared" si="223"/>
        <v>0</v>
      </c>
      <c r="IX7" s="109"/>
      <c r="IY7" s="71"/>
      <c r="IZ7" s="72">
        <f t="shared" ref="IZ7:IZ41" si="268">IFERROR(IF($M7=IY7,($D$8+$D$9+$D$10)*$I7,IF($N7=LEFT(IY7,1),($D$8+MAX(0,IF($D$50=1,$D$9*(1-(ABS($Q7-ABS(VALUE(MID(IY7,FIND("|",IY7)+1,FIND("-",IY7)-FIND("|",IY7)-1))-VALUE(MID(IY7,FIND("-",IY7)+1,10)))))*$D$50),$D$9*(1-(IF($N7="X",ABS($O7-VALUE(MID(IY7,FIND("|",IY7)+1,FIND("-",IY7)-FIND("|",IY7)-1))),ABS($Q7-ABS(VALUE(MID(IY7,FIND("|",IY7)+1,FIND("-",IY7)-FIND("|",IY7)-1))-VALUE(MID(IY7,FIND("-",IY7)+1,10)))))*$D$50)))))*$I7,0)),0)</f>
        <v>0</v>
      </c>
      <c r="JA7" s="109"/>
      <c r="JB7" s="71"/>
      <c r="JC7" s="72">
        <f t="shared" ref="JC7:JC41" si="269">IFERROR(IF($M7=JB7,($D$8+$D$9+$D$10)*$I7,IF($N7=LEFT(JB7,1),($D$8+MAX(0,IF($D$50=1,$D$9*(1-(ABS($Q7-ABS(VALUE(MID(JB7,FIND("|",JB7)+1,FIND("-",JB7)-FIND("|",JB7)-1))-VALUE(MID(JB7,FIND("-",JB7)+1,10)))))*$D$50),$D$9*(1-(IF($N7="X",ABS($O7-VALUE(MID(JB7,FIND("|",JB7)+1,FIND("-",JB7)-FIND("|",JB7)-1))),ABS($Q7-ABS(VALUE(MID(JB7,FIND("|",JB7)+1,FIND("-",JB7)-FIND("|",JB7)-1))-VALUE(MID(JB7,FIND("-",JB7)+1,10)))))*$D$50)))))*$I7,0)),0)</f>
        <v>0</v>
      </c>
      <c r="JD7" s="109"/>
      <c r="JE7" s="71"/>
      <c r="JF7" s="72">
        <f t="shared" si="224"/>
        <v>0</v>
      </c>
      <c r="JG7" s="109"/>
      <c r="JH7" s="71"/>
      <c r="JI7" s="72">
        <f t="shared" si="225"/>
        <v>0</v>
      </c>
      <c r="JJ7" s="109"/>
      <c r="JK7" s="71"/>
      <c r="JL7" s="72">
        <f t="shared" si="226"/>
        <v>0</v>
      </c>
      <c r="JM7" s="109"/>
      <c r="JN7" s="71"/>
      <c r="JO7" s="72">
        <f t="shared" ref="JO7:JO41" si="270">IFERROR(IF($M7=JN7,($D$8+$D$9+$D$10)*$I7,IF($N7=LEFT(JN7,1),($D$8+MAX(0,IF($D$50=1,$D$9*(1-(ABS($Q7-ABS(VALUE(MID(JN7,FIND("|",JN7)+1,FIND("-",JN7)-FIND("|",JN7)-1))-VALUE(MID(JN7,FIND("-",JN7)+1,10)))))*$D$50),$D$9*(1-(IF($N7="X",ABS($O7-VALUE(MID(JN7,FIND("|",JN7)+1,FIND("-",JN7)-FIND("|",JN7)-1))),ABS($Q7-ABS(VALUE(MID(JN7,FIND("|",JN7)+1,FIND("-",JN7)-FIND("|",JN7)-1))-VALUE(MID(JN7,FIND("-",JN7)+1,10)))))*$D$50)))))*$I7,0)),0)</f>
        <v>0</v>
      </c>
      <c r="JP7" s="109"/>
      <c r="JQ7" s="71"/>
      <c r="JR7" s="72">
        <f t="shared" ref="JR7:JR41" si="271">IFERROR(IF($M7=JQ7,($D$8+$D$9+$D$10)*$I7,IF($N7=LEFT(JQ7,1),($D$8+MAX(0,IF($D$50=1,$D$9*(1-(ABS($Q7-ABS(VALUE(MID(JQ7,FIND("|",JQ7)+1,FIND("-",JQ7)-FIND("|",JQ7)-1))-VALUE(MID(JQ7,FIND("-",JQ7)+1,10)))))*$D$50),$D$9*(1-(IF($N7="X",ABS($O7-VALUE(MID(JQ7,FIND("|",JQ7)+1,FIND("-",JQ7)-FIND("|",JQ7)-1))),ABS($Q7-ABS(VALUE(MID(JQ7,FIND("|",JQ7)+1,FIND("-",JQ7)-FIND("|",JQ7)-1))-VALUE(MID(JQ7,FIND("-",JQ7)+1,10)))))*$D$50)))))*$I7,0)),0)</f>
        <v>0</v>
      </c>
      <c r="JS7" s="109"/>
      <c r="JT7" s="71"/>
      <c r="JU7" s="72">
        <f t="shared" si="227"/>
        <v>0</v>
      </c>
      <c r="JV7" s="109"/>
      <c r="JW7" s="71"/>
      <c r="JX7" s="72">
        <f t="shared" si="228"/>
        <v>0</v>
      </c>
      <c r="JY7" s="109"/>
      <c r="JZ7" s="71"/>
      <c r="KA7" s="72">
        <f t="shared" si="229"/>
        <v>0</v>
      </c>
      <c r="KB7" s="109"/>
      <c r="KC7" s="71"/>
      <c r="KD7" s="72">
        <f t="shared" ref="KD7:KD41" si="272">IFERROR(IF($M7=KC7,($D$8+$D$9+$D$10)*$I7,IF($N7=LEFT(KC7,1),($D$8+MAX(0,IF($D$50=1,$D$9*(1-(ABS($Q7-ABS(VALUE(MID(KC7,FIND("|",KC7)+1,FIND("-",KC7)-FIND("|",KC7)-1))-VALUE(MID(KC7,FIND("-",KC7)+1,10)))))*$D$50),$D$9*(1-(IF($N7="X",ABS($O7-VALUE(MID(KC7,FIND("|",KC7)+1,FIND("-",KC7)-FIND("|",KC7)-1))),ABS($Q7-ABS(VALUE(MID(KC7,FIND("|",KC7)+1,FIND("-",KC7)-FIND("|",KC7)-1))-VALUE(MID(KC7,FIND("-",KC7)+1,10)))))*$D$50)))))*$I7,0)),0)</f>
        <v>0</v>
      </c>
      <c r="KE7" s="109"/>
      <c r="KF7" s="71"/>
      <c r="KG7" s="72">
        <f t="shared" ref="KG7:KG41" si="273">IFERROR(IF($M7=KF7,($D$8+$D$9+$D$10)*$I7,IF($N7=LEFT(KF7,1),($D$8+MAX(0,IF($D$50=1,$D$9*(1-(ABS($Q7-ABS(VALUE(MID(KF7,FIND("|",KF7)+1,FIND("-",KF7)-FIND("|",KF7)-1))-VALUE(MID(KF7,FIND("-",KF7)+1,10)))))*$D$50),$D$9*(1-(IF($N7="X",ABS($O7-VALUE(MID(KF7,FIND("|",KF7)+1,FIND("-",KF7)-FIND("|",KF7)-1))),ABS($Q7-ABS(VALUE(MID(KF7,FIND("|",KF7)+1,FIND("-",KF7)-FIND("|",KF7)-1))-VALUE(MID(KF7,FIND("-",KF7)+1,10)))))*$D$50)))))*$I7,0)),0)</f>
        <v>0</v>
      </c>
      <c r="KH7" s="109"/>
      <c r="KI7" s="71"/>
      <c r="KJ7" s="72">
        <f t="shared" si="230"/>
        <v>0</v>
      </c>
      <c r="KK7" s="109"/>
      <c r="KL7" s="71"/>
      <c r="KM7" s="72">
        <f t="shared" si="231"/>
        <v>0</v>
      </c>
      <c r="KN7" s="109"/>
      <c r="KO7" s="71"/>
      <c r="KP7" s="72">
        <f t="shared" si="232"/>
        <v>0</v>
      </c>
      <c r="KQ7" s="109"/>
      <c r="KR7" s="71"/>
      <c r="KS7" s="72">
        <f t="shared" ref="KS7:KS41" si="274">IFERROR(IF($M7=KR7,($D$8+$D$9+$D$10)*$I7,IF($N7=LEFT(KR7,1),($D$8+MAX(0,IF($D$50=1,$D$9*(1-(ABS($Q7-ABS(VALUE(MID(KR7,FIND("|",KR7)+1,FIND("-",KR7)-FIND("|",KR7)-1))-VALUE(MID(KR7,FIND("-",KR7)+1,10)))))*$D$50),$D$9*(1-(IF($N7="X",ABS($O7-VALUE(MID(KR7,FIND("|",KR7)+1,FIND("-",KR7)-FIND("|",KR7)-1))),ABS($Q7-ABS(VALUE(MID(KR7,FIND("|",KR7)+1,FIND("-",KR7)-FIND("|",KR7)-1))-VALUE(MID(KR7,FIND("-",KR7)+1,10)))))*$D$50)))))*$I7,0)),0)</f>
        <v>0</v>
      </c>
      <c r="KT7" s="109"/>
      <c r="KU7" s="71"/>
      <c r="KV7" s="72">
        <f t="shared" ref="KV7:KV41" si="275">IFERROR(IF($M7=KU7,($D$8+$D$9+$D$10)*$I7,IF($N7=LEFT(KU7,1),($D$8+MAX(0,IF($D$50=1,$D$9*(1-(ABS($Q7-ABS(VALUE(MID(KU7,FIND("|",KU7)+1,FIND("-",KU7)-FIND("|",KU7)-1))-VALUE(MID(KU7,FIND("-",KU7)+1,10)))))*$D$50),$D$9*(1-(IF($N7="X",ABS($O7-VALUE(MID(KU7,FIND("|",KU7)+1,FIND("-",KU7)-FIND("|",KU7)-1))),ABS($Q7-ABS(VALUE(MID(KU7,FIND("|",KU7)+1,FIND("-",KU7)-FIND("|",KU7)-1))-VALUE(MID(KU7,FIND("-",KU7)+1,10)))))*$D$50)))))*$I7,0)),0)</f>
        <v>0</v>
      </c>
      <c r="KW7" s="109"/>
      <c r="KX7" s="71"/>
      <c r="KY7" s="72">
        <f t="shared" si="233"/>
        <v>0</v>
      </c>
      <c r="KZ7" s="109"/>
      <c r="LA7" s="71"/>
      <c r="LB7" s="72">
        <f t="shared" si="234"/>
        <v>0</v>
      </c>
      <c r="LC7" s="109"/>
      <c r="LD7" s="71"/>
      <c r="LE7" s="72">
        <f t="shared" si="235"/>
        <v>0</v>
      </c>
      <c r="LF7" s="109"/>
    </row>
    <row r="8" spans="1:318" s="784" customFormat="1">
      <c r="A8" s="49"/>
      <c r="B8" s="49"/>
      <c r="C8" s="435" t="str">
        <f>Idiomas!D304</f>
        <v>FASE DE GRUPOS - Signo 1X2 (local, empate, visitante)</v>
      </c>
      <c r="D8" s="62">
        <v>7</v>
      </c>
      <c r="E8" s="109"/>
      <c r="F8" s="443">
        <f t="shared" si="236"/>
        <v>15</v>
      </c>
      <c r="G8" s="443">
        <f ca="1">VLOOKUP(H8,Equipos!$Q$1:$R$25,2,0)</f>
        <v>2</v>
      </c>
      <c r="H8" s="444">
        <f ca="1">TRUNC(INDEX(WORLDCUP!$X$4:$X$147,MATCH(ADMIN!K8,WORLDCUP!$DT$4:$DT$147,0))+INDEX(Horarios!$R$3:$R$86,MATCH(Horarios!$C$3,Horarios!$P$3:$P$86,0))/24)</f>
        <v>46185</v>
      </c>
      <c r="I8" s="48">
        <v>1</v>
      </c>
      <c r="J8" s="94"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276">ABS(O8-P8)</f>
        <v>0</v>
      </c>
      <c r="R8" s="49"/>
      <c r="S8" s="795" t="s">
        <v>1948</v>
      </c>
      <c r="T8" s="72">
        <f t="shared" si="237"/>
        <v>0</v>
      </c>
      <c r="U8" s="64"/>
      <c r="V8" s="73" t="s">
        <v>1961</v>
      </c>
      <c r="W8" s="72">
        <f t="shared" si="238"/>
        <v>15</v>
      </c>
      <c r="X8" s="64"/>
      <c r="Y8" s="795" t="s">
        <v>1960</v>
      </c>
      <c r="Z8" s="72">
        <f t="shared" si="176"/>
        <v>0</v>
      </c>
      <c r="AA8" s="64"/>
      <c r="AB8" s="795" t="s">
        <v>1962</v>
      </c>
      <c r="AC8" s="72">
        <f t="shared" si="177"/>
        <v>0</v>
      </c>
      <c r="AD8" s="64"/>
      <c r="AE8" s="795" t="s">
        <v>1961</v>
      </c>
      <c r="AF8" s="72">
        <f t="shared" si="239"/>
        <v>15</v>
      </c>
      <c r="AG8" s="64"/>
      <c r="AH8" s="795" t="s">
        <v>1962</v>
      </c>
      <c r="AI8" s="72">
        <f t="shared" si="240"/>
        <v>0</v>
      </c>
      <c r="AJ8" s="64"/>
      <c r="AK8" s="805" t="s">
        <v>1958</v>
      </c>
      <c r="AL8" s="72">
        <f t="shared" si="241"/>
        <v>0</v>
      </c>
      <c r="AM8" s="64"/>
      <c r="AN8" s="795" t="s">
        <v>1955</v>
      </c>
      <c r="AO8" s="72">
        <f t="shared" si="179"/>
        <v>0</v>
      </c>
      <c r="AP8" s="64"/>
      <c r="AQ8" s="805" t="s">
        <v>1948</v>
      </c>
      <c r="AR8" s="72">
        <f t="shared" si="180"/>
        <v>0</v>
      </c>
      <c r="AS8" s="64"/>
      <c r="AT8" s="795" t="s">
        <v>1955</v>
      </c>
      <c r="AU8" s="72">
        <f t="shared" si="181"/>
        <v>0</v>
      </c>
      <c r="AV8" s="64"/>
      <c r="AW8" s="795" t="s">
        <v>1961</v>
      </c>
      <c r="AX8" s="72">
        <f t="shared" si="242"/>
        <v>15</v>
      </c>
      <c r="AY8" s="64"/>
      <c r="AZ8" s="795" t="s">
        <v>2339</v>
      </c>
      <c r="BA8" s="72">
        <f t="shared" si="243"/>
        <v>7</v>
      </c>
      <c r="BB8" s="64"/>
      <c r="BC8" s="795" t="s">
        <v>1960</v>
      </c>
      <c r="BD8" s="72">
        <f t="shared" si="182"/>
        <v>0</v>
      </c>
      <c r="BE8" s="64"/>
      <c r="BF8" s="795" t="s">
        <v>1958</v>
      </c>
      <c r="BG8" s="72">
        <f t="shared" si="183"/>
        <v>0</v>
      </c>
      <c r="BH8" s="64"/>
      <c r="BI8" s="795" t="s">
        <v>1961</v>
      </c>
      <c r="BJ8" s="72">
        <f t="shared" si="184"/>
        <v>15</v>
      </c>
      <c r="BK8" s="64"/>
      <c r="BL8" s="795" t="s">
        <v>1958</v>
      </c>
      <c r="BM8" s="72">
        <f t="shared" si="244"/>
        <v>0</v>
      </c>
      <c r="BN8" s="64"/>
      <c r="BO8" s="815" t="s">
        <v>1961</v>
      </c>
      <c r="BP8" s="72">
        <f t="shared" si="245"/>
        <v>15</v>
      </c>
      <c r="BQ8" s="64"/>
      <c r="BR8" s="795" t="s">
        <v>1955</v>
      </c>
      <c r="BS8" s="72">
        <f t="shared" si="185"/>
        <v>0</v>
      </c>
      <c r="BT8" s="64"/>
      <c r="BU8" s="795" t="s">
        <v>1948</v>
      </c>
      <c r="BV8" s="72">
        <f t="shared" si="186"/>
        <v>0</v>
      </c>
      <c r="BW8" s="64"/>
      <c r="BX8" s="73" t="s">
        <v>1961</v>
      </c>
      <c r="BY8" s="72">
        <f t="shared" si="187"/>
        <v>15</v>
      </c>
      <c r="BZ8" s="64"/>
      <c r="CA8" s="815" t="s">
        <v>1948</v>
      </c>
      <c r="CB8" s="72">
        <f t="shared" si="246"/>
        <v>0</v>
      </c>
      <c r="CC8" s="64"/>
      <c r="CD8" s="824" t="s">
        <v>1950</v>
      </c>
      <c r="CE8" s="72">
        <f t="shared" si="247"/>
        <v>7</v>
      </c>
      <c r="CF8" s="64"/>
      <c r="CG8" s="795" t="s">
        <v>1947</v>
      </c>
      <c r="CH8" s="72">
        <f t="shared" si="188"/>
        <v>0</v>
      </c>
      <c r="CI8" s="64"/>
      <c r="CJ8" s="795" t="s">
        <v>1949</v>
      </c>
      <c r="CK8" s="72">
        <f t="shared" si="189"/>
        <v>0</v>
      </c>
      <c r="CL8" s="64"/>
      <c r="CM8" s="795" t="s">
        <v>1961</v>
      </c>
      <c r="CN8" s="72">
        <f t="shared" si="190"/>
        <v>15</v>
      </c>
      <c r="CO8" s="64"/>
      <c r="CP8" s="795" t="s">
        <v>1955</v>
      </c>
      <c r="CQ8" s="72">
        <f t="shared" si="248"/>
        <v>0</v>
      </c>
      <c r="CR8" s="64"/>
      <c r="CS8" s="795" t="s">
        <v>1948</v>
      </c>
      <c r="CT8" s="72">
        <f t="shared" si="249"/>
        <v>0</v>
      </c>
      <c r="CU8" s="64"/>
      <c r="CV8" s="795" t="s">
        <v>1948</v>
      </c>
      <c r="CW8" s="72">
        <f t="shared" si="191"/>
        <v>0</v>
      </c>
      <c r="CX8" s="64"/>
      <c r="CY8" s="795" t="s">
        <v>1948</v>
      </c>
      <c r="CZ8" s="72">
        <f t="shared" si="250"/>
        <v>0</v>
      </c>
      <c r="DA8" s="64"/>
      <c r="DB8" s="795" t="s">
        <v>1958</v>
      </c>
      <c r="DC8" s="72">
        <f t="shared" si="192"/>
        <v>0</v>
      </c>
      <c r="DD8" s="64"/>
      <c r="DE8" s="795" t="s">
        <v>1953</v>
      </c>
      <c r="DF8" s="72">
        <f t="shared" si="193"/>
        <v>0</v>
      </c>
      <c r="DG8" s="64"/>
      <c r="DH8" s="795" t="s">
        <v>1948</v>
      </c>
      <c r="DI8" s="72">
        <f t="shared" si="194"/>
        <v>0</v>
      </c>
      <c r="DJ8" s="64"/>
      <c r="DK8" s="795" t="s">
        <v>1955</v>
      </c>
      <c r="DL8" s="72">
        <f t="shared" si="195"/>
        <v>0</v>
      </c>
      <c r="DM8" s="64"/>
      <c r="DN8" s="795" t="s">
        <v>1956</v>
      </c>
      <c r="DO8" s="72">
        <f t="shared" si="196"/>
        <v>0</v>
      </c>
      <c r="DP8" s="64"/>
      <c r="DQ8" s="795" t="s">
        <v>1956</v>
      </c>
      <c r="DR8" s="72">
        <f t="shared" si="251"/>
        <v>0</v>
      </c>
      <c r="DS8" s="64"/>
      <c r="DT8" s="795" t="s">
        <v>1958</v>
      </c>
      <c r="DU8" s="72">
        <f t="shared" ref="DU7:DU41" si="277">IFERROR(IF($M8=DT8,($D$8+$D$9+$D$10)*$I8,IF($N8=LEFT(DT8,1),($D$8+MAX(0,IF($D$50=1,$D$9*(1-(ABS($Q8-ABS(VALUE(MID(DT8,FIND("|",DT8)+1,FIND("-",DT8)-FIND("|",DT8)-1))-VALUE(MID(DT8,FIND("-",DT8)+1,10)))))*$D$50),$D$9*(1-(IF($N8="X",ABS($O8-VALUE(MID(DT8,FIND("|",DT8)+1,FIND("-",DT8)-FIND("|",DT8)-1))),ABS($Q8-ABS(VALUE(MID(DT8,FIND("|",DT8)+1,FIND("-",DT8)-FIND("|",DT8)-1))-VALUE(MID(DT8,FIND("-",DT8)+1,10)))))*$D$50)))))*$I8,0)),0)</f>
        <v>0</v>
      </c>
      <c r="DV8" s="64"/>
      <c r="DW8" s="73"/>
      <c r="DX8" s="72">
        <f t="shared" ref="DX8:DX41" si="278">IFERROR(IF($M8=DW8,($D$8+$D$9+$D$10)*$I8,IF($N8=LEFT(DW8,1),($D$8+MAX(0,IF($D$50=1,$D$9*(1-(ABS($Q8-ABS(VALUE(MID(DW8,FIND("|",DW8)+1,FIND("-",DW8)-FIND("|",DW8)-1))-VALUE(MID(DW8,FIND("-",DW8)+1,10)))))*$D$50),$D$9*(1-(IF($N8="X",ABS($O8-VALUE(MID(DW8,FIND("|",DW8)+1,FIND("-",DW8)-FIND("|",DW8)-1))),ABS($Q8-ABS(VALUE(MID(DW8,FIND("|",DW8)+1,FIND("-",DW8)-FIND("|",DW8)-1))-VALUE(MID(DW8,FIND("-",DW8)+1,10)))))*$D$50)))))*$I8,0)),0)</f>
        <v>0</v>
      </c>
      <c r="DY8" s="64"/>
      <c r="DZ8" s="73"/>
      <c r="EA8" s="72">
        <f t="shared" si="197"/>
        <v>0</v>
      </c>
      <c r="EB8" s="64"/>
      <c r="EC8" s="73"/>
      <c r="ED8" s="72">
        <f t="shared" si="198"/>
        <v>0</v>
      </c>
      <c r="EE8" s="64"/>
      <c r="EF8" s="73"/>
      <c r="EG8" s="72">
        <f t="shared" si="199"/>
        <v>0</v>
      </c>
      <c r="EH8" s="64"/>
      <c r="EI8" s="73"/>
      <c r="EJ8" s="72">
        <f t="shared" si="252"/>
        <v>0</v>
      </c>
      <c r="EK8" s="64"/>
      <c r="EL8" s="73"/>
      <c r="EM8" s="72">
        <f t="shared" si="253"/>
        <v>0</v>
      </c>
      <c r="EN8" s="64"/>
      <c r="EO8" s="73"/>
      <c r="EP8" s="72">
        <f t="shared" si="200"/>
        <v>0</v>
      </c>
      <c r="EQ8" s="64"/>
      <c r="ER8" s="73"/>
      <c r="ES8" s="72">
        <f t="shared" si="201"/>
        <v>0</v>
      </c>
      <c r="ET8" s="64"/>
      <c r="EU8" s="73"/>
      <c r="EV8" s="72">
        <f t="shared" si="202"/>
        <v>0</v>
      </c>
      <c r="EW8" s="64"/>
      <c r="EX8" s="73"/>
      <c r="EY8" s="72">
        <f t="shared" si="254"/>
        <v>0</v>
      </c>
      <c r="EZ8" s="64"/>
      <c r="FA8" s="73"/>
      <c r="FB8" s="72">
        <f t="shared" si="255"/>
        <v>0</v>
      </c>
      <c r="FC8" s="64"/>
      <c r="FD8" s="73"/>
      <c r="FE8" s="72">
        <f t="shared" si="203"/>
        <v>0</v>
      </c>
      <c r="FF8" s="64"/>
      <c r="FG8" s="73"/>
      <c r="FH8" s="72">
        <f t="shared" si="204"/>
        <v>0</v>
      </c>
      <c r="FI8" s="64"/>
      <c r="FJ8" s="73"/>
      <c r="FK8" s="72">
        <f t="shared" si="205"/>
        <v>0</v>
      </c>
      <c r="FL8" s="64"/>
      <c r="FM8" s="73"/>
      <c r="FN8" s="72">
        <f t="shared" si="256"/>
        <v>0</v>
      </c>
      <c r="FO8" s="64"/>
      <c r="FP8" s="73"/>
      <c r="FQ8" s="72">
        <f t="shared" si="257"/>
        <v>0</v>
      </c>
      <c r="FR8" s="64"/>
      <c r="FS8" s="73"/>
      <c r="FT8" s="72">
        <f t="shared" si="206"/>
        <v>0</v>
      </c>
      <c r="FU8" s="64"/>
      <c r="FV8" s="73"/>
      <c r="FW8" s="72">
        <f t="shared" si="207"/>
        <v>0</v>
      </c>
      <c r="FX8" s="64"/>
      <c r="FY8" s="73"/>
      <c r="FZ8" s="72">
        <f t="shared" si="208"/>
        <v>0</v>
      </c>
      <c r="GA8" s="64"/>
      <c r="GB8" s="73"/>
      <c r="GC8" s="72">
        <f t="shared" si="258"/>
        <v>0</v>
      </c>
      <c r="GD8" s="64"/>
      <c r="GE8" s="73"/>
      <c r="GF8" s="72">
        <f t="shared" si="259"/>
        <v>0</v>
      </c>
      <c r="GG8" s="64"/>
      <c r="GH8" s="73"/>
      <c r="GI8" s="72">
        <f t="shared" si="209"/>
        <v>0</v>
      </c>
      <c r="GJ8" s="64"/>
      <c r="GK8" s="73"/>
      <c r="GL8" s="72">
        <f t="shared" si="210"/>
        <v>0</v>
      </c>
      <c r="GM8" s="64"/>
      <c r="GN8" s="73"/>
      <c r="GO8" s="72">
        <f t="shared" si="211"/>
        <v>0</v>
      </c>
      <c r="GP8" s="64"/>
      <c r="GQ8" s="73"/>
      <c r="GR8" s="72">
        <f t="shared" si="260"/>
        <v>0</v>
      </c>
      <c r="GS8" s="64"/>
      <c r="GT8" s="73"/>
      <c r="GU8" s="72">
        <f t="shared" si="261"/>
        <v>0</v>
      </c>
      <c r="GV8" s="64"/>
      <c r="GW8" s="73"/>
      <c r="GX8" s="72">
        <f t="shared" si="212"/>
        <v>0</v>
      </c>
      <c r="GY8" s="64"/>
      <c r="GZ8" s="73"/>
      <c r="HA8" s="72">
        <f t="shared" si="213"/>
        <v>0</v>
      </c>
      <c r="HB8" s="64"/>
      <c r="HC8" s="73"/>
      <c r="HD8" s="72">
        <f t="shared" si="214"/>
        <v>0</v>
      </c>
      <c r="HE8" s="64"/>
      <c r="HF8" s="73"/>
      <c r="HG8" s="72">
        <f t="shared" si="262"/>
        <v>0</v>
      </c>
      <c r="HH8" s="64"/>
      <c r="HI8" s="73"/>
      <c r="HJ8" s="72">
        <f t="shared" si="263"/>
        <v>0</v>
      </c>
      <c r="HK8" s="64"/>
      <c r="HL8" s="73"/>
      <c r="HM8" s="72">
        <f t="shared" si="215"/>
        <v>0</v>
      </c>
      <c r="HN8" s="64"/>
      <c r="HO8" s="73"/>
      <c r="HP8" s="72">
        <f t="shared" si="216"/>
        <v>0</v>
      </c>
      <c r="HQ8" s="64"/>
      <c r="HR8" s="73"/>
      <c r="HS8" s="72">
        <f t="shared" si="217"/>
        <v>0</v>
      </c>
      <c r="HT8" s="64"/>
      <c r="HU8" s="73"/>
      <c r="HV8" s="72">
        <f t="shared" si="264"/>
        <v>0</v>
      </c>
      <c r="HW8" s="64"/>
      <c r="HX8" s="73"/>
      <c r="HY8" s="72">
        <f t="shared" si="265"/>
        <v>0</v>
      </c>
      <c r="HZ8" s="64"/>
      <c r="IA8" s="73"/>
      <c r="IB8" s="72">
        <f t="shared" si="218"/>
        <v>0</v>
      </c>
      <c r="IC8" s="64"/>
      <c r="ID8" s="73"/>
      <c r="IE8" s="72">
        <f t="shared" si="219"/>
        <v>0</v>
      </c>
      <c r="IF8" s="64"/>
      <c r="IG8" s="73"/>
      <c r="IH8" s="72">
        <f t="shared" si="220"/>
        <v>0</v>
      </c>
      <c r="II8" s="64"/>
      <c r="IJ8" s="73"/>
      <c r="IK8" s="72">
        <f t="shared" si="266"/>
        <v>0</v>
      </c>
      <c r="IL8" s="64"/>
      <c r="IM8" s="73"/>
      <c r="IN8" s="72">
        <f t="shared" si="267"/>
        <v>0</v>
      </c>
      <c r="IO8" s="64"/>
      <c r="IP8" s="73"/>
      <c r="IQ8" s="72">
        <f t="shared" si="221"/>
        <v>0</v>
      </c>
      <c r="IR8" s="64"/>
      <c r="IS8" s="73"/>
      <c r="IT8" s="72">
        <f t="shared" si="222"/>
        <v>0</v>
      </c>
      <c r="IU8" s="64"/>
      <c r="IV8" s="73"/>
      <c r="IW8" s="72">
        <f t="shared" si="223"/>
        <v>0</v>
      </c>
      <c r="IX8" s="64"/>
      <c r="IY8" s="73"/>
      <c r="IZ8" s="72">
        <f t="shared" si="268"/>
        <v>0</v>
      </c>
      <c r="JA8" s="64"/>
      <c r="JB8" s="73"/>
      <c r="JC8" s="72">
        <f t="shared" si="269"/>
        <v>0</v>
      </c>
      <c r="JD8" s="64"/>
      <c r="JE8" s="73"/>
      <c r="JF8" s="72">
        <f t="shared" si="224"/>
        <v>0</v>
      </c>
      <c r="JG8" s="64"/>
      <c r="JH8" s="73"/>
      <c r="JI8" s="72">
        <f t="shared" si="225"/>
        <v>0</v>
      </c>
      <c r="JJ8" s="64"/>
      <c r="JK8" s="73"/>
      <c r="JL8" s="72">
        <f t="shared" si="226"/>
        <v>0</v>
      </c>
      <c r="JM8" s="64"/>
      <c r="JN8" s="73"/>
      <c r="JO8" s="72">
        <f t="shared" si="270"/>
        <v>0</v>
      </c>
      <c r="JP8" s="64"/>
      <c r="JQ8" s="73"/>
      <c r="JR8" s="72">
        <f t="shared" si="271"/>
        <v>0</v>
      </c>
      <c r="JS8" s="64"/>
      <c r="JT8" s="73"/>
      <c r="JU8" s="72">
        <f t="shared" si="227"/>
        <v>0</v>
      </c>
      <c r="JV8" s="64"/>
      <c r="JW8" s="73"/>
      <c r="JX8" s="72">
        <f t="shared" si="228"/>
        <v>0</v>
      </c>
      <c r="JY8" s="64"/>
      <c r="JZ8" s="73"/>
      <c r="KA8" s="72">
        <f t="shared" si="229"/>
        <v>0</v>
      </c>
      <c r="KB8" s="64"/>
      <c r="KC8" s="73"/>
      <c r="KD8" s="72">
        <f t="shared" si="272"/>
        <v>0</v>
      </c>
      <c r="KE8" s="64"/>
      <c r="KF8" s="73"/>
      <c r="KG8" s="72">
        <f t="shared" si="273"/>
        <v>0</v>
      </c>
      <c r="KH8" s="64"/>
      <c r="KI8" s="73"/>
      <c r="KJ8" s="72">
        <f t="shared" si="230"/>
        <v>0</v>
      </c>
      <c r="KK8" s="64"/>
      <c r="KL8" s="73"/>
      <c r="KM8" s="72">
        <f t="shared" si="231"/>
        <v>0</v>
      </c>
      <c r="KN8" s="64"/>
      <c r="KO8" s="73"/>
      <c r="KP8" s="72">
        <f t="shared" si="232"/>
        <v>0</v>
      </c>
      <c r="KQ8" s="64"/>
      <c r="KR8" s="73"/>
      <c r="KS8" s="72">
        <f t="shared" si="274"/>
        <v>0</v>
      </c>
      <c r="KT8" s="64"/>
      <c r="KU8" s="73"/>
      <c r="KV8" s="72">
        <f t="shared" si="275"/>
        <v>0</v>
      </c>
      <c r="KW8" s="64"/>
      <c r="KX8" s="73"/>
      <c r="KY8" s="72">
        <f t="shared" si="233"/>
        <v>0</v>
      </c>
      <c r="KZ8" s="64"/>
      <c r="LA8" s="73"/>
      <c r="LB8" s="72">
        <f t="shared" si="234"/>
        <v>0</v>
      </c>
      <c r="LC8" s="64"/>
      <c r="LD8" s="73"/>
      <c r="LE8" s="72">
        <f t="shared" si="235"/>
        <v>0</v>
      </c>
      <c r="LF8" s="64"/>
    </row>
    <row r="9" spans="1:318" s="784" customFormat="1">
      <c r="A9" s="49"/>
      <c r="B9" s="49"/>
      <c r="C9" s="436" t="str">
        <f>Idiomas!D305&amp;"**"</f>
        <v>FASE DE GRUPOS - Diferencia/Distancia de goles (Con 1X2 acertado)**</v>
      </c>
      <c r="D9" s="62">
        <v>0</v>
      </c>
      <c r="E9" s="109"/>
      <c r="F9" s="443">
        <f t="shared" si="236"/>
        <v>15</v>
      </c>
      <c r="G9" s="443">
        <f ca="1">VLOOKUP(H9,Equipos!$Q$1:$R$25,2,0)</f>
        <v>3</v>
      </c>
      <c r="H9" s="444">
        <f ca="1">TRUNC(INDEX(WORLDCUP!$X$4:$X$147,MATCH(ADMIN!K9,WORLDCUP!$DT$4:$DT$147,0))+INDEX(Horarios!$R$3:$R$86,MATCH(Horarios!$C$3,Horarios!$P$3:$P$86,0))/24)</f>
        <v>46186</v>
      </c>
      <c r="I9" s="48">
        <v>1</v>
      </c>
      <c r="J9" s="94" t="s">
        <v>113</v>
      </c>
      <c r="K9" s="53" t="str">
        <f ca="1">CONCATENATE(WORLDCUP!AA13,"-",WORLDCUP!AF13)</f>
        <v>Catar-Suiza</v>
      </c>
      <c r="L9" s="53"/>
      <c r="M9" s="55" t="str">
        <f>IF(OR(WORLDCUP!AC13="",WORLDCUP!AD13=""),"-",N9&amp;"|"&amp;O9&amp;"-"&amp;P9)</f>
        <v>-</v>
      </c>
      <c r="N9" s="25" t="str">
        <f>IF(OR(WORLDCUP!AC13="",WORLDCUP!AD13=""),"",IF(WORLDCUP!AC13&gt;WORLDCUP!AD13,"1",IF(WORLDCUP!AC13&lt;WORLDCUP!AD13,"2","X")))</f>
        <v/>
      </c>
      <c r="O9" s="25">
        <f>WORLDCUP!AC13</f>
        <v>0</v>
      </c>
      <c r="P9" s="25">
        <f>WORLDCUP!AD13</f>
        <v>0</v>
      </c>
      <c r="Q9" s="25">
        <f t="shared" si="276"/>
        <v>0</v>
      </c>
      <c r="R9" s="49"/>
      <c r="S9" s="796" t="s">
        <v>1949</v>
      </c>
      <c r="T9" s="72">
        <f t="shared" si="237"/>
        <v>0</v>
      </c>
      <c r="U9" s="64"/>
      <c r="V9" s="74" t="s">
        <v>1963</v>
      </c>
      <c r="W9" s="72">
        <f t="shared" si="238"/>
        <v>0</v>
      </c>
      <c r="X9" s="64"/>
      <c r="Y9" s="796" t="s">
        <v>1949</v>
      </c>
      <c r="Z9" s="72">
        <f t="shared" si="176"/>
        <v>0</v>
      </c>
      <c r="AA9" s="64"/>
      <c r="AB9" s="796" t="s">
        <v>1963</v>
      </c>
      <c r="AC9" s="72">
        <f t="shared" si="177"/>
        <v>0</v>
      </c>
      <c r="AD9" s="64"/>
      <c r="AE9" s="796" t="s">
        <v>1962</v>
      </c>
      <c r="AF9" s="72">
        <f t="shared" si="239"/>
        <v>0</v>
      </c>
      <c r="AG9" s="64"/>
      <c r="AH9" s="796" t="s">
        <v>1962</v>
      </c>
      <c r="AI9" s="72">
        <f t="shared" si="240"/>
        <v>0</v>
      </c>
      <c r="AJ9" s="64"/>
      <c r="AK9" s="806" t="s">
        <v>1959</v>
      </c>
      <c r="AL9" s="72">
        <f t="shared" si="241"/>
        <v>0</v>
      </c>
      <c r="AM9" s="64"/>
      <c r="AN9" s="796" t="s">
        <v>1963</v>
      </c>
      <c r="AO9" s="72">
        <f t="shared" si="179"/>
        <v>0</v>
      </c>
      <c r="AP9" s="64"/>
      <c r="AQ9" s="806" t="s">
        <v>1951</v>
      </c>
      <c r="AR9" s="72">
        <f t="shared" si="180"/>
        <v>0</v>
      </c>
      <c r="AS9" s="64"/>
      <c r="AT9" s="796" t="s">
        <v>1963</v>
      </c>
      <c r="AU9" s="72">
        <f t="shared" si="181"/>
        <v>0</v>
      </c>
      <c r="AV9" s="64"/>
      <c r="AW9" s="796" t="s">
        <v>1962</v>
      </c>
      <c r="AX9" s="72">
        <f t="shared" si="242"/>
        <v>0</v>
      </c>
      <c r="AY9" s="64"/>
      <c r="AZ9" s="796" t="s">
        <v>1948</v>
      </c>
      <c r="BA9" s="72">
        <f t="shared" si="243"/>
        <v>0</v>
      </c>
      <c r="BB9" s="64"/>
      <c r="BC9" s="796" t="s">
        <v>1949</v>
      </c>
      <c r="BD9" s="72">
        <f t="shared" si="182"/>
        <v>0</v>
      </c>
      <c r="BE9" s="64"/>
      <c r="BF9" s="796" t="s">
        <v>1951</v>
      </c>
      <c r="BG9" s="72">
        <f t="shared" si="183"/>
        <v>0</v>
      </c>
      <c r="BH9" s="64"/>
      <c r="BI9" s="796" t="s">
        <v>1962</v>
      </c>
      <c r="BJ9" s="72">
        <f t="shared" si="184"/>
        <v>0</v>
      </c>
      <c r="BK9" s="64"/>
      <c r="BL9" s="796" t="s">
        <v>1959</v>
      </c>
      <c r="BM9" s="72">
        <f t="shared" si="244"/>
        <v>0</v>
      </c>
      <c r="BN9" s="64"/>
      <c r="BO9" s="816" t="s">
        <v>1962</v>
      </c>
      <c r="BP9" s="72">
        <f t="shared" si="245"/>
        <v>0</v>
      </c>
      <c r="BQ9" s="64"/>
      <c r="BR9" s="796" t="s">
        <v>1962</v>
      </c>
      <c r="BS9" s="72">
        <f t="shared" si="185"/>
        <v>0</v>
      </c>
      <c r="BT9" s="64"/>
      <c r="BU9" s="796" t="s">
        <v>1947</v>
      </c>
      <c r="BV9" s="72">
        <f t="shared" si="186"/>
        <v>0</v>
      </c>
      <c r="BW9" s="64"/>
      <c r="BX9" s="74" t="s">
        <v>1947</v>
      </c>
      <c r="BY9" s="72">
        <f t="shared" si="187"/>
        <v>0</v>
      </c>
      <c r="BZ9" s="64"/>
      <c r="CA9" s="816" t="s">
        <v>1949</v>
      </c>
      <c r="CB9" s="72">
        <f t="shared" si="246"/>
        <v>0</v>
      </c>
      <c r="CC9" s="64"/>
      <c r="CD9" s="825" t="s">
        <v>1962</v>
      </c>
      <c r="CE9" s="72">
        <f t="shared" si="247"/>
        <v>0</v>
      </c>
      <c r="CF9" s="64"/>
      <c r="CG9" s="796" t="s">
        <v>1962</v>
      </c>
      <c r="CH9" s="72">
        <f t="shared" si="188"/>
        <v>0</v>
      </c>
      <c r="CI9" s="64"/>
      <c r="CJ9" s="796" t="s">
        <v>1951</v>
      </c>
      <c r="CK9" s="72">
        <f t="shared" si="189"/>
        <v>0</v>
      </c>
      <c r="CL9" s="64"/>
      <c r="CM9" s="796" t="s">
        <v>1963</v>
      </c>
      <c r="CN9" s="72">
        <f t="shared" si="190"/>
        <v>0</v>
      </c>
      <c r="CO9" s="64"/>
      <c r="CP9" s="796" t="s">
        <v>1953</v>
      </c>
      <c r="CQ9" s="72">
        <f t="shared" si="248"/>
        <v>0</v>
      </c>
      <c r="CR9" s="64"/>
      <c r="CS9" s="796" t="s">
        <v>1951</v>
      </c>
      <c r="CT9" s="72">
        <f t="shared" si="249"/>
        <v>0</v>
      </c>
      <c r="CU9" s="64"/>
      <c r="CV9" s="796" t="s">
        <v>1951</v>
      </c>
      <c r="CW9" s="72">
        <f t="shared" si="191"/>
        <v>0</v>
      </c>
      <c r="CX9" s="64"/>
      <c r="CY9" s="796" t="s">
        <v>1962</v>
      </c>
      <c r="CZ9" s="72">
        <f t="shared" si="250"/>
        <v>0</v>
      </c>
      <c r="DA9" s="64"/>
      <c r="DB9" s="796" t="s">
        <v>1951</v>
      </c>
      <c r="DC9" s="72">
        <f t="shared" si="192"/>
        <v>0</v>
      </c>
      <c r="DD9" s="64"/>
      <c r="DE9" s="796" t="s">
        <v>1963</v>
      </c>
      <c r="DF9" s="72">
        <f t="shared" si="193"/>
        <v>0</v>
      </c>
      <c r="DG9" s="64"/>
      <c r="DH9" s="796" t="s">
        <v>1963</v>
      </c>
      <c r="DI9" s="72">
        <f t="shared" si="194"/>
        <v>0</v>
      </c>
      <c r="DJ9" s="64"/>
      <c r="DK9" s="796" t="s">
        <v>1962</v>
      </c>
      <c r="DL9" s="72">
        <f t="shared" si="195"/>
        <v>0</v>
      </c>
      <c r="DM9" s="64"/>
      <c r="DN9" s="796" t="s">
        <v>1963</v>
      </c>
      <c r="DO9" s="72">
        <f t="shared" si="196"/>
        <v>0</v>
      </c>
      <c r="DP9" s="64"/>
      <c r="DQ9" s="796" t="s">
        <v>1949</v>
      </c>
      <c r="DR9" s="72">
        <f t="shared" si="251"/>
        <v>0</v>
      </c>
      <c r="DS9" s="64"/>
      <c r="DT9" s="74" t="s">
        <v>1962</v>
      </c>
      <c r="DU9" s="72">
        <f t="shared" si="277"/>
        <v>0</v>
      </c>
      <c r="DV9" s="64"/>
      <c r="DW9" s="74"/>
      <c r="DX9" s="72">
        <f t="shared" si="278"/>
        <v>0</v>
      </c>
      <c r="DY9" s="64"/>
      <c r="DZ9" s="74"/>
      <c r="EA9" s="72">
        <f t="shared" si="197"/>
        <v>0</v>
      </c>
      <c r="EB9" s="64"/>
      <c r="EC9" s="74"/>
      <c r="ED9" s="72">
        <f t="shared" si="198"/>
        <v>0</v>
      </c>
      <c r="EE9" s="64"/>
      <c r="EF9" s="74"/>
      <c r="EG9" s="72">
        <f t="shared" si="199"/>
        <v>0</v>
      </c>
      <c r="EH9" s="64"/>
      <c r="EI9" s="74"/>
      <c r="EJ9" s="72">
        <f t="shared" si="252"/>
        <v>0</v>
      </c>
      <c r="EK9" s="64"/>
      <c r="EL9" s="74"/>
      <c r="EM9" s="72">
        <f t="shared" si="253"/>
        <v>0</v>
      </c>
      <c r="EN9" s="64"/>
      <c r="EO9" s="74"/>
      <c r="EP9" s="72">
        <f t="shared" si="200"/>
        <v>0</v>
      </c>
      <c r="EQ9" s="64"/>
      <c r="ER9" s="74"/>
      <c r="ES9" s="72">
        <f t="shared" si="201"/>
        <v>0</v>
      </c>
      <c r="ET9" s="64"/>
      <c r="EU9" s="74"/>
      <c r="EV9" s="72">
        <f t="shared" si="202"/>
        <v>0</v>
      </c>
      <c r="EW9" s="64"/>
      <c r="EX9" s="74"/>
      <c r="EY9" s="72">
        <f t="shared" si="254"/>
        <v>0</v>
      </c>
      <c r="EZ9" s="64"/>
      <c r="FA9" s="74"/>
      <c r="FB9" s="72">
        <f t="shared" si="255"/>
        <v>0</v>
      </c>
      <c r="FC9" s="64"/>
      <c r="FD9" s="74"/>
      <c r="FE9" s="72">
        <f t="shared" si="203"/>
        <v>0</v>
      </c>
      <c r="FF9" s="64"/>
      <c r="FG9" s="74"/>
      <c r="FH9" s="72">
        <f t="shared" si="204"/>
        <v>0</v>
      </c>
      <c r="FI9" s="64"/>
      <c r="FJ9" s="74"/>
      <c r="FK9" s="72">
        <f t="shared" si="205"/>
        <v>0</v>
      </c>
      <c r="FL9" s="64"/>
      <c r="FM9" s="74"/>
      <c r="FN9" s="72">
        <f t="shared" si="256"/>
        <v>0</v>
      </c>
      <c r="FO9" s="64"/>
      <c r="FP9" s="74"/>
      <c r="FQ9" s="72">
        <f t="shared" si="257"/>
        <v>0</v>
      </c>
      <c r="FR9" s="64"/>
      <c r="FS9" s="74"/>
      <c r="FT9" s="72">
        <f t="shared" si="206"/>
        <v>0</v>
      </c>
      <c r="FU9" s="64"/>
      <c r="FV9" s="74"/>
      <c r="FW9" s="72">
        <f t="shared" si="207"/>
        <v>0</v>
      </c>
      <c r="FX9" s="64"/>
      <c r="FY9" s="74"/>
      <c r="FZ9" s="72">
        <f t="shared" si="208"/>
        <v>0</v>
      </c>
      <c r="GA9" s="64"/>
      <c r="GB9" s="74"/>
      <c r="GC9" s="72">
        <f t="shared" si="258"/>
        <v>0</v>
      </c>
      <c r="GD9" s="64"/>
      <c r="GE9" s="74"/>
      <c r="GF9" s="72">
        <f t="shared" si="259"/>
        <v>0</v>
      </c>
      <c r="GG9" s="64"/>
      <c r="GH9" s="74"/>
      <c r="GI9" s="72">
        <f t="shared" si="209"/>
        <v>0</v>
      </c>
      <c r="GJ9" s="64"/>
      <c r="GK9" s="74"/>
      <c r="GL9" s="72">
        <f t="shared" si="210"/>
        <v>0</v>
      </c>
      <c r="GM9" s="64"/>
      <c r="GN9" s="74"/>
      <c r="GO9" s="72">
        <f t="shared" si="211"/>
        <v>0</v>
      </c>
      <c r="GP9" s="64"/>
      <c r="GQ9" s="74"/>
      <c r="GR9" s="72">
        <f t="shared" si="260"/>
        <v>0</v>
      </c>
      <c r="GS9" s="64"/>
      <c r="GT9" s="74"/>
      <c r="GU9" s="72">
        <f t="shared" si="261"/>
        <v>0</v>
      </c>
      <c r="GV9" s="64"/>
      <c r="GW9" s="74"/>
      <c r="GX9" s="72">
        <f t="shared" si="212"/>
        <v>0</v>
      </c>
      <c r="GY9" s="64"/>
      <c r="GZ9" s="74"/>
      <c r="HA9" s="72">
        <f t="shared" si="213"/>
        <v>0</v>
      </c>
      <c r="HB9" s="64"/>
      <c r="HC9" s="74"/>
      <c r="HD9" s="72">
        <f t="shared" si="214"/>
        <v>0</v>
      </c>
      <c r="HE9" s="64"/>
      <c r="HF9" s="74"/>
      <c r="HG9" s="72">
        <f t="shared" si="262"/>
        <v>0</v>
      </c>
      <c r="HH9" s="64"/>
      <c r="HI9" s="74"/>
      <c r="HJ9" s="72">
        <f t="shared" si="263"/>
        <v>0</v>
      </c>
      <c r="HK9" s="64"/>
      <c r="HL9" s="74"/>
      <c r="HM9" s="72">
        <f t="shared" si="215"/>
        <v>0</v>
      </c>
      <c r="HN9" s="64"/>
      <c r="HO9" s="74"/>
      <c r="HP9" s="72">
        <f t="shared" si="216"/>
        <v>0</v>
      </c>
      <c r="HQ9" s="64"/>
      <c r="HR9" s="74"/>
      <c r="HS9" s="72">
        <f t="shared" si="217"/>
        <v>0</v>
      </c>
      <c r="HT9" s="64"/>
      <c r="HU9" s="74"/>
      <c r="HV9" s="72">
        <f t="shared" si="264"/>
        <v>0</v>
      </c>
      <c r="HW9" s="64"/>
      <c r="HX9" s="74"/>
      <c r="HY9" s="72">
        <f t="shared" si="265"/>
        <v>0</v>
      </c>
      <c r="HZ9" s="64"/>
      <c r="IA9" s="74"/>
      <c r="IB9" s="72">
        <f t="shared" si="218"/>
        <v>0</v>
      </c>
      <c r="IC9" s="64"/>
      <c r="ID9" s="74"/>
      <c r="IE9" s="72">
        <f t="shared" si="219"/>
        <v>0</v>
      </c>
      <c r="IF9" s="64"/>
      <c r="IG9" s="74"/>
      <c r="IH9" s="72">
        <f t="shared" si="220"/>
        <v>0</v>
      </c>
      <c r="II9" s="64"/>
      <c r="IJ9" s="74"/>
      <c r="IK9" s="72">
        <f t="shared" si="266"/>
        <v>0</v>
      </c>
      <c r="IL9" s="64"/>
      <c r="IM9" s="74"/>
      <c r="IN9" s="72">
        <f t="shared" si="267"/>
        <v>0</v>
      </c>
      <c r="IO9" s="64"/>
      <c r="IP9" s="74"/>
      <c r="IQ9" s="72">
        <f t="shared" si="221"/>
        <v>0</v>
      </c>
      <c r="IR9" s="64"/>
      <c r="IS9" s="74"/>
      <c r="IT9" s="72">
        <f t="shared" si="222"/>
        <v>0</v>
      </c>
      <c r="IU9" s="64"/>
      <c r="IV9" s="74"/>
      <c r="IW9" s="72">
        <f t="shared" si="223"/>
        <v>0</v>
      </c>
      <c r="IX9" s="64"/>
      <c r="IY9" s="74"/>
      <c r="IZ9" s="72">
        <f t="shared" si="268"/>
        <v>0</v>
      </c>
      <c r="JA9" s="64"/>
      <c r="JB9" s="74"/>
      <c r="JC9" s="72">
        <f t="shared" si="269"/>
        <v>0</v>
      </c>
      <c r="JD9" s="64"/>
      <c r="JE9" s="74"/>
      <c r="JF9" s="72">
        <f t="shared" si="224"/>
        <v>0</v>
      </c>
      <c r="JG9" s="64"/>
      <c r="JH9" s="74"/>
      <c r="JI9" s="72">
        <f t="shared" si="225"/>
        <v>0</v>
      </c>
      <c r="JJ9" s="64"/>
      <c r="JK9" s="74"/>
      <c r="JL9" s="72">
        <f t="shared" si="226"/>
        <v>0</v>
      </c>
      <c r="JM9" s="64"/>
      <c r="JN9" s="74"/>
      <c r="JO9" s="72">
        <f t="shared" si="270"/>
        <v>0</v>
      </c>
      <c r="JP9" s="64"/>
      <c r="JQ9" s="74"/>
      <c r="JR9" s="72">
        <f t="shared" si="271"/>
        <v>0</v>
      </c>
      <c r="JS9" s="64"/>
      <c r="JT9" s="74"/>
      <c r="JU9" s="72">
        <f t="shared" si="227"/>
        <v>0</v>
      </c>
      <c r="JV9" s="64"/>
      <c r="JW9" s="74"/>
      <c r="JX9" s="72">
        <f t="shared" si="228"/>
        <v>0</v>
      </c>
      <c r="JY9" s="64"/>
      <c r="JZ9" s="74"/>
      <c r="KA9" s="72">
        <f t="shared" si="229"/>
        <v>0</v>
      </c>
      <c r="KB9" s="64"/>
      <c r="KC9" s="74"/>
      <c r="KD9" s="72">
        <f t="shared" si="272"/>
        <v>0</v>
      </c>
      <c r="KE9" s="64"/>
      <c r="KF9" s="74"/>
      <c r="KG9" s="72">
        <f t="shared" si="273"/>
        <v>0</v>
      </c>
      <c r="KH9" s="64"/>
      <c r="KI9" s="74"/>
      <c r="KJ9" s="72">
        <f t="shared" si="230"/>
        <v>0</v>
      </c>
      <c r="KK9" s="64"/>
      <c r="KL9" s="74"/>
      <c r="KM9" s="72">
        <f t="shared" si="231"/>
        <v>0</v>
      </c>
      <c r="KN9" s="64"/>
      <c r="KO9" s="74"/>
      <c r="KP9" s="72">
        <f t="shared" si="232"/>
        <v>0</v>
      </c>
      <c r="KQ9" s="64"/>
      <c r="KR9" s="74"/>
      <c r="KS9" s="72">
        <f t="shared" si="274"/>
        <v>0</v>
      </c>
      <c r="KT9" s="64"/>
      <c r="KU9" s="74"/>
      <c r="KV9" s="72">
        <f t="shared" si="275"/>
        <v>0</v>
      </c>
      <c r="KW9" s="64"/>
      <c r="KX9" s="74"/>
      <c r="KY9" s="72">
        <f t="shared" si="233"/>
        <v>0</v>
      </c>
      <c r="KZ9" s="64"/>
      <c r="LA9" s="74"/>
      <c r="LB9" s="72">
        <f t="shared" si="234"/>
        <v>0</v>
      </c>
      <c r="LC9" s="64"/>
      <c r="LD9" s="74"/>
      <c r="LE9" s="72">
        <f t="shared" si="235"/>
        <v>0</v>
      </c>
      <c r="LF9" s="64"/>
    </row>
    <row r="10" spans="1:318" s="784" customFormat="1">
      <c r="A10" s="49"/>
      <c r="B10" s="49"/>
      <c r="C10" s="435" t="str">
        <f>Idiomas!D306</f>
        <v>FASE DE GRUPOS - Resultado exacto</v>
      </c>
      <c r="D10" s="62">
        <v>8</v>
      </c>
      <c r="E10" s="109"/>
      <c r="F10" s="443">
        <f t="shared" si="236"/>
        <v>15</v>
      </c>
      <c r="G10" s="443">
        <f ca="1">VLOOKUP(H10,Equipos!$Q$1:$R$25,2,0)</f>
        <v>3</v>
      </c>
      <c r="H10" s="444">
        <f ca="1">TRUNC(INDEX(WORLDCUP!$X$4:$X$147,MATCH(ADMIN!K10,WORLDCUP!$DT$4:$DT$147,0))+INDEX(Horarios!$R$3:$R$86,MATCH(Horarios!$C$3,Horarios!$P$3:$P$86,0))/24)</f>
        <v>46186</v>
      </c>
      <c r="I10" s="48">
        <v>1</v>
      </c>
      <c r="J10" s="93" t="s">
        <v>114</v>
      </c>
      <c r="K10" s="56" t="str">
        <f ca="1">CONCATENATE(WORLDCUP!AA20,"-",WORLDCUP!AF20)</f>
        <v>Brasil-Marruecos</v>
      </c>
      <c r="L10" s="53"/>
      <c r="M10" s="55" t="str">
        <f>IF(OR(WORLDCUP!AC20="",WORLDCUP!AD20=""),"-",N10&amp;"|"&amp;O10&amp;"-"&amp;P10)</f>
        <v>-</v>
      </c>
      <c r="N10" s="25" t="str">
        <f>IF(OR(WORLDCUP!AC20="",WORLDCUP!AD20=""),"",IF(WORLDCUP!AC20&gt;WORLDCUP!AD20,"1",IF(WORLDCUP!AC20&lt;WORLDCUP!AD20,"2","X")))</f>
        <v/>
      </c>
      <c r="O10" s="25">
        <f>WORLDCUP!AC20</f>
        <v>0</v>
      </c>
      <c r="P10" s="25">
        <f>WORLDCUP!AD20</f>
        <v>0</v>
      </c>
      <c r="Q10" s="25">
        <f t="shared" si="276"/>
        <v>0</v>
      </c>
      <c r="R10" s="49"/>
      <c r="S10" s="796" t="s">
        <v>1950</v>
      </c>
      <c r="T10" s="72">
        <f t="shared" si="237"/>
        <v>0</v>
      </c>
      <c r="U10" s="64"/>
      <c r="V10" s="73" t="s">
        <v>1961</v>
      </c>
      <c r="W10" s="72">
        <f t="shared" si="238"/>
        <v>0</v>
      </c>
      <c r="X10" s="64"/>
      <c r="Y10" s="796" t="s">
        <v>1962</v>
      </c>
      <c r="Z10" s="72">
        <f t="shared" si="176"/>
        <v>0</v>
      </c>
      <c r="AA10" s="64"/>
      <c r="AB10" s="796" t="s">
        <v>2007</v>
      </c>
      <c r="AC10" s="72">
        <f t="shared" si="177"/>
        <v>0</v>
      </c>
      <c r="AD10" s="64"/>
      <c r="AE10" s="796" t="s">
        <v>1955</v>
      </c>
      <c r="AF10" s="72">
        <f t="shared" si="239"/>
        <v>0</v>
      </c>
      <c r="AG10" s="64"/>
      <c r="AH10" s="796" t="s">
        <v>1949</v>
      </c>
      <c r="AI10" s="72">
        <f t="shared" si="240"/>
        <v>0</v>
      </c>
      <c r="AJ10" s="64"/>
      <c r="AK10" s="806" t="s">
        <v>2007</v>
      </c>
      <c r="AL10" s="72">
        <f t="shared" si="241"/>
        <v>0</v>
      </c>
      <c r="AM10" s="64"/>
      <c r="AN10" s="796" t="s">
        <v>2007</v>
      </c>
      <c r="AO10" s="72">
        <f t="shared" si="179"/>
        <v>0</v>
      </c>
      <c r="AP10" s="64"/>
      <c r="AQ10" s="806" t="s">
        <v>1955</v>
      </c>
      <c r="AR10" s="72">
        <f t="shared" si="180"/>
        <v>0</v>
      </c>
      <c r="AS10" s="64"/>
      <c r="AT10" s="796" t="s">
        <v>1954</v>
      </c>
      <c r="AU10" s="72">
        <f t="shared" si="181"/>
        <v>0</v>
      </c>
      <c r="AV10" s="64"/>
      <c r="AW10" s="796" t="s">
        <v>1955</v>
      </c>
      <c r="AX10" s="72">
        <f t="shared" si="242"/>
        <v>0</v>
      </c>
      <c r="AY10" s="64"/>
      <c r="AZ10" s="796" t="s">
        <v>1950</v>
      </c>
      <c r="BA10" s="72">
        <f t="shared" si="243"/>
        <v>0</v>
      </c>
      <c r="BB10" s="64"/>
      <c r="BC10" s="796" t="s">
        <v>2194</v>
      </c>
      <c r="BD10" s="72">
        <f t="shared" si="182"/>
        <v>0</v>
      </c>
      <c r="BE10" s="64"/>
      <c r="BF10" s="796" t="s">
        <v>1954</v>
      </c>
      <c r="BG10" s="72">
        <f t="shared" si="183"/>
        <v>0</v>
      </c>
      <c r="BH10" s="64"/>
      <c r="BI10" s="796" t="s">
        <v>1961</v>
      </c>
      <c r="BJ10" s="72">
        <f t="shared" si="184"/>
        <v>0</v>
      </c>
      <c r="BK10" s="64"/>
      <c r="BL10" s="796" t="s">
        <v>1961</v>
      </c>
      <c r="BM10" s="72">
        <f t="shared" si="244"/>
        <v>0</v>
      </c>
      <c r="BN10" s="64"/>
      <c r="BO10" s="816" t="s">
        <v>1954</v>
      </c>
      <c r="BP10" s="72">
        <f t="shared" si="245"/>
        <v>0</v>
      </c>
      <c r="BQ10" s="64"/>
      <c r="BR10" s="796" t="s">
        <v>1955</v>
      </c>
      <c r="BS10" s="72">
        <f t="shared" si="185"/>
        <v>0</v>
      </c>
      <c r="BT10" s="64"/>
      <c r="BU10" s="796" t="s">
        <v>1955</v>
      </c>
      <c r="BV10" s="72">
        <f t="shared" si="186"/>
        <v>0</v>
      </c>
      <c r="BW10" s="64"/>
      <c r="BX10" s="73" t="s">
        <v>1955</v>
      </c>
      <c r="BY10" s="72">
        <f t="shared" si="187"/>
        <v>0</v>
      </c>
      <c r="BZ10" s="64"/>
      <c r="CA10" s="816" t="s">
        <v>2007</v>
      </c>
      <c r="CB10" s="72">
        <f t="shared" si="246"/>
        <v>0</v>
      </c>
      <c r="CC10" s="64"/>
      <c r="CD10" s="825" t="s">
        <v>1960</v>
      </c>
      <c r="CE10" s="72">
        <f t="shared" si="247"/>
        <v>0</v>
      </c>
      <c r="CF10" s="64"/>
      <c r="CG10" s="796" t="s">
        <v>2007</v>
      </c>
      <c r="CH10" s="72">
        <f t="shared" si="188"/>
        <v>0</v>
      </c>
      <c r="CI10" s="64"/>
      <c r="CJ10" s="796" t="s">
        <v>1954</v>
      </c>
      <c r="CK10" s="72">
        <f t="shared" si="189"/>
        <v>0</v>
      </c>
      <c r="CL10" s="64"/>
      <c r="CM10" s="796" t="s">
        <v>1949</v>
      </c>
      <c r="CN10" s="72">
        <f t="shared" si="190"/>
        <v>0</v>
      </c>
      <c r="CO10" s="64"/>
      <c r="CP10" s="796" t="s">
        <v>1954</v>
      </c>
      <c r="CQ10" s="72">
        <f t="shared" si="248"/>
        <v>0</v>
      </c>
      <c r="CR10" s="64"/>
      <c r="CS10" s="796" t="s">
        <v>1956</v>
      </c>
      <c r="CT10" s="72">
        <f t="shared" si="249"/>
        <v>0</v>
      </c>
      <c r="CU10" s="64"/>
      <c r="CV10" s="796" t="s">
        <v>1949</v>
      </c>
      <c r="CW10" s="72">
        <f t="shared" si="191"/>
        <v>0</v>
      </c>
      <c r="CX10" s="64"/>
      <c r="CY10" s="796" t="s">
        <v>1955</v>
      </c>
      <c r="CZ10" s="72">
        <f t="shared" si="250"/>
        <v>0</v>
      </c>
      <c r="DA10" s="64"/>
      <c r="DB10" s="796" t="s">
        <v>1961</v>
      </c>
      <c r="DC10" s="72">
        <f t="shared" si="192"/>
        <v>0</v>
      </c>
      <c r="DD10" s="64"/>
      <c r="DE10" s="796" t="s">
        <v>1954</v>
      </c>
      <c r="DF10" s="72">
        <f t="shared" si="193"/>
        <v>0</v>
      </c>
      <c r="DG10" s="64"/>
      <c r="DH10" s="796" t="s">
        <v>1949</v>
      </c>
      <c r="DI10" s="72">
        <f t="shared" si="194"/>
        <v>0</v>
      </c>
      <c r="DJ10" s="64"/>
      <c r="DK10" s="796" t="s">
        <v>1961</v>
      </c>
      <c r="DL10" s="72">
        <f t="shared" si="195"/>
        <v>0</v>
      </c>
      <c r="DM10" s="64"/>
      <c r="DN10" s="796" t="s">
        <v>1949</v>
      </c>
      <c r="DO10" s="72">
        <f t="shared" si="196"/>
        <v>0</v>
      </c>
      <c r="DP10" s="64"/>
      <c r="DQ10" s="796" t="s">
        <v>2007</v>
      </c>
      <c r="DR10" s="72">
        <f t="shared" si="251"/>
        <v>0</v>
      </c>
      <c r="DS10" s="64"/>
      <c r="DT10" s="73" t="s">
        <v>1955</v>
      </c>
      <c r="DU10" s="72">
        <f t="shared" si="277"/>
        <v>0</v>
      </c>
      <c r="DV10" s="64"/>
      <c r="DW10" s="73"/>
      <c r="DX10" s="72">
        <f t="shared" si="278"/>
        <v>0</v>
      </c>
      <c r="DY10" s="64"/>
      <c r="DZ10" s="73"/>
      <c r="EA10" s="72">
        <f t="shared" si="197"/>
        <v>0</v>
      </c>
      <c r="EB10" s="64"/>
      <c r="EC10" s="73"/>
      <c r="ED10" s="72">
        <f t="shared" si="198"/>
        <v>0</v>
      </c>
      <c r="EE10" s="64"/>
      <c r="EF10" s="73"/>
      <c r="EG10" s="72">
        <f t="shared" si="199"/>
        <v>0</v>
      </c>
      <c r="EH10" s="64"/>
      <c r="EI10" s="73"/>
      <c r="EJ10" s="72">
        <f t="shared" si="252"/>
        <v>0</v>
      </c>
      <c r="EK10" s="64"/>
      <c r="EL10" s="73"/>
      <c r="EM10" s="72">
        <f t="shared" si="253"/>
        <v>0</v>
      </c>
      <c r="EN10" s="64"/>
      <c r="EO10" s="73"/>
      <c r="EP10" s="72">
        <f t="shared" si="200"/>
        <v>0</v>
      </c>
      <c r="EQ10" s="64"/>
      <c r="ER10" s="73"/>
      <c r="ES10" s="72">
        <f t="shared" si="201"/>
        <v>0</v>
      </c>
      <c r="ET10" s="64"/>
      <c r="EU10" s="73"/>
      <c r="EV10" s="72">
        <f t="shared" si="202"/>
        <v>0</v>
      </c>
      <c r="EW10" s="64"/>
      <c r="EX10" s="73"/>
      <c r="EY10" s="72">
        <f t="shared" si="254"/>
        <v>0</v>
      </c>
      <c r="EZ10" s="64"/>
      <c r="FA10" s="73"/>
      <c r="FB10" s="72">
        <f t="shared" si="255"/>
        <v>0</v>
      </c>
      <c r="FC10" s="64"/>
      <c r="FD10" s="73"/>
      <c r="FE10" s="72">
        <f t="shared" si="203"/>
        <v>0</v>
      </c>
      <c r="FF10" s="64"/>
      <c r="FG10" s="73"/>
      <c r="FH10" s="72">
        <f t="shared" si="204"/>
        <v>0</v>
      </c>
      <c r="FI10" s="64"/>
      <c r="FJ10" s="73"/>
      <c r="FK10" s="72">
        <f t="shared" si="205"/>
        <v>0</v>
      </c>
      <c r="FL10" s="64"/>
      <c r="FM10" s="73"/>
      <c r="FN10" s="72">
        <f t="shared" si="256"/>
        <v>0</v>
      </c>
      <c r="FO10" s="64"/>
      <c r="FP10" s="73"/>
      <c r="FQ10" s="72">
        <f t="shared" si="257"/>
        <v>0</v>
      </c>
      <c r="FR10" s="64"/>
      <c r="FS10" s="73"/>
      <c r="FT10" s="72">
        <f t="shared" si="206"/>
        <v>0</v>
      </c>
      <c r="FU10" s="64"/>
      <c r="FV10" s="73"/>
      <c r="FW10" s="72">
        <f t="shared" si="207"/>
        <v>0</v>
      </c>
      <c r="FX10" s="64"/>
      <c r="FY10" s="73"/>
      <c r="FZ10" s="72">
        <f t="shared" si="208"/>
        <v>0</v>
      </c>
      <c r="GA10" s="64"/>
      <c r="GB10" s="73"/>
      <c r="GC10" s="72">
        <f t="shared" si="258"/>
        <v>0</v>
      </c>
      <c r="GD10" s="64"/>
      <c r="GE10" s="73"/>
      <c r="GF10" s="72">
        <f t="shared" si="259"/>
        <v>0</v>
      </c>
      <c r="GG10" s="64"/>
      <c r="GH10" s="73"/>
      <c r="GI10" s="72">
        <f t="shared" si="209"/>
        <v>0</v>
      </c>
      <c r="GJ10" s="64"/>
      <c r="GK10" s="73"/>
      <c r="GL10" s="72">
        <f t="shared" si="210"/>
        <v>0</v>
      </c>
      <c r="GM10" s="64"/>
      <c r="GN10" s="73"/>
      <c r="GO10" s="72">
        <f t="shared" si="211"/>
        <v>0</v>
      </c>
      <c r="GP10" s="64"/>
      <c r="GQ10" s="73"/>
      <c r="GR10" s="72">
        <f t="shared" si="260"/>
        <v>0</v>
      </c>
      <c r="GS10" s="64"/>
      <c r="GT10" s="73"/>
      <c r="GU10" s="72">
        <f t="shared" si="261"/>
        <v>0</v>
      </c>
      <c r="GV10" s="64"/>
      <c r="GW10" s="73"/>
      <c r="GX10" s="72">
        <f t="shared" si="212"/>
        <v>0</v>
      </c>
      <c r="GY10" s="64"/>
      <c r="GZ10" s="73"/>
      <c r="HA10" s="72">
        <f t="shared" si="213"/>
        <v>0</v>
      </c>
      <c r="HB10" s="64"/>
      <c r="HC10" s="73"/>
      <c r="HD10" s="72">
        <f t="shared" si="214"/>
        <v>0</v>
      </c>
      <c r="HE10" s="64"/>
      <c r="HF10" s="73"/>
      <c r="HG10" s="72">
        <f t="shared" si="262"/>
        <v>0</v>
      </c>
      <c r="HH10" s="64"/>
      <c r="HI10" s="73"/>
      <c r="HJ10" s="72">
        <f t="shared" si="263"/>
        <v>0</v>
      </c>
      <c r="HK10" s="64"/>
      <c r="HL10" s="73"/>
      <c r="HM10" s="72">
        <f t="shared" si="215"/>
        <v>0</v>
      </c>
      <c r="HN10" s="64"/>
      <c r="HO10" s="73"/>
      <c r="HP10" s="72">
        <f t="shared" si="216"/>
        <v>0</v>
      </c>
      <c r="HQ10" s="64"/>
      <c r="HR10" s="73"/>
      <c r="HS10" s="72">
        <f t="shared" si="217"/>
        <v>0</v>
      </c>
      <c r="HT10" s="64"/>
      <c r="HU10" s="73"/>
      <c r="HV10" s="72">
        <f t="shared" si="264"/>
        <v>0</v>
      </c>
      <c r="HW10" s="64"/>
      <c r="HX10" s="73"/>
      <c r="HY10" s="72">
        <f t="shared" si="265"/>
        <v>0</v>
      </c>
      <c r="HZ10" s="64"/>
      <c r="IA10" s="73"/>
      <c r="IB10" s="72">
        <f t="shared" si="218"/>
        <v>0</v>
      </c>
      <c r="IC10" s="64"/>
      <c r="ID10" s="73"/>
      <c r="IE10" s="72">
        <f t="shared" si="219"/>
        <v>0</v>
      </c>
      <c r="IF10" s="64"/>
      <c r="IG10" s="73"/>
      <c r="IH10" s="72">
        <f t="shared" si="220"/>
        <v>0</v>
      </c>
      <c r="II10" s="64"/>
      <c r="IJ10" s="73"/>
      <c r="IK10" s="72">
        <f t="shared" si="266"/>
        <v>0</v>
      </c>
      <c r="IL10" s="64"/>
      <c r="IM10" s="73"/>
      <c r="IN10" s="72">
        <f t="shared" si="267"/>
        <v>0</v>
      </c>
      <c r="IO10" s="64"/>
      <c r="IP10" s="73"/>
      <c r="IQ10" s="72">
        <f t="shared" si="221"/>
        <v>0</v>
      </c>
      <c r="IR10" s="64"/>
      <c r="IS10" s="73"/>
      <c r="IT10" s="72">
        <f t="shared" si="222"/>
        <v>0</v>
      </c>
      <c r="IU10" s="64"/>
      <c r="IV10" s="73"/>
      <c r="IW10" s="72">
        <f t="shared" si="223"/>
        <v>0</v>
      </c>
      <c r="IX10" s="64"/>
      <c r="IY10" s="73"/>
      <c r="IZ10" s="72">
        <f t="shared" si="268"/>
        <v>0</v>
      </c>
      <c r="JA10" s="64"/>
      <c r="JB10" s="73"/>
      <c r="JC10" s="72">
        <f t="shared" si="269"/>
        <v>0</v>
      </c>
      <c r="JD10" s="64"/>
      <c r="JE10" s="73"/>
      <c r="JF10" s="72">
        <f t="shared" si="224"/>
        <v>0</v>
      </c>
      <c r="JG10" s="64"/>
      <c r="JH10" s="73"/>
      <c r="JI10" s="72">
        <f t="shared" si="225"/>
        <v>0</v>
      </c>
      <c r="JJ10" s="64"/>
      <c r="JK10" s="73"/>
      <c r="JL10" s="72">
        <f t="shared" si="226"/>
        <v>0</v>
      </c>
      <c r="JM10" s="64"/>
      <c r="JN10" s="73"/>
      <c r="JO10" s="72">
        <f t="shared" si="270"/>
        <v>0</v>
      </c>
      <c r="JP10" s="64"/>
      <c r="JQ10" s="73"/>
      <c r="JR10" s="72">
        <f t="shared" si="271"/>
        <v>0</v>
      </c>
      <c r="JS10" s="64"/>
      <c r="JT10" s="73"/>
      <c r="JU10" s="72">
        <f t="shared" si="227"/>
        <v>0</v>
      </c>
      <c r="JV10" s="64"/>
      <c r="JW10" s="73"/>
      <c r="JX10" s="72">
        <f t="shared" si="228"/>
        <v>0</v>
      </c>
      <c r="JY10" s="64"/>
      <c r="JZ10" s="73"/>
      <c r="KA10" s="72">
        <f t="shared" si="229"/>
        <v>0</v>
      </c>
      <c r="KB10" s="64"/>
      <c r="KC10" s="73"/>
      <c r="KD10" s="72">
        <f t="shared" si="272"/>
        <v>0</v>
      </c>
      <c r="KE10" s="64"/>
      <c r="KF10" s="73"/>
      <c r="KG10" s="72">
        <f t="shared" si="273"/>
        <v>0</v>
      </c>
      <c r="KH10" s="64"/>
      <c r="KI10" s="73"/>
      <c r="KJ10" s="72">
        <f t="shared" si="230"/>
        <v>0</v>
      </c>
      <c r="KK10" s="64"/>
      <c r="KL10" s="73"/>
      <c r="KM10" s="72">
        <f t="shared" si="231"/>
        <v>0</v>
      </c>
      <c r="KN10" s="64"/>
      <c r="KO10" s="73"/>
      <c r="KP10" s="72">
        <f t="shared" si="232"/>
        <v>0</v>
      </c>
      <c r="KQ10" s="64"/>
      <c r="KR10" s="73"/>
      <c r="KS10" s="72">
        <f t="shared" si="274"/>
        <v>0</v>
      </c>
      <c r="KT10" s="64"/>
      <c r="KU10" s="73"/>
      <c r="KV10" s="72">
        <f t="shared" si="275"/>
        <v>0</v>
      </c>
      <c r="KW10" s="64"/>
      <c r="KX10" s="73"/>
      <c r="KY10" s="72">
        <f t="shared" si="233"/>
        <v>0</v>
      </c>
      <c r="KZ10" s="64"/>
      <c r="LA10" s="73"/>
      <c r="LB10" s="72">
        <f t="shared" si="234"/>
        <v>0</v>
      </c>
      <c r="LC10" s="64"/>
      <c r="LD10" s="73"/>
      <c r="LE10" s="72">
        <f t="shared" si="235"/>
        <v>0</v>
      </c>
      <c r="LF10" s="64"/>
    </row>
    <row r="11" spans="1:318" s="784" customFormat="1">
      <c r="A11" s="49"/>
      <c r="B11" s="49"/>
      <c r="C11" s="436" t="str">
        <f>Idiomas!D307</f>
        <v>FASE DE GRUPOS - Posición exacta (1º)</v>
      </c>
      <c r="D11" s="62">
        <v>20</v>
      </c>
      <c r="E11" s="109"/>
      <c r="F11" s="443">
        <f t="shared" si="236"/>
        <v>15</v>
      </c>
      <c r="G11" s="443">
        <f ca="1">VLOOKUP(H11,Equipos!$Q$1:$R$25,2,0)</f>
        <v>3</v>
      </c>
      <c r="H11" s="444">
        <f ca="1">TRUNC(INDEX(WORLDCUP!$X$4:$X$147,MATCH(ADMIN!K11,WORLDCUP!$DT$4:$DT$147,0))+INDEX(Horarios!$R$3:$R$86,MATCH(Horarios!$C$3,Horarios!$P$3:$P$86,0))/24)</f>
        <v>46186</v>
      </c>
      <c r="I11" s="48">
        <v>1</v>
      </c>
      <c r="J11" s="93" t="s">
        <v>114</v>
      </c>
      <c r="K11" s="53" t="str">
        <f ca="1">CONCATENATE(WORLDCUP!AA21,"-",WORLDCUP!AF21)</f>
        <v>Haití-Escocia</v>
      </c>
      <c r="L11" s="53"/>
      <c r="M11" s="55" t="str">
        <f>IF(OR(WORLDCUP!AC21="",WORLDCUP!AD21=""),"-",N11&amp;"|"&amp;O11&amp;"-"&amp;P11)</f>
        <v>-</v>
      </c>
      <c r="N11" s="25" t="str">
        <f>IF(OR(WORLDCUP!AC21="",WORLDCUP!AD21=""),"",IF(WORLDCUP!AC21&gt;WORLDCUP!AD21,"1",IF(WORLDCUP!AC21&lt;WORLDCUP!AD21,"2","X")))</f>
        <v/>
      </c>
      <c r="O11" s="25">
        <f>WORLDCUP!AC21</f>
        <v>0</v>
      </c>
      <c r="P11" s="25">
        <f>WORLDCUP!AD21</f>
        <v>0</v>
      </c>
      <c r="Q11" s="25">
        <f t="shared" si="276"/>
        <v>0</v>
      </c>
      <c r="R11" s="49"/>
      <c r="S11" s="796" t="s">
        <v>1951</v>
      </c>
      <c r="T11" s="72">
        <f t="shared" si="237"/>
        <v>0</v>
      </c>
      <c r="U11" s="64"/>
      <c r="V11" s="73" t="s">
        <v>1963</v>
      </c>
      <c r="W11" s="72">
        <f t="shared" si="238"/>
        <v>0</v>
      </c>
      <c r="X11" s="64"/>
      <c r="Y11" s="796" t="s">
        <v>1947</v>
      </c>
      <c r="Z11" s="72">
        <f t="shared" si="176"/>
        <v>0</v>
      </c>
      <c r="AA11" s="64"/>
      <c r="AB11" s="796" t="s">
        <v>1963</v>
      </c>
      <c r="AC11" s="72">
        <f t="shared" si="177"/>
        <v>0</v>
      </c>
      <c r="AD11" s="64"/>
      <c r="AE11" s="796" t="s">
        <v>1962</v>
      </c>
      <c r="AF11" s="72">
        <f t="shared" si="239"/>
        <v>0</v>
      </c>
      <c r="AG11" s="64"/>
      <c r="AH11" s="796" t="s">
        <v>1962</v>
      </c>
      <c r="AI11" s="72">
        <f t="shared" si="240"/>
        <v>0</v>
      </c>
      <c r="AJ11" s="64"/>
      <c r="AK11" s="806" t="s">
        <v>1947</v>
      </c>
      <c r="AL11" s="72">
        <f t="shared" si="241"/>
        <v>0</v>
      </c>
      <c r="AM11" s="64"/>
      <c r="AN11" s="796" t="s">
        <v>1962</v>
      </c>
      <c r="AO11" s="72">
        <f t="shared" si="179"/>
        <v>0</v>
      </c>
      <c r="AP11" s="64"/>
      <c r="AQ11" s="806" t="s">
        <v>1951</v>
      </c>
      <c r="AR11" s="72">
        <f t="shared" si="180"/>
        <v>0</v>
      </c>
      <c r="AS11" s="64"/>
      <c r="AT11" s="796" t="s">
        <v>1951</v>
      </c>
      <c r="AU11" s="72">
        <f t="shared" si="181"/>
        <v>0</v>
      </c>
      <c r="AV11" s="64"/>
      <c r="AW11" s="796" t="s">
        <v>1951</v>
      </c>
      <c r="AX11" s="72">
        <f t="shared" si="242"/>
        <v>0</v>
      </c>
      <c r="AY11" s="64"/>
      <c r="AZ11" s="796" t="s">
        <v>1954</v>
      </c>
      <c r="BA11" s="72">
        <f t="shared" si="243"/>
        <v>0</v>
      </c>
      <c r="BB11" s="64"/>
      <c r="BC11" s="796" t="s">
        <v>1962</v>
      </c>
      <c r="BD11" s="72">
        <f t="shared" si="182"/>
        <v>0</v>
      </c>
      <c r="BE11" s="64"/>
      <c r="BF11" s="796" t="s">
        <v>1962</v>
      </c>
      <c r="BG11" s="72">
        <f t="shared" si="183"/>
        <v>0</v>
      </c>
      <c r="BH11" s="64"/>
      <c r="BI11" s="796" t="s">
        <v>1962</v>
      </c>
      <c r="BJ11" s="72">
        <f t="shared" si="184"/>
        <v>0</v>
      </c>
      <c r="BK11" s="64"/>
      <c r="BL11" s="796" t="s">
        <v>1959</v>
      </c>
      <c r="BM11" s="72">
        <f t="shared" si="244"/>
        <v>0</v>
      </c>
      <c r="BN11" s="64"/>
      <c r="BO11" s="816" t="s">
        <v>1962</v>
      </c>
      <c r="BP11" s="72">
        <f t="shared" si="245"/>
        <v>0</v>
      </c>
      <c r="BQ11" s="64"/>
      <c r="BR11" s="796" t="s">
        <v>1951</v>
      </c>
      <c r="BS11" s="72">
        <f t="shared" si="185"/>
        <v>0</v>
      </c>
      <c r="BT11" s="64"/>
      <c r="BU11" s="796" t="s">
        <v>1963</v>
      </c>
      <c r="BV11" s="72">
        <f t="shared" si="186"/>
        <v>0</v>
      </c>
      <c r="BW11" s="64"/>
      <c r="BX11" s="73" t="s">
        <v>1947</v>
      </c>
      <c r="BY11" s="72">
        <f t="shared" si="187"/>
        <v>0</v>
      </c>
      <c r="BZ11" s="64"/>
      <c r="CA11" s="816" t="s">
        <v>1953</v>
      </c>
      <c r="CB11" s="72">
        <f t="shared" si="246"/>
        <v>0</v>
      </c>
      <c r="CC11" s="64"/>
      <c r="CD11" s="825" t="s">
        <v>1951</v>
      </c>
      <c r="CE11" s="72">
        <f t="shared" si="247"/>
        <v>0</v>
      </c>
      <c r="CF11" s="64"/>
      <c r="CG11" s="796" t="s">
        <v>1959</v>
      </c>
      <c r="CH11" s="72">
        <f t="shared" si="188"/>
        <v>0</v>
      </c>
      <c r="CI11" s="64"/>
      <c r="CJ11" s="796" t="s">
        <v>1962</v>
      </c>
      <c r="CK11" s="72">
        <f t="shared" si="189"/>
        <v>0</v>
      </c>
      <c r="CL11" s="64"/>
      <c r="CM11" s="796" t="s">
        <v>1949</v>
      </c>
      <c r="CN11" s="72">
        <f t="shared" si="190"/>
        <v>0</v>
      </c>
      <c r="CO11" s="64"/>
      <c r="CP11" s="796" t="s">
        <v>1959</v>
      </c>
      <c r="CQ11" s="72">
        <f t="shared" si="248"/>
        <v>0</v>
      </c>
      <c r="CR11" s="64"/>
      <c r="CS11" s="796" t="s">
        <v>1961</v>
      </c>
      <c r="CT11" s="72">
        <f t="shared" si="249"/>
        <v>0</v>
      </c>
      <c r="CU11" s="64"/>
      <c r="CV11" s="796" t="s">
        <v>1962</v>
      </c>
      <c r="CW11" s="72">
        <f t="shared" si="191"/>
        <v>0</v>
      </c>
      <c r="CX11" s="64"/>
      <c r="CY11" s="796" t="s">
        <v>1947</v>
      </c>
      <c r="CZ11" s="72">
        <f t="shared" si="250"/>
        <v>0</v>
      </c>
      <c r="DA11" s="64"/>
      <c r="DB11" s="796" t="s">
        <v>1949</v>
      </c>
      <c r="DC11" s="72">
        <f t="shared" si="192"/>
        <v>0</v>
      </c>
      <c r="DD11" s="64"/>
      <c r="DE11" s="796" t="s">
        <v>2006</v>
      </c>
      <c r="DF11" s="72">
        <f t="shared" si="193"/>
        <v>0</v>
      </c>
      <c r="DG11" s="64"/>
      <c r="DH11" s="796" t="s">
        <v>1959</v>
      </c>
      <c r="DI11" s="72">
        <f t="shared" si="194"/>
        <v>0</v>
      </c>
      <c r="DJ11" s="64"/>
      <c r="DK11" s="796" t="s">
        <v>1962</v>
      </c>
      <c r="DL11" s="72">
        <f t="shared" si="195"/>
        <v>0</v>
      </c>
      <c r="DM11" s="64"/>
      <c r="DN11" s="795" t="s">
        <v>1961</v>
      </c>
      <c r="DO11" s="72">
        <f t="shared" si="196"/>
        <v>0</v>
      </c>
      <c r="DP11" s="64"/>
      <c r="DQ11" s="796" t="s">
        <v>1951</v>
      </c>
      <c r="DR11" s="72">
        <f t="shared" si="251"/>
        <v>0</v>
      </c>
      <c r="DS11" s="64"/>
      <c r="DT11" s="73" t="s">
        <v>1962</v>
      </c>
      <c r="DU11" s="72">
        <f t="shared" si="277"/>
        <v>0</v>
      </c>
      <c r="DV11" s="64"/>
      <c r="DW11" s="73"/>
      <c r="DX11" s="72">
        <f t="shared" si="278"/>
        <v>0</v>
      </c>
      <c r="DY11" s="64"/>
      <c r="DZ11" s="73"/>
      <c r="EA11" s="72">
        <f t="shared" si="197"/>
        <v>0</v>
      </c>
      <c r="EB11" s="64"/>
      <c r="EC11" s="73"/>
      <c r="ED11" s="72">
        <f t="shared" si="198"/>
        <v>0</v>
      </c>
      <c r="EE11" s="64"/>
      <c r="EF11" s="73"/>
      <c r="EG11" s="72">
        <f t="shared" si="199"/>
        <v>0</v>
      </c>
      <c r="EH11" s="64"/>
      <c r="EI11" s="73"/>
      <c r="EJ11" s="72">
        <f t="shared" si="252"/>
        <v>0</v>
      </c>
      <c r="EK11" s="64"/>
      <c r="EL11" s="73"/>
      <c r="EM11" s="72">
        <f t="shared" si="253"/>
        <v>0</v>
      </c>
      <c r="EN11" s="64"/>
      <c r="EO11" s="73"/>
      <c r="EP11" s="72">
        <f t="shared" si="200"/>
        <v>0</v>
      </c>
      <c r="EQ11" s="64"/>
      <c r="ER11" s="73"/>
      <c r="ES11" s="72">
        <f t="shared" si="201"/>
        <v>0</v>
      </c>
      <c r="ET11" s="64"/>
      <c r="EU11" s="73"/>
      <c r="EV11" s="72">
        <f t="shared" si="202"/>
        <v>0</v>
      </c>
      <c r="EW11" s="64"/>
      <c r="EX11" s="73"/>
      <c r="EY11" s="72">
        <f t="shared" si="254"/>
        <v>0</v>
      </c>
      <c r="EZ11" s="64"/>
      <c r="FA11" s="73"/>
      <c r="FB11" s="72">
        <f t="shared" si="255"/>
        <v>0</v>
      </c>
      <c r="FC11" s="64"/>
      <c r="FD11" s="73"/>
      <c r="FE11" s="72">
        <f t="shared" si="203"/>
        <v>0</v>
      </c>
      <c r="FF11" s="64"/>
      <c r="FG11" s="73"/>
      <c r="FH11" s="72">
        <f t="shared" si="204"/>
        <v>0</v>
      </c>
      <c r="FI11" s="64"/>
      <c r="FJ11" s="73"/>
      <c r="FK11" s="72">
        <f t="shared" si="205"/>
        <v>0</v>
      </c>
      <c r="FL11" s="64"/>
      <c r="FM11" s="73"/>
      <c r="FN11" s="72">
        <f t="shared" si="256"/>
        <v>0</v>
      </c>
      <c r="FO11" s="64"/>
      <c r="FP11" s="73"/>
      <c r="FQ11" s="72">
        <f t="shared" si="257"/>
        <v>0</v>
      </c>
      <c r="FR11" s="64"/>
      <c r="FS11" s="73"/>
      <c r="FT11" s="72">
        <f t="shared" si="206"/>
        <v>0</v>
      </c>
      <c r="FU11" s="64"/>
      <c r="FV11" s="73"/>
      <c r="FW11" s="72">
        <f t="shared" si="207"/>
        <v>0</v>
      </c>
      <c r="FX11" s="64"/>
      <c r="FY11" s="73"/>
      <c r="FZ11" s="72">
        <f t="shared" si="208"/>
        <v>0</v>
      </c>
      <c r="GA11" s="64"/>
      <c r="GB11" s="73"/>
      <c r="GC11" s="72">
        <f t="shared" si="258"/>
        <v>0</v>
      </c>
      <c r="GD11" s="64"/>
      <c r="GE11" s="73"/>
      <c r="GF11" s="72">
        <f t="shared" si="259"/>
        <v>0</v>
      </c>
      <c r="GG11" s="64"/>
      <c r="GH11" s="73"/>
      <c r="GI11" s="72">
        <f t="shared" si="209"/>
        <v>0</v>
      </c>
      <c r="GJ11" s="64"/>
      <c r="GK11" s="73"/>
      <c r="GL11" s="72">
        <f t="shared" si="210"/>
        <v>0</v>
      </c>
      <c r="GM11" s="64"/>
      <c r="GN11" s="73"/>
      <c r="GO11" s="72">
        <f t="shared" si="211"/>
        <v>0</v>
      </c>
      <c r="GP11" s="64"/>
      <c r="GQ11" s="73"/>
      <c r="GR11" s="72">
        <f t="shared" si="260"/>
        <v>0</v>
      </c>
      <c r="GS11" s="64"/>
      <c r="GT11" s="73"/>
      <c r="GU11" s="72">
        <f t="shared" si="261"/>
        <v>0</v>
      </c>
      <c r="GV11" s="64"/>
      <c r="GW11" s="73"/>
      <c r="GX11" s="72">
        <f t="shared" si="212"/>
        <v>0</v>
      </c>
      <c r="GY11" s="64"/>
      <c r="GZ11" s="73"/>
      <c r="HA11" s="72">
        <f t="shared" si="213"/>
        <v>0</v>
      </c>
      <c r="HB11" s="64"/>
      <c r="HC11" s="73"/>
      <c r="HD11" s="72">
        <f t="shared" si="214"/>
        <v>0</v>
      </c>
      <c r="HE11" s="64"/>
      <c r="HF11" s="73"/>
      <c r="HG11" s="72">
        <f t="shared" si="262"/>
        <v>0</v>
      </c>
      <c r="HH11" s="64"/>
      <c r="HI11" s="73"/>
      <c r="HJ11" s="72">
        <f t="shared" si="263"/>
        <v>0</v>
      </c>
      <c r="HK11" s="64"/>
      <c r="HL11" s="73"/>
      <c r="HM11" s="72">
        <f t="shared" si="215"/>
        <v>0</v>
      </c>
      <c r="HN11" s="64"/>
      <c r="HO11" s="73"/>
      <c r="HP11" s="72">
        <f t="shared" si="216"/>
        <v>0</v>
      </c>
      <c r="HQ11" s="64"/>
      <c r="HR11" s="73"/>
      <c r="HS11" s="72">
        <f t="shared" si="217"/>
        <v>0</v>
      </c>
      <c r="HT11" s="64"/>
      <c r="HU11" s="73"/>
      <c r="HV11" s="72">
        <f t="shared" si="264"/>
        <v>0</v>
      </c>
      <c r="HW11" s="64"/>
      <c r="HX11" s="73"/>
      <c r="HY11" s="72">
        <f t="shared" si="265"/>
        <v>0</v>
      </c>
      <c r="HZ11" s="64"/>
      <c r="IA11" s="73"/>
      <c r="IB11" s="72">
        <f t="shared" si="218"/>
        <v>0</v>
      </c>
      <c r="IC11" s="64"/>
      <c r="ID11" s="73"/>
      <c r="IE11" s="72">
        <f t="shared" si="219"/>
        <v>0</v>
      </c>
      <c r="IF11" s="64"/>
      <c r="IG11" s="73"/>
      <c r="IH11" s="72">
        <f t="shared" si="220"/>
        <v>0</v>
      </c>
      <c r="II11" s="64"/>
      <c r="IJ11" s="73"/>
      <c r="IK11" s="72">
        <f t="shared" si="266"/>
        <v>0</v>
      </c>
      <c r="IL11" s="64"/>
      <c r="IM11" s="73"/>
      <c r="IN11" s="72">
        <f t="shared" si="267"/>
        <v>0</v>
      </c>
      <c r="IO11" s="64"/>
      <c r="IP11" s="73"/>
      <c r="IQ11" s="72">
        <f t="shared" si="221"/>
        <v>0</v>
      </c>
      <c r="IR11" s="64"/>
      <c r="IS11" s="73"/>
      <c r="IT11" s="72">
        <f t="shared" si="222"/>
        <v>0</v>
      </c>
      <c r="IU11" s="64"/>
      <c r="IV11" s="73"/>
      <c r="IW11" s="72">
        <f t="shared" si="223"/>
        <v>0</v>
      </c>
      <c r="IX11" s="64"/>
      <c r="IY11" s="73"/>
      <c r="IZ11" s="72">
        <f t="shared" si="268"/>
        <v>0</v>
      </c>
      <c r="JA11" s="64"/>
      <c r="JB11" s="73"/>
      <c r="JC11" s="72">
        <f t="shared" si="269"/>
        <v>0</v>
      </c>
      <c r="JD11" s="64"/>
      <c r="JE11" s="73"/>
      <c r="JF11" s="72">
        <f t="shared" si="224"/>
        <v>0</v>
      </c>
      <c r="JG11" s="64"/>
      <c r="JH11" s="73"/>
      <c r="JI11" s="72">
        <f t="shared" si="225"/>
        <v>0</v>
      </c>
      <c r="JJ11" s="64"/>
      <c r="JK11" s="73"/>
      <c r="JL11" s="72">
        <f t="shared" si="226"/>
        <v>0</v>
      </c>
      <c r="JM11" s="64"/>
      <c r="JN11" s="73"/>
      <c r="JO11" s="72">
        <f t="shared" si="270"/>
        <v>0</v>
      </c>
      <c r="JP11" s="64"/>
      <c r="JQ11" s="73"/>
      <c r="JR11" s="72">
        <f t="shared" si="271"/>
        <v>0</v>
      </c>
      <c r="JS11" s="64"/>
      <c r="JT11" s="73"/>
      <c r="JU11" s="72">
        <f t="shared" si="227"/>
        <v>0</v>
      </c>
      <c r="JV11" s="64"/>
      <c r="JW11" s="73"/>
      <c r="JX11" s="72">
        <f t="shared" si="228"/>
        <v>0</v>
      </c>
      <c r="JY11" s="64"/>
      <c r="JZ11" s="73"/>
      <c r="KA11" s="72">
        <f t="shared" si="229"/>
        <v>0</v>
      </c>
      <c r="KB11" s="64"/>
      <c r="KC11" s="73"/>
      <c r="KD11" s="72">
        <f t="shared" si="272"/>
        <v>0</v>
      </c>
      <c r="KE11" s="64"/>
      <c r="KF11" s="73"/>
      <c r="KG11" s="72">
        <f t="shared" si="273"/>
        <v>0</v>
      </c>
      <c r="KH11" s="64"/>
      <c r="KI11" s="73"/>
      <c r="KJ11" s="72">
        <f t="shared" si="230"/>
        <v>0</v>
      </c>
      <c r="KK11" s="64"/>
      <c r="KL11" s="73"/>
      <c r="KM11" s="72">
        <f t="shared" si="231"/>
        <v>0</v>
      </c>
      <c r="KN11" s="64"/>
      <c r="KO11" s="73"/>
      <c r="KP11" s="72">
        <f t="shared" si="232"/>
        <v>0</v>
      </c>
      <c r="KQ11" s="64"/>
      <c r="KR11" s="73"/>
      <c r="KS11" s="72">
        <f t="shared" si="274"/>
        <v>0</v>
      </c>
      <c r="KT11" s="64"/>
      <c r="KU11" s="73"/>
      <c r="KV11" s="72">
        <f t="shared" si="275"/>
        <v>0</v>
      </c>
      <c r="KW11" s="64"/>
      <c r="KX11" s="73"/>
      <c r="KY11" s="72">
        <f t="shared" si="233"/>
        <v>0</v>
      </c>
      <c r="KZ11" s="64"/>
      <c r="LA11" s="73"/>
      <c r="LB11" s="72">
        <f t="shared" si="234"/>
        <v>0</v>
      </c>
      <c r="LC11" s="64"/>
      <c r="LD11" s="73"/>
      <c r="LE11" s="72">
        <f t="shared" si="235"/>
        <v>0</v>
      </c>
      <c r="LF11" s="64"/>
    </row>
    <row r="12" spans="1:318" s="784" customFormat="1">
      <c r="A12" s="49"/>
      <c r="B12" s="49"/>
      <c r="C12" s="435" t="str">
        <f>Idiomas!D308</f>
        <v>FASE DE GRUPOS - Posición exacta (2º)</v>
      </c>
      <c r="D12" s="62">
        <v>20</v>
      </c>
      <c r="E12" s="109"/>
      <c r="F12" s="443">
        <f t="shared" si="236"/>
        <v>15</v>
      </c>
      <c r="G12" s="443">
        <f ca="1">VLOOKUP(H12,Equipos!$Q$1:$R$25,2,0)</f>
        <v>2</v>
      </c>
      <c r="H12" s="444">
        <f ca="1">TRUNC(INDEX(WORLDCUP!$X$4:$X$147,MATCH(ADMIN!K12,WORLDCUP!$DT$4:$DT$147,0))+INDEX(Horarios!$R$3:$R$86,MATCH(Horarios!$C$3,Horarios!$P$3:$P$86,0))/24)</f>
        <v>46185</v>
      </c>
      <c r="I12" s="48">
        <v>1</v>
      </c>
      <c r="J12" s="94"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276"/>
        <v>3</v>
      </c>
      <c r="R12" s="49"/>
      <c r="S12" s="796" t="s">
        <v>1949</v>
      </c>
      <c r="T12" s="72">
        <f t="shared" si="237"/>
        <v>0</v>
      </c>
      <c r="U12" s="64"/>
      <c r="V12" s="73" t="s">
        <v>1961</v>
      </c>
      <c r="W12" s="72">
        <f t="shared" si="238"/>
        <v>0</v>
      </c>
      <c r="X12" s="64"/>
      <c r="Y12" s="796" t="s">
        <v>1949</v>
      </c>
      <c r="Z12" s="72">
        <f t="shared" si="176"/>
        <v>0</v>
      </c>
      <c r="AA12" s="64"/>
      <c r="AB12" s="796" t="s">
        <v>1949</v>
      </c>
      <c r="AC12" s="72">
        <f t="shared" si="177"/>
        <v>0</v>
      </c>
      <c r="AD12" s="64"/>
      <c r="AE12" s="796" t="s">
        <v>1949</v>
      </c>
      <c r="AF12" s="72">
        <f t="shared" si="239"/>
        <v>0</v>
      </c>
      <c r="AG12" s="64"/>
      <c r="AH12" s="796" t="s">
        <v>1949</v>
      </c>
      <c r="AI12" s="72">
        <f t="shared" si="240"/>
        <v>0</v>
      </c>
      <c r="AJ12" s="64"/>
      <c r="AK12" s="806" t="s">
        <v>1955</v>
      </c>
      <c r="AL12" s="72">
        <f t="shared" si="241"/>
        <v>7</v>
      </c>
      <c r="AM12" s="64"/>
      <c r="AN12" s="796" t="s">
        <v>2007</v>
      </c>
      <c r="AO12" s="72">
        <f t="shared" si="179"/>
        <v>0</v>
      </c>
      <c r="AP12" s="64"/>
      <c r="AQ12" s="806" t="s">
        <v>1958</v>
      </c>
      <c r="AR12" s="72">
        <f t="shared" si="180"/>
        <v>7</v>
      </c>
      <c r="AS12" s="64"/>
      <c r="AT12" s="796" t="s">
        <v>2007</v>
      </c>
      <c r="AU12" s="72">
        <f t="shared" si="181"/>
        <v>0</v>
      </c>
      <c r="AV12" s="64"/>
      <c r="AW12" s="796" t="s">
        <v>1955</v>
      </c>
      <c r="AX12" s="72">
        <f t="shared" si="242"/>
        <v>7</v>
      </c>
      <c r="AY12" s="64"/>
      <c r="AZ12" s="796" t="s">
        <v>2340</v>
      </c>
      <c r="BA12" s="72">
        <f t="shared" si="243"/>
        <v>0</v>
      </c>
      <c r="BB12" s="64"/>
      <c r="BC12" s="796" t="s">
        <v>1955</v>
      </c>
      <c r="BD12" s="72">
        <f t="shared" si="182"/>
        <v>7</v>
      </c>
      <c r="BE12" s="64"/>
      <c r="BF12" s="796" t="s">
        <v>2007</v>
      </c>
      <c r="BG12" s="72">
        <f t="shared" si="183"/>
        <v>0</v>
      </c>
      <c r="BH12" s="64"/>
      <c r="BI12" s="796" t="s">
        <v>1955</v>
      </c>
      <c r="BJ12" s="72">
        <f t="shared" si="184"/>
        <v>7</v>
      </c>
      <c r="BK12" s="64"/>
      <c r="BL12" s="796" t="s">
        <v>1961</v>
      </c>
      <c r="BM12" s="72">
        <f t="shared" si="244"/>
        <v>0</v>
      </c>
      <c r="BN12" s="64"/>
      <c r="BO12" s="816" t="s">
        <v>1963</v>
      </c>
      <c r="BP12" s="72">
        <f t="shared" si="245"/>
        <v>0</v>
      </c>
      <c r="BQ12" s="64"/>
      <c r="BR12" s="796" t="s">
        <v>1950</v>
      </c>
      <c r="BS12" s="72">
        <f t="shared" si="185"/>
        <v>0</v>
      </c>
      <c r="BT12" s="64"/>
      <c r="BU12" s="796" t="s">
        <v>1958</v>
      </c>
      <c r="BV12" s="72">
        <f t="shared" si="186"/>
        <v>7</v>
      </c>
      <c r="BW12" s="64"/>
      <c r="BX12" s="73" t="s">
        <v>1949</v>
      </c>
      <c r="BY12" s="72">
        <f t="shared" si="187"/>
        <v>0</v>
      </c>
      <c r="BZ12" s="64"/>
      <c r="CA12" s="816" t="s">
        <v>1948</v>
      </c>
      <c r="CB12" s="72">
        <f t="shared" si="246"/>
        <v>7</v>
      </c>
      <c r="CC12" s="64"/>
      <c r="CD12" s="825" t="s">
        <v>1955</v>
      </c>
      <c r="CE12" s="72">
        <f t="shared" si="247"/>
        <v>7</v>
      </c>
      <c r="CF12" s="64"/>
      <c r="CG12" s="796" t="s">
        <v>1949</v>
      </c>
      <c r="CH12" s="72">
        <f t="shared" si="188"/>
        <v>0</v>
      </c>
      <c r="CI12" s="64"/>
      <c r="CJ12" s="796" t="s">
        <v>1955</v>
      </c>
      <c r="CK12" s="72">
        <f t="shared" si="189"/>
        <v>7</v>
      </c>
      <c r="CL12" s="64"/>
      <c r="CM12" s="796" t="s">
        <v>1949</v>
      </c>
      <c r="CN12" s="72">
        <f t="shared" si="190"/>
        <v>0</v>
      </c>
      <c r="CO12" s="64"/>
      <c r="CP12" s="796" t="s">
        <v>2007</v>
      </c>
      <c r="CQ12" s="72">
        <f t="shared" si="248"/>
        <v>0</v>
      </c>
      <c r="CR12" s="64"/>
      <c r="CS12" s="796" t="s">
        <v>1958</v>
      </c>
      <c r="CT12" s="72">
        <f t="shared" si="249"/>
        <v>7</v>
      </c>
      <c r="CU12" s="64"/>
      <c r="CV12" s="796" t="s">
        <v>1962</v>
      </c>
      <c r="CW12" s="72">
        <f t="shared" si="191"/>
        <v>0</v>
      </c>
      <c r="CX12" s="64"/>
      <c r="CY12" s="796" t="s">
        <v>1960</v>
      </c>
      <c r="CZ12" s="72">
        <f t="shared" si="250"/>
        <v>7</v>
      </c>
      <c r="DA12" s="64"/>
      <c r="DB12" s="796" t="s">
        <v>1948</v>
      </c>
      <c r="DC12" s="72">
        <f t="shared" si="192"/>
        <v>7</v>
      </c>
      <c r="DD12" s="64"/>
      <c r="DE12" s="796" t="s">
        <v>1955</v>
      </c>
      <c r="DF12" s="72">
        <f t="shared" si="193"/>
        <v>7</v>
      </c>
      <c r="DG12" s="64"/>
      <c r="DH12" s="796" t="s">
        <v>1960</v>
      </c>
      <c r="DI12" s="72">
        <f t="shared" si="194"/>
        <v>7</v>
      </c>
      <c r="DJ12" s="64"/>
      <c r="DK12" s="796" t="s">
        <v>1961</v>
      </c>
      <c r="DL12" s="72">
        <f t="shared" si="195"/>
        <v>0</v>
      </c>
      <c r="DM12" s="64"/>
      <c r="DN12" s="795" t="s">
        <v>1961</v>
      </c>
      <c r="DO12" s="72">
        <f t="shared" si="196"/>
        <v>0</v>
      </c>
      <c r="DP12" s="64"/>
      <c r="DQ12" s="796" t="s">
        <v>1949</v>
      </c>
      <c r="DR12" s="72">
        <f t="shared" si="251"/>
        <v>0</v>
      </c>
      <c r="DS12" s="64"/>
      <c r="DT12" s="796" t="s">
        <v>1948</v>
      </c>
      <c r="DU12" s="72">
        <f t="shared" si="277"/>
        <v>7</v>
      </c>
      <c r="DV12" s="64"/>
      <c r="DW12" s="73"/>
      <c r="DX12" s="72">
        <f t="shared" si="278"/>
        <v>0</v>
      </c>
      <c r="DY12" s="64"/>
      <c r="DZ12" s="73"/>
      <c r="EA12" s="72">
        <f t="shared" si="197"/>
        <v>0</v>
      </c>
      <c r="EB12" s="64"/>
      <c r="EC12" s="73"/>
      <c r="ED12" s="72">
        <f t="shared" si="198"/>
        <v>0</v>
      </c>
      <c r="EE12" s="64"/>
      <c r="EF12" s="73"/>
      <c r="EG12" s="72">
        <f t="shared" si="199"/>
        <v>0</v>
      </c>
      <c r="EH12" s="64"/>
      <c r="EI12" s="73"/>
      <c r="EJ12" s="72">
        <f t="shared" si="252"/>
        <v>0</v>
      </c>
      <c r="EK12" s="64"/>
      <c r="EL12" s="73"/>
      <c r="EM12" s="72">
        <f t="shared" si="253"/>
        <v>0</v>
      </c>
      <c r="EN12" s="64"/>
      <c r="EO12" s="73"/>
      <c r="EP12" s="72">
        <f t="shared" si="200"/>
        <v>0</v>
      </c>
      <c r="EQ12" s="64"/>
      <c r="ER12" s="73"/>
      <c r="ES12" s="72">
        <f t="shared" si="201"/>
        <v>0</v>
      </c>
      <c r="ET12" s="64"/>
      <c r="EU12" s="73"/>
      <c r="EV12" s="72">
        <f t="shared" si="202"/>
        <v>0</v>
      </c>
      <c r="EW12" s="64"/>
      <c r="EX12" s="73"/>
      <c r="EY12" s="72">
        <f t="shared" si="254"/>
        <v>0</v>
      </c>
      <c r="EZ12" s="64"/>
      <c r="FA12" s="73"/>
      <c r="FB12" s="72">
        <f t="shared" si="255"/>
        <v>0</v>
      </c>
      <c r="FC12" s="64"/>
      <c r="FD12" s="73"/>
      <c r="FE12" s="72">
        <f t="shared" si="203"/>
        <v>0</v>
      </c>
      <c r="FF12" s="64"/>
      <c r="FG12" s="73"/>
      <c r="FH12" s="72">
        <f t="shared" si="204"/>
        <v>0</v>
      </c>
      <c r="FI12" s="64"/>
      <c r="FJ12" s="73"/>
      <c r="FK12" s="72">
        <f t="shared" si="205"/>
        <v>0</v>
      </c>
      <c r="FL12" s="64"/>
      <c r="FM12" s="73"/>
      <c r="FN12" s="72">
        <f t="shared" si="256"/>
        <v>0</v>
      </c>
      <c r="FO12" s="64"/>
      <c r="FP12" s="73"/>
      <c r="FQ12" s="72">
        <f t="shared" si="257"/>
        <v>0</v>
      </c>
      <c r="FR12" s="64"/>
      <c r="FS12" s="73"/>
      <c r="FT12" s="72">
        <f t="shared" si="206"/>
        <v>0</v>
      </c>
      <c r="FU12" s="64"/>
      <c r="FV12" s="73"/>
      <c r="FW12" s="72">
        <f t="shared" si="207"/>
        <v>0</v>
      </c>
      <c r="FX12" s="64"/>
      <c r="FY12" s="73"/>
      <c r="FZ12" s="72">
        <f t="shared" si="208"/>
        <v>0</v>
      </c>
      <c r="GA12" s="64"/>
      <c r="GB12" s="73"/>
      <c r="GC12" s="72">
        <f t="shared" si="258"/>
        <v>0</v>
      </c>
      <c r="GD12" s="64"/>
      <c r="GE12" s="73"/>
      <c r="GF12" s="72">
        <f t="shared" si="259"/>
        <v>0</v>
      </c>
      <c r="GG12" s="64"/>
      <c r="GH12" s="73"/>
      <c r="GI12" s="72">
        <f t="shared" si="209"/>
        <v>0</v>
      </c>
      <c r="GJ12" s="64"/>
      <c r="GK12" s="73"/>
      <c r="GL12" s="72">
        <f t="shared" si="210"/>
        <v>0</v>
      </c>
      <c r="GM12" s="64"/>
      <c r="GN12" s="73"/>
      <c r="GO12" s="72">
        <f t="shared" si="211"/>
        <v>0</v>
      </c>
      <c r="GP12" s="64"/>
      <c r="GQ12" s="73"/>
      <c r="GR12" s="72">
        <f t="shared" si="260"/>
        <v>0</v>
      </c>
      <c r="GS12" s="64"/>
      <c r="GT12" s="73"/>
      <c r="GU12" s="72">
        <f t="shared" si="261"/>
        <v>0</v>
      </c>
      <c r="GV12" s="64"/>
      <c r="GW12" s="73"/>
      <c r="GX12" s="72">
        <f t="shared" si="212"/>
        <v>0</v>
      </c>
      <c r="GY12" s="64"/>
      <c r="GZ12" s="73"/>
      <c r="HA12" s="72">
        <f t="shared" si="213"/>
        <v>0</v>
      </c>
      <c r="HB12" s="64"/>
      <c r="HC12" s="73"/>
      <c r="HD12" s="72">
        <f t="shared" si="214"/>
        <v>0</v>
      </c>
      <c r="HE12" s="64"/>
      <c r="HF12" s="73"/>
      <c r="HG12" s="72">
        <f t="shared" si="262"/>
        <v>0</v>
      </c>
      <c r="HH12" s="64"/>
      <c r="HI12" s="73"/>
      <c r="HJ12" s="72">
        <f t="shared" si="263"/>
        <v>0</v>
      </c>
      <c r="HK12" s="64"/>
      <c r="HL12" s="73"/>
      <c r="HM12" s="72">
        <f t="shared" si="215"/>
        <v>0</v>
      </c>
      <c r="HN12" s="64"/>
      <c r="HO12" s="73"/>
      <c r="HP12" s="72">
        <f t="shared" si="216"/>
        <v>0</v>
      </c>
      <c r="HQ12" s="64"/>
      <c r="HR12" s="73"/>
      <c r="HS12" s="72">
        <f t="shared" si="217"/>
        <v>0</v>
      </c>
      <c r="HT12" s="64"/>
      <c r="HU12" s="73"/>
      <c r="HV12" s="72">
        <f t="shared" si="264"/>
        <v>0</v>
      </c>
      <c r="HW12" s="64"/>
      <c r="HX12" s="73"/>
      <c r="HY12" s="72">
        <f t="shared" si="265"/>
        <v>0</v>
      </c>
      <c r="HZ12" s="64"/>
      <c r="IA12" s="73"/>
      <c r="IB12" s="72">
        <f t="shared" si="218"/>
        <v>0</v>
      </c>
      <c r="IC12" s="64"/>
      <c r="ID12" s="73"/>
      <c r="IE12" s="72">
        <f t="shared" si="219"/>
        <v>0</v>
      </c>
      <c r="IF12" s="64"/>
      <c r="IG12" s="73"/>
      <c r="IH12" s="72">
        <f t="shared" si="220"/>
        <v>0</v>
      </c>
      <c r="II12" s="64"/>
      <c r="IJ12" s="73"/>
      <c r="IK12" s="72">
        <f t="shared" si="266"/>
        <v>0</v>
      </c>
      <c r="IL12" s="64"/>
      <c r="IM12" s="73"/>
      <c r="IN12" s="72">
        <f t="shared" si="267"/>
        <v>0</v>
      </c>
      <c r="IO12" s="64"/>
      <c r="IP12" s="73"/>
      <c r="IQ12" s="72">
        <f t="shared" si="221"/>
        <v>0</v>
      </c>
      <c r="IR12" s="64"/>
      <c r="IS12" s="73"/>
      <c r="IT12" s="72">
        <f t="shared" si="222"/>
        <v>0</v>
      </c>
      <c r="IU12" s="64"/>
      <c r="IV12" s="73"/>
      <c r="IW12" s="72">
        <f t="shared" si="223"/>
        <v>0</v>
      </c>
      <c r="IX12" s="64"/>
      <c r="IY12" s="73"/>
      <c r="IZ12" s="72">
        <f t="shared" si="268"/>
        <v>0</v>
      </c>
      <c r="JA12" s="64"/>
      <c r="JB12" s="73"/>
      <c r="JC12" s="72">
        <f t="shared" si="269"/>
        <v>0</v>
      </c>
      <c r="JD12" s="64"/>
      <c r="JE12" s="73"/>
      <c r="JF12" s="72">
        <f t="shared" si="224"/>
        <v>0</v>
      </c>
      <c r="JG12" s="64"/>
      <c r="JH12" s="73"/>
      <c r="JI12" s="72">
        <f t="shared" si="225"/>
        <v>0</v>
      </c>
      <c r="JJ12" s="64"/>
      <c r="JK12" s="73"/>
      <c r="JL12" s="72">
        <f t="shared" si="226"/>
        <v>0</v>
      </c>
      <c r="JM12" s="64"/>
      <c r="JN12" s="73"/>
      <c r="JO12" s="72">
        <f t="shared" si="270"/>
        <v>0</v>
      </c>
      <c r="JP12" s="64"/>
      <c r="JQ12" s="73"/>
      <c r="JR12" s="72">
        <f t="shared" si="271"/>
        <v>0</v>
      </c>
      <c r="JS12" s="64"/>
      <c r="JT12" s="73"/>
      <c r="JU12" s="72">
        <f t="shared" si="227"/>
        <v>0</v>
      </c>
      <c r="JV12" s="64"/>
      <c r="JW12" s="73"/>
      <c r="JX12" s="72">
        <f t="shared" si="228"/>
        <v>0</v>
      </c>
      <c r="JY12" s="64"/>
      <c r="JZ12" s="73"/>
      <c r="KA12" s="72">
        <f t="shared" si="229"/>
        <v>0</v>
      </c>
      <c r="KB12" s="64"/>
      <c r="KC12" s="73"/>
      <c r="KD12" s="72">
        <f t="shared" si="272"/>
        <v>0</v>
      </c>
      <c r="KE12" s="64"/>
      <c r="KF12" s="73"/>
      <c r="KG12" s="72">
        <f t="shared" si="273"/>
        <v>0</v>
      </c>
      <c r="KH12" s="64"/>
      <c r="KI12" s="73"/>
      <c r="KJ12" s="72">
        <f t="shared" si="230"/>
        <v>0</v>
      </c>
      <c r="KK12" s="64"/>
      <c r="KL12" s="73"/>
      <c r="KM12" s="72">
        <f t="shared" si="231"/>
        <v>0</v>
      </c>
      <c r="KN12" s="64"/>
      <c r="KO12" s="73"/>
      <c r="KP12" s="72">
        <f t="shared" si="232"/>
        <v>0</v>
      </c>
      <c r="KQ12" s="64"/>
      <c r="KR12" s="73"/>
      <c r="KS12" s="72">
        <f t="shared" si="274"/>
        <v>0</v>
      </c>
      <c r="KT12" s="64"/>
      <c r="KU12" s="73"/>
      <c r="KV12" s="72">
        <f t="shared" si="275"/>
        <v>0</v>
      </c>
      <c r="KW12" s="64"/>
      <c r="KX12" s="73"/>
      <c r="KY12" s="72">
        <f t="shared" si="233"/>
        <v>0</v>
      </c>
      <c r="KZ12" s="64"/>
      <c r="LA12" s="73"/>
      <c r="LB12" s="72">
        <f t="shared" si="234"/>
        <v>0</v>
      </c>
      <c r="LC12" s="64"/>
      <c r="LD12" s="73"/>
      <c r="LE12" s="72">
        <f t="shared" si="235"/>
        <v>0</v>
      </c>
      <c r="LF12" s="64"/>
    </row>
    <row r="13" spans="1:318" s="784" customFormat="1">
      <c r="A13" s="49"/>
      <c r="B13" s="49"/>
      <c r="C13" s="436" t="str">
        <f>Idiomas!D309</f>
        <v>FASE DE GRUPOS - Posición exacta (3º)</v>
      </c>
      <c r="D13" s="62">
        <v>20</v>
      </c>
      <c r="E13" s="109"/>
      <c r="F13" s="443">
        <f t="shared" si="236"/>
        <v>15</v>
      </c>
      <c r="G13" s="443">
        <f ca="1">VLOOKUP(H13,Equipos!$Q$1:$R$25,2,0)</f>
        <v>3</v>
      </c>
      <c r="H13" s="444">
        <f ca="1">TRUNC(INDEX(WORLDCUP!$X$4:$X$147,MATCH(ADMIN!K13,WORLDCUP!$DT$4:$DT$147,0))+INDEX(Horarios!$R$3:$R$86,MATCH(Horarios!$C$3,Horarios!$P$3:$P$86,0))/24)</f>
        <v>46186</v>
      </c>
      <c r="I13" s="48">
        <v>1</v>
      </c>
      <c r="J13" s="94" t="s">
        <v>115</v>
      </c>
      <c r="K13" s="53" t="str">
        <f ca="1">CONCATENATE(WORLDCUP!AA29,"-",WORLDCUP!AF29)</f>
        <v>Australia-Turquía</v>
      </c>
      <c r="L13" s="53"/>
      <c r="M13" s="55" t="str">
        <f>IF(OR(WORLDCUP!AC29="",WORLDCUP!AD29=""),"-",N13&amp;"|"&amp;O13&amp;"-"&amp;P13)</f>
        <v>-</v>
      </c>
      <c r="N13" s="25" t="str">
        <f>IF(OR(WORLDCUP!AC29="",WORLDCUP!AD29=""),"",IF(WORLDCUP!AC29&gt;WORLDCUP!AD29,"1",IF(WORLDCUP!AC29&lt;WORLDCUP!AD29,"2","X")))</f>
        <v/>
      </c>
      <c r="O13" s="25">
        <f>WORLDCUP!AC29</f>
        <v>0</v>
      </c>
      <c r="P13" s="25">
        <f>WORLDCUP!AD29</f>
        <v>0</v>
      </c>
      <c r="Q13" s="25">
        <f t="shared" si="276"/>
        <v>0</v>
      </c>
      <c r="R13" s="49"/>
      <c r="S13" s="796" t="s">
        <v>1947</v>
      </c>
      <c r="T13" s="72">
        <f t="shared" si="237"/>
        <v>0</v>
      </c>
      <c r="U13" s="64"/>
      <c r="V13" s="73" t="s">
        <v>1963</v>
      </c>
      <c r="W13" s="72">
        <f t="shared" si="238"/>
        <v>0</v>
      </c>
      <c r="X13" s="64"/>
      <c r="Y13" s="796" t="s">
        <v>1961</v>
      </c>
      <c r="Z13" s="72">
        <f t="shared" si="176"/>
        <v>0</v>
      </c>
      <c r="AA13" s="64"/>
      <c r="AB13" s="796" t="s">
        <v>1963</v>
      </c>
      <c r="AC13" s="72">
        <f t="shared" si="177"/>
        <v>0</v>
      </c>
      <c r="AD13" s="64"/>
      <c r="AE13" s="796" t="s">
        <v>1962</v>
      </c>
      <c r="AF13" s="72">
        <f t="shared" si="239"/>
        <v>0</v>
      </c>
      <c r="AG13" s="64"/>
      <c r="AH13" s="796" t="s">
        <v>1949</v>
      </c>
      <c r="AI13" s="72">
        <f t="shared" si="240"/>
        <v>0</v>
      </c>
      <c r="AJ13" s="64"/>
      <c r="AK13" s="806" t="s">
        <v>1951</v>
      </c>
      <c r="AL13" s="72">
        <f t="shared" si="241"/>
        <v>0</v>
      </c>
      <c r="AM13" s="64"/>
      <c r="AN13" s="796" t="s">
        <v>1949</v>
      </c>
      <c r="AO13" s="72">
        <f t="shared" si="179"/>
        <v>0</v>
      </c>
      <c r="AP13" s="64"/>
      <c r="AQ13" s="806" t="s">
        <v>1962</v>
      </c>
      <c r="AR13" s="72">
        <f t="shared" si="180"/>
        <v>0</v>
      </c>
      <c r="AS13" s="64"/>
      <c r="AT13" s="796" t="s">
        <v>1963</v>
      </c>
      <c r="AU13" s="72">
        <f t="shared" si="181"/>
        <v>0</v>
      </c>
      <c r="AV13" s="64"/>
      <c r="AW13" s="796" t="s">
        <v>1949</v>
      </c>
      <c r="AX13" s="72">
        <f t="shared" si="242"/>
        <v>0</v>
      </c>
      <c r="AY13" s="64"/>
      <c r="AZ13" s="796" t="s">
        <v>1948</v>
      </c>
      <c r="BA13" s="72">
        <f t="shared" si="243"/>
        <v>0</v>
      </c>
      <c r="BB13" s="64"/>
      <c r="BC13" s="796" t="s">
        <v>1963</v>
      </c>
      <c r="BD13" s="72">
        <f t="shared" si="182"/>
        <v>0</v>
      </c>
      <c r="BE13" s="64"/>
      <c r="BF13" s="796" t="s">
        <v>1953</v>
      </c>
      <c r="BG13" s="72">
        <f t="shared" si="183"/>
        <v>0</v>
      </c>
      <c r="BH13" s="64"/>
      <c r="BI13" s="796" t="s">
        <v>1949</v>
      </c>
      <c r="BJ13" s="72">
        <f t="shared" si="184"/>
        <v>0</v>
      </c>
      <c r="BK13" s="64"/>
      <c r="BL13" s="796" t="s">
        <v>1949</v>
      </c>
      <c r="BM13" s="72">
        <f t="shared" si="244"/>
        <v>0</v>
      </c>
      <c r="BN13" s="64"/>
      <c r="BO13" s="816" t="s">
        <v>1962</v>
      </c>
      <c r="BP13" s="72">
        <f t="shared" si="245"/>
        <v>0</v>
      </c>
      <c r="BQ13" s="64"/>
      <c r="BR13" s="796" t="s">
        <v>1963</v>
      </c>
      <c r="BS13" s="72">
        <f t="shared" si="185"/>
        <v>0</v>
      </c>
      <c r="BT13" s="64"/>
      <c r="BU13" s="796" t="s">
        <v>1962</v>
      </c>
      <c r="BV13" s="72">
        <f t="shared" si="186"/>
        <v>0</v>
      </c>
      <c r="BW13" s="64"/>
      <c r="BX13" s="73" t="s">
        <v>1947</v>
      </c>
      <c r="BY13" s="72">
        <f t="shared" si="187"/>
        <v>0</v>
      </c>
      <c r="BZ13" s="64"/>
      <c r="CA13" s="816" t="s">
        <v>1949</v>
      </c>
      <c r="CB13" s="72">
        <f t="shared" si="246"/>
        <v>0</v>
      </c>
      <c r="CC13" s="64"/>
      <c r="CD13" s="825" t="s">
        <v>1963</v>
      </c>
      <c r="CE13" s="72">
        <f t="shared" si="247"/>
        <v>0</v>
      </c>
      <c r="CF13" s="64"/>
      <c r="CG13" s="796" t="s">
        <v>1951</v>
      </c>
      <c r="CH13" s="72">
        <f t="shared" si="188"/>
        <v>0</v>
      </c>
      <c r="CI13" s="64"/>
      <c r="CJ13" s="796" t="s">
        <v>1962</v>
      </c>
      <c r="CK13" s="72">
        <f t="shared" si="189"/>
        <v>0</v>
      </c>
      <c r="CL13" s="64"/>
      <c r="CM13" s="796" t="s">
        <v>1963</v>
      </c>
      <c r="CN13" s="72">
        <f t="shared" si="190"/>
        <v>0</v>
      </c>
      <c r="CO13" s="64"/>
      <c r="CP13" s="796" t="s">
        <v>1962</v>
      </c>
      <c r="CQ13" s="72">
        <f t="shared" si="248"/>
        <v>0</v>
      </c>
      <c r="CR13" s="64"/>
      <c r="CS13" s="796" t="s">
        <v>1947</v>
      </c>
      <c r="CT13" s="72">
        <f t="shared" si="249"/>
        <v>0</v>
      </c>
      <c r="CU13" s="64"/>
      <c r="CV13" s="796" t="s">
        <v>2007</v>
      </c>
      <c r="CW13" s="72">
        <f t="shared" si="191"/>
        <v>0</v>
      </c>
      <c r="CX13" s="64"/>
      <c r="CY13" s="796" t="s">
        <v>1961</v>
      </c>
      <c r="CZ13" s="72">
        <f t="shared" si="250"/>
        <v>0</v>
      </c>
      <c r="DA13" s="64"/>
      <c r="DB13" s="796" t="s">
        <v>1947</v>
      </c>
      <c r="DC13" s="72">
        <f t="shared" si="192"/>
        <v>0</v>
      </c>
      <c r="DD13" s="64"/>
      <c r="DE13" s="796" t="s">
        <v>1951</v>
      </c>
      <c r="DF13" s="72">
        <f t="shared" si="193"/>
        <v>0</v>
      </c>
      <c r="DG13" s="64"/>
      <c r="DH13" s="796" t="s">
        <v>1962</v>
      </c>
      <c r="DI13" s="72">
        <f t="shared" si="194"/>
        <v>0</v>
      </c>
      <c r="DJ13" s="64"/>
      <c r="DK13" s="796" t="s">
        <v>1947</v>
      </c>
      <c r="DL13" s="72">
        <f t="shared" si="195"/>
        <v>0</v>
      </c>
      <c r="DM13" s="64"/>
      <c r="DN13" s="795" t="s">
        <v>1958</v>
      </c>
      <c r="DO13" s="72">
        <f t="shared" si="196"/>
        <v>0</v>
      </c>
      <c r="DP13" s="64"/>
      <c r="DQ13" s="796" t="s">
        <v>1963</v>
      </c>
      <c r="DR13" s="72">
        <f t="shared" si="251"/>
        <v>0</v>
      </c>
      <c r="DS13" s="64"/>
      <c r="DT13" s="73" t="s">
        <v>1949</v>
      </c>
      <c r="DU13" s="72">
        <f t="shared" si="277"/>
        <v>0</v>
      </c>
      <c r="DV13" s="64"/>
      <c r="DW13" s="73"/>
      <c r="DX13" s="72">
        <f t="shared" si="278"/>
        <v>0</v>
      </c>
      <c r="DY13" s="64"/>
      <c r="DZ13" s="73"/>
      <c r="EA13" s="72">
        <f t="shared" si="197"/>
        <v>0</v>
      </c>
      <c r="EB13" s="64"/>
      <c r="EC13" s="73"/>
      <c r="ED13" s="72">
        <f t="shared" si="198"/>
        <v>0</v>
      </c>
      <c r="EE13" s="64"/>
      <c r="EF13" s="73"/>
      <c r="EG13" s="72">
        <f t="shared" si="199"/>
        <v>0</v>
      </c>
      <c r="EH13" s="64"/>
      <c r="EI13" s="73"/>
      <c r="EJ13" s="72">
        <f t="shared" si="252"/>
        <v>0</v>
      </c>
      <c r="EK13" s="64"/>
      <c r="EL13" s="73"/>
      <c r="EM13" s="72">
        <f t="shared" si="253"/>
        <v>0</v>
      </c>
      <c r="EN13" s="64"/>
      <c r="EO13" s="73"/>
      <c r="EP13" s="72">
        <f t="shared" si="200"/>
        <v>0</v>
      </c>
      <c r="EQ13" s="64"/>
      <c r="ER13" s="73"/>
      <c r="ES13" s="72">
        <f t="shared" si="201"/>
        <v>0</v>
      </c>
      <c r="ET13" s="64"/>
      <c r="EU13" s="73"/>
      <c r="EV13" s="72">
        <f t="shared" si="202"/>
        <v>0</v>
      </c>
      <c r="EW13" s="64"/>
      <c r="EX13" s="73"/>
      <c r="EY13" s="72">
        <f t="shared" si="254"/>
        <v>0</v>
      </c>
      <c r="EZ13" s="64"/>
      <c r="FA13" s="73"/>
      <c r="FB13" s="72">
        <f t="shared" si="255"/>
        <v>0</v>
      </c>
      <c r="FC13" s="64"/>
      <c r="FD13" s="73"/>
      <c r="FE13" s="72">
        <f t="shared" si="203"/>
        <v>0</v>
      </c>
      <c r="FF13" s="64"/>
      <c r="FG13" s="73"/>
      <c r="FH13" s="72">
        <f t="shared" si="204"/>
        <v>0</v>
      </c>
      <c r="FI13" s="64"/>
      <c r="FJ13" s="73"/>
      <c r="FK13" s="72">
        <f t="shared" si="205"/>
        <v>0</v>
      </c>
      <c r="FL13" s="64"/>
      <c r="FM13" s="73"/>
      <c r="FN13" s="72">
        <f t="shared" si="256"/>
        <v>0</v>
      </c>
      <c r="FO13" s="64"/>
      <c r="FP13" s="73"/>
      <c r="FQ13" s="72">
        <f t="shared" si="257"/>
        <v>0</v>
      </c>
      <c r="FR13" s="64"/>
      <c r="FS13" s="73"/>
      <c r="FT13" s="72">
        <f t="shared" si="206"/>
        <v>0</v>
      </c>
      <c r="FU13" s="64"/>
      <c r="FV13" s="73"/>
      <c r="FW13" s="72">
        <f t="shared" si="207"/>
        <v>0</v>
      </c>
      <c r="FX13" s="64"/>
      <c r="FY13" s="73"/>
      <c r="FZ13" s="72">
        <f t="shared" si="208"/>
        <v>0</v>
      </c>
      <c r="GA13" s="64"/>
      <c r="GB13" s="73"/>
      <c r="GC13" s="72">
        <f t="shared" si="258"/>
        <v>0</v>
      </c>
      <c r="GD13" s="64"/>
      <c r="GE13" s="73"/>
      <c r="GF13" s="72">
        <f t="shared" si="259"/>
        <v>0</v>
      </c>
      <c r="GG13" s="64"/>
      <c r="GH13" s="73"/>
      <c r="GI13" s="72">
        <f t="shared" si="209"/>
        <v>0</v>
      </c>
      <c r="GJ13" s="64"/>
      <c r="GK13" s="73"/>
      <c r="GL13" s="72">
        <f t="shared" si="210"/>
        <v>0</v>
      </c>
      <c r="GM13" s="64"/>
      <c r="GN13" s="73"/>
      <c r="GO13" s="72">
        <f t="shared" si="211"/>
        <v>0</v>
      </c>
      <c r="GP13" s="64"/>
      <c r="GQ13" s="73"/>
      <c r="GR13" s="72">
        <f t="shared" si="260"/>
        <v>0</v>
      </c>
      <c r="GS13" s="64"/>
      <c r="GT13" s="73"/>
      <c r="GU13" s="72">
        <f t="shared" si="261"/>
        <v>0</v>
      </c>
      <c r="GV13" s="64"/>
      <c r="GW13" s="73"/>
      <c r="GX13" s="72">
        <f t="shared" si="212"/>
        <v>0</v>
      </c>
      <c r="GY13" s="64"/>
      <c r="GZ13" s="73"/>
      <c r="HA13" s="72">
        <f t="shared" si="213"/>
        <v>0</v>
      </c>
      <c r="HB13" s="64"/>
      <c r="HC13" s="73"/>
      <c r="HD13" s="72">
        <f t="shared" si="214"/>
        <v>0</v>
      </c>
      <c r="HE13" s="64"/>
      <c r="HF13" s="73"/>
      <c r="HG13" s="72">
        <f t="shared" si="262"/>
        <v>0</v>
      </c>
      <c r="HH13" s="64"/>
      <c r="HI13" s="73"/>
      <c r="HJ13" s="72">
        <f t="shared" si="263"/>
        <v>0</v>
      </c>
      <c r="HK13" s="64"/>
      <c r="HL13" s="73"/>
      <c r="HM13" s="72">
        <f t="shared" si="215"/>
        <v>0</v>
      </c>
      <c r="HN13" s="64"/>
      <c r="HO13" s="73"/>
      <c r="HP13" s="72">
        <f t="shared" si="216"/>
        <v>0</v>
      </c>
      <c r="HQ13" s="64"/>
      <c r="HR13" s="73"/>
      <c r="HS13" s="72">
        <f t="shared" si="217"/>
        <v>0</v>
      </c>
      <c r="HT13" s="64"/>
      <c r="HU13" s="73"/>
      <c r="HV13" s="72">
        <f t="shared" si="264"/>
        <v>0</v>
      </c>
      <c r="HW13" s="64"/>
      <c r="HX13" s="73"/>
      <c r="HY13" s="72">
        <f t="shared" si="265"/>
        <v>0</v>
      </c>
      <c r="HZ13" s="64"/>
      <c r="IA13" s="73"/>
      <c r="IB13" s="72">
        <f t="shared" si="218"/>
        <v>0</v>
      </c>
      <c r="IC13" s="64"/>
      <c r="ID13" s="73"/>
      <c r="IE13" s="72">
        <f t="shared" si="219"/>
        <v>0</v>
      </c>
      <c r="IF13" s="64"/>
      <c r="IG13" s="73"/>
      <c r="IH13" s="72">
        <f t="shared" si="220"/>
        <v>0</v>
      </c>
      <c r="II13" s="64"/>
      <c r="IJ13" s="73"/>
      <c r="IK13" s="72">
        <f t="shared" si="266"/>
        <v>0</v>
      </c>
      <c r="IL13" s="64"/>
      <c r="IM13" s="73"/>
      <c r="IN13" s="72">
        <f t="shared" si="267"/>
        <v>0</v>
      </c>
      <c r="IO13" s="64"/>
      <c r="IP13" s="73"/>
      <c r="IQ13" s="72">
        <f t="shared" si="221"/>
        <v>0</v>
      </c>
      <c r="IR13" s="64"/>
      <c r="IS13" s="73"/>
      <c r="IT13" s="72">
        <f t="shared" si="222"/>
        <v>0</v>
      </c>
      <c r="IU13" s="64"/>
      <c r="IV13" s="73"/>
      <c r="IW13" s="72">
        <f t="shared" si="223"/>
        <v>0</v>
      </c>
      <c r="IX13" s="64"/>
      <c r="IY13" s="73"/>
      <c r="IZ13" s="72">
        <f t="shared" si="268"/>
        <v>0</v>
      </c>
      <c r="JA13" s="64"/>
      <c r="JB13" s="73"/>
      <c r="JC13" s="72">
        <f t="shared" si="269"/>
        <v>0</v>
      </c>
      <c r="JD13" s="64"/>
      <c r="JE13" s="73"/>
      <c r="JF13" s="72">
        <f t="shared" si="224"/>
        <v>0</v>
      </c>
      <c r="JG13" s="64"/>
      <c r="JH13" s="73"/>
      <c r="JI13" s="72">
        <f t="shared" si="225"/>
        <v>0</v>
      </c>
      <c r="JJ13" s="64"/>
      <c r="JK13" s="73"/>
      <c r="JL13" s="72">
        <f t="shared" si="226"/>
        <v>0</v>
      </c>
      <c r="JM13" s="64"/>
      <c r="JN13" s="73"/>
      <c r="JO13" s="72">
        <f t="shared" si="270"/>
        <v>0</v>
      </c>
      <c r="JP13" s="64"/>
      <c r="JQ13" s="73"/>
      <c r="JR13" s="72">
        <f t="shared" si="271"/>
        <v>0</v>
      </c>
      <c r="JS13" s="64"/>
      <c r="JT13" s="73"/>
      <c r="JU13" s="72">
        <f t="shared" si="227"/>
        <v>0</v>
      </c>
      <c r="JV13" s="64"/>
      <c r="JW13" s="73"/>
      <c r="JX13" s="72">
        <f t="shared" si="228"/>
        <v>0</v>
      </c>
      <c r="JY13" s="64"/>
      <c r="JZ13" s="73"/>
      <c r="KA13" s="72">
        <f t="shared" si="229"/>
        <v>0</v>
      </c>
      <c r="KB13" s="64"/>
      <c r="KC13" s="73"/>
      <c r="KD13" s="72">
        <f t="shared" si="272"/>
        <v>0</v>
      </c>
      <c r="KE13" s="64"/>
      <c r="KF13" s="73"/>
      <c r="KG13" s="72">
        <f t="shared" si="273"/>
        <v>0</v>
      </c>
      <c r="KH13" s="64"/>
      <c r="KI13" s="73"/>
      <c r="KJ13" s="72">
        <f t="shared" si="230"/>
        <v>0</v>
      </c>
      <c r="KK13" s="64"/>
      <c r="KL13" s="73"/>
      <c r="KM13" s="72">
        <f t="shared" si="231"/>
        <v>0</v>
      </c>
      <c r="KN13" s="64"/>
      <c r="KO13" s="73"/>
      <c r="KP13" s="72">
        <f t="shared" si="232"/>
        <v>0</v>
      </c>
      <c r="KQ13" s="64"/>
      <c r="KR13" s="73"/>
      <c r="KS13" s="72">
        <f t="shared" si="274"/>
        <v>0</v>
      </c>
      <c r="KT13" s="64"/>
      <c r="KU13" s="73"/>
      <c r="KV13" s="72">
        <f t="shared" si="275"/>
        <v>0</v>
      </c>
      <c r="KW13" s="64"/>
      <c r="KX13" s="73"/>
      <c r="KY13" s="72">
        <f t="shared" si="233"/>
        <v>0</v>
      </c>
      <c r="KZ13" s="64"/>
      <c r="LA13" s="73"/>
      <c r="LB13" s="72">
        <f t="shared" si="234"/>
        <v>0</v>
      </c>
      <c r="LC13" s="64"/>
      <c r="LD13" s="73"/>
      <c r="LE13" s="72">
        <f t="shared" si="235"/>
        <v>0</v>
      </c>
      <c r="LF13" s="64"/>
    </row>
    <row r="14" spans="1:318" s="784" customFormat="1">
      <c r="A14" s="49"/>
      <c r="B14" s="49"/>
      <c r="C14" s="435" t="str">
        <f>Idiomas!D310</f>
        <v>FASE DE GRUPOS - Posición exacta (4º)</v>
      </c>
      <c r="D14" s="62">
        <v>20</v>
      </c>
      <c r="E14" s="109"/>
      <c r="F14" s="443">
        <f t="shared" si="236"/>
        <v>15</v>
      </c>
      <c r="G14" s="443">
        <f ca="1">VLOOKUP(H14,Equipos!$Q$1:$R$25,2,0)</f>
        <v>4</v>
      </c>
      <c r="H14" s="444">
        <f ca="1">TRUNC(INDEX(WORLDCUP!$X$4:$X$147,MATCH(ADMIN!K14,WORLDCUP!$DT$4:$DT$147,0))+INDEX(Horarios!$R$3:$R$86,MATCH(Horarios!$C$3,Horarios!$P$3:$P$86,0))/24)</f>
        <v>46187</v>
      </c>
      <c r="I14" s="48">
        <v>1</v>
      </c>
      <c r="J14" s="93" t="s">
        <v>116</v>
      </c>
      <c r="K14" s="56" t="str">
        <f ca="1">CONCATENATE(WORLDCUP!AA36,"-",WORLDCUP!AF36)</f>
        <v>Alemania-Curazao</v>
      </c>
      <c r="L14" s="53"/>
      <c r="M14" s="55" t="str">
        <f>IF(OR(WORLDCUP!AC36="",WORLDCUP!AD36=""),"-",N14&amp;"|"&amp;O14&amp;"-"&amp;P14)</f>
        <v>-</v>
      </c>
      <c r="N14" s="25" t="str">
        <f>IF(OR(WORLDCUP!AC36="",WORLDCUP!AD36=""),"",IF(WORLDCUP!AC36&gt;WORLDCUP!AD36,"1",IF(WORLDCUP!AC36&lt;WORLDCUP!AD36,"2","X")))</f>
        <v/>
      </c>
      <c r="O14" s="25">
        <f>WORLDCUP!AC36</f>
        <v>0</v>
      </c>
      <c r="P14" s="25">
        <f>WORLDCUP!AD36</f>
        <v>0</v>
      </c>
      <c r="Q14" s="25">
        <f t="shared" si="276"/>
        <v>0</v>
      </c>
      <c r="R14" s="49"/>
      <c r="S14" s="796" t="s">
        <v>1952</v>
      </c>
      <c r="T14" s="72">
        <f t="shared" si="237"/>
        <v>0</v>
      </c>
      <c r="U14" s="64"/>
      <c r="V14" s="73" t="s">
        <v>1952</v>
      </c>
      <c r="W14" s="72">
        <f t="shared" si="238"/>
        <v>0</v>
      </c>
      <c r="X14" s="64"/>
      <c r="Y14" s="796" t="s">
        <v>1948</v>
      </c>
      <c r="Z14" s="72">
        <f t="shared" si="176"/>
        <v>0</v>
      </c>
      <c r="AA14" s="64"/>
      <c r="AB14" s="796" t="s">
        <v>1952</v>
      </c>
      <c r="AC14" s="72">
        <f t="shared" si="177"/>
        <v>0</v>
      </c>
      <c r="AD14" s="64"/>
      <c r="AE14" s="796" t="s">
        <v>1957</v>
      </c>
      <c r="AF14" s="72">
        <f t="shared" si="239"/>
        <v>0</v>
      </c>
      <c r="AG14" s="64"/>
      <c r="AH14" s="796" t="s">
        <v>1956</v>
      </c>
      <c r="AI14" s="72">
        <f t="shared" si="240"/>
        <v>0</v>
      </c>
      <c r="AJ14" s="64"/>
      <c r="AK14" s="806" t="s">
        <v>1957</v>
      </c>
      <c r="AL14" s="72">
        <f t="shared" si="241"/>
        <v>0</v>
      </c>
      <c r="AM14" s="64"/>
      <c r="AN14" s="796" t="s">
        <v>2088</v>
      </c>
      <c r="AO14" s="72">
        <f t="shared" si="179"/>
        <v>0</v>
      </c>
      <c r="AP14" s="64"/>
      <c r="AQ14" s="806" t="s">
        <v>1956</v>
      </c>
      <c r="AR14" s="72">
        <f t="shared" si="180"/>
        <v>0</v>
      </c>
      <c r="AS14" s="64"/>
      <c r="AT14" s="796" t="s">
        <v>1952</v>
      </c>
      <c r="AU14" s="72">
        <f t="shared" si="181"/>
        <v>0</v>
      </c>
      <c r="AV14" s="64"/>
      <c r="AW14" s="796" t="s">
        <v>1952</v>
      </c>
      <c r="AX14" s="72">
        <f t="shared" si="242"/>
        <v>0</v>
      </c>
      <c r="AY14" s="64"/>
      <c r="AZ14" s="796" t="s">
        <v>1949</v>
      </c>
      <c r="BA14" s="72">
        <f t="shared" si="243"/>
        <v>0</v>
      </c>
      <c r="BB14" s="64"/>
      <c r="BC14" s="796" t="s">
        <v>2051</v>
      </c>
      <c r="BD14" s="72">
        <f t="shared" si="182"/>
        <v>0</v>
      </c>
      <c r="BE14" s="64"/>
      <c r="BF14" s="796" t="s">
        <v>1957</v>
      </c>
      <c r="BG14" s="72">
        <f t="shared" si="183"/>
        <v>0</v>
      </c>
      <c r="BH14" s="64"/>
      <c r="BI14" s="796" t="s">
        <v>1956</v>
      </c>
      <c r="BJ14" s="72">
        <f t="shared" si="184"/>
        <v>0</v>
      </c>
      <c r="BK14" s="64"/>
      <c r="BL14" s="796" t="s">
        <v>2474</v>
      </c>
      <c r="BM14" s="72">
        <f t="shared" si="244"/>
        <v>0</v>
      </c>
      <c r="BN14" s="64"/>
      <c r="BO14" s="816" t="s">
        <v>1956</v>
      </c>
      <c r="BP14" s="72">
        <f t="shared" si="245"/>
        <v>0</v>
      </c>
      <c r="BQ14" s="64"/>
      <c r="BR14" s="796" t="s">
        <v>2088</v>
      </c>
      <c r="BS14" s="72">
        <f t="shared" si="185"/>
        <v>0</v>
      </c>
      <c r="BT14" s="64"/>
      <c r="BU14" s="796" t="s">
        <v>1952</v>
      </c>
      <c r="BV14" s="72">
        <f t="shared" si="186"/>
        <v>0</v>
      </c>
      <c r="BW14" s="64"/>
      <c r="BX14" s="73" t="s">
        <v>1957</v>
      </c>
      <c r="BY14" s="72">
        <f t="shared" si="187"/>
        <v>0</v>
      </c>
      <c r="BZ14" s="64"/>
      <c r="CA14" s="816" t="s">
        <v>1956</v>
      </c>
      <c r="CB14" s="72">
        <f t="shared" si="246"/>
        <v>0</v>
      </c>
      <c r="CC14" s="64"/>
      <c r="CD14" s="825" t="s">
        <v>1956</v>
      </c>
      <c r="CE14" s="72">
        <f t="shared" si="247"/>
        <v>0</v>
      </c>
      <c r="CF14" s="64"/>
      <c r="CG14" s="796" t="s">
        <v>2088</v>
      </c>
      <c r="CH14" s="72">
        <f t="shared" si="188"/>
        <v>0</v>
      </c>
      <c r="CI14" s="64"/>
      <c r="CJ14" s="796" t="s">
        <v>1957</v>
      </c>
      <c r="CK14" s="72">
        <f t="shared" si="189"/>
        <v>0</v>
      </c>
      <c r="CL14" s="64"/>
      <c r="CM14" s="796" t="s">
        <v>2195</v>
      </c>
      <c r="CN14" s="72">
        <f t="shared" si="190"/>
        <v>0</v>
      </c>
      <c r="CO14" s="64"/>
      <c r="CP14" s="796" t="s">
        <v>1957</v>
      </c>
      <c r="CQ14" s="72">
        <f t="shared" si="248"/>
        <v>0</v>
      </c>
      <c r="CR14" s="64"/>
      <c r="CS14" s="796" t="s">
        <v>1956</v>
      </c>
      <c r="CT14" s="72">
        <f t="shared" si="249"/>
        <v>0</v>
      </c>
      <c r="CU14" s="64"/>
      <c r="CV14" s="796" t="s">
        <v>1956</v>
      </c>
      <c r="CW14" s="72">
        <f t="shared" si="191"/>
        <v>0</v>
      </c>
      <c r="CX14" s="64"/>
      <c r="CY14" s="796" t="s">
        <v>1957</v>
      </c>
      <c r="CZ14" s="72">
        <f t="shared" si="250"/>
        <v>0</v>
      </c>
      <c r="DA14" s="64"/>
      <c r="DB14" s="796" t="s">
        <v>2088</v>
      </c>
      <c r="DC14" s="72">
        <f t="shared" si="192"/>
        <v>0</v>
      </c>
      <c r="DD14" s="64"/>
      <c r="DE14" s="796" t="s">
        <v>2088</v>
      </c>
      <c r="DF14" s="72">
        <f t="shared" si="193"/>
        <v>0</v>
      </c>
      <c r="DG14" s="64"/>
      <c r="DH14" s="796" t="s">
        <v>1952</v>
      </c>
      <c r="DI14" s="72">
        <f t="shared" si="194"/>
        <v>0</v>
      </c>
      <c r="DJ14" s="64"/>
      <c r="DK14" s="796" t="s">
        <v>1956</v>
      </c>
      <c r="DL14" s="72">
        <f t="shared" si="195"/>
        <v>0</v>
      </c>
      <c r="DM14" s="64"/>
      <c r="DN14" s="73"/>
      <c r="DO14" s="72">
        <f t="shared" si="196"/>
        <v>0</v>
      </c>
      <c r="DP14" s="64"/>
      <c r="DQ14" s="796" t="s">
        <v>2088</v>
      </c>
      <c r="DR14" s="72">
        <f t="shared" si="251"/>
        <v>0</v>
      </c>
      <c r="DS14" s="64"/>
      <c r="DT14" s="73" t="s">
        <v>1957</v>
      </c>
      <c r="DU14" s="72">
        <f t="shared" si="277"/>
        <v>0</v>
      </c>
      <c r="DV14" s="64"/>
      <c r="DW14" s="73"/>
      <c r="DX14" s="72">
        <f t="shared" si="278"/>
        <v>0</v>
      </c>
      <c r="DY14" s="64"/>
      <c r="DZ14" s="73"/>
      <c r="EA14" s="72">
        <f t="shared" si="197"/>
        <v>0</v>
      </c>
      <c r="EB14" s="64"/>
      <c r="EC14" s="73"/>
      <c r="ED14" s="72">
        <f t="shared" si="198"/>
        <v>0</v>
      </c>
      <c r="EE14" s="64"/>
      <c r="EF14" s="73"/>
      <c r="EG14" s="72">
        <f t="shared" si="199"/>
        <v>0</v>
      </c>
      <c r="EH14" s="64"/>
      <c r="EI14" s="73"/>
      <c r="EJ14" s="72">
        <f t="shared" si="252"/>
        <v>0</v>
      </c>
      <c r="EK14" s="64"/>
      <c r="EL14" s="73"/>
      <c r="EM14" s="72">
        <f t="shared" si="253"/>
        <v>0</v>
      </c>
      <c r="EN14" s="64"/>
      <c r="EO14" s="73"/>
      <c r="EP14" s="72">
        <f t="shared" si="200"/>
        <v>0</v>
      </c>
      <c r="EQ14" s="64"/>
      <c r="ER14" s="73"/>
      <c r="ES14" s="72">
        <f t="shared" si="201"/>
        <v>0</v>
      </c>
      <c r="ET14" s="64"/>
      <c r="EU14" s="73"/>
      <c r="EV14" s="72">
        <f t="shared" si="202"/>
        <v>0</v>
      </c>
      <c r="EW14" s="64"/>
      <c r="EX14" s="73"/>
      <c r="EY14" s="72">
        <f t="shared" si="254"/>
        <v>0</v>
      </c>
      <c r="EZ14" s="64"/>
      <c r="FA14" s="73"/>
      <c r="FB14" s="72">
        <f t="shared" si="255"/>
        <v>0</v>
      </c>
      <c r="FC14" s="64"/>
      <c r="FD14" s="73"/>
      <c r="FE14" s="72">
        <f t="shared" si="203"/>
        <v>0</v>
      </c>
      <c r="FF14" s="64"/>
      <c r="FG14" s="73"/>
      <c r="FH14" s="72">
        <f t="shared" si="204"/>
        <v>0</v>
      </c>
      <c r="FI14" s="64"/>
      <c r="FJ14" s="73"/>
      <c r="FK14" s="72">
        <f t="shared" si="205"/>
        <v>0</v>
      </c>
      <c r="FL14" s="64"/>
      <c r="FM14" s="73"/>
      <c r="FN14" s="72">
        <f t="shared" si="256"/>
        <v>0</v>
      </c>
      <c r="FO14" s="64"/>
      <c r="FP14" s="73"/>
      <c r="FQ14" s="72">
        <f t="shared" si="257"/>
        <v>0</v>
      </c>
      <c r="FR14" s="64"/>
      <c r="FS14" s="73"/>
      <c r="FT14" s="72">
        <f t="shared" si="206"/>
        <v>0</v>
      </c>
      <c r="FU14" s="64"/>
      <c r="FV14" s="73"/>
      <c r="FW14" s="72">
        <f t="shared" si="207"/>
        <v>0</v>
      </c>
      <c r="FX14" s="64"/>
      <c r="FY14" s="73"/>
      <c r="FZ14" s="72">
        <f t="shared" si="208"/>
        <v>0</v>
      </c>
      <c r="GA14" s="64"/>
      <c r="GB14" s="73"/>
      <c r="GC14" s="72">
        <f t="shared" si="258"/>
        <v>0</v>
      </c>
      <c r="GD14" s="64"/>
      <c r="GE14" s="73"/>
      <c r="GF14" s="72">
        <f t="shared" si="259"/>
        <v>0</v>
      </c>
      <c r="GG14" s="64"/>
      <c r="GH14" s="73"/>
      <c r="GI14" s="72">
        <f t="shared" si="209"/>
        <v>0</v>
      </c>
      <c r="GJ14" s="64"/>
      <c r="GK14" s="73"/>
      <c r="GL14" s="72">
        <f t="shared" si="210"/>
        <v>0</v>
      </c>
      <c r="GM14" s="64"/>
      <c r="GN14" s="73"/>
      <c r="GO14" s="72">
        <f t="shared" si="211"/>
        <v>0</v>
      </c>
      <c r="GP14" s="64"/>
      <c r="GQ14" s="73"/>
      <c r="GR14" s="72">
        <f t="shared" si="260"/>
        <v>0</v>
      </c>
      <c r="GS14" s="64"/>
      <c r="GT14" s="73"/>
      <c r="GU14" s="72">
        <f t="shared" si="261"/>
        <v>0</v>
      </c>
      <c r="GV14" s="64"/>
      <c r="GW14" s="73"/>
      <c r="GX14" s="72">
        <f t="shared" si="212"/>
        <v>0</v>
      </c>
      <c r="GY14" s="64"/>
      <c r="GZ14" s="73"/>
      <c r="HA14" s="72">
        <f t="shared" si="213"/>
        <v>0</v>
      </c>
      <c r="HB14" s="64"/>
      <c r="HC14" s="73"/>
      <c r="HD14" s="72">
        <f t="shared" si="214"/>
        <v>0</v>
      </c>
      <c r="HE14" s="64"/>
      <c r="HF14" s="73"/>
      <c r="HG14" s="72">
        <f t="shared" si="262"/>
        <v>0</v>
      </c>
      <c r="HH14" s="64"/>
      <c r="HI14" s="73"/>
      <c r="HJ14" s="72">
        <f t="shared" si="263"/>
        <v>0</v>
      </c>
      <c r="HK14" s="64"/>
      <c r="HL14" s="73"/>
      <c r="HM14" s="72">
        <f t="shared" si="215"/>
        <v>0</v>
      </c>
      <c r="HN14" s="64"/>
      <c r="HO14" s="73"/>
      <c r="HP14" s="72">
        <f t="shared" si="216"/>
        <v>0</v>
      </c>
      <c r="HQ14" s="64"/>
      <c r="HR14" s="73"/>
      <c r="HS14" s="72">
        <f t="shared" si="217"/>
        <v>0</v>
      </c>
      <c r="HT14" s="64"/>
      <c r="HU14" s="73"/>
      <c r="HV14" s="72">
        <f t="shared" si="264"/>
        <v>0</v>
      </c>
      <c r="HW14" s="64"/>
      <c r="HX14" s="73"/>
      <c r="HY14" s="72">
        <f t="shared" si="265"/>
        <v>0</v>
      </c>
      <c r="HZ14" s="64"/>
      <c r="IA14" s="73"/>
      <c r="IB14" s="72">
        <f t="shared" si="218"/>
        <v>0</v>
      </c>
      <c r="IC14" s="64"/>
      <c r="ID14" s="73"/>
      <c r="IE14" s="72">
        <f t="shared" si="219"/>
        <v>0</v>
      </c>
      <c r="IF14" s="64"/>
      <c r="IG14" s="73"/>
      <c r="IH14" s="72">
        <f t="shared" si="220"/>
        <v>0</v>
      </c>
      <c r="II14" s="64"/>
      <c r="IJ14" s="73"/>
      <c r="IK14" s="72">
        <f t="shared" si="266"/>
        <v>0</v>
      </c>
      <c r="IL14" s="64"/>
      <c r="IM14" s="73"/>
      <c r="IN14" s="72">
        <f t="shared" si="267"/>
        <v>0</v>
      </c>
      <c r="IO14" s="64"/>
      <c r="IP14" s="73"/>
      <c r="IQ14" s="72">
        <f t="shared" si="221"/>
        <v>0</v>
      </c>
      <c r="IR14" s="64"/>
      <c r="IS14" s="73"/>
      <c r="IT14" s="72">
        <f t="shared" si="222"/>
        <v>0</v>
      </c>
      <c r="IU14" s="64"/>
      <c r="IV14" s="73"/>
      <c r="IW14" s="72">
        <f t="shared" si="223"/>
        <v>0</v>
      </c>
      <c r="IX14" s="64"/>
      <c r="IY14" s="73"/>
      <c r="IZ14" s="72">
        <f t="shared" si="268"/>
        <v>0</v>
      </c>
      <c r="JA14" s="64"/>
      <c r="JB14" s="73"/>
      <c r="JC14" s="72">
        <f t="shared" si="269"/>
        <v>0</v>
      </c>
      <c r="JD14" s="64"/>
      <c r="JE14" s="73"/>
      <c r="JF14" s="72">
        <f t="shared" si="224"/>
        <v>0</v>
      </c>
      <c r="JG14" s="64"/>
      <c r="JH14" s="73"/>
      <c r="JI14" s="72">
        <f t="shared" si="225"/>
        <v>0</v>
      </c>
      <c r="JJ14" s="64"/>
      <c r="JK14" s="73"/>
      <c r="JL14" s="72">
        <f t="shared" si="226"/>
        <v>0</v>
      </c>
      <c r="JM14" s="64"/>
      <c r="JN14" s="73"/>
      <c r="JO14" s="72">
        <f t="shared" si="270"/>
        <v>0</v>
      </c>
      <c r="JP14" s="64"/>
      <c r="JQ14" s="73"/>
      <c r="JR14" s="72">
        <f t="shared" si="271"/>
        <v>0</v>
      </c>
      <c r="JS14" s="64"/>
      <c r="JT14" s="73"/>
      <c r="JU14" s="72">
        <f t="shared" si="227"/>
        <v>0</v>
      </c>
      <c r="JV14" s="64"/>
      <c r="JW14" s="73"/>
      <c r="JX14" s="72">
        <f t="shared" si="228"/>
        <v>0</v>
      </c>
      <c r="JY14" s="64"/>
      <c r="JZ14" s="73"/>
      <c r="KA14" s="72">
        <f t="shared" si="229"/>
        <v>0</v>
      </c>
      <c r="KB14" s="64"/>
      <c r="KC14" s="73"/>
      <c r="KD14" s="72">
        <f t="shared" si="272"/>
        <v>0</v>
      </c>
      <c r="KE14" s="64"/>
      <c r="KF14" s="73"/>
      <c r="KG14" s="72">
        <f t="shared" si="273"/>
        <v>0</v>
      </c>
      <c r="KH14" s="64"/>
      <c r="KI14" s="73"/>
      <c r="KJ14" s="72">
        <f t="shared" si="230"/>
        <v>0</v>
      </c>
      <c r="KK14" s="64"/>
      <c r="KL14" s="73"/>
      <c r="KM14" s="72">
        <f t="shared" si="231"/>
        <v>0</v>
      </c>
      <c r="KN14" s="64"/>
      <c r="KO14" s="73"/>
      <c r="KP14" s="72">
        <f t="shared" si="232"/>
        <v>0</v>
      </c>
      <c r="KQ14" s="64"/>
      <c r="KR14" s="73"/>
      <c r="KS14" s="72">
        <f t="shared" si="274"/>
        <v>0</v>
      </c>
      <c r="KT14" s="64"/>
      <c r="KU14" s="73"/>
      <c r="KV14" s="72">
        <f t="shared" si="275"/>
        <v>0</v>
      </c>
      <c r="KW14" s="64"/>
      <c r="KX14" s="73"/>
      <c r="KY14" s="72">
        <f t="shared" si="233"/>
        <v>0</v>
      </c>
      <c r="KZ14" s="64"/>
      <c r="LA14" s="73"/>
      <c r="LB14" s="72">
        <f t="shared" si="234"/>
        <v>0</v>
      </c>
      <c r="LC14" s="64"/>
      <c r="LD14" s="73"/>
      <c r="LE14" s="72">
        <f t="shared" si="235"/>
        <v>0</v>
      </c>
      <c r="LF14" s="64"/>
    </row>
    <row r="15" spans="1:318" s="784" customFormat="1">
      <c r="A15" s="49"/>
      <c r="B15" s="49"/>
      <c r="C15" s="437" t="str">
        <f>Idiomas!D311</f>
        <v>Equipo clasificado para DIECISEISAVOS</v>
      </c>
      <c r="D15" s="62">
        <v>15</v>
      </c>
      <c r="E15" s="109"/>
      <c r="F15" s="443">
        <f t="shared" si="236"/>
        <v>15</v>
      </c>
      <c r="G15" s="443">
        <f ca="1">VLOOKUP(H15,Equipos!$Q$1:$R$25,2,0)</f>
        <v>4</v>
      </c>
      <c r="H15" s="444">
        <f ca="1">TRUNC(INDEX(WORLDCUP!$X$4:$X$147,MATCH(ADMIN!K15,WORLDCUP!$DT$4:$DT$147,0))+INDEX(Horarios!$R$3:$R$86,MATCH(Horarios!$C$3,Horarios!$P$3:$P$86,0))/24)</f>
        <v>46187</v>
      </c>
      <c r="I15" s="48">
        <v>1</v>
      </c>
      <c r="J15" s="93" t="s">
        <v>116</v>
      </c>
      <c r="K15" s="53" t="str">
        <f ca="1">CONCATENATE(WORLDCUP!AA37,"-",WORLDCUP!AF37)</f>
        <v>Costa de Marfil-Ecuador</v>
      </c>
      <c r="L15" s="53"/>
      <c r="M15" s="55" t="str">
        <f>IF(OR(WORLDCUP!AC37="",WORLDCUP!AD37=""),"-",N15&amp;"|"&amp;O15&amp;"-"&amp;P15)</f>
        <v>-</v>
      </c>
      <c r="N15" s="25" t="str">
        <f>IF(OR(WORLDCUP!AC37="",WORLDCUP!AD37=""),"",IF(WORLDCUP!AC37&gt;WORLDCUP!AD37,"1",IF(WORLDCUP!AC37&lt;WORLDCUP!AD37,"2","X")))</f>
        <v/>
      </c>
      <c r="O15" s="25">
        <f>WORLDCUP!AC37</f>
        <v>0</v>
      </c>
      <c r="P15" s="25">
        <f>WORLDCUP!AD37</f>
        <v>0</v>
      </c>
      <c r="Q15" s="25">
        <f t="shared" si="276"/>
        <v>0</v>
      </c>
      <c r="R15" s="49"/>
      <c r="S15" s="796" t="s">
        <v>1953</v>
      </c>
      <c r="T15" s="72">
        <f t="shared" si="237"/>
        <v>0</v>
      </c>
      <c r="U15" s="64"/>
      <c r="V15" s="73" t="s">
        <v>1947</v>
      </c>
      <c r="W15" s="72">
        <f t="shared" si="238"/>
        <v>0</v>
      </c>
      <c r="X15" s="64"/>
      <c r="Y15" s="796" t="s">
        <v>1963</v>
      </c>
      <c r="Z15" s="72">
        <f t="shared" si="176"/>
        <v>0</v>
      </c>
      <c r="AA15" s="64"/>
      <c r="AB15" s="796" t="s">
        <v>2007</v>
      </c>
      <c r="AC15" s="72">
        <f t="shared" si="177"/>
        <v>0</v>
      </c>
      <c r="AD15" s="64"/>
      <c r="AE15" s="796" t="s">
        <v>1962</v>
      </c>
      <c r="AF15" s="72">
        <f t="shared" si="239"/>
        <v>0</v>
      </c>
      <c r="AG15" s="64"/>
      <c r="AH15" s="796" t="s">
        <v>1949</v>
      </c>
      <c r="AI15" s="72">
        <f t="shared" si="240"/>
        <v>0</v>
      </c>
      <c r="AJ15" s="64"/>
      <c r="AK15" s="806" t="s">
        <v>1962</v>
      </c>
      <c r="AL15" s="72">
        <f t="shared" si="241"/>
        <v>0</v>
      </c>
      <c r="AM15" s="64"/>
      <c r="AN15" s="796" t="s">
        <v>1963</v>
      </c>
      <c r="AO15" s="72">
        <f t="shared" si="179"/>
        <v>0</v>
      </c>
      <c r="AP15" s="64"/>
      <c r="AQ15" s="806" t="s">
        <v>1947</v>
      </c>
      <c r="AR15" s="72">
        <f t="shared" si="180"/>
        <v>0</v>
      </c>
      <c r="AS15" s="64"/>
      <c r="AT15" s="796" t="s">
        <v>1953</v>
      </c>
      <c r="AU15" s="72">
        <f t="shared" si="181"/>
        <v>0</v>
      </c>
      <c r="AV15" s="64"/>
      <c r="AW15" s="796" t="s">
        <v>1949</v>
      </c>
      <c r="AX15" s="72">
        <f t="shared" si="242"/>
        <v>0</v>
      </c>
      <c r="AY15" s="64"/>
      <c r="AZ15" s="796" t="s">
        <v>1958</v>
      </c>
      <c r="BA15" s="72">
        <f t="shared" si="243"/>
        <v>0</v>
      </c>
      <c r="BB15" s="64"/>
      <c r="BC15" s="796" t="s">
        <v>1949</v>
      </c>
      <c r="BD15" s="72">
        <f t="shared" si="182"/>
        <v>0</v>
      </c>
      <c r="BE15" s="64"/>
      <c r="BF15" s="796" t="s">
        <v>1949</v>
      </c>
      <c r="BG15" s="72">
        <f t="shared" si="183"/>
        <v>0</v>
      </c>
      <c r="BH15" s="64"/>
      <c r="BI15" s="796" t="s">
        <v>2007</v>
      </c>
      <c r="BJ15" s="72">
        <f t="shared" si="184"/>
        <v>0</v>
      </c>
      <c r="BK15" s="64"/>
      <c r="BL15" s="796" t="s">
        <v>1961</v>
      </c>
      <c r="BM15" s="72">
        <f t="shared" si="244"/>
        <v>0</v>
      </c>
      <c r="BN15" s="64"/>
      <c r="BO15" s="816" t="s">
        <v>1949</v>
      </c>
      <c r="BP15" s="72">
        <f t="shared" si="245"/>
        <v>0</v>
      </c>
      <c r="BQ15" s="64"/>
      <c r="BR15" s="796" t="s">
        <v>1961</v>
      </c>
      <c r="BS15" s="72">
        <f t="shared" si="185"/>
        <v>0</v>
      </c>
      <c r="BT15" s="64"/>
      <c r="BU15" s="796" t="s">
        <v>1949</v>
      </c>
      <c r="BV15" s="72">
        <f t="shared" si="186"/>
        <v>0</v>
      </c>
      <c r="BW15" s="64"/>
      <c r="BX15" s="73" t="s">
        <v>1949</v>
      </c>
      <c r="BY15" s="72">
        <f t="shared" si="187"/>
        <v>0</v>
      </c>
      <c r="BZ15" s="64"/>
      <c r="CA15" s="816" t="s">
        <v>1949</v>
      </c>
      <c r="CB15" s="72">
        <f t="shared" si="246"/>
        <v>0</v>
      </c>
      <c r="CC15" s="64"/>
      <c r="CD15" s="825" t="s">
        <v>1949</v>
      </c>
      <c r="CE15" s="72">
        <f t="shared" si="247"/>
        <v>0</v>
      </c>
      <c r="CF15" s="64"/>
      <c r="CG15" s="796" t="s">
        <v>1947</v>
      </c>
      <c r="CH15" s="72">
        <f t="shared" si="188"/>
        <v>0</v>
      </c>
      <c r="CI15" s="64"/>
      <c r="CJ15" s="796" t="s">
        <v>1962</v>
      </c>
      <c r="CK15" s="72">
        <f t="shared" si="189"/>
        <v>0</v>
      </c>
      <c r="CL15" s="64"/>
      <c r="CM15" s="796" t="s">
        <v>1963</v>
      </c>
      <c r="CN15" s="72">
        <f t="shared" si="190"/>
        <v>0</v>
      </c>
      <c r="CO15" s="64"/>
      <c r="CP15" s="796" t="s">
        <v>1953</v>
      </c>
      <c r="CQ15" s="72">
        <f t="shared" si="248"/>
        <v>0</v>
      </c>
      <c r="CR15" s="64"/>
      <c r="CS15" s="796" t="s">
        <v>1962</v>
      </c>
      <c r="CT15" s="72">
        <f t="shared" si="249"/>
        <v>0</v>
      </c>
      <c r="CU15" s="64"/>
      <c r="CV15" s="796" t="s">
        <v>1962</v>
      </c>
      <c r="CW15" s="72">
        <f t="shared" si="191"/>
        <v>0</v>
      </c>
      <c r="CX15" s="64"/>
      <c r="CY15" s="796" t="s">
        <v>1949</v>
      </c>
      <c r="CZ15" s="72">
        <f t="shared" si="250"/>
        <v>0</v>
      </c>
      <c r="DA15" s="64"/>
      <c r="DB15" s="796" t="s">
        <v>1962</v>
      </c>
      <c r="DC15" s="72">
        <f t="shared" si="192"/>
        <v>0</v>
      </c>
      <c r="DD15" s="64"/>
      <c r="DE15" s="796" t="s">
        <v>1961</v>
      </c>
      <c r="DF15" s="72">
        <f t="shared" si="193"/>
        <v>0</v>
      </c>
      <c r="DG15" s="64"/>
      <c r="DH15" s="796" t="s">
        <v>1953</v>
      </c>
      <c r="DI15" s="72">
        <f t="shared" si="194"/>
        <v>0</v>
      </c>
      <c r="DJ15" s="64"/>
      <c r="DK15" s="796" t="s">
        <v>1961</v>
      </c>
      <c r="DL15" s="72">
        <f t="shared" si="195"/>
        <v>0</v>
      </c>
      <c r="DM15" s="64"/>
      <c r="DN15" s="73"/>
      <c r="DO15" s="72">
        <f t="shared" si="196"/>
        <v>0</v>
      </c>
      <c r="DP15" s="64"/>
      <c r="DQ15" s="796" t="s">
        <v>1963</v>
      </c>
      <c r="DR15" s="72">
        <f t="shared" si="251"/>
        <v>0</v>
      </c>
      <c r="DS15" s="64"/>
      <c r="DT15" s="73" t="s">
        <v>1961</v>
      </c>
      <c r="DU15" s="72">
        <f t="shared" si="277"/>
        <v>0</v>
      </c>
      <c r="DV15" s="64"/>
      <c r="DW15" s="73"/>
      <c r="DX15" s="72">
        <f t="shared" si="278"/>
        <v>0</v>
      </c>
      <c r="DY15" s="64"/>
      <c r="DZ15" s="73"/>
      <c r="EA15" s="72">
        <f t="shared" si="197"/>
        <v>0</v>
      </c>
      <c r="EB15" s="64"/>
      <c r="EC15" s="73"/>
      <c r="ED15" s="72">
        <f t="shared" si="198"/>
        <v>0</v>
      </c>
      <c r="EE15" s="64"/>
      <c r="EF15" s="73"/>
      <c r="EG15" s="72">
        <f t="shared" si="199"/>
        <v>0</v>
      </c>
      <c r="EH15" s="64"/>
      <c r="EI15" s="73"/>
      <c r="EJ15" s="72">
        <f t="shared" si="252"/>
        <v>0</v>
      </c>
      <c r="EK15" s="64"/>
      <c r="EL15" s="73"/>
      <c r="EM15" s="72">
        <f t="shared" si="253"/>
        <v>0</v>
      </c>
      <c r="EN15" s="64"/>
      <c r="EO15" s="73"/>
      <c r="EP15" s="72">
        <f t="shared" si="200"/>
        <v>0</v>
      </c>
      <c r="EQ15" s="64"/>
      <c r="ER15" s="73"/>
      <c r="ES15" s="72">
        <f t="shared" si="201"/>
        <v>0</v>
      </c>
      <c r="ET15" s="64"/>
      <c r="EU15" s="73"/>
      <c r="EV15" s="72">
        <f t="shared" si="202"/>
        <v>0</v>
      </c>
      <c r="EW15" s="64"/>
      <c r="EX15" s="73"/>
      <c r="EY15" s="72">
        <f t="shared" si="254"/>
        <v>0</v>
      </c>
      <c r="EZ15" s="64"/>
      <c r="FA15" s="73"/>
      <c r="FB15" s="72">
        <f t="shared" si="255"/>
        <v>0</v>
      </c>
      <c r="FC15" s="64"/>
      <c r="FD15" s="73"/>
      <c r="FE15" s="72">
        <f t="shared" si="203"/>
        <v>0</v>
      </c>
      <c r="FF15" s="64"/>
      <c r="FG15" s="73"/>
      <c r="FH15" s="72">
        <f t="shared" si="204"/>
        <v>0</v>
      </c>
      <c r="FI15" s="64"/>
      <c r="FJ15" s="73"/>
      <c r="FK15" s="72">
        <f t="shared" si="205"/>
        <v>0</v>
      </c>
      <c r="FL15" s="64"/>
      <c r="FM15" s="73"/>
      <c r="FN15" s="72">
        <f t="shared" si="256"/>
        <v>0</v>
      </c>
      <c r="FO15" s="64"/>
      <c r="FP15" s="73"/>
      <c r="FQ15" s="72">
        <f t="shared" si="257"/>
        <v>0</v>
      </c>
      <c r="FR15" s="64"/>
      <c r="FS15" s="73"/>
      <c r="FT15" s="72">
        <f t="shared" si="206"/>
        <v>0</v>
      </c>
      <c r="FU15" s="64"/>
      <c r="FV15" s="73"/>
      <c r="FW15" s="72">
        <f t="shared" si="207"/>
        <v>0</v>
      </c>
      <c r="FX15" s="64"/>
      <c r="FY15" s="73"/>
      <c r="FZ15" s="72">
        <f t="shared" si="208"/>
        <v>0</v>
      </c>
      <c r="GA15" s="64"/>
      <c r="GB15" s="73"/>
      <c r="GC15" s="72">
        <f t="shared" si="258"/>
        <v>0</v>
      </c>
      <c r="GD15" s="64"/>
      <c r="GE15" s="73"/>
      <c r="GF15" s="72">
        <f t="shared" si="259"/>
        <v>0</v>
      </c>
      <c r="GG15" s="64"/>
      <c r="GH15" s="73"/>
      <c r="GI15" s="72">
        <f t="shared" si="209"/>
        <v>0</v>
      </c>
      <c r="GJ15" s="64"/>
      <c r="GK15" s="73"/>
      <c r="GL15" s="72">
        <f t="shared" si="210"/>
        <v>0</v>
      </c>
      <c r="GM15" s="64"/>
      <c r="GN15" s="73"/>
      <c r="GO15" s="72">
        <f t="shared" si="211"/>
        <v>0</v>
      </c>
      <c r="GP15" s="64"/>
      <c r="GQ15" s="73"/>
      <c r="GR15" s="72">
        <f t="shared" si="260"/>
        <v>0</v>
      </c>
      <c r="GS15" s="64"/>
      <c r="GT15" s="73"/>
      <c r="GU15" s="72">
        <f t="shared" si="261"/>
        <v>0</v>
      </c>
      <c r="GV15" s="64"/>
      <c r="GW15" s="73"/>
      <c r="GX15" s="72">
        <f t="shared" si="212"/>
        <v>0</v>
      </c>
      <c r="GY15" s="64"/>
      <c r="GZ15" s="73"/>
      <c r="HA15" s="72">
        <f t="shared" si="213"/>
        <v>0</v>
      </c>
      <c r="HB15" s="64"/>
      <c r="HC15" s="73"/>
      <c r="HD15" s="72">
        <f t="shared" si="214"/>
        <v>0</v>
      </c>
      <c r="HE15" s="64"/>
      <c r="HF15" s="73"/>
      <c r="HG15" s="72">
        <f t="shared" si="262"/>
        <v>0</v>
      </c>
      <c r="HH15" s="64"/>
      <c r="HI15" s="73"/>
      <c r="HJ15" s="72">
        <f t="shared" si="263"/>
        <v>0</v>
      </c>
      <c r="HK15" s="64"/>
      <c r="HL15" s="73"/>
      <c r="HM15" s="72">
        <f t="shared" si="215"/>
        <v>0</v>
      </c>
      <c r="HN15" s="64"/>
      <c r="HO15" s="73"/>
      <c r="HP15" s="72">
        <f t="shared" si="216"/>
        <v>0</v>
      </c>
      <c r="HQ15" s="64"/>
      <c r="HR15" s="73"/>
      <c r="HS15" s="72">
        <f t="shared" si="217"/>
        <v>0</v>
      </c>
      <c r="HT15" s="64"/>
      <c r="HU15" s="73"/>
      <c r="HV15" s="72">
        <f t="shared" si="264"/>
        <v>0</v>
      </c>
      <c r="HW15" s="64"/>
      <c r="HX15" s="73"/>
      <c r="HY15" s="72">
        <f t="shared" si="265"/>
        <v>0</v>
      </c>
      <c r="HZ15" s="64"/>
      <c r="IA15" s="73"/>
      <c r="IB15" s="72">
        <f t="shared" si="218"/>
        <v>0</v>
      </c>
      <c r="IC15" s="64"/>
      <c r="ID15" s="73"/>
      <c r="IE15" s="72">
        <f t="shared" si="219"/>
        <v>0</v>
      </c>
      <c r="IF15" s="64"/>
      <c r="IG15" s="73"/>
      <c r="IH15" s="72">
        <f t="shared" si="220"/>
        <v>0</v>
      </c>
      <c r="II15" s="64"/>
      <c r="IJ15" s="73"/>
      <c r="IK15" s="72">
        <f t="shared" si="266"/>
        <v>0</v>
      </c>
      <c r="IL15" s="64"/>
      <c r="IM15" s="73"/>
      <c r="IN15" s="72">
        <f t="shared" si="267"/>
        <v>0</v>
      </c>
      <c r="IO15" s="64"/>
      <c r="IP15" s="73"/>
      <c r="IQ15" s="72">
        <f t="shared" si="221"/>
        <v>0</v>
      </c>
      <c r="IR15" s="64"/>
      <c r="IS15" s="73"/>
      <c r="IT15" s="72">
        <f t="shared" si="222"/>
        <v>0</v>
      </c>
      <c r="IU15" s="64"/>
      <c r="IV15" s="73"/>
      <c r="IW15" s="72">
        <f t="shared" si="223"/>
        <v>0</v>
      </c>
      <c r="IX15" s="64"/>
      <c r="IY15" s="73"/>
      <c r="IZ15" s="72">
        <f t="shared" si="268"/>
        <v>0</v>
      </c>
      <c r="JA15" s="64"/>
      <c r="JB15" s="73"/>
      <c r="JC15" s="72">
        <f t="shared" si="269"/>
        <v>0</v>
      </c>
      <c r="JD15" s="64"/>
      <c r="JE15" s="73"/>
      <c r="JF15" s="72">
        <f t="shared" si="224"/>
        <v>0</v>
      </c>
      <c r="JG15" s="64"/>
      <c r="JH15" s="73"/>
      <c r="JI15" s="72">
        <f t="shared" si="225"/>
        <v>0</v>
      </c>
      <c r="JJ15" s="64"/>
      <c r="JK15" s="73"/>
      <c r="JL15" s="72">
        <f t="shared" si="226"/>
        <v>0</v>
      </c>
      <c r="JM15" s="64"/>
      <c r="JN15" s="73"/>
      <c r="JO15" s="72">
        <f t="shared" si="270"/>
        <v>0</v>
      </c>
      <c r="JP15" s="64"/>
      <c r="JQ15" s="73"/>
      <c r="JR15" s="72">
        <f t="shared" si="271"/>
        <v>0</v>
      </c>
      <c r="JS15" s="64"/>
      <c r="JT15" s="73"/>
      <c r="JU15" s="72">
        <f t="shared" si="227"/>
        <v>0</v>
      </c>
      <c r="JV15" s="64"/>
      <c r="JW15" s="73"/>
      <c r="JX15" s="72">
        <f t="shared" si="228"/>
        <v>0</v>
      </c>
      <c r="JY15" s="64"/>
      <c r="JZ15" s="73"/>
      <c r="KA15" s="72">
        <f t="shared" si="229"/>
        <v>0</v>
      </c>
      <c r="KB15" s="64"/>
      <c r="KC15" s="73"/>
      <c r="KD15" s="72">
        <f t="shared" si="272"/>
        <v>0</v>
      </c>
      <c r="KE15" s="64"/>
      <c r="KF15" s="73"/>
      <c r="KG15" s="72">
        <f t="shared" si="273"/>
        <v>0</v>
      </c>
      <c r="KH15" s="64"/>
      <c r="KI15" s="73"/>
      <c r="KJ15" s="72">
        <f t="shared" si="230"/>
        <v>0</v>
      </c>
      <c r="KK15" s="64"/>
      <c r="KL15" s="73"/>
      <c r="KM15" s="72">
        <f t="shared" si="231"/>
        <v>0</v>
      </c>
      <c r="KN15" s="64"/>
      <c r="KO15" s="73"/>
      <c r="KP15" s="72">
        <f t="shared" si="232"/>
        <v>0</v>
      </c>
      <c r="KQ15" s="64"/>
      <c r="KR15" s="73"/>
      <c r="KS15" s="72">
        <f t="shared" si="274"/>
        <v>0</v>
      </c>
      <c r="KT15" s="64"/>
      <c r="KU15" s="73"/>
      <c r="KV15" s="72">
        <f t="shared" si="275"/>
        <v>0</v>
      </c>
      <c r="KW15" s="64"/>
      <c r="KX15" s="73"/>
      <c r="KY15" s="72">
        <f t="shared" si="233"/>
        <v>0</v>
      </c>
      <c r="KZ15" s="64"/>
      <c r="LA15" s="73"/>
      <c r="LB15" s="72">
        <f t="shared" si="234"/>
        <v>0</v>
      </c>
      <c r="LC15" s="64"/>
      <c r="LD15" s="73"/>
      <c r="LE15" s="72">
        <f t="shared" si="235"/>
        <v>0</v>
      </c>
      <c r="LF15" s="64"/>
    </row>
    <row r="16" spans="1:318" s="784" customFormat="1">
      <c r="A16" s="49"/>
      <c r="B16" s="49"/>
      <c r="C16" s="435" t="str">
        <f>Idiomas!D312</f>
        <v>DIECISEISAVOS - Signo 1X2 (local, empate, visitante)</v>
      </c>
      <c r="D16" s="62">
        <v>14</v>
      </c>
      <c r="E16" s="109"/>
      <c r="F16" s="443">
        <f t="shared" si="236"/>
        <v>15</v>
      </c>
      <c r="G16" s="443">
        <f ca="1">VLOOKUP(H16,Equipos!$Q$1:$R$25,2,0)</f>
        <v>4</v>
      </c>
      <c r="H16" s="444">
        <f ca="1">TRUNC(INDEX(WORLDCUP!$X$4:$X$147,MATCH(ADMIN!K16,WORLDCUP!$DT$4:$DT$147,0))+INDEX(Horarios!$R$3:$R$86,MATCH(Horarios!$C$3,Horarios!$P$3:$P$86,0))/24)</f>
        <v>46187</v>
      </c>
      <c r="I16" s="48">
        <v>1</v>
      </c>
      <c r="J16" s="94" t="s">
        <v>117</v>
      </c>
      <c r="K16" s="56" t="str">
        <f ca="1">CONCATENATE(WORLDCUP!AA44,"-",WORLDCUP!AF44)</f>
        <v>Países Bajos-Japón</v>
      </c>
      <c r="L16" s="53"/>
      <c r="M16" s="55" t="str">
        <f>IF(OR(WORLDCUP!AC44="",WORLDCUP!AD44=""),"-",N16&amp;"|"&amp;O16&amp;"-"&amp;P16)</f>
        <v>-</v>
      </c>
      <c r="N16" s="25" t="str">
        <f>IF(OR(WORLDCUP!AC44="",WORLDCUP!AD44=""),"",IF(WORLDCUP!AC44&gt;WORLDCUP!AD44,"1",IF(WORLDCUP!AC44&lt;WORLDCUP!AD44,"2","X")))</f>
        <v/>
      </c>
      <c r="O16" s="25">
        <f>WORLDCUP!AC44</f>
        <v>0</v>
      </c>
      <c r="P16" s="25">
        <f>WORLDCUP!AD44</f>
        <v>0</v>
      </c>
      <c r="Q16" s="25">
        <f t="shared" si="276"/>
        <v>0</v>
      </c>
      <c r="R16" s="49"/>
      <c r="S16" s="796" t="s">
        <v>1954</v>
      </c>
      <c r="T16" s="72">
        <f t="shared" si="237"/>
        <v>0</v>
      </c>
      <c r="U16" s="64"/>
      <c r="V16" s="73" t="s">
        <v>1954</v>
      </c>
      <c r="W16" s="72">
        <f t="shared" si="238"/>
        <v>0</v>
      </c>
      <c r="X16" s="64"/>
      <c r="Y16" s="796" t="s">
        <v>1963</v>
      </c>
      <c r="Z16" s="72">
        <f t="shared" si="176"/>
        <v>0</v>
      </c>
      <c r="AA16" s="64"/>
      <c r="AB16" s="796" t="s">
        <v>1948</v>
      </c>
      <c r="AC16" s="72">
        <f t="shared" si="177"/>
        <v>0</v>
      </c>
      <c r="AD16" s="64"/>
      <c r="AE16" s="796" t="s">
        <v>2007</v>
      </c>
      <c r="AF16" s="72">
        <f t="shared" si="239"/>
        <v>0</v>
      </c>
      <c r="AG16" s="64"/>
      <c r="AH16" s="796" t="s">
        <v>1955</v>
      </c>
      <c r="AI16" s="72">
        <f t="shared" si="240"/>
        <v>0</v>
      </c>
      <c r="AJ16" s="64"/>
      <c r="AK16" s="806" t="s">
        <v>1961</v>
      </c>
      <c r="AL16" s="72">
        <f t="shared" si="241"/>
        <v>0</v>
      </c>
      <c r="AM16" s="64"/>
      <c r="AN16" s="796" t="s">
        <v>1960</v>
      </c>
      <c r="AO16" s="72">
        <f t="shared" si="179"/>
        <v>0</v>
      </c>
      <c r="AP16" s="64"/>
      <c r="AQ16" s="806" t="s">
        <v>1948</v>
      </c>
      <c r="AR16" s="72">
        <f t="shared" si="180"/>
        <v>0</v>
      </c>
      <c r="AS16" s="64"/>
      <c r="AT16" s="796" t="s">
        <v>2007</v>
      </c>
      <c r="AU16" s="72">
        <f t="shared" si="181"/>
        <v>0</v>
      </c>
      <c r="AV16" s="64"/>
      <c r="AW16" s="796" t="s">
        <v>1948</v>
      </c>
      <c r="AX16" s="72">
        <f t="shared" si="242"/>
        <v>0</v>
      </c>
      <c r="AY16" s="64"/>
      <c r="AZ16" s="796" t="s">
        <v>1950</v>
      </c>
      <c r="BA16" s="72">
        <f t="shared" si="243"/>
        <v>0</v>
      </c>
      <c r="BB16" s="64"/>
      <c r="BC16" s="796" t="s">
        <v>1961</v>
      </c>
      <c r="BD16" s="72">
        <f t="shared" si="182"/>
        <v>0</v>
      </c>
      <c r="BE16" s="64"/>
      <c r="BF16" s="796" t="s">
        <v>1958</v>
      </c>
      <c r="BG16" s="72">
        <f t="shared" si="183"/>
        <v>0</v>
      </c>
      <c r="BH16" s="64"/>
      <c r="BI16" s="796" t="s">
        <v>1949</v>
      </c>
      <c r="BJ16" s="72">
        <f t="shared" si="184"/>
        <v>0</v>
      </c>
      <c r="BK16" s="64"/>
      <c r="BL16" s="796" t="s">
        <v>1958</v>
      </c>
      <c r="BM16" s="72">
        <f t="shared" si="244"/>
        <v>0</v>
      </c>
      <c r="BN16" s="64"/>
      <c r="BO16" s="816" t="s">
        <v>1960</v>
      </c>
      <c r="BP16" s="72">
        <f t="shared" si="245"/>
        <v>0</v>
      </c>
      <c r="BQ16" s="64"/>
      <c r="BR16" s="796" t="s">
        <v>1955</v>
      </c>
      <c r="BS16" s="72">
        <f t="shared" si="185"/>
        <v>0</v>
      </c>
      <c r="BT16" s="64"/>
      <c r="BU16" s="796" t="s">
        <v>2007</v>
      </c>
      <c r="BV16" s="72">
        <f t="shared" si="186"/>
        <v>0</v>
      </c>
      <c r="BW16" s="64"/>
      <c r="BX16" s="73" t="s">
        <v>1961</v>
      </c>
      <c r="BY16" s="72">
        <f t="shared" si="187"/>
        <v>0</v>
      </c>
      <c r="BZ16" s="64"/>
      <c r="CA16" s="816" t="s">
        <v>1955</v>
      </c>
      <c r="CB16" s="72">
        <f t="shared" si="246"/>
        <v>0</v>
      </c>
      <c r="CC16" s="64"/>
      <c r="CD16" s="825" t="s">
        <v>1960</v>
      </c>
      <c r="CE16" s="72">
        <f t="shared" si="247"/>
        <v>0</v>
      </c>
      <c r="CF16" s="64"/>
      <c r="CG16" s="796" t="s">
        <v>1954</v>
      </c>
      <c r="CH16" s="72">
        <f t="shared" si="188"/>
        <v>0</v>
      </c>
      <c r="CI16" s="64"/>
      <c r="CJ16" s="796" t="s">
        <v>2007</v>
      </c>
      <c r="CK16" s="72">
        <f t="shared" si="189"/>
        <v>0</v>
      </c>
      <c r="CL16" s="64"/>
      <c r="CM16" s="796" t="s">
        <v>1955</v>
      </c>
      <c r="CN16" s="72">
        <f t="shared" si="190"/>
        <v>0</v>
      </c>
      <c r="CO16" s="64"/>
      <c r="CP16" s="796" t="s">
        <v>1963</v>
      </c>
      <c r="CQ16" s="72">
        <f t="shared" si="248"/>
        <v>0</v>
      </c>
      <c r="CR16" s="64"/>
      <c r="CS16" s="796" t="s">
        <v>1963</v>
      </c>
      <c r="CT16" s="72">
        <f t="shared" si="249"/>
        <v>0</v>
      </c>
      <c r="CU16" s="64"/>
      <c r="CV16" s="796" t="s">
        <v>2007</v>
      </c>
      <c r="CW16" s="72">
        <f t="shared" si="191"/>
        <v>0</v>
      </c>
      <c r="CX16" s="64"/>
      <c r="CY16" s="796" t="s">
        <v>2007</v>
      </c>
      <c r="CZ16" s="72">
        <f t="shared" si="250"/>
        <v>0</v>
      </c>
      <c r="DA16" s="64"/>
      <c r="DB16" s="796" t="s">
        <v>1949</v>
      </c>
      <c r="DC16" s="72">
        <f t="shared" si="192"/>
        <v>0</v>
      </c>
      <c r="DD16" s="64"/>
      <c r="DE16" s="796" t="s">
        <v>1961</v>
      </c>
      <c r="DF16" s="72">
        <f t="shared" si="193"/>
        <v>0</v>
      </c>
      <c r="DG16" s="64"/>
      <c r="DH16" s="796" t="s">
        <v>1955</v>
      </c>
      <c r="DI16" s="72">
        <f t="shared" si="194"/>
        <v>0</v>
      </c>
      <c r="DJ16" s="64"/>
      <c r="DK16" s="796" t="s">
        <v>2007</v>
      </c>
      <c r="DL16" s="72">
        <f t="shared" si="195"/>
        <v>0</v>
      </c>
      <c r="DM16" s="64"/>
      <c r="DN16" s="73"/>
      <c r="DO16" s="72">
        <f t="shared" si="196"/>
        <v>0</v>
      </c>
      <c r="DP16" s="64"/>
      <c r="DQ16" s="796" t="s">
        <v>1954</v>
      </c>
      <c r="DR16" s="72">
        <f t="shared" si="251"/>
        <v>0</v>
      </c>
      <c r="DS16" s="64"/>
      <c r="DT16" s="73" t="s">
        <v>1955</v>
      </c>
      <c r="DU16" s="72">
        <f t="shared" si="277"/>
        <v>0</v>
      </c>
      <c r="DV16" s="64"/>
      <c r="DW16" s="73"/>
      <c r="DX16" s="72">
        <f t="shared" si="278"/>
        <v>0</v>
      </c>
      <c r="DY16" s="64"/>
      <c r="DZ16" s="73"/>
      <c r="EA16" s="72">
        <f t="shared" si="197"/>
        <v>0</v>
      </c>
      <c r="EB16" s="64"/>
      <c r="EC16" s="73"/>
      <c r="ED16" s="72">
        <f t="shared" si="198"/>
        <v>0</v>
      </c>
      <c r="EE16" s="64"/>
      <c r="EF16" s="73"/>
      <c r="EG16" s="72">
        <f t="shared" si="199"/>
        <v>0</v>
      </c>
      <c r="EH16" s="64"/>
      <c r="EI16" s="73"/>
      <c r="EJ16" s="72">
        <f t="shared" si="252"/>
        <v>0</v>
      </c>
      <c r="EK16" s="64"/>
      <c r="EL16" s="73"/>
      <c r="EM16" s="72">
        <f t="shared" si="253"/>
        <v>0</v>
      </c>
      <c r="EN16" s="64"/>
      <c r="EO16" s="73"/>
      <c r="EP16" s="72">
        <f t="shared" si="200"/>
        <v>0</v>
      </c>
      <c r="EQ16" s="64"/>
      <c r="ER16" s="73"/>
      <c r="ES16" s="72">
        <f t="shared" si="201"/>
        <v>0</v>
      </c>
      <c r="ET16" s="64"/>
      <c r="EU16" s="73"/>
      <c r="EV16" s="72">
        <f t="shared" si="202"/>
        <v>0</v>
      </c>
      <c r="EW16" s="64"/>
      <c r="EX16" s="73"/>
      <c r="EY16" s="72">
        <f t="shared" si="254"/>
        <v>0</v>
      </c>
      <c r="EZ16" s="64"/>
      <c r="FA16" s="73"/>
      <c r="FB16" s="72">
        <f t="shared" si="255"/>
        <v>0</v>
      </c>
      <c r="FC16" s="64"/>
      <c r="FD16" s="73"/>
      <c r="FE16" s="72">
        <f t="shared" si="203"/>
        <v>0</v>
      </c>
      <c r="FF16" s="64"/>
      <c r="FG16" s="73"/>
      <c r="FH16" s="72">
        <f t="shared" si="204"/>
        <v>0</v>
      </c>
      <c r="FI16" s="64"/>
      <c r="FJ16" s="73"/>
      <c r="FK16" s="72">
        <f t="shared" si="205"/>
        <v>0</v>
      </c>
      <c r="FL16" s="64"/>
      <c r="FM16" s="73"/>
      <c r="FN16" s="72">
        <f t="shared" si="256"/>
        <v>0</v>
      </c>
      <c r="FO16" s="64"/>
      <c r="FP16" s="73"/>
      <c r="FQ16" s="72">
        <f t="shared" si="257"/>
        <v>0</v>
      </c>
      <c r="FR16" s="64"/>
      <c r="FS16" s="73"/>
      <c r="FT16" s="72">
        <f t="shared" si="206"/>
        <v>0</v>
      </c>
      <c r="FU16" s="64"/>
      <c r="FV16" s="73"/>
      <c r="FW16" s="72">
        <f t="shared" si="207"/>
        <v>0</v>
      </c>
      <c r="FX16" s="64"/>
      <c r="FY16" s="73"/>
      <c r="FZ16" s="72">
        <f t="shared" si="208"/>
        <v>0</v>
      </c>
      <c r="GA16" s="64"/>
      <c r="GB16" s="73"/>
      <c r="GC16" s="72">
        <f t="shared" si="258"/>
        <v>0</v>
      </c>
      <c r="GD16" s="64"/>
      <c r="GE16" s="73"/>
      <c r="GF16" s="72">
        <f t="shared" si="259"/>
        <v>0</v>
      </c>
      <c r="GG16" s="64"/>
      <c r="GH16" s="73"/>
      <c r="GI16" s="72">
        <f t="shared" si="209"/>
        <v>0</v>
      </c>
      <c r="GJ16" s="64"/>
      <c r="GK16" s="73"/>
      <c r="GL16" s="72">
        <f t="shared" si="210"/>
        <v>0</v>
      </c>
      <c r="GM16" s="64"/>
      <c r="GN16" s="73"/>
      <c r="GO16" s="72">
        <f t="shared" si="211"/>
        <v>0</v>
      </c>
      <c r="GP16" s="64"/>
      <c r="GQ16" s="73"/>
      <c r="GR16" s="72">
        <f t="shared" si="260"/>
        <v>0</v>
      </c>
      <c r="GS16" s="64"/>
      <c r="GT16" s="73"/>
      <c r="GU16" s="72">
        <f t="shared" si="261"/>
        <v>0</v>
      </c>
      <c r="GV16" s="64"/>
      <c r="GW16" s="73"/>
      <c r="GX16" s="72">
        <f t="shared" si="212"/>
        <v>0</v>
      </c>
      <c r="GY16" s="64"/>
      <c r="GZ16" s="73"/>
      <c r="HA16" s="72">
        <f t="shared" si="213"/>
        <v>0</v>
      </c>
      <c r="HB16" s="64"/>
      <c r="HC16" s="73"/>
      <c r="HD16" s="72">
        <f t="shared" si="214"/>
        <v>0</v>
      </c>
      <c r="HE16" s="64"/>
      <c r="HF16" s="73"/>
      <c r="HG16" s="72">
        <f t="shared" si="262"/>
        <v>0</v>
      </c>
      <c r="HH16" s="64"/>
      <c r="HI16" s="73"/>
      <c r="HJ16" s="72">
        <f t="shared" si="263"/>
        <v>0</v>
      </c>
      <c r="HK16" s="64"/>
      <c r="HL16" s="73"/>
      <c r="HM16" s="72">
        <f t="shared" si="215"/>
        <v>0</v>
      </c>
      <c r="HN16" s="64"/>
      <c r="HO16" s="73"/>
      <c r="HP16" s="72">
        <f t="shared" si="216"/>
        <v>0</v>
      </c>
      <c r="HQ16" s="64"/>
      <c r="HR16" s="73"/>
      <c r="HS16" s="72">
        <f t="shared" si="217"/>
        <v>0</v>
      </c>
      <c r="HT16" s="64"/>
      <c r="HU16" s="73"/>
      <c r="HV16" s="72">
        <f t="shared" si="264"/>
        <v>0</v>
      </c>
      <c r="HW16" s="64"/>
      <c r="HX16" s="73"/>
      <c r="HY16" s="72">
        <f t="shared" si="265"/>
        <v>0</v>
      </c>
      <c r="HZ16" s="64"/>
      <c r="IA16" s="73"/>
      <c r="IB16" s="72">
        <f t="shared" si="218"/>
        <v>0</v>
      </c>
      <c r="IC16" s="64"/>
      <c r="ID16" s="73"/>
      <c r="IE16" s="72">
        <f t="shared" si="219"/>
        <v>0</v>
      </c>
      <c r="IF16" s="64"/>
      <c r="IG16" s="73"/>
      <c r="IH16" s="72">
        <f t="shared" si="220"/>
        <v>0</v>
      </c>
      <c r="II16" s="64"/>
      <c r="IJ16" s="73"/>
      <c r="IK16" s="72">
        <f t="shared" si="266"/>
        <v>0</v>
      </c>
      <c r="IL16" s="64"/>
      <c r="IM16" s="73"/>
      <c r="IN16" s="72">
        <f t="shared" si="267"/>
        <v>0</v>
      </c>
      <c r="IO16" s="64"/>
      <c r="IP16" s="73"/>
      <c r="IQ16" s="72">
        <f t="shared" si="221"/>
        <v>0</v>
      </c>
      <c r="IR16" s="64"/>
      <c r="IS16" s="73"/>
      <c r="IT16" s="72">
        <f t="shared" si="222"/>
        <v>0</v>
      </c>
      <c r="IU16" s="64"/>
      <c r="IV16" s="73"/>
      <c r="IW16" s="72">
        <f t="shared" si="223"/>
        <v>0</v>
      </c>
      <c r="IX16" s="64"/>
      <c r="IY16" s="73"/>
      <c r="IZ16" s="72">
        <f t="shared" si="268"/>
        <v>0</v>
      </c>
      <c r="JA16" s="64"/>
      <c r="JB16" s="73"/>
      <c r="JC16" s="72">
        <f t="shared" si="269"/>
        <v>0</v>
      </c>
      <c r="JD16" s="64"/>
      <c r="JE16" s="73"/>
      <c r="JF16" s="72">
        <f t="shared" si="224"/>
        <v>0</v>
      </c>
      <c r="JG16" s="64"/>
      <c r="JH16" s="73"/>
      <c r="JI16" s="72">
        <f t="shared" si="225"/>
        <v>0</v>
      </c>
      <c r="JJ16" s="64"/>
      <c r="JK16" s="73"/>
      <c r="JL16" s="72">
        <f t="shared" si="226"/>
        <v>0</v>
      </c>
      <c r="JM16" s="64"/>
      <c r="JN16" s="73"/>
      <c r="JO16" s="72">
        <f t="shared" si="270"/>
        <v>0</v>
      </c>
      <c r="JP16" s="64"/>
      <c r="JQ16" s="73"/>
      <c r="JR16" s="72">
        <f t="shared" si="271"/>
        <v>0</v>
      </c>
      <c r="JS16" s="64"/>
      <c r="JT16" s="73"/>
      <c r="JU16" s="72">
        <f t="shared" si="227"/>
        <v>0</v>
      </c>
      <c r="JV16" s="64"/>
      <c r="JW16" s="73"/>
      <c r="JX16" s="72">
        <f t="shared" si="228"/>
        <v>0</v>
      </c>
      <c r="JY16" s="64"/>
      <c r="JZ16" s="73"/>
      <c r="KA16" s="72">
        <f t="shared" si="229"/>
        <v>0</v>
      </c>
      <c r="KB16" s="64"/>
      <c r="KC16" s="73"/>
      <c r="KD16" s="72">
        <f t="shared" si="272"/>
        <v>0</v>
      </c>
      <c r="KE16" s="64"/>
      <c r="KF16" s="73"/>
      <c r="KG16" s="72">
        <f t="shared" si="273"/>
        <v>0</v>
      </c>
      <c r="KH16" s="64"/>
      <c r="KI16" s="73"/>
      <c r="KJ16" s="72">
        <f t="shared" si="230"/>
        <v>0</v>
      </c>
      <c r="KK16" s="64"/>
      <c r="KL16" s="73"/>
      <c r="KM16" s="72">
        <f t="shared" si="231"/>
        <v>0</v>
      </c>
      <c r="KN16" s="64"/>
      <c r="KO16" s="73"/>
      <c r="KP16" s="72">
        <f t="shared" si="232"/>
        <v>0</v>
      </c>
      <c r="KQ16" s="64"/>
      <c r="KR16" s="73"/>
      <c r="KS16" s="72">
        <f t="shared" si="274"/>
        <v>0</v>
      </c>
      <c r="KT16" s="64"/>
      <c r="KU16" s="73"/>
      <c r="KV16" s="72">
        <f t="shared" si="275"/>
        <v>0</v>
      </c>
      <c r="KW16" s="64"/>
      <c r="KX16" s="73"/>
      <c r="KY16" s="72">
        <f t="shared" si="233"/>
        <v>0</v>
      </c>
      <c r="KZ16" s="64"/>
      <c r="LA16" s="73"/>
      <c r="LB16" s="72">
        <f t="shared" si="234"/>
        <v>0</v>
      </c>
      <c r="LC16" s="64"/>
      <c r="LD16" s="73"/>
      <c r="LE16" s="72">
        <f t="shared" si="235"/>
        <v>0</v>
      </c>
      <c r="LF16" s="64"/>
    </row>
    <row r="17" spans="1:318" s="784" customFormat="1">
      <c r="A17" s="49"/>
      <c r="B17" s="49"/>
      <c r="C17" s="436" t="str">
        <f>Idiomas!D313&amp;"**"</f>
        <v>DIECISEISAVOS - Diferencia/Distancia de goles (Con 1X2 acertado)**</v>
      </c>
      <c r="D17" s="62">
        <v>0</v>
      </c>
      <c r="E17" s="109"/>
      <c r="F17" s="443">
        <f t="shared" si="236"/>
        <v>15</v>
      </c>
      <c r="G17" s="443">
        <f ca="1">VLOOKUP(H17,Equipos!$Q$1:$R$25,2,0)</f>
        <v>4</v>
      </c>
      <c r="H17" s="444">
        <f ca="1">TRUNC(INDEX(WORLDCUP!$X$4:$X$147,MATCH(ADMIN!K17,WORLDCUP!$DT$4:$DT$147,0))+INDEX(Horarios!$R$3:$R$86,MATCH(Horarios!$C$3,Horarios!$P$3:$P$86,0))/24)</f>
        <v>46187</v>
      </c>
      <c r="I17" s="48">
        <v>1</v>
      </c>
      <c r="J17" s="94" t="s">
        <v>117</v>
      </c>
      <c r="K17" s="53" t="str">
        <f ca="1">CONCATENATE(WORLDCUP!AA45,"-",WORLDCUP!AF45)</f>
        <v>Suecia-Túnez</v>
      </c>
      <c r="L17" s="53"/>
      <c r="M17" s="55" t="str">
        <f>IF(OR(WORLDCUP!AC45="",WORLDCUP!AD45=""),"-",N17&amp;"|"&amp;O17&amp;"-"&amp;P17)</f>
        <v>-</v>
      </c>
      <c r="N17" s="25" t="str">
        <f>IF(OR(WORLDCUP!AC45="",WORLDCUP!AD45=""),"",IF(WORLDCUP!AC45&gt;WORLDCUP!AD45,"1",IF(WORLDCUP!AC45&lt;WORLDCUP!AD45,"2","X")))</f>
        <v/>
      </c>
      <c r="O17" s="25">
        <f>WORLDCUP!AC45</f>
        <v>0</v>
      </c>
      <c r="P17" s="25">
        <f>WORLDCUP!AD45</f>
        <v>0</v>
      </c>
      <c r="Q17" s="25">
        <f t="shared" si="276"/>
        <v>0</v>
      </c>
      <c r="R17" s="49"/>
      <c r="S17" s="796" t="s">
        <v>1955</v>
      </c>
      <c r="T17" s="72">
        <f t="shared" si="237"/>
        <v>0</v>
      </c>
      <c r="U17" s="64"/>
      <c r="V17" s="73" t="s">
        <v>2005</v>
      </c>
      <c r="W17" s="72">
        <f t="shared" si="238"/>
        <v>0</v>
      </c>
      <c r="X17" s="64"/>
      <c r="Y17" s="796" t="s">
        <v>1955</v>
      </c>
      <c r="Z17" s="72">
        <f t="shared" si="176"/>
        <v>0</v>
      </c>
      <c r="AA17" s="64"/>
      <c r="AB17" s="796" t="s">
        <v>1955</v>
      </c>
      <c r="AC17" s="72">
        <f t="shared" si="177"/>
        <v>0</v>
      </c>
      <c r="AD17" s="64"/>
      <c r="AE17" s="796" t="s">
        <v>1954</v>
      </c>
      <c r="AF17" s="72">
        <f t="shared" si="239"/>
        <v>0</v>
      </c>
      <c r="AG17" s="64"/>
      <c r="AH17" s="796" t="s">
        <v>1948</v>
      </c>
      <c r="AI17" s="72">
        <f t="shared" si="240"/>
        <v>0</v>
      </c>
      <c r="AJ17" s="64"/>
      <c r="AK17" s="806" t="s">
        <v>1948</v>
      </c>
      <c r="AL17" s="72">
        <f t="shared" si="241"/>
        <v>0</v>
      </c>
      <c r="AM17" s="64"/>
      <c r="AN17" s="796" t="s">
        <v>1956</v>
      </c>
      <c r="AO17" s="72">
        <f t="shared" si="179"/>
        <v>0</v>
      </c>
      <c r="AP17" s="64"/>
      <c r="AQ17" s="806" t="s">
        <v>1948</v>
      </c>
      <c r="AR17" s="72">
        <f t="shared" si="180"/>
        <v>0</v>
      </c>
      <c r="AS17" s="64"/>
      <c r="AT17" s="796" t="s">
        <v>1955</v>
      </c>
      <c r="AU17" s="72">
        <f t="shared" si="181"/>
        <v>0</v>
      </c>
      <c r="AV17" s="64"/>
      <c r="AW17" s="796" t="s">
        <v>1960</v>
      </c>
      <c r="AX17" s="72">
        <f t="shared" si="242"/>
        <v>0</v>
      </c>
      <c r="AY17" s="64"/>
      <c r="AZ17" s="796" t="s">
        <v>1962</v>
      </c>
      <c r="BA17" s="72">
        <f t="shared" si="243"/>
        <v>0</v>
      </c>
      <c r="BB17" s="64"/>
      <c r="BC17" s="796" t="s">
        <v>1950</v>
      </c>
      <c r="BD17" s="72">
        <f t="shared" si="182"/>
        <v>0</v>
      </c>
      <c r="BE17" s="64"/>
      <c r="BF17" s="796" t="s">
        <v>1948</v>
      </c>
      <c r="BG17" s="72">
        <f t="shared" si="183"/>
        <v>0</v>
      </c>
      <c r="BH17" s="64"/>
      <c r="BI17" s="796" t="s">
        <v>1955</v>
      </c>
      <c r="BJ17" s="72">
        <f t="shared" si="184"/>
        <v>0</v>
      </c>
      <c r="BK17" s="64"/>
      <c r="BL17" s="796" t="s">
        <v>1961</v>
      </c>
      <c r="BM17" s="72">
        <f t="shared" si="244"/>
        <v>0</v>
      </c>
      <c r="BN17" s="64"/>
      <c r="BO17" s="816" t="s">
        <v>1948</v>
      </c>
      <c r="BP17" s="72">
        <f t="shared" si="245"/>
        <v>0</v>
      </c>
      <c r="BQ17" s="64"/>
      <c r="BR17" s="796" t="s">
        <v>1955</v>
      </c>
      <c r="BS17" s="72">
        <f t="shared" si="185"/>
        <v>0</v>
      </c>
      <c r="BT17" s="64"/>
      <c r="BU17" s="796" t="s">
        <v>1958</v>
      </c>
      <c r="BV17" s="72">
        <f t="shared" si="186"/>
        <v>0</v>
      </c>
      <c r="BW17" s="64"/>
      <c r="BX17" s="73" t="s">
        <v>1958</v>
      </c>
      <c r="BY17" s="72">
        <f t="shared" si="187"/>
        <v>0</v>
      </c>
      <c r="BZ17" s="64"/>
      <c r="CA17" s="816" t="s">
        <v>1949</v>
      </c>
      <c r="CB17" s="72">
        <f t="shared" si="246"/>
        <v>0</v>
      </c>
      <c r="CC17" s="64"/>
      <c r="CD17" s="825" t="s">
        <v>1956</v>
      </c>
      <c r="CE17" s="72">
        <f t="shared" si="247"/>
        <v>0</v>
      </c>
      <c r="CF17" s="64"/>
      <c r="CG17" s="796" t="s">
        <v>1958</v>
      </c>
      <c r="CH17" s="72">
        <f t="shared" si="188"/>
        <v>0</v>
      </c>
      <c r="CI17" s="64"/>
      <c r="CJ17" s="796" t="s">
        <v>1955</v>
      </c>
      <c r="CK17" s="72">
        <f t="shared" si="189"/>
        <v>0</v>
      </c>
      <c r="CL17" s="64"/>
      <c r="CM17" s="796" t="s">
        <v>1961</v>
      </c>
      <c r="CN17" s="72">
        <f t="shared" si="190"/>
        <v>0</v>
      </c>
      <c r="CO17" s="64"/>
      <c r="CP17" s="796" t="s">
        <v>2051</v>
      </c>
      <c r="CQ17" s="72">
        <f t="shared" si="248"/>
        <v>0</v>
      </c>
      <c r="CR17" s="64"/>
      <c r="CS17" s="796" t="s">
        <v>1948</v>
      </c>
      <c r="CT17" s="72">
        <f t="shared" si="249"/>
        <v>0</v>
      </c>
      <c r="CU17" s="64"/>
      <c r="CV17" s="796" t="s">
        <v>1961</v>
      </c>
      <c r="CW17" s="72">
        <f t="shared" si="191"/>
        <v>0</v>
      </c>
      <c r="CX17" s="64"/>
      <c r="CY17" s="796" t="s">
        <v>1958</v>
      </c>
      <c r="CZ17" s="72">
        <f t="shared" si="250"/>
        <v>0</v>
      </c>
      <c r="DA17" s="64"/>
      <c r="DB17" s="796" t="s">
        <v>1948</v>
      </c>
      <c r="DC17" s="72">
        <f t="shared" si="192"/>
        <v>0</v>
      </c>
      <c r="DD17" s="64"/>
      <c r="DE17" s="796" t="s">
        <v>1956</v>
      </c>
      <c r="DF17" s="72">
        <f t="shared" si="193"/>
        <v>0</v>
      </c>
      <c r="DG17" s="64"/>
      <c r="DH17" s="796" t="s">
        <v>1960</v>
      </c>
      <c r="DI17" s="72">
        <f t="shared" si="194"/>
        <v>0</v>
      </c>
      <c r="DJ17" s="64"/>
      <c r="DK17" s="796" t="s">
        <v>1948</v>
      </c>
      <c r="DL17" s="72">
        <f t="shared" si="195"/>
        <v>0</v>
      </c>
      <c r="DM17" s="64"/>
      <c r="DN17" s="73"/>
      <c r="DO17" s="72">
        <f t="shared" si="196"/>
        <v>0</v>
      </c>
      <c r="DP17" s="64"/>
      <c r="DQ17" s="796" t="s">
        <v>1948</v>
      </c>
      <c r="DR17" s="72">
        <f t="shared" si="251"/>
        <v>0</v>
      </c>
      <c r="DS17" s="64"/>
      <c r="DT17" s="73" t="s">
        <v>1958</v>
      </c>
      <c r="DU17" s="72">
        <f t="shared" si="277"/>
        <v>0</v>
      </c>
      <c r="DV17" s="64"/>
      <c r="DW17" s="73"/>
      <c r="DX17" s="72">
        <f t="shared" si="278"/>
        <v>0</v>
      </c>
      <c r="DY17" s="64"/>
      <c r="DZ17" s="73"/>
      <c r="EA17" s="72">
        <f t="shared" si="197"/>
        <v>0</v>
      </c>
      <c r="EB17" s="64"/>
      <c r="EC17" s="73"/>
      <c r="ED17" s="72">
        <f t="shared" si="198"/>
        <v>0</v>
      </c>
      <c r="EE17" s="64"/>
      <c r="EF17" s="73"/>
      <c r="EG17" s="72">
        <f t="shared" si="199"/>
        <v>0</v>
      </c>
      <c r="EH17" s="64"/>
      <c r="EI17" s="73"/>
      <c r="EJ17" s="72">
        <f t="shared" si="252"/>
        <v>0</v>
      </c>
      <c r="EK17" s="64"/>
      <c r="EL17" s="73"/>
      <c r="EM17" s="72">
        <f t="shared" si="253"/>
        <v>0</v>
      </c>
      <c r="EN17" s="64"/>
      <c r="EO17" s="73"/>
      <c r="EP17" s="72">
        <f t="shared" si="200"/>
        <v>0</v>
      </c>
      <c r="EQ17" s="64"/>
      <c r="ER17" s="73"/>
      <c r="ES17" s="72">
        <f t="shared" si="201"/>
        <v>0</v>
      </c>
      <c r="ET17" s="64"/>
      <c r="EU17" s="73"/>
      <c r="EV17" s="72">
        <f t="shared" si="202"/>
        <v>0</v>
      </c>
      <c r="EW17" s="64"/>
      <c r="EX17" s="73"/>
      <c r="EY17" s="72">
        <f t="shared" si="254"/>
        <v>0</v>
      </c>
      <c r="EZ17" s="64"/>
      <c r="FA17" s="73"/>
      <c r="FB17" s="72">
        <f t="shared" si="255"/>
        <v>0</v>
      </c>
      <c r="FC17" s="64"/>
      <c r="FD17" s="73"/>
      <c r="FE17" s="72">
        <f t="shared" si="203"/>
        <v>0</v>
      </c>
      <c r="FF17" s="64"/>
      <c r="FG17" s="73"/>
      <c r="FH17" s="72">
        <f t="shared" si="204"/>
        <v>0</v>
      </c>
      <c r="FI17" s="64"/>
      <c r="FJ17" s="73"/>
      <c r="FK17" s="72">
        <f t="shared" si="205"/>
        <v>0</v>
      </c>
      <c r="FL17" s="64"/>
      <c r="FM17" s="73"/>
      <c r="FN17" s="72">
        <f t="shared" si="256"/>
        <v>0</v>
      </c>
      <c r="FO17" s="64"/>
      <c r="FP17" s="73"/>
      <c r="FQ17" s="72">
        <f t="shared" si="257"/>
        <v>0</v>
      </c>
      <c r="FR17" s="64"/>
      <c r="FS17" s="73"/>
      <c r="FT17" s="72">
        <f t="shared" si="206"/>
        <v>0</v>
      </c>
      <c r="FU17" s="64"/>
      <c r="FV17" s="73"/>
      <c r="FW17" s="72">
        <f t="shared" si="207"/>
        <v>0</v>
      </c>
      <c r="FX17" s="64"/>
      <c r="FY17" s="73"/>
      <c r="FZ17" s="72">
        <f t="shared" si="208"/>
        <v>0</v>
      </c>
      <c r="GA17" s="64"/>
      <c r="GB17" s="73"/>
      <c r="GC17" s="72">
        <f t="shared" si="258"/>
        <v>0</v>
      </c>
      <c r="GD17" s="64"/>
      <c r="GE17" s="73"/>
      <c r="GF17" s="72">
        <f t="shared" si="259"/>
        <v>0</v>
      </c>
      <c r="GG17" s="64"/>
      <c r="GH17" s="73"/>
      <c r="GI17" s="72">
        <f t="shared" si="209"/>
        <v>0</v>
      </c>
      <c r="GJ17" s="64"/>
      <c r="GK17" s="73"/>
      <c r="GL17" s="72">
        <f t="shared" si="210"/>
        <v>0</v>
      </c>
      <c r="GM17" s="64"/>
      <c r="GN17" s="73"/>
      <c r="GO17" s="72">
        <f t="shared" si="211"/>
        <v>0</v>
      </c>
      <c r="GP17" s="64"/>
      <c r="GQ17" s="73"/>
      <c r="GR17" s="72">
        <f t="shared" si="260"/>
        <v>0</v>
      </c>
      <c r="GS17" s="64"/>
      <c r="GT17" s="73"/>
      <c r="GU17" s="72">
        <f t="shared" si="261"/>
        <v>0</v>
      </c>
      <c r="GV17" s="64"/>
      <c r="GW17" s="73"/>
      <c r="GX17" s="72">
        <f t="shared" si="212"/>
        <v>0</v>
      </c>
      <c r="GY17" s="64"/>
      <c r="GZ17" s="73"/>
      <c r="HA17" s="72">
        <f t="shared" si="213"/>
        <v>0</v>
      </c>
      <c r="HB17" s="64"/>
      <c r="HC17" s="73"/>
      <c r="HD17" s="72">
        <f t="shared" si="214"/>
        <v>0</v>
      </c>
      <c r="HE17" s="64"/>
      <c r="HF17" s="73"/>
      <c r="HG17" s="72">
        <f t="shared" si="262"/>
        <v>0</v>
      </c>
      <c r="HH17" s="64"/>
      <c r="HI17" s="73"/>
      <c r="HJ17" s="72">
        <f t="shared" si="263"/>
        <v>0</v>
      </c>
      <c r="HK17" s="64"/>
      <c r="HL17" s="73"/>
      <c r="HM17" s="72">
        <f t="shared" si="215"/>
        <v>0</v>
      </c>
      <c r="HN17" s="64"/>
      <c r="HO17" s="73"/>
      <c r="HP17" s="72">
        <f t="shared" si="216"/>
        <v>0</v>
      </c>
      <c r="HQ17" s="64"/>
      <c r="HR17" s="73"/>
      <c r="HS17" s="72">
        <f t="shared" si="217"/>
        <v>0</v>
      </c>
      <c r="HT17" s="64"/>
      <c r="HU17" s="73"/>
      <c r="HV17" s="72">
        <f t="shared" si="264"/>
        <v>0</v>
      </c>
      <c r="HW17" s="64"/>
      <c r="HX17" s="73"/>
      <c r="HY17" s="72">
        <f t="shared" si="265"/>
        <v>0</v>
      </c>
      <c r="HZ17" s="64"/>
      <c r="IA17" s="73"/>
      <c r="IB17" s="72">
        <f t="shared" si="218"/>
        <v>0</v>
      </c>
      <c r="IC17" s="64"/>
      <c r="ID17" s="73"/>
      <c r="IE17" s="72">
        <f t="shared" si="219"/>
        <v>0</v>
      </c>
      <c r="IF17" s="64"/>
      <c r="IG17" s="73"/>
      <c r="IH17" s="72">
        <f t="shared" si="220"/>
        <v>0</v>
      </c>
      <c r="II17" s="64"/>
      <c r="IJ17" s="73"/>
      <c r="IK17" s="72">
        <f t="shared" si="266"/>
        <v>0</v>
      </c>
      <c r="IL17" s="64"/>
      <c r="IM17" s="73"/>
      <c r="IN17" s="72">
        <f t="shared" si="267"/>
        <v>0</v>
      </c>
      <c r="IO17" s="64"/>
      <c r="IP17" s="73"/>
      <c r="IQ17" s="72">
        <f t="shared" si="221"/>
        <v>0</v>
      </c>
      <c r="IR17" s="64"/>
      <c r="IS17" s="73"/>
      <c r="IT17" s="72">
        <f t="shared" si="222"/>
        <v>0</v>
      </c>
      <c r="IU17" s="64"/>
      <c r="IV17" s="73"/>
      <c r="IW17" s="72">
        <f t="shared" si="223"/>
        <v>0</v>
      </c>
      <c r="IX17" s="64"/>
      <c r="IY17" s="73"/>
      <c r="IZ17" s="72">
        <f t="shared" si="268"/>
        <v>0</v>
      </c>
      <c r="JA17" s="64"/>
      <c r="JB17" s="73"/>
      <c r="JC17" s="72">
        <f t="shared" si="269"/>
        <v>0</v>
      </c>
      <c r="JD17" s="64"/>
      <c r="JE17" s="73"/>
      <c r="JF17" s="72">
        <f t="shared" si="224"/>
        <v>0</v>
      </c>
      <c r="JG17" s="64"/>
      <c r="JH17" s="73"/>
      <c r="JI17" s="72">
        <f t="shared" si="225"/>
        <v>0</v>
      </c>
      <c r="JJ17" s="64"/>
      <c r="JK17" s="73"/>
      <c r="JL17" s="72">
        <f t="shared" si="226"/>
        <v>0</v>
      </c>
      <c r="JM17" s="64"/>
      <c r="JN17" s="73"/>
      <c r="JO17" s="72">
        <f t="shared" si="270"/>
        <v>0</v>
      </c>
      <c r="JP17" s="64"/>
      <c r="JQ17" s="73"/>
      <c r="JR17" s="72">
        <f t="shared" si="271"/>
        <v>0</v>
      </c>
      <c r="JS17" s="64"/>
      <c r="JT17" s="73"/>
      <c r="JU17" s="72">
        <f t="shared" si="227"/>
        <v>0</v>
      </c>
      <c r="JV17" s="64"/>
      <c r="JW17" s="73"/>
      <c r="JX17" s="72">
        <f t="shared" si="228"/>
        <v>0</v>
      </c>
      <c r="JY17" s="64"/>
      <c r="JZ17" s="73"/>
      <c r="KA17" s="72">
        <f t="shared" si="229"/>
        <v>0</v>
      </c>
      <c r="KB17" s="64"/>
      <c r="KC17" s="73"/>
      <c r="KD17" s="72">
        <f t="shared" si="272"/>
        <v>0</v>
      </c>
      <c r="KE17" s="64"/>
      <c r="KF17" s="73"/>
      <c r="KG17" s="72">
        <f t="shared" si="273"/>
        <v>0</v>
      </c>
      <c r="KH17" s="64"/>
      <c r="KI17" s="73"/>
      <c r="KJ17" s="72">
        <f t="shared" si="230"/>
        <v>0</v>
      </c>
      <c r="KK17" s="64"/>
      <c r="KL17" s="73"/>
      <c r="KM17" s="72">
        <f t="shared" si="231"/>
        <v>0</v>
      </c>
      <c r="KN17" s="64"/>
      <c r="KO17" s="73"/>
      <c r="KP17" s="72">
        <f t="shared" si="232"/>
        <v>0</v>
      </c>
      <c r="KQ17" s="64"/>
      <c r="KR17" s="73"/>
      <c r="KS17" s="72">
        <f t="shared" si="274"/>
        <v>0</v>
      </c>
      <c r="KT17" s="64"/>
      <c r="KU17" s="73"/>
      <c r="KV17" s="72">
        <f t="shared" si="275"/>
        <v>0</v>
      </c>
      <c r="KW17" s="64"/>
      <c r="KX17" s="73"/>
      <c r="KY17" s="72">
        <f t="shared" si="233"/>
        <v>0</v>
      </c>
      <c r="KZ17" s="64"/>
      <c r="LA17" s="73"/>
      <c r="LB17" s="72">
        <f t="shared" si="234"/>
        <v>0</v>
      </c>
      <c r="LC17" s="64"/>
      <c r="LD17" s="73"/>
      <c r="LE17" s="72">
        <f t="shared" si="235"/>
        <v>0</v>
      </c>
      <c r="LF17" s="64"/>
    </row>
    <row r="18" spans="1:318" s="784" customFormat="1">
      <c r="A18" s="49"/>
      <c r="B18" s="49"/>
      <c r="C18" s="435" t="str">
        <f>Idiomas!D314</f>
        <v>DIECISEISAVOS - Resultado exacto</v>
      </c>
      <c r="D18" s="62">
        <v>16</v>
      </c>
      <c r="E18" s="109"/>
      <c r="F18" s="443">
        <f t="shared" si="236"/>
        <v>15</v>
      </c>
      <c r="G18" s="443">
        <f ca="1">VLOOKUP(H18,Equipos!$Q$1:$R$25,2,0)</f>
        <v>5</v>
      </c>
      <c r="H18" s="444">
        <f ca="1">TRUNC(INDEX(WORLDCUP!$X$4:$X$147,MATCH(ADMIN!K18,WORLDCUP!$DT$4:$DT$147,0))+INDEX(Horarios!$R$3:$R$86,MATCH(Horarios!$C$3,Horarios!$P$3:$P$86,0))/24)</f>
        <v>46188</v>
      </c>
      <c r="I18" s="48">
        <v>1</v>
      </c>
      <c r="J18" s="93" t="s">
        <v>510</v>
      </c>
      <c r="K18" s="56" t="str">
        <f ca="1">CONCATENATE(WORLDCUP!AA52,"-",WORLDCUP!AF52)</f>
        <v>Bélgica-Egipto</v>
      </c>
      <c r="L18" s="53"/>
      <c r="M18" s="55" t="str">
        <f>IF(OR(WORLDCUP!AC52="",WORLDCUP!AD52=""),"-",N18&amp;"|"&amp;O18&amp;"-"&amp;P18)</f>
        <v>-</v>
      </c>
      <c r="N18" s="25" t="str">
        <f>IF(OR(WORLDCUP!AC52="",WORLDCUP!AD52=""),"",IF(WORLDCUP!AC52&gt;WORLDCUP!AD52,"1",IF(WORLDCUP!AC52&lt;WORLDCUP!AD52,"2","X")))</f>
        <v/>
      </c>
      <c r="O18" s="25">
        <f>WORLDCUP!AC52</f>
        <v>0</v>
      </c>
      <c r="P18" s="25">
        <f>WORLDCUP!AD52</f>
        <v>0</v>
      </c>
      <c r="Q18" s="25">
        <f t="shared" si="276"/>
        <v>0</v>
      </c>
      <c r="R18" s="49"/>
      <c r="S18" s="796" t="s">
        <v>1956</v>
      </c>
      <c r="T18" s="72">
        <f t="shared" si="237"/>
        <v>0</v>
      </c>
      <c r="U18" s="64"/>
      <c r="V18" s="73" t="s">
        <v>1960</v>
      </c>
      <c r="W18" s="72">
        <f t="shared" si="238"/>
        <v>0</v>
      </c>
      <c r="X18" s="64"/>
      <c r="Y18" s="796" t="s">
        <v>1948</v>
      </c>
      <c r="Z18" s="72">
        <f t="shared" si="176"/>
        <v>0</v>
      </c>
      <c r="AA18" s="64"/>
      <c r="AB18" s="796" t="s">
        <v>1948</v>
      </c>
      <c r="AC18" s="72">
        <f t="shared" si="177"/>
        <v>0</v>
      </c>
      <c r="AD18" s="64"/>
      <c r="AE18" s="796" t="s">
        <v>1960</v>
      </c>
      <c r="AF18" s="72">
        <f t="shared" si="239"/>
        <v>0</v>
      </c>
      <c r="AG18" s="64"/>
      <c r="AH18" s="796" t="s">
        <v>1948</v>
      </c>
      <c r="AI18" s="72">
        <f t="shared" si="240"/>
        <v>0</v>
      </c>
      <c r="AJ18" s="64"/>
      <c r="AK18" s="806" t="s">
        <v>1958</v>
      </c>
      <c r="AL18" s="72">
        <f t="shared" si="241"/>
        <v>0</v>
      </c>
      <c r="AM18" s="64"/>
      <c r="AN18" s="796" t="s">
        <v>1961</v>
      </c>
      <c r="AO18" s="72">
        <f t="shared" si="179"/>
        <v>0</v>
      </c>
      <c r="AP18" s="64"/>
      <c r="AQ18" s="806" t="s">
        <v>1955</v>
      </c>
      <c r="AR18" s="72">
        <f t="shared" si="180"/>
        <v>0</v>
      </c>
      <c r="AS18" s="64"/>
      <c r="AT18" s="796" t="s">
        <v>1960</v>
      </c>
      <c r="AU18" s="72">
        <f t="shared" si="181"/>
        <v>0</v>
      </c>
      <c r="AV18" s="64"/>
      <c r="AW18" s="796" t="s">
        <v>1960</v>
      </c>
      <c r="AX18" s="72">
        <f t="shared" si="242"/>
        <v>0</v>
      </c>
      <c r="AY18" s="64"/>
      <c r="AZ18" s="796" t="s">
        <v>1962</v>
      </c>
      <c r="BA18" s="72">
        <f t="shared" si="243"/>
        <v>0</v>
      </c>
      <c r="BB18" s="64"/>
      <c r="BC18" s="796" t="s">
        <v>1960</v>
      </c>
      <c r="BD18" s="72">
        <f t="shared" si="182"/>
        <v>0</v>
      </c>
      <c r="BE18" s="64"/>
      <c r="BF18" s="796" t="s">
        <v>1955</v>
      </c>
      <c r="BG18" s="72">
        <f t="shared" si="183"/>
        <v>0</v>
      </c>
      <c r="BH18" s="64"/>
      <c r="BI18" s="796" t="s">
        <v>1961</v>
      </c>
      <c r="BJ18" s="72">
        <f t="shared" si="184"/>
        <v>0</v>
      </c>
      <c r="BK18" s="64"/>
      <c r="BL18" s="796" t="s">
        <v>1956</v>
      </c>
      <c r="BM18" s="72">
        <f t="shared" si="244"/>
        <v>0</v>
      </c>
      <c r="BN18" s="64"/>
      <c r="BO18" s="816" t="s">
        <v>1955</v>
      </c>
      <c r="BP18" s="72">
        <f t="shared" si="245"/>
        <v>0</v>
      </c>
      <c r="BQ18" s="64"/>
      <c r="BR18" s="796" t="s">
        <v>1955</v>
      </c>
      <c r="BS18" s="72">
        <f t="shared" si="185"/>
        <v>0</v>
      </c>
      <c r="BT18" s="64"/>
      <c r="BU18" s="796" t="s">
        <v>1958</v>
      </c>
      <c r="BV18" s="72">
        <f t="shared" si="186"/>
        <v>0</v>
      </c>
      <c r="BW18" s="64"/>
      <c r="BX18" s="73" t="s">
        <v>1949</v>
      </c>
      <c r="BY18" s="72">
        <f t="shared" si="187"/>
        <v>0</v>
      </c>
      <c r="BZ18" s="64"/>
      <c r="CA18" s="816" t="s">
        <v>1948</v>
      </c>
      <c r="CB18" s="72">
        <f t="shared" si="246"/>
        <v>0</v>
      </c>
      <c r="CC18" s="64"/>
      <c r="CD18" s="825" t="s">
        <v>2005</v>
      </c>
      <c r="CE18" s="72">
        <f t="shared" si="247"/>
        <v>0</v>
      </c>
      <c r="CF18" s="64"/>
      <c r="CG18" s="796" t="s">
        <v>1961</v>
      </c>
      <c r="CH18" s="72">
        <f t="shared" si="188"/>
        <v>0</v>
      </c>
      <c r="CI18" s="64"/>
      <c r="CJ18" s="796" t="s">
        <v>1955</v>
      </c>
      <c r="CK18" s="72">
        <f t="shared" si="189"/>
        <v>0</v>
      </c>
      <c r="CL18" s="64"/>
      <c r="CM18" s="796" t="s">
        <v>1956</v>
      </c>
      <c r="CN18" s="72">
        <f t="shared" si="190"/>
        <v>0</v>
      </c>
      <c r="CO18" s="64"/>
      <c r="CP18" s="796" t="s">
        <v>1960</v>
      </c>
      <c r="CQ18" s="72">
        <f t="shared" si="248"/>
        <v>0</v>
      </c>
      <c r="CR18" s="64"/>
      <c r="CS18" s="796" t="s">
        <v>1956</v>
      </c>
      <c r="CT18" s="72">
        <f t="shared" si="249"/>
        <v>0</v>
      </c>
      <c r="CU18" s="64"/>
      <c r="CV18" s="796" t="s">
        <v>1961</v>
      </c>
      <c r="CW18" s="72">
        <f t="shared" si="191"/>
        <v>0</v>
      </c>
      <c r="CX18" s="64"/>
      <c r="CY18" s="796" t="s">
        <v>1955</v>
      </c>
      <c r="CZ18" s="72">
        <f t="shared" si="250"/>
        <v>0</v>
      </c>
      <c r="DA18" s="64"/>
      <c r="DB18" s="796" t="s">
        <v>1955</v>
      </c>
      <c r="DC18" s="72">
        <f t="shared" si="192"/>
        <v>0</v>
      </c>
      <c r="DD18" s="64"/>
      <c r="DE18" s="796" t="s">
        <v>1955</v>
      </c>
      <c r="DF18" s="72">
        <f t="shared" si="193"/>
        <v>0</v>
      </c>
      <c r="DG18" s="64"/>
      <c r="DH18" s="796" t="s">
        <v>2007</v>
      </c>
      <c r="DI18" s="72">
        <f t="shared" si="194"/>
        <v>0</v>
      </c>
      <c r="DJ18" s="64"/>
      <c r="DK18" s="796" t="s">
        <v>1955</v>
      </c>
      <c r="DL18" s="72">
        <f t="shared" si="195"/>
        <v>0</v>
      </c>
      <c r="DM18" s="64"/>
      <c r="DN18" s="73"/>
      <c r="DO18" s="72">
        <f t="shared" si="196"/>
        <v>0</v>
      </c>
      <c r="DP18" s="64"/>
      <c r="DQ18" s="796" t="s">
        <v>2007</v>
      </c>
      <c r="DR18" s="72">
        <f t="shared" si="251"/>
        <v>0</v>
      </c>
      <c r="DS18" s="64"/>
      <c r="DT18" s="73" t="s">
        <v>1948</v>
      </c>
      <c r="DU18" s="72">
        <f t="shared" si="277"/>
        <v>0</v>
      </c>
      <c r="DV18" s="64"/>
      <c r="DW18" s="73"/>
      <c r="DX18" s="72">
        <f t="shared" si="278"/>
        <v>0</v>
      </c>
      <c r="DY18" s="64"/>
      <c r="DZ18" s="73"/>
      <c r="EA18" s="72">
        <f t="shared" si="197"/>
        <v>0</v>
      </c>
      <c r="EB18" s="64"/>
      <c r="EC18" s="73"/>
      <c r="ED18" s="72">
        <f t="shared" si="198"/>
        <v>0</v>
      </c>
      <c r="EE18" s="64"/>
      <c r="EF18" s="73"/>
      <c r="EG18" s="72">
        <f t="shared" si="199"/>
        <v>0</v>
      </c>
      <c r="EH18" s="64"/>
      <c r="EI18" s="73"/>
      <c r="EJ18" s="72">
        <f t="shared" si="252"/>
        <v>0</v>
      </c>
      <c r="EK18" s="64"/>
      <c r="EL18" s="73"/>
      <c r="EM18" s="72">
        <f t="shared" si="253"/>
        <v>0</v>
      </c>
      <c r="EN18" s="64"/>
      <c r="EO18" s="73"/>
      <c r="EP18" s="72">
        <f t="shared" si="200"/>
        <v>0</v>
      </c>
      <c r="EQ18" s="64"/>
      <c r="ER18" s="73"/>
      <c r="ES18" s="72">
        <f t="shared" si="201"/>
        <v>0</v>
      </c>
      <c r="ET18" s="64"/>
      <c r="EU18" s="73"/>
      <c r="EV18" s="72">
        <f t="shared" si="202"/>
        <v>0</v>
      </c>
      <c r="EW18" s="64"/>
      <c r="EX18" s="73"/>
      <c r="EY18" s="72">
        <f t="shared" si="254"/>
        <v>0</v>
      </c>
      <c r="EZ18" s="64"/>
      <c r="FA18" s="73"/>
      <c r="FB18" s="72">
        <f t="shared" si="255"/>
        <v>0</v>
      </c>
      <c r="FC18" s="64"/>
      <c r="FD18" s="73"/>
      <c r="FE18" s="72">
        <f t="shared" si="203"/>
        <v>0</v>
      </c>
      <c r="FF18" s="64"/>
      <c r="FG18" s="73"/>
      <c r="FH18" s="72">
        <f t="shared" si="204"/>
        <v>0</v>
      </c>
      <c r="FI18" s="64"/>
      <c r="FJ18" s="73"/>
      <c r="FK18" s="72">
        <f t="shared" si="205"/>
        <v>0</v>
      </c>
      <c r="FL18" s="64"/>
      <c r="FM18" s="73"/>
      <c r="FN18" s="72">
        <f t="shared" si="256"/>
        <v>0</v>
      </c>
      <c r="FO18" s="64"/>
      <c r="FP18" s="73"/>
      <c r="FQ18" s="72">
        <f t="shared" si="257"/>
        <v>0</v>
      </c>
      <c r="FR18" s="64"/>
      <c r="FS18" s="73"/>
      <c r="FT18" s="72">
        <f t="shared" si="206"/>
        <v>0</v>
      </c>
      <c r="FU18" s="64"/>
      <c r="FV18" s="73"/>
      <c r="FW18" s="72">
        <f t="shared" si="207"/>
        <v>0</v>
      </c>
      <c r="FX18" s="64"/>
      <c r="FY18" s="73"/>
      <c r="FZ18" s="72">
        <f t="shared" si="208"/>
        <v>0</v>
      </c>
      <c r="GA18" s="64"/>
      <c r="GB18" s="73"/>
      <c r="GC18" s="72">
        <f t="shared" si="258"/>
        <v>0</v>
      </c>
      <c r="GD18" s="64"/>
      <c r="GE18" s="73"/>
      <c r="GF18" s="72">
        <f t="shared" si="259"/>
        <v>0</v>
      </c>
      <c r="GG18" s="64"/>
      <c r="GH18" s="73"/>
      <c r="GI18" s="72">
        <f t="shared" si="209"/>
        <v>0</v>
      </c>
      <c r="GJ18" s="64"/>
      <c r="GK18" s="73"/>
      <c r="GL18" s="72">
        <f t="shared" si="210"/>
        <v>0</v>
      </c>
      <c r="GM18" s="64"/>
      <c r="GN18" s="73"/>
      <c r="GO18" s="72">
        <f t="shared" si="211"/>
        <v>0</v>
      </c>
      <c r="GP18" s="64"/>
      <c r="GQ18" s="73"/>
      <c r="GR18" s="72">
        <f t="shared" si="260"/>
        <v>0</v>
      </c>
      <c r="GS18" s="64"/>
      <c r="GT18" s="73"/>
      <c r="GU18" s="72">
        <f t="shared" si="261"/>
        <v>0</v>
      </c>
      <c r="GV18" s="64"/>
      <c r="GW18" s="73"/>
      <c r="GX18" s="72">
        <f t="shared" si="212"/>
        <v>0</v>
      </c>
      <c r="GY18" s="64"/>
      <c r="GZ18" s="73"/>
      <c r="HA18" s="72">
        <f t="shared" si="213"/>
        <v>0</v>
      </c>
      <c r="HB18" s="64"/>
      <c r="HC18" s="73"/>
      <c r="HD18" s="72">
        <f t="shared" si="214"/>
        <v>0</v>
      </c>
      <c r="HE18" s="64"/>
      <c r="HF18" s="73"/>
      <c r="HG18" s="72">
        <f t="shared" si="262"/>
        <v>0</v>
      </c>
      <c r="HH18" s="64"/>
      <c r="HI18" s="73"/>
      <c r="HJ18" s="72">
        <f t="shared" si="263"/>
        <v>0</v>
      </c>
      <c r="HK18" s="64"/>
      <c r="HL18" s="73"/>
      <c r="HM18" s="72">
        <f t="shared" si="215"/>
        <v>0</v>
      </c>
      <c r="HN18" s="64"/>
      <c r="HO18" s="73"/>
      <c r="HP18" s="72">
        <f t="shared" si="216"/>
        <v>0</v>
      </c>
      <c r="HQ18" s="64"/>
      <c r="HR18" s="73"/>
      <c r="HS18" s="72">
        <f t="shared" si="217"/>
        <v>0</v>
      </c>
      <c r="HT18" s="64"/>
      <c r="HU18" s="73"/>
      <c r="HV18" s="72">
        <f t="shared" si="264"/>
        <v>0</v>
      </c>
      <c r="HW18" s="64"/>
      <c r="HX18" s="73"/>
      <c r="HY18" s="72">
        <f t="shared" si="265"/>
        <v>0</v>
      </c>
      <c r="HZ18" s="64"/>
      <c r="IA18" s="73"/>
      <c r="IB18" s="72">
        <f t="shared" si="218"/>
        <v>0</v>
      </c>
      <c r="IC18" s="64"/>
      <c r="ID18" s="73"/>
      <c r="IE18" s="72">
        <f t="shared" si="219"/>
        <v>0</v>
      </c>
      <c r="IF18" s="64"/>
      <c r="IG18" s="73"/>
      <c r="IH18" s="72">
        <f t="shared" si="220"/>
        <v>0</v>
      </c>
      <c r="II18" s="64"/>
      <c r="IJ18" s="73"/>
      <c r="IK18" s="72">
        <f t="shared" si="266"/>
        <v>0</v>
      </c>
      <c r="IL18" s="64"/>
      <c r="IM18" s="73"/>
      <c r="IN18" s="72">
        <f t="shared" si="267"/>
        <v>0</v>
      </c>
      <c r="IO18" s="64"/>
      <c r="IP18" s="73"/>
      <c r="IQ18" s="72">
        <f t="shared" si="221"/>
        <v>0</v>
      </c>
      <c r="IR18" s="64"/>
      <c r="IS18" s="73"/>
      <c r="IT18" s="72">
        <f t="shared" si="222"/>
        <v>0</v>
      </c>
      <c r="IU18" s="64"/>
      <c r="IV18" s="73"/>
      <c r="IW18" s="72">
        <f t="shared" si="223"/>
        <v>0</v>
      </c>
      <c r="IX18" s="64"/>
      <c r="IY18" s="73"/>
      <c r="IZ18" s="72">
        <f t="shared" si="268"/>
        <v>0</v>
      </c>
      <c r="JA18" s="64"/>
      <c r="JB18" s="73"/>
      <c r="JC18" s="72">
        <f t="shared" si="269"/>
        <v>0</v>
      </c>
      <c r="JD18" s="64"/>
      <c r="JE18" s="73"/>
      <c r="JF18" s="72">
        <f t="shared" si="224"/>
        <v>0</v>
      </c>
      <c r="JG18" s="64"/>
      <c r="JH18" s="73"/>
      <c r="JI18" s="72">
        <f t="shared" si="225"/>
        <v>0</v>
      </c>
      <c r="JJ18" s="64"/>
      <c r="JK18" s="73"/>
      <c r="JL18" s="72">
        <f t="shared" si="226"/>
        <v>0</v>
      </c>
      <c r="JM18" s="64"/>
      <c r="JN18" s="73"/>
      <c r="JO18" s="72">
        <f t="shared" si="270"/>
        <v>0</v>
      </c>
      <c r="JP18" s="64"/>
      <c r="JQ18" s="73"/>
      <c r="JR18" s="72">
        <f t="shared" si="271"/>
        <v>0</v>
      </c>
      <c r="JS18" s="64"/>
      <c r="JT18" s="73"/>
      <c r="JU18" s="72">
        <f t="shared" si="227"/>
        <v>0</v>
      </c>
      <c r="JV18" s="64"/>
      <c r="JW18" s="73"/>
      <c r="JX18" s="72">
        <f t="shared" si="228"/>
        <v>0</v>
      </c>
      <c r="JY18" s="64"/>
      <c r="JZ18" s="73"/>
      <c r="KA18" s="72">
        <f t="shared" si="229"/>
        <v>0</v>
      </c>
      <c r="KB18" s="64"/>
      <c r="KC18" s="73"/>
      <c r="KD18" s="72">
        <f t="shared" si="272"/>
        <v>0</v>
      </c>
      <c r="KE18" s="64"/>
      <c r="KF18" s="73"/>
      <c r="KG18" s="72">
        <f t="shared" si="273"/>
        <v>0</v>
      </c>
      <c r="KH18" s="64"/>
      <c r="KI18" s="73"/>
      <c r="KJ18" s="72">
        <f t="shared" si="230"/>
        <v>0</v>
      </c>
      <c r="KK18" s="64"/>
      <c r="KL18" s="73"/>
      <c r="KM18" s="72">
        <f t="shared" si="231"/>
        <v>0</v>
      </c>
      <c r="KN18" s="64"/>
      <c r="KO18" s="73"/>
      <c r="KP18" s="72">
        <f t="shared" si="232"/>
        <v>0</v>
      </c>
      <c r="KQ18" s="64"/>
      <c r="KR18" s="73"/>
      <c r="KS18" s="72">
        <f t="shared" si="274"/>
        <v>0</v>
      </c>
      <c r="KT18" s="64"/>
      <c r="KU18" s="73"/>
      <c r="KV18" s="72">
        <f t="shared" si="275"/>
        <v>0</v>
      </c>
      <c r="KW18" s="64"/>
      <c r="KX18" s="73"/>
      <c r="KY18" s="72">
        <f t="shared" si="233"/>
        <v>0</v>
      </c>
      <c r="KZ18" s="64"/>
      <c r="LA18" s="73"/>
      <c r="LB18" s="72">
        <f t="shared" si="234"/>
        <v>0</v>
      </c>
      <c r="LC18" s="64"/>
      <c r="LD18" s="73"/>
      <c r="LE18" s="72">
        <f t="shared" si="235"/>
        <v>0</v>
      </c>
      <c r="LF18" s="64"/>
    </row>
    <row r="19" spans="1:318" s="784" customFormat="1">
      <c r="A19" s="49"/>
      <c r="B19" s="49"/>
      <c r="C19" s="437" t="str">
        <f>Idiomas!D315</f>
        <v>Equipo clasificado para OCTAVOS</v>
      </c>
      <c r="D19" s="62">
        <v>30</v>
      </c>
      <c r="E19" s="109"/>
      <c r="F19" s="443">
        <f t="shared" si="236"/>
        <v>15</v>
      </c>
      <c r="G19" s="443">
        <f ca="1">VLOOKUP(H19,Equipos!$Q$1:$R$25,2,0)</f>
        <v>5</v>
      </c>
      <c r="H19" s="444">
        <f ca="1">TRUNC(INDEX(WORLDCUP!$X$4:$X$147,MATCH(ADMIN!K19,WORLDCUP!$DT$4:$DT$147,0))+INDEX(Horarios!$R$3:$R$86,MATCH(Horarios!$C$3,Horarios!$P$3:$P$86,0))/24)</f>
        <v>46188</v>
      </c>
      <c r="I19" s="48">
        <v>1</v>
      </c>
      <c r="J19" s="93" t="s">
        <v>510</v>
      </c>
      <c r="K19" s="53" t="str">
        <f ca="1">CONCATENATE(WORLDCUP!AA53,"-",WORLDCUP!AF53)</f>
        <v>Irán-Nueva Zelanda</v>
      </c>
      <c r="L19" s="53"/>
      <c r="M19" s="55" t="str">
        <f>IF(OR(WORLDCUP!AC53="",WORLDCUP!AD53=""),"-",N19&amp;"|"&amp;O19&amp;"-"&amp;P19)</f>
        <v>-</v>
      </c>
      <c r="N19" s="25" t="str">
        <f>IF(OR(WORLDCUP!AC53="",WORLDCUP!AD53=""),"",IF(WORLDCUP!AC53&gt;WORLDCUP!AD53,"1",IF(WORLDCUP!AC53&lt;WORLDCUP!AD53,"2","X")))</f>
        <v/>
      </c>
      <c r="O19" s="25">
        <f>WORLDCUP!AC53</f>
        <v>0</v>
      </c>
      <c r="P19" s="25">
        <f>WORLDCUP!AD53</f>
        <v>0</v>
      </c>
      <c r="Q19" s="25">
        <f t="shared" si="276"/>
        <v>0</v>
      </c>
      <c r="R19" s="49"/>
      <c r="S19" s="796" t="s">
        <v>1947</v>
      </c>
      <c r="T19" s="72">
        <f t="shared" si="237"/>
        <v>0</v>
      </c>
      <c r="U19" s="64"/>
      <c r="V19" s="73" t="s">
        <v>1955</v>
      </c>
      <c r="W19" s="72">
        <f t="shared" si="238"/>
        <v>0</v>
      </c>
      <c r="X19" s="64"/>
      <c r="Y19" s="796" t="s">
        <v>1950</v>
      </c>
      <c r="Z19" s="72">
        <f t="shared" si="176"/>
        <v>0</v>
      </c>
      <c r="AA19" s="64"/>
      <c r="AB19" s="796" t="s">
        <v>1961</v>
      </c>
      <c r="AC19" s="72">
        <f t="shared" si="177"/>
        <v>0</v>
      </c>
      <c r="AD19" s="64"/>
      <c r="AE19" s="796" t="s">
        <v>1958</v>
      </c>
      <c r="AF19" s="72">
        <f t="shared" ref="AF19:AF30" si="279">IFERROR(IF($M19=AE19,($D$8+$D$9+$D$10)*$I19,IF($N19=LEFT(AE19,1),($D$8+MAX(0,IF($D$50=1,$D$9*(1-(ABS($Q19-ABS(VALUE(MID(AE19,FIND("|",AE19)+1,FIND("-",AE19)-FIND("|",AE19)-1))-VALUE(MID(AE19,FIND("-",AE19)+1,10)))))*$D$50),$D$9*(1-(IF($N19="X",ABS($O19-VALUE(MID(AE19,FIND("|",AE19)+1,FIND("-",AE19)-FIND("|",AE19)-1))),ABS($Q19-ABS(VALUE(MID(AE19,FIND("|",AE19)+1,FIND("-",AE19)-FIND("|",AE19)-1))-VALUE(MID(AE19,FIND("-",AE19)+1,10)))))*$D$50)))))*$I19,0)),0)</f>
        <v>0</v>
      </c>
      <c r="AG19" s="64"/>
      <c r="AH19" s="796" t="s">
        <v>1961</v>
      </c>
      <c r="AI19" s="72">
        <f t="shared" si="240"/>
        <v>0</v>
      </c>
      <c r="AJ19" s="64"/>
      <c r="AK19" s="806" t="s">
        <v>2007</v>
      </c>
      <c r="AL19" s="72">
        <f t="shared" si="241"/>
        <v>0</v>
      </c>
      <c r="AM19" s="64"/>
      <c r="AN19" s="796" t="s">
        <v>1950</v>
      </c>
      <c r="AO19" s="72">
        <f t="shared" si="179"/>
        <v>0</v>
      </c>
      <c r="AP19" s="64"/>
      <c r="AQ19" s="806" t="s">
        <v>1950</v>
      </c>
      <c r="AR19" s="72">
        <f t="shared" si="180"/>
        <v>0</v>
      </c>
      <c r="AS19" s="64"/>
      <c r="AT19" s="796" t="s">
        <v>1955</v>
      </c>
      <c r="AU19" s="72">
        <f t="shared" si="181"/>
        <v>0</v>
      </c>
      <c r="AV19" s="64"/>
      <c r="AW19" s="796" t="s">
        <v>1955</v>
      </c>
      <c r="AX19" s="72">
        <f t="shared" si="242"/>
        <v>0</v>
      </c>
      <c r="AY19" s="64"/>
      <c r="AZ19" s="796" t="s">
        <v>2195</v>
      </c>
      <c r="BA19" s="72">
        <f t="shared" si="243"/>
        <v>0</v>
      </c>
      <c r="BB19" s="64"/>
      <c r="BC19" s="796" t="s">
        <v>2007</v>
      </c>
      <c r="BD19" s="72">
        <f t="shared" si="182"/>
        <v>0</v>
      </c>
      <c r="BE19" s="64"/>
      <c r="BF19" s="796" t="s">
        <v>1950</v>
      </c>
      <c r="BG19" s="72">
        <f t="shared" si="183"/>
        <v>0</v>
      </c>
      <c r="BH19" s="64"/>
      <c r="BI19" s="796" t="s">
        <v>1948</v>
      </c>
      <c r="BJ19" s="72">
        <f t="shared" si="184"/>
        <v>0</v>
      </c>
      <c r="BK19" s="64"/>
      <c r="BL19" s="796" t="s">
        <v>1947</v>
      </c>
      <c r="BM19" s="72">
        <f t="shared" si="244"/>
        <v>0</v>
      </c>
      <c r="BN19" s="64"/>
      <c r="BO19" s="816" t="s">
        <v>1961</v>
      </c>
      <c r="BP19" s="72">
        <f t="shared" si="245"/>
        <v>0</v>
      </c>
      <c r="BQ19" s="64"/>
      <c r="BR19" s="796" t="s">
        <v>1948</v>
      </c>
      <c r="BS19" s="72">
        <f t="shared" si="185"/>
        <v>0</v>
      </c>
      <c r="BT19" s="64"/>
      <c r="BU19" s="796" t="s">
        <v>1947</v>
      </c>
      <c r="BV19" s="72">
        <f t="shared" si="186"/>
        <v>0</v>
      </c>
      <c r="BW19" s="64"/>
      <c r="BX19" s="73" t="s">
        <v>1961</v>
      </c>
      <c r="BY19" s="72">
        <f t="shared" si="187"/>
        <v>0</v>
      </c>
      <c r="BZ19" s="64"/>
      <c r="CA19" s="816" t="s">
        <v>1955</v>
      </c>
      <c r="CB19" s="72">
        <f t="shared" si="246"/>
        <v>0</v>
      </c>
      <c r="CC19" s="64"/>
      <c r="CD19" s="825" t="s">
        <v>1950</v>
      </c>
      <c r="CE19" s="72">
        <f t="shared" si="247"/>
        <v>0</v>
      </c>
      <c r="CF19" s="64"/>
      <c r="CG19" s="796" t="s">
        <v>1950</v>
      </c>
      <c r="CH19" s="72">
        <f t="shared" si="188"/>
        <v>0</v>
      </c>
      <c r="CI19" s="64"/>
      <c r="CJ19" s="796" t="s">
        <v>1955</v>
      </c>
      <c r="CK19" s="72">
        <f t="shared" si="189"/>
        <v>0</v>
      </c>
      <c r="CL19" s="64"/>
      <c r="CM19" s="796" t="s">
        <v>1962</v>
      </c>
      <c r="CN19" s="72">
        <f t="shared" si="190"/>
        <v>0</v>
      </c>
      <c r="CO19" s="64"/>
      <c r="CP19" s="796" t="s">
        <v>1962</v>
      </c>
      <c r="CQ19" s="72">
        <f t="shared" si="248"/>
        <v>0</v>
      </c>
      <c r="CR19" s="64"/>
      <c r="CS19" s="796" t="s">
        <v>1950</v>
      </c>
      <c r="CT19" s="72">
        <f t="shared" si="249"/>
        <v>0</v>
      </c>
      <c r="CU19" s="64"/>
      <c r="CV19" s="796" t="s">
        <v>1948</v>
      </c>
      <c r="CW19" s="72">
        <f t="shared" si="191"/>
        <v>0</v>
      </c>
      <c r="CX19" s="64"/>
      <c r="CY19" s="796" t="s">
        <v>1961</v>
      </c>
      <c r="CZ19" s="72">
        <f t="shared" si="250"/>
        <v>0</v>
      </c>
      <c r="DA19" s="64"/>
      <c r="DB19" s="796" t="s">
        <v>1950</v>
      </c>
      <c r="DC19" s="72">
        <f t="shared" si="192"/>
        <v>0</v>
      </c>
      <c r="DD19" s="64"/>
      <c r="DE19" s="796" t="s">
        <v>1955</v>
      </c>
      <c r="DF19" s="72">
        <f t="shared" si="193"/>
        <v>0</v>
      </c>
      <c r="DG19" s="64"/>
      <c r="DH19" s="796" t="s">
        <v>1955</v>
      </c>
      <c r="DI19" s="72">
        <f t="shared" si="194"/>
        <v>0</v>
      </c>
      <c r="DJ19" s="64"/>
      <c r="DK19" s="796" t="s">
        <v>1961</v>
      </c>
      <c r="DL19" s="72">
        <f t="shared" si="195"/>
        <v>0</v>
      </c>
      <c r="DM19" s="64"/>
      <c r="DN19" s="73"/>
      <c r="DO19" s="72">
        <f t="shared" si="196"/>
        <v>0</v>
      </c>
      <c r="DP19" s="64"/>
      <c r="DQ19" s="796" t="s">
        <v>1947</v>
      </c>
      <c r="DR19" s="72">
        <f t="shared" si="251"/>
        <v>0</v>
      </c>
      <c r="DS19" s="64"/>
      <c r="DT19" s="73" t="s">
        <v>1958</v>
      </c>
      <c r="DU19" s="72">
        <f t="shared" si="277"/>
        <v>0</v>
      </c>
      <c r="DV19" s="64"/>
      <c r="DW19" s="73"/>
      <c r="DX19" s="72">
        <f t="shared" si="278"/>
        <v>0</v>
      </c>
      <c r="DY19" s="64"/>
      <c r="DZ19" s="73"/>
      <c r="EA19" s="72">
        <f t="shared" si="197"/>
        <v>0</v>
      </c>
      <c r="EB19" s="64"/>
      <c r="EC19" s="73"/>
      <c r="ED19" s="72">
        <f t="shared" si="198"/>
        <v>0</v>
      </c>
      <c r="EE19" s="64"/>
      <c r="EF19" s="73"/>
      <c r="EG19" s="72">
        <f t="shared" si="199"/>
        <v>0</v>
      </c>
      <c r="EH19" s="64"/>
      <c r="EI19" s="73"/>
      <c r="EJ19" s="72">
        <f t="shared" si="252"/>
        <v>0</v>
      </c>
      <c r="EK19" s="64"/>
      <c r="EL19" s="73"/>
      <c r="EM19" s="72">
        <f t="shared" si="253"/>
        <v>0</v>
      </c>
      <c r="EN19" s="64"/>
      <c r="EO19" s="73"/>
      <c r="EP19" s="72">
        <f t="shared" si="200"/>
        <v>0</v>
      </c>
      <c r="EQ19" s="64"/>
      <c r="ER19" s="73"/>
      <c r="ES19" s="72">
        <f t="shared" si="201"/>
        <v>0</v>
      </c>
      <c r="ET19" s="64"/>
      <c r="EU19" s="73"/>
      <c r="EV19" s="72">
        <f t="shared" si="202"/>
        <v>0</v>
      </c>
      <c r="EW19" s="64"/>
      <c r="EX19" s="73"/>
      <c r="EY19" s="72">
        <f t="shared" si="254"/>
        <v>0</v>
      </c>
      <c r="EZ19" s="64"/>
      <c r="FA19" s="73"/>
      <c r="FB19" s="72">
        <f t="shared" si="255"/>
        <v>0</v>
      </c>
      <c r="FC19" s="64"/>
      <c r="FD19" s="73"/>
      <c r="FE19" s="72">
        <f t="shared" si="203"/>
        <v>0</v>
      </c>
      <c r="FF19" s="64"/>
      <c r="FG19" s="73"/>
      <c r="FH19" s="72">
        <f t="shared" si="204"/>
        <v>0</v>
      </c>
      <c r="FI19" s="64"/>
      <c r="FJ19" s="73"/>
      <c r="FK19" s="72">
        <f t="shared" si="205"/>
        <v>0</v>
      </c>
      <c r="FL19" s="64"/>
      <c r="FM19" s="73"/>
      <c r="FN19" s="72">
        <f t="shared" si="256"/>
        <v>0</v>
      </c>
      <c r="FO19" s="64"/>
      <c r="FP19" s="73"/>
      <c r="FQ19" s="72">
        <f t="shared" si="257"/>
        <v>0</v>
      </c>
      <c r="FR19" s="64"/>
      <c r="FS19" s="73"/>
      <c r="FT19" s="72">
        <f t="shared" si="206"/>
        <v>0</v>
      </c>
      <c r="FU19" s="64"/>
      <c r="FV19" s="73"/>
      <c r="FW19" s="72">
        <f t="shared" si="207"/>
        <v>0</v>
      </c>
      <c r="FX19" s="64"/>
      <c r="FY19" s="73"/>
      <c r="FZ19" s="72">
        <f t="shared" si="208"/>
        <v>0</v>
      </c>
      <c r="GA19" s="64"/>
      <c r="GB19" s="73"/>
      <c r="GC19" s="72">
        <f t="shared" si="258"/>
        <v>0</v>
      </c>
      <c r="GD19" s="64"/>
      <c r="GE19" s="73"/>
      <c r="GF19" s="72">
        <f t="shared" si="259"/>
        <v>0</v>
      </c>
      <c r="GG19" s="64"/>
      <c r="GH19" s="73"/>
      <c r="GI19" s="72">
        <f t="shared" si="209"/>
        <v>0</v>
      </c>
      <c r="GJ19" s="64"/>
      <c r="GK19" s="73"/>
      <c r="GL19" s="72">
        <f t="shared" si="210"/>
        <v>0</v>
      </c>
      <c r="GM19" s="64"/>
      <c r="GN19" s="73"/>
      <c r="GO19" s="72">
        <f t="shared" si="211"/>
        <v>0</v>
      </c>
      <c r="GP19" s="64"/>
      <c r="GQ19" s="73"/>
      <c r="GR19" s="72">
        <f t="shared" si="260"/>
        <v>0</v>
      </c>
      <c r="GS19" s="64"/>
      <c r="GT19" s="73"/>
      <c r="GU19" s="72">
        <f t="shared" si="261"/>
        <v>0</v>
      </c>
      <c r="GV19" s="64"/>
      <c r="GW19" s="73"/>
      <c r="GX19" s="72">
        <f t="shared" si="212"/>
        <v>0</v>
      </c>
      <c r="GY19" s="64"/>
      <c r="GZ19" s="73"/>
      <c r="HA19" s="72">
        <f t="shared" si="213"/>
        <v>0</v>
      </c>
      <c r="HB19" s="64"/>
      <c r="HC19" s="73"/>
      <c r="HD19" s="72">
        <f t="shared" si="214"/>
        <v>0</v>
      </c>
      <c r="HE19" s="64"/>
      <c r="HF19" s="73"/>
      <c r="HG19" s="72">
        <f t="shared" si="262"/>
        <v>0</v>
      </c>
      <c r="HH19" s="64"/>
      <c r="HI19" s="73"/>
      <c r="HJ19" s="72">
        <f t="shared" si="263"/>
        <v>0</v>
      </c>
      <c r="HK19" s="64"/>
      <c r="HL19" s="73"/>
      <c r="HM19" s="72">
        <f t="shared" si="215"/>
        <v>0</v>
      </c>
      <c r="HN19" s="64"/>
      <c r="HO19" s="73"/>
      <c r="HP19" s="72">
        <f t="shared" si="216"/>
        <v>0</v>
      </c>
      <c r="HQ19" s="64"/>
      <c r="HR19" s="73"/>
      <c r="HS19" s="72">
        <f t="shared" si="217"/>
        <v>0</v>
      </c>
      <c r="HT19" s="64"/>
      <c r="HU19" s="73"/>
      <c r="HV19" s="72">
        <f t="shared" si="264"/>
        <v>0</v>
      </c>
      <c r="HW19" s="64"/>
      <c r="HX19" s="73"/>
      <c r="HY19" s="72">
        <f t="shared" si="265"/>
        <v>0</v>
      </c>
      <c r="HZ19" s="64"/>
      <c r="IA19" s="73"/>
      <c r="IB19" s="72">
        <f t="shared" si="218"/>
        <v>0</v>
      </c>
      <c r="IC19" s="64"/>
      <c r="ID19" s="73"/>
      <c r="IE19" s="72">
        <f t="shared" si="219"/>
        <v>0</v>
      </c>
      <c r="IF19" s="64"/>
      <c r="IG19" s="73"/>
      <c r="IH19" s="72">
        <f t="shared" si="220"/>
        <v>0</v>
      </c>
      <c r="II19" s="64"/>
      <c r="IJ19" s="73"/>
      <c r="IK19" s="72">
        <f t="shared" si="266"/>
        <v>0</v>
      </c>
      <c r="IL19" s="64"/>
      <c r="IM19" s="73"/>
      <c r="IN19" s="72">
        <f t="shared" si="267"/>
        <v>0</v>
      </c>
      <c r="IO19" s="64"/>
      <c r="IP19" s="73"/>
      <c r="IQ19" s="72">
        <f t="shared" si="221"/>
        <v>0</v>
      </c>
      <c r="IR19" s="64"/>
      <c r="IS19" s="73"/>
      <c r="IT19" s="72">
        <f t="shared" si="222"/>
        <v>0</v>
      </c>
      <c r="IU19" s="64"/>
      <c r="IV19" s="73"/>
      <c r="IW19" s="72">
        <f t="shared" si="223"/>
        <v>0</v>
      </c>
      <c r="IX19" s="64"/>
      <c r="IY19" s="73"/>
      <c r="IZ19" s="72">
        <f t="shared" si="268"/>
        <v>0</v>
      </c>
      <c r="JA19" s="64"/>
      <c r="JB19" s="73"/>
      <c r="JC19" s="72">
        <f t="shared" si="269"/>
        <v>0</v>
      </c>
      <c r="JD19" s="64"/>
      <c r="JE19" s="73"/>
      <c r="JF19" s="72">
        <f t="shared" si="224"/>
        <v>0</v>
      </c>
      <c r="JG19" s="64"/>
      <c r="JH19" s="73"/>
      <c r="JI19" s="72">
        <f t="shared" si="225"/>
        <v>0</v>
      </c>
      <c r="JJ19" s="64"/>
      <c r="JK19" s="73"/>
      <c r="JL19" s="72">
        <f t="shared" si="226"/>
        <v>0</v>
      </c>
      <c r="JM19" s="64"/>
      <c r="JN19" s="73"/>
      <c r="JO19" s="72">
        <f t="shared" si="270"/>
        <v>0</v>
      </c>
      <c r="JP19" s="64"/>
      <c r="JQ19" s="73"/>
      <c r="JR19" s="72">
        <f t="shared" si="271"/>
        <v>0</v>
      </c>
      <c r="JS19" s="64"/>
      <c r="JT19" s="73"/>
      <c r="JU19" s="72">
        <f t="shared" si="227"/>
        <v>0</v>
      </c>
      <c r="JV19" s="64"/>
      <c r="JW19" s="73"/>
      <c r="JX19" s="72">
        <f t="shared" si="228"/>
        <v>0</v>
      </c>
      <c r="JY19" s="64"/>
      <c r="JZ19" s="73"/>
      <c r="KA19" s="72">
        <f t="shared" si="229"/>
        <v>0</v>
      </c>
      <c r="KB19" s="64"/>
      <c r="KC19" s="73"/>
      <c r="KD19" s="72">
        <f t="shared" si="272"/>
        <v>0</v>
      </c>
      <c r="KE19" s="64"/>
      <c r="KF19" s="73"/>
      <c r="KG19" s="72">
        <f t="shared" si="273"/>
        <v>0</v>
      </c>
      <c r="KH19" s="64"/>
      <c r="KI19" s="73"/>
      <c r="KJ19" s="72">
        <f t="shared" si="230"/>
        <v>0</v>
      </c>
      <c r="KK19" s="64"/>
      <c r="KL19" s="73"/>
      <c r="KM19" s="72">
        <f t="shared" si="231"/>
        <v>0</v>
      </c>
      <c r="KN19" s="64"/>
      <c r="KO19" s="73"/>
      <c r="KP19" s="72">
        <f t="shared" si="232"/>
        <v>0</v>
      </c>
      <c r="KQ19" s="64"/>
      <c r="KR19" s="73"/>
      <c r="KS19" s="72">
        <f t="shared" si="274"/>
        <v>0</v>
      </c>
      <c r="KT19" s="64"/>
      <c r="KU19" s="73"/>
      <c r="KV19" s="72">
        <f t="shared" si="275"/>
        <v>0</v>
      </c>
      <c r="KW19" s="64"/>
      <c r="KX19" s="73"/>
      <c r="KY19" s="72">
        <f t="shared" si="233"/>
        <v>0</v>
      </c>
      <c r="KZ19" s="64"/>
      <c r="LA19" s="73"/>
      <c r="LB19" s="72">
        <f t="shared" si="234"/>
        <v>0</v>
      </c>
      <c r="LC19" s="64"/>
      <c r="LD19" s="73"/>
      <c r="LE19" s="72">
        <f t="shared" si="235"/>
        <v>0</v>
      </c>
      <c r="LF19" s="64"/>
    </row>
    <row r="20" spans="1:318" s="784" customFormat="1">
      <c r="A20" s="49"/>
      <c r="B20" s="49"/>
      <c r="C20" s="435" t="str">
        <f>Idiomas!D316</f>
        <v>OCTAVOS - Signo 1X2  (local, empate, visitante)</v>
      </c>
      <c r="D20" s="62">
        <v>14</v>
      </c>
      <c r="E20" s="109"/>
      <c r="F20" s="443">
        <f t="shared" si="236"/>
        <v>15</v>
      </c>
      <c r="G20" s="443">
        <f ca="1">VLOOKUP(H20,Equipos!$Q$1:$R$25,2,0)</f>
        <v>5</v>
      </c>
      <c r="H20" s="444">
        <f ca="1">TRUNC(INDEX(WORLDCUP!$X$4:$X$147,MATCH(ADMIN!K20,WORLDCUP!$DT$4:$DT$147,0))+INDEX(Horarios!$R$3:$R$86,MATCH(Horarios!$C$3,Horarios!$P$3:$P$86,0))/24)</f>
        <v>46188</v>
      </c>
      <c r="I20" s="48">
        <v>1</v>
      </c>
      <c r="J20" s="94" t="s">
        <v>512</v>
      </c>
      <c r="K20" s="56" t="str">
        <f ca="1">CONCATENATE(WORLDCUP!AA60,"-",WORLDCUP!AF60)</f>
        <v>España-Cabo Verde</v>
      </c>
      <c r="L20" s="53"/>
      <c r="M20" s="55" t="str">
        <f>IF(OR(WORLDCUP!AC60="",WORLDCUP!AD60=""),"-",N20&amp;"|"&amp;O20&amp;"-"&amp;P20)</f>
        <v>-</v>
      </c>
      <c r="N20" s="25" t="str">
        <f>IF(OR(WORLDCUP!AC60="",WORLDCUP!AD60=""),"",IF(WORLDCUP!AC60&gt;WORLDCUP!AD60,"1",IF(WORLDCUP!AC60&lt;WORLDCUP!AD60,"2","X")))</f>
        <v/>
      </c>
      <c r="O20" s="25">
        <f>WORLDCUP!AC60</f>
        <v>0</v>
      </c>
      <c r="P20" s="25">
        <f>WORLDCUP!AD60</f>
        <v>0</v>
      </c>
      <c r="Q20" s="25">
        <f t="shared" si="276"/>
        <v>0</v>
      </c>
      <c r="R20" s="49"/>
      <c r="S20" s="796" t="s">
        <v>1957</v>
      </c>
      <c r="T20" s="72">
        <f t="shared" si="237"/>
        <v>0</v>
      </c>
      <c r="U20" s="64"/>
      <c r="V20" s="73" t="s">
        <v>1956</v>
      </c>
      <c r="W20" s="72">
        <f t="shared" si="238"/>
        <v>0</v>
      </c>
      <c r="X20" s="64"/>
      <c r="Y20" s="796" t="s">
        <v>1957</v>
      </c>
      <c r="Z20" s="72">
        <f t="shared" si="176"/>
        <v>0</v>
      </c>
      <c r="AA20" s="64"/>
      <c r="AB20" s="796" t="s">
        <v>1957</v>
      </c>
      <c r="AC20" s="72">
        <f t="shared" si="177"/>
        <v>0</v>
      </c>
      <c r="AD20" s="64"/>
      <c r="AE20" s="796" t="s">
        <v>1957</v>
      </c>
      <c r="AF20" s="72">
        <f t="shared" si="279"/>
        <v>0</v>
      </c>
      <c r="AG20" s="64"/>
      <c r="AH20" s="796" t="s">
        <v>2160</v>
      </c>
      <c r="AI20" s="72">
        <f t="shared" si="240"/>
        <v>0</v>
      </c>
      <c r="AJ20" s="64"/>
      <c r="AK20" s="806" t="s">
        <v>1948</v>
      </c>
      <c r="AL20" s="72">
        <f t="shared" si="241"/>
        <v>0</v>
      </c>
      <c r="AM20" s="64"/>
      <c r="AN20" s="796" t="s">
        <v>2088</v>
      </c>
      <c r="AO20" s="72">
        <f t="shared" si="179"/>
        <v>0</v>
      </c>
      <c r="AP20" s="64"/>
      <c r="AQ20" s="806" t="s">
        <v>2088</v>
      </c>
      <c r="AR20" s="72">
        <f t="shared" si="180"/>
        <v>0</v>
      </c>
      <c r="AS20" s="64"/>
      <c r="AT20" s="796" t="s">
        <v>2196</v>
      </c>
      <c r="AU20" s="72">
        <f t="shared" si="181"/>
        <v>0</v>
      </c>
      <c r="AV20" s="64"/>
      <c r="AW20" s="796" t="s">
        <v>1957</v>
      </c>
      <c r="AX20" s="72">
        <f t="shared" si="242"/>
        <v>0</v>
      </c>
      <c r="AY20" s="64"/>
      <c r="AZ20" s="796" t="s">
        <v>1962</v>
      </c>
      <c r="BA20" s="72">
        <f t="shared" si="243"/>
        <v>0</v>
      </c>
      <c r="BB20" s="64"/>
      <c r="BC20" s="796" t="s">
        <v>2088</v>
      </c>
      <c r="BD20" s="72">
        <f t="shared" si="182"/>
        <v>0</v>
      </c>
      <c r="BE20" s="64"/>
      <c r="BF20" s="796" t="s">
        <v>1956</v>
      </c>
      <c r="BG20" s="72">
        <f t="shared" si="183"/>
        <v>0</v>
      </c>
      <c r="BH20" s="64"/>
      <c r="BI20" s="796" t="s">
        <v>1956</v>
      </c>
      <c r="BJ20" s="72">
        <f t="shared" si="184"/>
        <v>0</v>
      </c>
      <c r="BK20" s="64"/>
      <c r="BL20" s="796" t="s">
        <v>1956</v>
      </c>
      <c r="BM20" s="72">
        <f t="shared" si="244"/>
        <v>0</v>
      </c>
      <c r="BN20" s="64"/>
      <c r="BO20" s="816" t="s">
        <v>1957</v>
      </c>
      <c r="BP20" s="72">
        <f t="shared" si="245"/>
        <v>0</v>
      </c>
      <c r="BQ20" s="64"/>
      <c r="BR20" s="796" t="s">
        <v>2088</v>
      </c>
      <c r="BS20" s="72">
        <f t="shared" si="185"/>
        <v>0</v>
      </c>
      <c r="BT20" s="64"/>
      <c r="BU20" s="796" t="s">
        <v>1957</v>
      </c>
      <c r="BV20" s="72">
        <f t="shared" si="186"/>
        <v>0</v>
      </c>
      <c r="BW20" s="64"/>
      <c r="BX20" s="73" t="s">
        <v>2088</v>
      </c>
      <c r="BY20" s="72">
        <f t="shared" si="187"/>
        <v>0</v>
      </c>
      <c r="BZ20" s="64"/>
      <c r="CA20" s="816" t="s">
        <v>1956</v>
      </c>
      <c r="CB20" s="72">
        <f t="shared" si="246"/>
        <v>0</v>
      </c>
      <c r="CC20" s="64"/>
      <c r="CD20" s="825" t="s">
        <v>1956</v>
      </c>
      <c r="CE20" s="72">
        <f t="shared" si="247"/>
        <v>0</v>
      </c>
      <c r="CF20" s="64"/>
      <c r="CG20" s="796" t="s">
        <v>2195</v>
      </c>
      <c r="CH20" s="72">
        <f t="shared" si="188"/>
        <v>0</v>
      </c>
      <c r="CI20" s="64"/>
      <c r="CJ20" s="796" t="s">
        <v>1957</v>
      </c>
      <c r="CK20" s="72">
        <f t="shared" si="189"/>
        <v>0</v>
      </c>
      <c r="CL20" s="64"/>
      <c r="CM20" s="796" t="s">
        <v>1957</v>
      </c>
      <c r="CN20" s="72">
        <f t="shared" si="190"/>
        <v>0</v>
      </c>
      <c r="CO20" s="64"/>
      <c r="CP20" s="796" t="s">
        <v>1957</v>
      </c>
      <c r="CQ20" s="72">
        <f t="shared" si="248"/>
        <v>0</v>
      </c>
      <c r="CR20" s="64"/>
      <c r="CS20" s="796" t="s">
        <v>2195</v>
      </c>
      <c r="CT20" s="72">
        <f t="shared" si="249"/>
        <v>0</v>
      </c>
      <c r="CU20" s="64"/>
      <c r="CV20" s="796" t="s">
        <v>1957</v>
      </c>
      <c r="CW20" s="72">
        <f t="shared" si="191"/>
        <v>0</v>
      </c>
      <c r="CX20" s="64"/>
      <c r="CY20" s="796" t="s">
        <v>1957</v>
      </c>
      <c r="CZ20" s="72">
        <f t="shared" si="250"/>
        <v>0</v>
      </c>
      <c r="DA20" s="64"/>
      <c r="DB20" s="796" t="s">
        <v>2088</v>
      </c>
      <c r="DC20" s="72">
        <f t="shared" si="192"/>
        <v>0</v>
      </c>
      <c r="DD20" s="64"/>
      <c r="DE20" s="796" t="s">
        <v>1957</v>
      </c>
      <c r="DF20" s="72">
        <f t="shared" si="193"/>
        <v>0</v>
      </c>
      <c r="DG20" s="64"/>
      <c r="DH20" s="796" t="s">
        <v>2088</v>
      </c>
      <c r="DI20" s="72">
        <f t="shared" si="194"/>
        <v>0</v>
      </c>
      <c r="DJ20" s="64"/>
      <c r="DK20" s="796" t="s">
        <v>1956</v>
      </c>
      <c r="DL20" s="72">
        <f t="shared" si="195"/>
        <v>0</v>
      </c>
      <c r="DM20" s="64"/>
      <c r="DN20" s="73"/>
      <c r="DO20" s="72">
        <f t="shared" si="196"/>
        <v>0</v>
      </c>
      <c r="DP20" s="64"/>
      <c r="DQ20" s="796" t="s">
        <v>2088</v>
      </c>
      <c r="DR20" s="72">
        <f t="shared" si="251"/>
        <v>0</v>
      </c>
      <c r="DS20" s="64"/>
      <c r="DT20" s="73" t="s">
        <v>1957</v>
      </c>
      <c r="DU20" s="72">
        <f t="shared" si="277"/>
        <v>0</v>
      </c>
      <c r="DV20" s="64"/>
      <c r="DW20" s="73"/>
      <c r="DX20" s="72">
        <f t="shared" si="278"/>
        <v>0</v>
      </c>
      <c r="DY20" s="64"/>
      <c r="DZ20" s="73"/>
      <c r="EA20" s="72">
        <f t="shared" si="197"/>
        <v>0</v>
      </c>
      <c r="EB20" s="64"/>
      <c r="EC20" s="73"/>
      <c r="ED20" s="72">
        <f t="shared" si="198"/>
        <v>0</v>
      </c>
      <c r="EE20" s="64"/>
      <c r="EF20" s="73"/>
      <c r="EG20" s="72">
        <f t="shared" si="199"/>
        <v>0</v>
      </c>
      <c r="EH20" s="64"/>
      <c r="EI20" s="73"/>
      <c r="EJ20" s="72">
        <f t="shared" si="252"/>
        <v>0</v>
      </c>
      <c r="EK20" s="64"/>
      <c r="EL20" s="73"/>
      <c r="EM20" s="72">
        <f t="shared" si="253"/>
        <v>0</v>
      </c>
      <c r="EN20" s="64"/>
      <c r="EO20" s="73"/>
      <c r="EP20" s="72">
        <f t="shared" si="200"/>
        <v>0</v>
      </c>
      <c r="EQ20" s="64"/>
      <c r="ER20" s="73"/>
      <c r="ES20" s="72">
        <f t="shared" si="201"/>
        <v>0</v>
      </c>
      <c r="ET20" s="64"/>
      <c r="EU20" s="73"/>
      <c r="EV20" s="72">
        <f t="shared" si="202"/>
        <v>0</v>
      </c>
      <c r="EW20" s="64"/>
      <c r="EX20" s="73"/>
      <c r="EY20" s="72">
        <f t="shared" si="254"/>
        <v>0</v>
      </c>
      <c r="EZ20" s="64"/>
      <c r="FA20" s="73"/>
      <c r="FB20" s="72">
        <f t="shared" si="255"/>
        <v>0</v>
      </c>
      <c r="FC20" s="64"/>
      <c r="FD20" s="73"/>
      <c r="FE20" s="72">
        <f t="shared" si="203"/>
        <v>0</v>
      </c>
      <c r="FF20" s="64"/>
      <c r="FG20" s="73"/>
      <c r="FH20" s="72">
        <f t="shared" si="204"/>
        <v>0</v>
      </c>
      <c r="FI20" s="64"/>
      <c r="FJ20" s="73"/>
      <c r="FK20" s="72">
        <f t="shared" si="205"/>
        <v>0</v>
      </c>
      <c r="FL20" s="64"/>
      <c r="FM20" s="73"/>
      <c r="FN20" s="72">
        <f t="shared" si="256"/>
        <v>0</v>
      </c>
      <c r="FO20" s="64"/>
      <c r="FP20" s="73"/>
      <c r="FQ20" s="72">
        <f t="shared" si="257"/>
        <v>0</v>
      </c>
      <c r="FR20" s="64"/>
      <c r="FS20" s="73"/>
      <c r="FT20" s="72">
        <f t="shared" si="206"/>
        <v>0</v>
      </c>
      <c r="FU20" s="64"/>
      <c r="FV20" s="73"/>
      <c r="FW20" s="72">
        <f t="shared" si="207"/>
        <v>0</v>
      </c>
      <c r="FX20" s="64"/>
      <c r="FY20" s="73"/>
      <c r="FZ20" s="72">
        <f t="shared" si="208"/>
        <v>0</v>
      </c>
      <c r="GA20" s="64"/>
      <c r="GB20" s="73"/>
      <c r="GC20" s="72">
        <f t="shared" si="258"/>
        <v>0</v>
      </c>
      <c r="GD20" s="64"/>
      <c r="GE20" s="73"/>
      <c r="GF20" s="72">
        <f t="shared" si="259"/>
        <v>0</v>
      </c>
      <c r="GG20" s="64"/>
      <c r="GH20" s="73"/>
      <c r="GI20" s="72">
        <f t="shared" si="209"/>
        <v>0</v>
      </c>
      <c r="GJ20" s="64"/>
      <c r="GK20" s="73"/>
      <c r="GL20" s="72">
        <f t="shared" si="210"/>
        <v>0</v>
      </c>
      <c r="GM20" s="64"/>
      <c r="GN20" s="73"/>
      <c r="GO20" s="72">
        <f t="shared" si="211"/>
        <v>0</v>
      </c>
      <c r="GP20" s="64"/>
      <c r="GQ20" s="73"/>
      <c r="GR20" s="72">
        <f t="shared" si="260"/>
        <v>0</v>
      </c>
      <c r="GS20" s="64"/>
      <c r="GT20" s="73"/>
      <c r="GU20" s="72">
        <f t="shared" si="261"/>
        <v>0</v>
      </c>
      <c r="GV20" s="64"/>
      <c r="GW20" s="73"/>
      <c r="GX20" s="72">
        <f t="shared" si="212"/>
        <v>0</v>
      </c>
      <c r="GY20" s="64"/>
      <c r="GZ20" s="73"/>
      <c r="HA20" s="72">
        <f t="shared" si="213"/>
        <v>0</v>
      </c>
      <c r="HB20" s="64"/>
      <c r="HC20" s="73"/>
      <c r="HD20" s="72">
        <f t="shared" si="214"/>
        <v>0</v>
      </c>
      <c r="HE20" s="64"/>
      <c r="HF20" s="73"/>
      <c r="HG20" s="72">
        <f t="shared" si="262"/>
        <v>0</v>
      </c>
      <c r="HH20" s="64"/>
      <c r="HI20" s="73"/>
      <c r="HJ20" s="72">
        <f t="shared" si="263"/>
        <v>0</v>
      </c>
      <c r="HK20" s="64"/>
      <c r="HL20" s="73"/>
      <c r="HM20" s="72">
        <f t="shared" si="215"/>
        <v>0</v>
      </c>
      <c r="HN20" s="64"/>
      <c r="HO20" s="73"/>
      <c r="HP20" s="72">
        <f t="shared" si="216"/>
        <v>0</v>
      </c>
      <c r="HQ20" s="64"/>
      <c r="HR20" s="73"/>
      <c r="HS20" s="72">
        <f t="shared" si="217"/>
        <v>0</v>
      </c>
      <c r="HT20" s="64"/>
      <c r="HU20" s="73"/>
      <c r="HV20" s="72">
        <f t="shared" si="264"/>
        <v>0</v>
      </c>
      <c r="HW20" s="64"/>
      <c r="HX20" s="73"/>
      <c r="HY20" s="72">
        <f t="shared" si="265"/>
        <v>0</v>
      </c>
      <c r="HZ20" s="64"/>
      <c r="IA20" s="73"/>
      <c r="IB20" s="72">
        <f t="shared" si="218"/>
        <v>0</v>
      </c>
      <c r="IC20" s="64"/>
      <c r="ID20" s="73"/>
      <c r="IE20" s="72">
        <f t="shared" si="219"/>
        <v>0</v>
      </c>
      <c r="IF20" s="64"/>
      <c r="IG20" s="73"/>
      <c r="IH20" s="72">
        <f t="shared" si="220"/>
        <v>0</v>
      </c>
      <c r="II20" s="64"/>
      <c r="IJ20" s="73"/>
      <c r="IK20" s="72">
        <f t="shared" si="266"/>
        <v>0</v>
      </c>
      <c r="IL20" s="64"/>
      <c r="IM20" s="73"/>
      <c r="IN20" s="72">
        <f t="shared" si="267"/>
        <v>0</v>
      </c>
      <c r="IO20" s="64"/>
      <c r="IP20" s="73"/>
      <c r="IQ20" s="72">
        <f t="shared" si="221"/>
        <v>0</v>
      </c>
      <c r="IR20" s="64"/>
      <c r="IS20" s="73"/>
      <c r="IT20" s="72">
        <f t="shared" si="222"/>
        <v>0</v>
      </c>
      <c r="IU20" s="64"/>
      <c r="IV20" s="73"/>
      <c r="IW20" s="72">
        <f t="shared" si="223"/>
        <v>0</v>
      </c>
      <c r="IX20" s="64"/>
      <c r="IY20" s="73"/>
      <c r="IZ20" s="72">
        <f t="shared" si="268"/>
        <v>0</v>
      </c>
      <c r="JA20" s="64"/>
      <c r="JB20" s="73"/>
      <c r="JC20" s="72">
        <f t="shared" si="269"/>
        <v>0</v>
      </c>
      <c r="JD20" s="64"/>
      <c r="JE20" s="73"/>
      <c r="JF20" s="72">
        <f t="shared" si="224"/>
        <v>0</v>
      </c>
      <c r="JG20" s="64"/>
      <c r="JH20" s="73"/>
      <c r="JI20" s="72">
        <f t="shared" si="225"/>
        <v>0</v>
      </c>
      <c r="JJ20" s="64"/>
      <c r="JK20" s="73"/>
      <c r="JL20" s="72">
        <f t="shared" si="226"/>
        <v>0</v>
      </c>
      <c r="JM20" s="64"/>
      <c r="JN20" s="73"/>
      <c r="JO20" s="72">
        <f t="shared" si="270"/>
        <v>0</v>
      </c>
      <c r="JP20" s="64"/>
      <c r="JQ20" s="73"/>
      <c r="JR20" s="72">
        <f t="shared" si="271"/>
        <v>0</v>
      </c>
      <c r="JS20" s="64"/>
      <c r="JT20" s="73"/>
      <c r="JU20" s="72">
        <f t="shared" si="227"/>
        <v>0</v>
      </c>
      <c r="JV20" s="64"/>
      <c r="JW20" s="73"/>
      <c r="JX20" s="72">
        <f t="shared" si="228"/>
        <v>0</v>
      </c>
      <c r="JY20" s="64"/>
      <c r="JZ20" s="73"/>
      <c r="KA20" s="72">
        <f t="shared" si="229"/>
        <v>0</v>
      </c>
      <c r="KB20" s="64"/>
      <c r="KC20" s="73"/>
      <c r="KD20" s="72">
        <f t="shared" si="272"/>
        <v>0</v>
      </c>
      <c r="KE20" s="64"/>
      <c r="KF20" s="73"/>
      <c r="KG20" s="72">
        <f t="shared" si="273"/>
        <v>0</v>
      </c>
      <c r="KH20" s="64"/>
      <c r="KI20" s="73"/>
      <c r="KJ20" s="72">
        <f t="shared" si="230"/>
        <v>0</v>
      </c>
      <c r="KK20" s="64"/>
      <c r="KL20" s="73"/>
      <c r="KM20" s="72">
        <f t="shared" si="231"/>
        <v>0</v>
      </c>
      <c r="KN20" s="64"/>
      <c r="KO20" s="73"/>
      <c r="KP20" s="72">
        <f t="shared" si="232"/>
        <v>0</v>
      </c>
      <c r="KQ20" s="64"/>
      <c r="KR20" s="73"/>
      <c r="KS20" s="72">
        <f t="shared" si="274"/>
        <v>0</v>
      </c>
      <c r="KT20" s="64"/>
      <c r="KU20" s="73"/>
      <c r="KV20" s="72">
        <f t="shared" si="275"/>
        <v>0</v>
      </c>
      <c r="KW20" s="64"/>
      <c r="KX20" s="73"/>
      <c r="KY20" s="72">
        <f t="shared" si="233"/>
        <v>0</v>
      </c>
      <c r="KZ20" s="64"/>
      <c r="LA20" s="73"/>
      <c r="LB20" s="72">
        <f t="shared" si="234"/>
        <v>0</v>
      </c>
      <c r="LC20" s="64"/>
      <c r="LD20" s="73"/>
      <c r="LE20" s="72">
        <f t="shared" si="235"/>
        <v>0</v>
      </c>
      <c r="LF20" s="64"/>
    </row>
    <row r="21" spans="1:318" s="784" customFormat="1">
      <c r="A21" s="49"/>
      <c r="B21" s="49"/>
      <c r="C21" s="436" t="str">
        <f>Idiomas!D317&amp;"**"</f>
        <v>OCTAVOS -Diferencia/Distancia de goles (Con 1X2 acertado)**</v>
      </c>
      <c r="D21" s="62">
        <v>0</v>
      </c>
      <c r="E21" s="109"/>
      <c r="F21" s="443">
        <f t="shared" si="236"/>
        <v>15</v>
      </c>
      <c r="G21" s="443">
        <f ca="1">VLOOKUP(H21,Equipos!$Q$1:$R$25,2,0)</f>
        <v>5</v>
      </c>
      <c r="H21" s="444">
        <f ca="1">TRUNC(INDEX(WORLDCUP!$X$4:$X$147,MATCH(ADMIN!K21,WORLDCUP!$DT$4:$DT$147,0))+INDEX(Horarios!$R$3:$R$86,MATCH(Horarios!$C$3,Horarios!$P$3:$P$86,0))/24)</f>
        <v>46188</v>
      </c>
      <c r="I21" s="48">
        <v>1</v>
      </c>
      <c r="J21" s="94" t="s">
        <v>512</v>
      </c>
      <c r="K21" s="53" t="str">
        <f ca="1">CONCATENATE(WORLDCUP!AA61,"-",WORLDCUP!AF61)</f>
        <v>Arabia Saudita-Uruguay</v>
      </c>
      <c r="L21" s="53"/>
      <c r="M21" s="55" t="str">
        <f>IF(OR(WORLDCUP!AC61="",WORLDCUP!AD61=""),"-",N21&amp;"|"&amp;O21&amp;"-"&amp;P21)</f>
        <v>-</v>
      </c>
      <c r="N21" s="25" t="str">
        <f>IF(OR(WORLDCUP!AC61="",WORLDCUP!AD61=""),"",IF(WORLDCUP!AC61&gt;WORLDCUP!AD61,"1",IF(WORLDCUP!AC61&lt;WORLDCUP!AD61,"2","X")))</f>
        <v/>
      </c>
      <c r="O21" s="25">
        <f>WORLDCUP!AC61</f>
        <v>0</v>
      </c>
      <c r="P21" s="25">
        <f>WORLDCUP!AD61</f>
        <v>0</v>
      </c>
      <c r="Q21" s="25">
        <f t="shared" si="276"/>
        <v>0</v>
      </c>
      <c r="R21" s="49"/>
      <c r="S21" s="796" t="s">
        <v>1958</v>
      </c>
      <c r="T21" s="72">
        <f t="shared" si="237"/>
        <v>0</v>
      </c>
      <c r="U21" s="64"/>
      <c r="V21" s="73" t="s">
        <v>1949</v>
      </c>
      <c r="W21" s="72">
        <f t="shared" si="238"/>
        <v>0</v>
      </c>
      <c r="X21" s="64"/>
      <c r="Y21" s="796" t="s">
        <v>1949</v>
      </c>
      <c r="Z21" s="72">
        <f t="shared" si="176"/>
        <v>0</v>
      </c>
      <c r="AA21" s="64"/>
      <c r="AB21" s="796" t="s">
        <v>1961</v>
      </c>
      <c r="AC21" s="72">
        <f t="shared" si="177"/>
        <v>0</v>
      </c>
      <c r="AD21" s="64"/>
      <c r="AE21" s="796" t="s">
        <v>1962</v>
      </c>
      <c r="AF21" s="72">
        <f t="shared" si="279"/>
        <v>0</v>
      </c>
      <c r="AG21" s="64"/>
      <c r="AH21" s="796" t="s">
        <v>1963</v>
      </c>
      <c r="AI21" s="72">
        <f t="shared" si="240"/>
        <v>0</v>
      </c>
      <c r="AJ21" s="64"/>
      <c r="AK21" s="806" t="s">
        <v>1949</v>
      </c>
      <c r="AL21" s="72">
        <f t="shared" si="241"/>
        <v>0</v>
      </c>
      <c r="AM21" s="64"/>
      <c r="AN21" s="796" t="s">
        <v>1963</v>
      </c>
      <c r="AO21" s="72">
        <f t="shared" si="179"/>
        <v>0</v>
      </c>
      <c r="AP21" s="64"/>
      <c r="AQ21" s="806" t="s">
        <v>1949</v>
      </c>
      <c r="AR21" s="72">
        <f t="shared" si="180"/>
        <v>0</v>
      </c>
      <c r="AS21" s="64"/>
      <c r="AT21" s="796" t="s">
        <v>1963</v>
      </c>
      <c r="AU21" s="72">
        <f t="shared" si="181"/>
        <v>0</v>
      </c>
      <c r="AV21" s="64"/>
      <c r="AW21" s="796" t="s">
        <v>1949</v>
      </c>
      <c r="AX21" s="72">
        <f t="shared" si="242"/>
        <v>0</v>
      </c>
      <c r="AY21" s="64"/>
      <c r="AZ21" s="796" t="s">
        <v>1960</v>
      </c>
      <c r="BA21" s="72">
        <f t="shared" si="243"/>
        <v>0</v>
      </c>
      <c r="BB21" s="64"/>
      <c r="BC21" s="796" t="s">
        <v>1963</v>
      </c>
      <c r="BD21" s="72">
        <f t="shared" si="182"/>
        <v>0</v>
      </c>
      <c r="BE21" s="64"/>
      <c r="BF21" s="796" t="s">
        <v>1949</v>
      </c>
      <c r="BG21" s="72">
        <f t="shared" si="183"/>
        <v>0</v>
      </c>
      <c r="BH21" s="64"/>
      <c r="BI21" s="796" t="s">
        <v>1949</v>
      </c>
      <c r="BJ21" s="72">
        <f t="shared" si="184"/>
        <v>0</v>
      </c>
      <c r="BK21" s="64"/>
      <c r="BL21" s="796" t="s">
        <v>1947</v>
      </c>
      <c r="BM21" s="72">
        <f t="shared" si="244"/>
        <v>0</v>
      </c>
      <c r="BN21" s="64"/>
      <c r="BO21" s="816" t="s">
        <v>1949</v>
      </c>
      <c r="BP21" s="72">
        <f t="shared" si="245"/>
        <v>0</v>
      </c>
      <c r="BQ21" s="64"/>
      <c r="BR21" s="796" t="s">
        <v>1947</v>
      </c>
      <c r="BS21" s="72">
        <f t="shared" si="185"/>
        <v>0</v>
      </c>
      <c r="BT21" s="64"/>
      <c r="BU21" s="796" t="s">
        <v>1949</v>
      </c>
      <c r="BV21" s="72">
        <f t="shared" si="186"/>
        <v>0</v>
      </c>
      <c r="BW21" s="64"/>
      <c r="BX21" s="73" t="s">
        <v>1962</v>
      </c>
      <c r="BY21" s="72">
        <f t="shared" si="187"/>
        <v>0</v>
      </c>
      <c r="BZ21" s="64"/>
      <c r="CA21" s="816" t="s">
        <v>1949</v>
      </c>
      <c r="CB21" s="72">
        <f t="shared" si="246"/>
        <v>0</v>
      </c>
      <c r="CC21" s="64"/>
      <c r="CD21" s="825" t="s">
        <v>1951</v>
      </c>
      <c r="CE21" s="72">
        <f t="shared" si="247"/>
        <v>0</v>
      </c>
      <c r="CF21" s="64"/>
      <c r="CG21" s="796" t="s">
        <v>1962</v>
      </c>
      <c r="CH21" s="72">
        <f t="shared" si="188"/>
        <v>0</v>
      </c>
      <c r="CI21" s="64"/>
      <c r="CJ21" s="796" t="s">
        <v>1962</v>
      </c>
      <c r="CK21" s="72">
        <f t="shared" si="189"/>
        <v>0</v>
      </c>
      <c r="CL21" s="64"/>
      <c r="CM21" s="796" t="s">
        <v>1963</v>
      </c>
      <c r="CN21" s="72">
        <f t="shared" si="190"/>
        <v>0</v>
      </c>
      <c r="CO21" s="64"/>
      <c r="CP21" s="796" t="s">
        <v>1953</v>
      </c>
      <c r="CQ21" s="72">
        <f t="shared" si="248"/>
        <v>0</v>
      </c>
      <c r="CR21" s="64"/>
      <c r="CS21" s="796" t="s">
        <v>1963</v>
      </c>
      <c r="CT21" s="72">
        <f t="shared" si="249"/>
        <v>0</v>
      </c>
      <c r="CU21" s="64"/>
      <c r="CV21" s="796" t="s">
        <v>1961</v>
      </c>
      <c r="CW21" s="72">
        <f t="shared" si="191"/>
        <v>0</v>
      </c>
      <c r="CX21" s="64"/>
      <c r="CY21" s="796" t="s">
        <v>1962</v>
      </c>
      <c r="CZ21" s="72">
        <f t="shared" si="250"/>
        <v>0</v>
      </c>
      <c r="DA21" s="64"/>
      <c r="DB21" s="796" t="s">
        <v>1962</v>
      </c>
      <c r="DC21" s="72">
        <f t="shared" si="192"/>
        <v>0</v>
      </c>
      <c r="DD21" s="64"/>
      <c r="DE21" s="796" t="s">
        <v>1949</v>
      </c>
      <c r="DF21" s="72">
        <f t="shared" si="193"/>
        <v>0</v>
      </c>
      <c r="DG21" s="64"/>
      <c r="DH21" s="796" t="s">
        <v>1953</v>
      </c>
      <c r="DI21" s="72">
        <f t="shared" si="194"/>
        <v>0</v>
      </c>
      <c r="DJ21" s="64"/>
      <c r="DK21" s="796" t="s">
        <v>1962</v>
      </c>
      <c r="DL21" s="72">
        <f t="shared" si="195"/>
        <v>0</v>
      </c>
      <c r="DM21" s="64"/>
      <c r="DN21" s="73"/>
      <c r="DO21" s="72">
        <f t="shared" si="196"/>
        <v>0</v>
      </c>
      <c r="DP21" s="64"/>
      <c r="DQ21" s="796" t="s">
        <v>1949</v>
      </c>
      <c r="DR21" s="72">
        <f t="shared" si="251"/>
        <v>0</v>
      </c>
      <c r="DS21" s="64"/>
      <c r="DT21" s="73" t="s">
        <v>1949</v>
      </c>
      <c r="DU21" s="72">
        <f t="shared" si="277"/>
        <v>0</v>
      </c>
      <c r="DV21" s="64"/>
      <c r="DW21" s="73"/>
      <c r="DX21" s="72">
        <f t="shared" si="278"/>
        <v>0</v>
      </c>
      <c r="DY21" s="64"/>
      <c r="DZ21" s="73"/>
      <c r="EA21" s="72">
        <f t="shared" si="197"/>
        <v>0</v>
      </c>
      <c r="EB21" s="64"/>
      <c r="EC21" s="73"/>
      <c r="ED21" s="72">
        <f t="shared" si="198"/>
        <v>0</v>
      </c>
      <c r="EE21" s="64"/>
      <c r="EF21" s="73"/>
      <c r="EG21" s="72">
        <f t="shared" si="199"/>
        <v>0</v>
      </c>
      <c r="EH21" s="64"/>
      <c r="EI21" s="73"/>
      <c r="EJ21" s="72">
        <f t="shared" si="252"/>
        <v>0</v>
      </c>
      <c r="EK21" s="64"/>
      <c r="EL21" s="73"/>
      <c r="EM21" s="72">
        <f t="shared" si="253"/>
        <v>0</v>
      </c>
      <c r="EN21" s="64"/>
      <c r="EO21" s="73"/>
      <c r="EP21" s="72">
        <f t="shared" si="200"/>
        <v>0</v>
      </c>
      <c r="EQ21" s="64"/>
      <c r="ER21" s="73"/>
      <c r="ES21" s="72">
        <f t="shared" si="201"/>
        <v>0</v>
      </c>
      <c r="ET21" s="64"/>
      <c r="EU21" s="73"/>
      <c r="EV21" s="72">
        <f t="shared" si="202"/>
        <v>0</v>
      </c>
      <c r="EW21" s="64"/>
      <c r="EX21" s="73"/>
      <c r="EY21" s="72">
        <f t="shared" si="254"/>
        <v>0</v>
      </c>
      <c r="EZ21" s="64"/>
      <c r="FA21" s="73"/>
      <c r="FB21" s="72">
        <f t="shared" si="255"/>
        <v>0</v>
      </c>
      <c r="FC21" s="64"/>
      <c r="FD21" s="73"/>
      <c r="FE21" s="72">
        <f t="shared" si="203"/>
        <v>0</v>
      </c>
      <c r="FF21" s="64"/>
      <c r="FG21" s="73"/>
      <c r="FH21" s="72">
        <f t="shared" si="204"/>
        <v>0</v>
      </c>
      <c r="FI21" s="64"/>
      <c r="FJ21" s="73"/>
      <c r="FK21" s="72">
        <f t="shared" si="205"/>
        <v>0</v>
      </c>
      <c r="FL21" s="64"/>
      <c r="FM21" s="73"/>
      <c r="FN21" s="72">
        <f t="shared" si="256"/>
        <v>0</v>
      </c>
      <c r="FO21" s="64"/>
      <c r="FP21" s="73"/>
      <c r="FQ21" s="72">
        <f t="shared" si="257"/>
        <v>0</v>
      </c>
      <c r="FR21" s="64"/>
      <c r="FS21" s="73"/>
      <c r="FT21" s="72">
        <f t="shared" si="206"/>
        <v>0</v>
      </c>
      <c r="FU21" s="64"/>
      <c r="FV21" s="73"/>
      <c r="FW21" s="72">
        <f t="shared" si="207"/>
        <v>0</v>
      </c>
      <c r="FX21" s="64"/>
      <c r="FY21" s="73"/>
      <c r="FZ21" s="72">
        <f t="shared" si="208"/>
        <v>0</v>
      </c>
      <c r="GA21" s="64"/>
      <c r="GB21" s="73"/>
      <c r="GC21" s="72">
        <f t="shared" si="258"/>
        <v>0</v>
      </c>
      <c r="GD21" s="64"/>
      <c r="GE21" s="73"/>
      <c r="GF21" s="72">
        <f t="shared" si="259"/>
        <v>0</v>
      </c>
      <c r="GG21" s="64"/>
      <c r="GH21" s="73"/>
      <c r="GI21" s="72">
        <f t="shared" si="209"/>
        <v>0</v>
      </c>
      <c r="GJ21" s="64"/>
      <c r="GK21" s="73"/>
      <c r="GL21" s="72">
        <f t="shared" si="210"/>
        <v>0</v>
      </c>
      <c r="GM21" s="64"/>
      <c r="GN21" s="73"/>
      <c r="GO21" s="72">
        <f t="shared" si="211"/>
        <v>0</v>
      </c>
      <c r="GP21" s="64"/>
      <c r="GQ21" s="73"/>
      <c r="GR21" s="72">
        <f t="shared" si="260"/>
        <v>0</v>
      </c>
      <c r="GS21" s="64"/>
      <c r="GT21" s="73"/>
      <c r="GU21" s="72">
        <f t="shared" si="261"/>
        <v>0</v>
      </c>
      <c r="GV21" s="64"/>
      <c r="GW21" s="73"/>
      <c r="GX21" s="72">
        <f t="shared" si="212"/>
        <v>0</v>
      </c>
      <c r="GY21" s="64"/>
      <c r="GZ21" s="73"/>
      <c r="HA21" s="72">
        <f t="shared" si="213"/>
        <v>0</v>
      </c>
      <c r="HB21" s="64"/>
      <c r="HC21" s="73"/>
      <c r="HD21" s="72">
        <f t="shared" si="214"/>
        <v>0</v>
      </c>
      <c r="HE21" s="64"/>
      <c r="HF21" s="73"/>
      <c r="HG21" s="72">
        <f t="shared" si="262"/>
        <v>0</v>
      </c>
      <c r="HH21" s="64"/>
      <c r="HI21" s="73"/>
      <c r="HJ21" s="72">
        <f t="shared" si="263"/>
        <v>0</v>
      </c>
      <c r="HK21" s="64"/>
      <c r="HL21" s="73"/>
      <c r="HM21" s="72">
        <f t="shared" si="215"/>
        <v>0</v>
      </c>
      <c r="HN21" s="64"/>
      <c r="HO21" s="73"/>
      <c r="HP21" s="72">
        <f t="shared" si="216"/>
        <v>0</v>
      </c>
      <c r="HQ21" s="64"/>
      <c r="HR21" s="73"/>
      <c r="HS21" s="72">
        <f t="shared" si="217"/>
        <v>0</v>
      </c>
      <c r="HT21" s="64"/>
      <c r="HU21" s="73"/>
      <c r="HV21" s="72">
        <f t="shared" si="264"/>
        <v>0</v>
      </c>
      <c r="HW21" s="64"/>
      <c r="HX21" s="73"/>
      <c r="HY21" s="72">
        <f t="shared" si="265"/>
        <v>0</v>
      </c>
      <c r="HZ21" s="64"/>
      <c r="IA21" s="73"/>
      <c r="IB21" s="72">
        <f t="shared" si="218"/>
        <v>0</v>
      </c>
      <c r="IC21" s="64"/>
      <c r="ID21" s="73"/>
      <c r="IE21" s="72">
        <f t="shared" si="219"/>
        <v>0</v>
      </c>
      <c r="IF21" s="64"/>
      <c r="IG21" s="73"/>
      <c r="IH21" s="72">
        <f t="shared" si="220"/>
        <v>0</v>
      </c>
      <c r="II21" s="64"/>
      <c r="IJ21" s="73"/>
      <c r="IK21" s="72">
        <f t="shared" si="266"/>
        <v>0</v>
      </c>
      <c r="IL21" s="64"/>
      <c r="IM21" s="73"/>
      <c r="IN21" s="72">
        <f t="shared" si="267"/>
        <v>0</v>
      </c>
      <c r="IO21" s="64"/>
      <c r="IP21" s="73"/>
      <c r="IQ21" s="72">
        <f t="shared" si="221"/>
        <v>0</v>
      </c>
      <c r="IR21" s="64"/>
      <c r="IS21" s="73"/>
      <c r="IT21" s="72">
        <f t="shared" si="222"/>
        <v>0</v>
      </c>
      <c r="IU21" s="64"/>
      <c r="IV21" s="73"/>
      <c r="IW21" s="72">
        <f t="shared" si="223"/>
        <v>0</v>
      </c>
      <c r="IX21" s="64"/>
      <c r="IY21" s="73"/>
      <c r="IZ21" s="72">
        <f t="shared" si="268"/>
        <v>0</v>
      </c>
      <c r="JA21" s="64"/>
      <c r="JB21" s="73"/>
      <c r="JC21" s="72">
        <f t="shared" si="269"/>
        <v>0</v>
      </c>
      <c r="JD21" s="64"/>
      <c r="JE21" s="73"/>
      <c r="JF21" s="72">
        <f t="shared" si="224"/>
        <v>0</v>
      </c>
      <c r="JG21" s="64"/>
      <c r="JH21" s="73"/>
      <c r="JI21" s="72">
        <f t="shared" si="225"/>
        <v>0</v>
      </c>
      <c r="JJ21" s="64"/>
      <c r="JK21" s="73"/>
      <c r="JL21" s="72">
        <f t="shared" si="226"/>
        <v>0</v>
      </c>
      <c r="JM21" s="64"/>
      <c r="JN21" s="73"/>
      <c r="JO21" s="72">
        <f t="shared" si="270"/>
        <v>0</v>
      </c>
      <c r="JP21" s="64"/>
      <c r="JQ21" s="73"/>
      <c r="JR21" s="72">
        <f t="shared" si="271"/>
        <v>0</v>
      </c>
      <c r="JS21" s="64"/>
      <c r="JT21" s="73"/>
      <c r="JU21" s="72">
        <f t="shared" si="227"/>
        <v>0</v>
      </c>
      <c r="JV21" s="64"/>
      <c r="JW21" s="73"/>
      <c r="JX21" s="72">
        <f t="shared" si="228"/>
        <v>0</v>
      </c>
      <c r="JY21" s="64"/>
      <c r="JZ21" s="73"/>
      <c r="KA21" s="72">
        <f t="shared" si="229"/>
        <v>0</v>
      </c>
      <c r="KB21" s="64"/>
      <c r="KC21" s="73"/>
      <c r="KD21" s="72">
        <f t="shared" si="272"/>
        <v>0</v>
      </c>
      <c r="KE21" s="64"/>
      <c r="KF21" s="73"/>
      <c r="KG21" s="72">
        <f t="shared" si="273"/>
        <v>0</v>
      </c>
      <c r="KH21" s="64"/>
      <c r="KI21" s="73"/>
      <c r="KJ21" s="72">
        <f t="shared" si="230"/>
        <v>0</v>
      </c>
      <c r="KK21" s="64"/>
      <c r="KL21" s="73"/>
      <c r="KM21" s="72">
        <f t="shared" si="231"/>
        <v>0</v>
      </c>
      <c r="KN21" s="64"/>
      <c r="KO21" s="73"/>
      <c r="KP21" s="72">
        <f t="shared" si="232"/>
        <v>0</v>
      </c>
      <c r="KQ21" s="64"/>
      <c r="KR21" s="73"/>
      <c r="KS21" s="72">
        <f t="shared" si="274"/>
        <v>0</v>
      </c>
      <c r="KT21" s="64"/>
      <c r="KU21" s="73"/>
      <c r="KV21" s="72">
        <f t="shared" si="275"/>
        <v>0</v>
      </c>
      <c r="KW21" s="64"/>
      <c r="KX21" s="73"/>
      <c r="KY21" s="72">
        <f t="shared" si="233"/>
        <v>0</v>
      </c>
      <c r="KZ21" s="64"/>
      <c r="LA21" s="73"/>
      <c r="LB21" s="72">
        <f t="shared" si="234"/>
        <v>0</v>
      </c>
      <c r="LC21" s="64"/>
      <c r="LD21" s="73"/>
      <c r="LE21" s="72">
        <f t="shared" si="235"/>
        <v>0</v>
      </c>
      <c r="LF21" s="64"/>
    </row>
    <row r="22" spans="1:318" s="784" customFormat="1">
      <c r="A22" s="49"/>
      <c r="B22" s="49"/>
      <c r="C22" s="435" t="str">
        <f>Idiomas!D318</f>
        <v>OCTAVOS - Resultado exacto</v>
      </c>
      <c r="D22" s="62">
        <v>16</v>
      </c>
      <c r="E22" s="109"/>
      <c r="F22" s="443">
        <f t="shared" si="236"/>
        <v>15</v>
      </c>
      <c r="G22" s="443">
        <f ca="1">VLOOKUP(H22,Equipos!$Q$1:$R$25,2,0)</f>
        <v>6</v>
      </c>
      <c r="H22" s="444">
        <f ca="1">TRUNC(INDEX(WORLDCUP!$X$4:$X$147,MATCH(ADMIN!K22,WORLDCUP!$DT$4:$DT$147,0))+INDEX(Horarios!$R$3:$R$86,MATCH(Horarios!$C$3,Horarios!$P$3:$P$86,0))/24)</f>
        <v>46189</v>
      </c>
      <c r="I22" s="48">
        <v>1</v>
      </c>
      <c r="J22" s="93" t="s">
        <v>179</v>
      </c>
      <c r="K22" s="56" t="str">
        <f ca="1">CONCATENATE(WORLDCUP!AA68,"-",WORLDCUP!AF68)</f>
        <v>Francia-Senegal</v>
      </c>
      <c r="L22" s="53"/>
      <c r="M22" s="55" t="str">
        <f>IF(OR(WORLDCUP!AC68="",WORLDCUP!AD68=""),"-",N22&amp;"|"&amp;O22&amp;"-"&amp;P22)</f>
        <v>-</v>
      </c>
      <c r="N22" s="25" t="str">
        <f>IF(OR(WORLDCUP!AC68="",WORLDCUP!AD68=""),"",IF(WORLDCUP!AC68&gt;WORLDCUP!AD68,"1",IF(WORLDCUP!AC68&lt;WORLDCUP!AD68,"2","X")))</f>
        <v/>
      </c>
      <c r="O22" s="25">
        <f>WORLDCUP!AC68</f>
        <v>0</v>
      </c>
      <c r="P22" s="25">
        <f>WORLDCUP!AD68</f>
        <v>0</v>
      </c>
      <c r="Q22" s="25">
        <f t="shared" si="276"/>
        <v>0</v>
      </c>
      <c r="R22" s="49"/>
      <c r="S22" s="796" t="s">
        <v>1956</v>
      </c>
      <c r="T22" s="72">
        <f t="shared" si="237"/>
        <v>0</v>
      </c>
      <c r="U22" s="64"/>
      <c r="V22" s="73" t="s">
        <v>1958</v>
      </c>
      <c r="W22" s="72">
        <f t="shared" si="238"/>
        <v>0</v>
      </c>
      <c r="X22" s="64"/>
      <c r="Y22" s="796" t="s">
        <v>2051</v>
      </c>
      <c r="Z22" s="72">
        <f t="shared" si="176"/>
        <v>0</v>
      </c>
      <c r="AA22" s="64"/>
      <c r="AB22" s="796" t="s">
        <v>1955</v>
      </c>
      <c r="AC22" s="72">
        <f t="shared" si="177"/>
        <v>0</v>
      </c>
      <c r="AD22" s="64"/>
      <c r="AE22" s="796" t="s">
        <v>1948</v>
      </c>
      <c r="AF22" s="72">
        <f t="shared" si="279"/>
        <v>0</v>
      </c>
      <c r="AG22" s="64"/>
      <c r="AH22" s="796" t="s">
        <v>1954</v>
      </c>
      <c r="AI22" s="72">
        <f t="shared" si="240"/>
        <v>0</v>
      </c>
      <c r="AJ22" s="64"/>
      <c r="AK22" s="806" t="s">
        <v>1948</v>
      </c>
      <c r="AL22" s="72">
        <f t="shared" si="241"/>
        <v>0</v>
      </c>
      <c r="AM22" s="64"/>
      <c r="AN22" s="796" t="s">
        <v>1960</v>
      </c>
      <c r="AO22" s="72">
        <f t="shared" si="179"/>
        <v>0</v>
      </c>
      <c r="AP22" s="64"/>
      <c r="AQ22" s="806" t="s">
        <v>1948</v>
      </c>
      <c r="AR22" s="72">
        <f t="shared" si="180"/>
        <v>0</v>
      </c>
      <c r="AS22" s="64"/>
      <c r="AT22" s="796" t="s">
        <v>1953</v>
      </c>
      <c r="AU22" s="72">
        <f t="shared" si="181"/>
        <v>0</v>
      </c>
      <c r="AV22" s="64"/>
      <c r="AW22" s="796" t="s">
        <v>1955</v>
      </c>
      <c r="AX22" s="72">
        <f t="shared" si="242"/>
        <v>0</v>
      </c>
      <c r="AY22" s="64"/>
      <c r="AZ22" s="796" t="s">
        <v>1951</v>
      </c>
      <c r="BA22" s="72">
        <f t="shared" si="243"/>
        <v>0</v>
      </c>
      <c r="BB22" s="64"/>
      <c r="BC22" s="796" t="s">
        <v>2007</v>
      </c>
      <c r="BD22" s="72">
        <f t="shared" si="182"/>
        <v>0</v>
      </c>
      <c r="BE22" s="64"/>
      <c r="BF22" s="796" t="s">
        <v>1954</v>
      </c>
      <c r="BG22" s="72">
        <f t="shared" si="183"/>
        <v>0</v>
      </c>
      <c r="BH22" s="64"/>
      <c r="BI22" s="796" t="s">
        <v>1955</v>
      </c>
      <c r="BJ22" s="72">
        <f t="shared" si="184"/>
        <v>0</v>
      </c>
      <c r="BK22" s="64"/>
      <c r="BL22" s="796" t="s">
        <v>2007</v>
      </c>
      <c r="BM22" s="72">
        <f t="shared" si="244"/>
        <v>0</v>
      </c>
      <c r="BN22" s="64"/>
      <c r="BO22" s="816" t="s">
        <v>1955</v>
      </c>
      <c r="BP22" s="72">
        <f t="shared" si="245"/>
        <v>0</v>
      </c>
      <c r="BQ22" s="64"/>
      <c r="BR22" s="796" t="s">
        <v>1955</v>
      </c>
      <c r="BS22" s="72">
        <f t="shared" si="185"/>
        <v>0</v>
      </c>
      <c r="BT22" s="64"/>
      <c r="BU22" s="796" t="s">
        <v>1956</v>
      </c>
      <c r="BV22" s="72">
        <f t="shared" si="186"/>
        <v>0</v>
      </c>
      <c r="BW22" s="64"/>
      <c r="BX22" s="73" t="s">
        <v>1948</v>
      </c>
      <c r="BY22" s="72">
        <f t="shared" si="187"/>
        <v>0</v>
      </c>
      <c r="BZ22" s="64"/>
      <c r="CA22" s="816" t="s">
        <v>1954</v>
      </c>
      <c r="CB22" s="72">
        <f t="shared" si="246"/>
        <v>0</v>
      </c>
      <c r="CC22" s="64"/>
      <c r="CD22" s="825" t="s">
        <v>1956</v>
      </c>
      <c r="CE22" s="72">
        <f t="shared" si="247"/>
        <v>0</v>
      </c>
      <c r="CF22" s="64"/>
      <c r="CG22" s="796" t="s">
        <v>1960</v>
      </c>
      <c r="CH22" s="72">
        <f t="shared" si="188"/>
        <v>0</v>
      </c>
      <c r="CI22" s="64"/>
      <c r="CJ22" s="796" t="s">
        <v>1957</v>
      </c>
      <c r="CK22" s="72">
        <f t="shared" si="189"/>
        <v>0</v>
      </c>
      <c r="CL22" s="64"/>
      <c r="CM22" s="796" t="s">
        <v>1956</v>
      </c>
      <c r="CN22" s="72">
        <f t="shared" si="190"/>
        <v>0</v>
      </c>
      <c r="CO22" s="64"/>
      <c r="CP22" s="796" t="s">
        <v>1956</v>
      </c>
      <c r="CQ22" s="72">
        <f t="shared" si="248"/>
        <v>0</v>
      </c>
      <c r="CR22" s="64"/>
      <c r="CS22" s="796" t="s">
        <v>1955</v>
      </c>
      <c r="CT22" s="72">
        <f t="shared" si="249"/>
        <v>0</v>
      </c>
      <c r="CU22" s="64"/>
      <c r="CV22" s="796" t="s">
        <v>1955</v>
      </c>
      <c r="CW22" s="72">
        <f t="shared" si="191"/>
        <v>0</v>
      </c>
      <c r="CX22" s="64"/>
      <c r="CY22" s="796" t="s">
        <v>1960</v>
      </c>
      <c r="CZ22" s="72">
        <f t="shared" si="250"/>
        <v>0</v>
      </c>
      <c r="DA22" s="64"/>
      <c r="DB22" s="796" t="s">
        <v>1955</v>
      </c>
      <c r="DC22" s="72">
        <f t="shared" si="192"/>
        <v>0</v>
      </c>
      <c r="DD22" s="64"/>
      <c r="DE22" s="796" t="s">
        <v>1960</v>
      </c>
      <c r="DF22" s="72">
        <f t="shared" si="193"/>
        <v>0</v>
      </c>
      <c r="DG22" s="64"/>
      <c r="DH22" s="796" t="s">
        <v>1955</v>
      </c>
      <c r="DI22" s="72">
        <f t="shared" si="194"/>
        <v>0</v>
      </c>
      <c r="DJ22" s="64"/>
      <c r="DK22" s="796" t="s">
        <v>1955</v>
      </c>
      <c r="DL22" s="72">
        <f t="shared" si="195"/>
        <v>0</v>
      </c>
      <c r="DM22" s="64"/>
      <c r="DN22" s="73"/>
      <c r="DO22" s="72">
        <f t="shared" si="196"/>
        <v>0</v>
      </c>
      <c r="DP22" s="64"/>
      <c r="DQ22" s="796" t="s">
        <v>1960</v>
      </c>
      <c r="DR22" s="72">
        <f t="shared" si="251"/>
        <v>0</v>
      </c>
      <c r="DS22" s="64"/>
      <c r="DT22" s="73" t="s">
        <v>1948</v>
      </c>
      <c r="DU22" s="72">
        <f t="shared" si="277"/>
        <v>0</v>
      </c>
      <c r="DV22" s="64"/>
      <c r="DW22" s="73"/>
      <c r="DX22" s="72">
        <f t="shared" si="278"/>
        <v>0</v>
      </c>
      <c r="DY22" s="64"/>
      <c r="DZ22" s="73"/>
      <c r="EA22" s="72">
        <f t="shared" si="197"/>
        <v>0</v>
      </c>
      <c r="EB22" s="64"/>
      <c r="EC22" s="73"/>
      <c r="ED22" s="72">
        <f t="shared" si="198"/>
        <v>0</v>
      </c>
      <c r="EE22" s="64"/>
      <c r="EF22" s="73"/>
      <c r="EG22" s="72">
        <f t="shared" si="199"/>
        <v>0</v>
      </c>
      <c r="EH22" s="64"/>
      <c r="EI22" s="73"/>
      <c r="EJ22" s="72">
        <f t="shared" si="252"/>
        <v>0</v>
      </c>
      <c r="EK22" s="64"/>
      <c r="EL22" s="73"/>
      <c r="EM22" s="72">
        <f t="shared" si="253"/>
        <v>0</v>
      </c>
      <c r="EN22" s="64"/>
      <c r="EO22" s="73"/>
      <c r="EP22" s="72">
        <f t="shared" si="200"/>
        <v>0</v>
      </c>
      <c r="EQ22" s="64"/>
      <c r="ER22" s="73"/>
      <c r="ES22" s="72">
        <f t="shared" si="201"/>
        <v>0</v>
      </c>
      <c r="ET22" s="64"/>
      <c r="EU22" s="73"/>
      <c r="EV22" s="72">
        <f t="shared" si="202"/>
        <v>0</v>
      </c>
      <c r="EW22" s="64"/>
      <c r="EX22" s="73"/>
      <c r="EY22" s="72">
        <f t="shared" si="254"/>
        <v>0</v>
      </c>
      <c r="EZ22" s="64"/>
      <c r="FA22" s="73"/>
      <c r="FB22" s="72">
        <f t="shared" si="255"/>
        <v>0</v>
      </c>
      <c r="FC22" s="64"/>
      <c r="FD22" s="73"/>
      <c r="FE22" s="72">
        <f t="shared" si="203"/>
        <v>0</v>
      </c>
      <c r="FF22" s="64"/>
      <c r="FG22" s="73"/>
      <c r="FH22" s="72">
        <f t="shared" si="204"/>
        <v>0</v>
      </c>
      <c r="FI22" s="64"/>
      <c r="FJ22" s="73"/>
      <c r="FK22" s="72">
        <f t="shared" si="205"/>
        <v>0</v>
      </c>
      <c r="FL22" s="64"/>
      <c r="FM22" s="73"/>
      <c r="FN22" s="72">
        <f t="shared" si="256"/>
        <v>0</v>
      </c>
      <c r="FO22" s="64"/>
      <c r="FP22" s="73"/>
      <c r="FQ22" s="72">
        <f t="shared" si="257"/>
        <v>0</v>
      </c>
      <c r="FR22" s="64"/>
      <c r="FS22" s="73"/>
      <c r="FT22" s="72">
        <f t="shared" si="206"/>
        <v>0</v>
      </c>
      <c r="FU22" s="64"/>
      <c r="FV22" s="73"/>
      <c r="FW22" s="72">
        <f t="shared" si="207"/>
        <v>0</v>
      </c>
      <c r="FX22" s="64"/>
      <c r="FY22" s="73"/>
      <c r="FZ22" s="72">
        <f t="shared" si="208"/>
        <v>0</v>
      </c>
      <c r="GA22" s="64"/>
      <c r="GB22" s="73"/>
      <c r="GC22" s="72">
        <f t="shared" si="258"/>
        <v>0</v>
      </c>
      <c r="GD22" s="64"/>
      <c r="GE22" s="73"/>
      <c r="GF22" s="72">
        <f t="shared" si="259"/>
        <v>0</v>
      </c>
      <c r="GG22" s="64"/>
      <c r="GH22" s="73"/>
      <c r="GI22" s="72">
        <f t="shared" si="209"/>
        <v>0</v>
      </c>
      <c r="GJ22" s="64"/>
      <c r="GK22" s="73"/>
      <c r="GL22" s="72">
        <f t="shared" si="210"/>
        <v>0</v>
      </c>
      <c r="GM22" s="64"/>
      <c r="GN22" s="73"/>
      <c r="GO22" s="72">
        <f t="shared" si="211"/>
        <v>0</v>
      </c>
      <c r="GP22" s="64"/>
      <c r="GQ22" s="73"/>
      <c r="GR22" s="72">
        <f t="shared" si="260"/>
        <v>0</v>
      </c>
      <c r="GS22" s="64"/>
      <c r="GT22" s="73"/>
      <c r="GU22" s="72">
        <f t="shared" si="261"/>
        <v>0</v>
      </c>
      <c r="GV22" s="64"/>
      <c r="GW22" s="73"/>
      <c r="GX22" s="72">
        <f t="shared" si="212"/>
        <v>0</v>
      </c>
      <c r="GY22" s="64"/>
      <c r="GZ22" s="73"/>
      <c r="HA22" s="72">
        <f t="shared" si="213"/>
        <v>0</v>
      </c>
      <c r="HB22" s="64"/>
      <c r="HC22" s="73"/>
      <c r="HD22" s="72">
        <f t="shared" si="214"/>
        <v>0</v>
      </c>
      <c r="HE22" s="64"/>
      <c r="HF22" s="73"/>
      <c r="HG22" s="72">
        <f t="shared" si="262"/>
        <v>0</v>
      </c>
      <c r="HH22" s="64"/>
      <c r="HI22" s="73"/>
      <c r="HJ22" s="72">
        <f t="shared" si="263"/>
        <v>0</v>
      </c>
      <c r="HK22" s="64"/>
      <c r="HL22" s="73"/>
      <c r="HM22" s="72">
        <f t="shared" si="215"/>
        <v>0</v>
      </c>
      <c r="HN22" s="64"/>
      <c r="HO22" s="73"/>
      <c r="HP22" s="72">
        <f t="shared" si="216"/>
        <v>0</v>
      </c>
      <c r="HQ22" s="64"/>
      <c r="HR22" s="73"/>
      <c r="HS22" s="72">
        <f t="shared" si="217"/>
        <v>0</v>
      </c>
      <c r="HT22" s="64"/>
      <c r="HU22" s="73"/>
      <c r="HV22" s="72">
        <f t="shared" si="264"/>
        <v>0</v>
      </c>
      <c r="HW22" s="64"/>
      <c r="HX22" s="73"/>
      <c r="HY22" s="72">
        <f t="shared" si="265"/>
        <v>0</v>
      </c>
      <c r="HZ22" s="64"/>
      <c r="IA22" s="73"/>
      <c r="IB22" s="72">
        <f t="shared" si="218"/>
        <v>0</v>
      </c>
      <c r="IC22" s="64"/>
      <c r="ID22" s="73"/>
      <c r="IE22" s="72">
        <f t="shared" si="219"/>
        <v>0</v>
      </c>
      <c r="IF22" s="64"/>
      <c r="IG22" s="73"/>
      <c r="IH22" s="72">
        <f t="shared" si="220"/>
        <v>0</v>
      </c>
      <c r="II22" s="64"/>
      <c r="IJ22" s="73"/>
      <c r="IK22" s="72">
        <f t="shared" si="266"/>
        <v>0</v>
      </c>
      <c r="IL22" s="64"/>
      <c r="IM22" s="73"/>
      <c r="IN22" s="72">
        <f t="shared" si="267"/>
        <v>0</v>
      </c>
      <c r="IO22" s="64"/>
      <c r="IP22" s="73"/>
      <c r="IQ22" s="72">
        <f t="shared" si="221"/>
        <v>0</v>
      </c>
      <c r="IR22" s="64"/>
      <c r="IS22" s="73"/>
      <c r="IT22" s="72">
        <f t="shared" si="222"/>
        <v>0</v>
      </c>
      <c r="IU22" s="64"/>
      <c r="IV22" s="73"/>
      <c r="IW22" s="72">
        <f t="shared" si="223"/>
        <v>0</v>
      </c>
      <c r="IX22" s="64"/>
      <c r="IY22" s="73"/>
      <c r="IZ22" s="72">
        <f t="shared" si="268"/>
        <v>0</v>
      </c>
      <c r="JA22" s="64"/>
      <c r="JB22" s="73"/>
      <c r="JC22" s="72">
        <f t="shared" si="269"/>
        <v>0</v>
      </c>
      <c r="JD22" s="64"/>
      <c r="JE22" s="73"/>
      <c r="JF22" s="72">
        <f t="shared" si="224"/>
        <v>0</v>
      </c>
      <c r="JG22" s="64"/>
      <c r="JH22" s="73"/>
      <c r="JI22" s="72">
        <f t="shared" si="225"/>
        <v>0</v>
      </c>
      <c r="JJ22" s="64"/>
      <c r="JK22" s="73"/>
      <c r="JL22" s="72">
        <f t="shared" si="226"/>
        <v>0</v>
      </c>
      <c r="JM22" s="64"/>
      <c r="JN22" s="73"/>
      <c r="JO22" s="72">
        <f t="shared" si="270"/>
        <v>0</v>
      </c>
      <c r="JP22" s="64"/>
      <c r="JQ22" s="73"/>
      <c r="JR22" s="72">
        <f t="shared" si="271"/>
        <v>0</v>
      </c>
      <c r="JS22" s="64"/>
      <c r="JT22" s="73"/>
      <c r="JU22" s="72">
        <f t="shared" si="227"/>
        <v>0</v>
      </c>
      <c r="JV22" s="64"/>
      <c r="JW22" s="73"/>
      <c r="JX22" s="72">
        <f t="shared" si="228"/>
        <v>0</v>
      </c>
      <c r="JY22" s="64"/>
      <c r="JZ22" s="73"/>
      <c r="KA22" s="72">
        <f t="shared" si="229"/>
        <v>0</v>
      </c>
      <c r="KB22" s="64"/>
      <c r="KC22" s="73"/>
      <c r="KD22" s="72">
        <f t="shared" si="272"/>
        <v>0</v>
      </c>
      <c r="KE22" s="64"/>
      <c r="KF22" s="73"/>
      <c r="KG22" s="72">
        <f t="shared" si="273"/>
        <v>0</v>
      </c>
      <c r="KH22" s="64"/>
      <c r="KI22" s="73"/>
      <c r="KJ22" s="72">
        <f t="shared" si="230"/>
        <v>0</v>
      </c>
      <c r="KK22" s="64"/>
      <c r="KL22" s="73"/>
      <c r="KM22" s="72">
        <f t="shared" si="231"/>
        <v>0</v>
      </c>
      <c r="KN22" s="64"/>
      <c r="KO22" s="73"/>
      <c r="KP22" s="72">
        <f t="shared" si="232"/>
        <v>0</v>
      </c>
      <c r="KQ22" s="64"/>
      <c r="KR22" s="73"/>
      <c r="KS22" s="72">
        <f t="shared" si="274"/>
        <v>0</v>
      </c>
      <c r="KT22" s="64"/>
      <c r="KU22" s="73"/>
      <c r="KV22" s="72">
        <f t="shared" si="275"/>
        <v>0</v>
      </c>
      <c r="KW22" s="64"/>
      <c r="KX22" s="73"/>
      <c r="KY22" s="72">
        <f t="shared" si="233"/>
        <v>0</v>
      </c>
      <c r="KZ22" s="64"/>
      <c r="LA22" s="73"/>
      <c r="LB22" s="72">
        <f t="shared" si="234"/>
        <v>0</v>
      </c>
      <c r="LC22" s="64"/>
      <c r="LD22" s="73"/>
      <c r="LE22" s="72">
        <f t="shared" si="235"/>
        <v>0</v>
      </c>
      <c r="LF22" s="64"/>
    </row>
    <row r="23" spans="1:318" s="784" customFormat="1">
      <c r="A23" s="49"/>
      <c r="B23" s="49"/>
      <c r="C23" s="437" t="str">
        <f>Idiomas!D319</f>
        <v>Equipo clasificado para CUARTOS</v>
      </c>
      <c r="D23" s="62">
        <v>40</v>
      </c>
      <c r="E23" s="109"/>
      <c r="F23" s="443">
        <f t="shared" si="236"/>
        <v>15</v>
      </c>
      <c r="G23" s="443">
        <f ca="1">VLOOKUP(H23,Equipos!$Q$1:$R$25,2,0)</f>
        <v>6</v>
      </c>
      <c r="H23" s="444">
        <f ca="1">TRUNC(INDEX(WORLDCUP!$X$4:$X$147,MATCH(ADMIN!K23,WORLDCUP!$DT$4:$DT$147,0))+INDEX(Horarios!$R$3:$R$86,MATCH(Horarios!$C$3,Horarios!$P$3:$P$86,0))/24)</f>
        <v>46189</v>
      </c>
      <c r="I23" s="48">
        <v>1</v>
      </c>
      <c r="J23" s="93" t="s">
        <v>179</v>
      </c>
      <c r="K23" s="56" t="str">
        <f ca="1">CONCATENATE(WORLDCUP!AA69,"-",WORLDCUP!AF69)</f>
        <v>Irak-Noruega</v>
      </c>
      <c r="L23" s="53"/>
      <c r="M23" s="55" t="str">
        <f>IF(OR(WORLDCUP!AC69="",WORLDCUP!AD69=""),"-",N23&amp;"|"&amp;O23&amp;"-"&amp;P23)</f>
        <v>-</v>
      </c>
      <c r="N23" s="25" t="str">
        <f>IF(OR(WORLDCUP!AC69="",WORLDCUP!AD69=""),"",IF(WORLDCUP!AC69&gt;WORLDCUP!AD69,"1",IF(WORLDCUP!AC69&lt;WORLDCUP!AD69,"2","X")))</f>
        <v/>
      </c>
      <c r="O23" s="25">
        <f>WORLDCUP!AC69</f>
        <v>0</v>
      </c>
      <c r="P23" s="25">
        <f>WORLDCUP!AD69</f>
        <v>0</v>
      </c>
      <c r="Q23" s="25">
        <f t="shared" si="276"/>
        <v>0</v>
      </c>
      <c r="R23" s="49"/>
      <c r="S23" s="796" t="s">
        <v>1959</v>
      </c>
      <c r="T23" s="72">
        <f t="shared" si="237"/>
        <v>0</v>
      </c>
      <c r="U23" s="64"/>
      <c r="V23" s="73" t="s">
        <v>2006</v>
      </c>
      <c r="W23" s="72">
        <f t="shared" si="238"/>
        <v>0</v>
      </c>
      <c r="X23" s="64"/>
      <c r="Y23" s="796" t="s">
        <v>2006</v>
      </c>
      <c r="Z23" s="72">
        <f t="shared" si="176"/>
        <v>0</v>
      </c>
      <c r="AA23" s="64"/>
      <c r="AB23" s="796" t="s">
        <v>1962</v>
      </c>
      <c r="AC23" s="72">
        <f t="shared" si="177"/>
        <v>0</v>
      </c>
      <c r="AD23" s="64"/>
      <c r="AE23" s="796" t="s">
        <v>1962</v>
      </c>
      <c r="AF23" s="72">
        <f t="shared" si="279"/>
        <v>0</v>
      </c>
      <c r="AG23" s="64"/>
      <c r="AH23" s="796" t="s">
        <v>1963</v>
      </c>
      <c r="AI23" s="72">
        <f t="shared" si="240"/>
        <v>0</v>
      </c>
      <c r="AJ23" s="64"/>
      <c r="AK23" s="806" t="s">
        <v>2006</v>
      </c>
      <c r="AL23" s="72">
        <f t="shared" si="241"/>
        <v>0</v>
      </c>
      <c r="AM23" s="64"/>
      <c r="AN23" s="796" t="s">
        <v>1951</v>
      </c>
      <c r="AO23" s="72">
        <f t="shared" si="179"/>
        <v>0</v>
      </c>
      <c r="AP23" s="64"/>
      <c r="AQ23" s="806" t="s">
        <v>1951</v>
      </c>
      <c r="AR23" s="72">
        <f t="shared" si="180"/>
        <v>0</v>
      </c>
      <c r="AS23" s="64"/>
      <c r="AT23" s="796" t="s">
        <v>1949</v>
      </c>
      <c r="AU23" s="72">
        <f t="shared" si="181"/>
        <v>0</v>
      </c>
      <c r="AV23" s="64"/>
      <c r="AW23" s="796" t="s">
        <v>1951</v>
      </c>
      <c r="AX23" s="72">
        <f t="shared" si="242"/>
        <v>0</v>
      </c>
      <c r="AY23" s="64"/>
      <c r="AZ23" s="796" t="s">
        <v>2341</v>
      </c>
      <c r="BA23" s="72">
        <f t="shared" si="243"/>
        <v>0</v>
      </c>
      <c r="BB23" s="64"/>
      <c r="BC23" s="796" t="s">
        <v>1951</v>
      </c>
      <c r="BD23" s="72">
        <f t="shared" si="182"/>
        <v>0</v>
      </c>
      <c r="BE23" s="64"/>
      <c r="BF23" s="796" t="s">
        <v>1959</v>
      </c>
      <c r="BG23" s="72">
        <f t="shared" si="183"/>
        <v>0</v>
      </c>
      <c r="BH23" s="64"/>
      <c r="BI23" s="796" t="s">
        <v>1962</v>
      </c>
      <c r="BJ23" s="72">
        <f t="shared" si="184"/>
        <v>0</v>
      </c>
      <c r="BK23" s="64"/>
      <c r="BL23" s="796" t="s">
        <v>1951</v>
      </c>
      <c r="BM23" s="72">
        <f t="shared" si="244"/>
        <v>0</v>
      </c>
      <c r="BN23" s="64"/>
      <c r="BO23" s="816" t="s">
        <v>1949</v>
      </c>
      <c r="BP23" s="72">
        <f t="shared" si="245"/>
        <v>0</v>
      </c>
      <c r="BQ23" s="64"/>
      <c r="BR23" s="796" t="s">
        <v>1959</v>
      </c>
      <c r="BS23" s="72">
        <f t="shared" si="185"/>
        <v>0</v>
      </c>
      <c r="BT23" s="64"/>
      <c r="BU23" s="796" t="s">
        <v>1959</v>
      </c>
      <c r="BV23" s="72">
        <f t="shared" si="186"/>
        <v>0</v>
      </c>
      <c r="BW23" s="64"/>
      <c r="BX23" s="73" t="s">
        <v>1947</v>
      </c>
      <c r="BY23" s="72">
        <f t="shared" si="187"/>
        <v>0</v>
      </c>
      <c r="BZ23" s="64"/>
      <c r="CA23" s="816" t="s">
        <v>1949</v>
      </c>
      <c r="CB23" s="72">
        <f t="shared" si="246"/>
        <v>0</v>
      </c>
      <c r="CC23" s="64"/>
      <c r="CD23" s="825" t="s">
        <v>1962</v>
      </c>
      <c r="CE23" s="72">
        <f t="shared" si="247"/>
        <v>0</v>
      </c>
      <c r="CF23" s="64"/>
      <c r="CG23" s="796" t="s">
        <v>1959</v>
      </c>
      <c r="CH23" s="72">
        <f t="shared" si="188"/>
        <v>0</v>
      </c>
      <c r="CI23" s="64"/>
      <c r="CJ23" s="796" t="s">
        <v>1962</v>
      </c>
      <c r="CK23" s="72">
        <f t="shared" si="189"/>
        <v>0</v>
      </c>
      <c r="CL23" s="64"/>
      <c r="CM23" s="796" t="s">
        <v>1962</v>
      </c>
      <c r="CN23" s="72">
        <f t="shared" si="190"/>
        <v>0</v>
      </c>
      <c r="CO23" s="64"/>
      <c r="CP23" s="796" t="s">
        <v>1951</v>
      </c>
      <c r="CQ23" s="72">
        <f t="shared" si="248"/>
        <v>0</v>
      </c>
      <c r="CR23" s="64"/>
      <c r="CS23" s="796" t="s">
        <v>1951</v>
      </c>
      <c r="CT23" s="72">
        <f t="shared" si="249"/>
        <v>0</v>
      </c>
      <c r="CU23" s="64"/>
      <c r="CV23" s="796" t="s">
        <v>2556</v>
      </c>
      <c r="CW23" s="72">
        <f t="shared" si="191"/>
        <v>0</v>
      </c>
      <c r="CX23" s="64"/>
      <c r="CY23" s="796" t="s">
        <v>1947</v>
      </c>
      <c r="CZ23" s="72">
        <f t="shared" si="250"/>
        <v>0</v>
      </c>
      <c r="DA23" s="64"/>
      <c r="DB23" s="796" t="s">
        <v>1962</v>
      </c>
      <c r="DC23" s="72">
        <f t="shared" si="192"/>
        <v>0</v>
      </c>
      <c r="DD23" s="64"/>
      <c r="DE23" s="796" t="s">
        <v>1963</v>
      </c>
      <c r="DF23" s="72">
        <f t="shared" si="193"/>
        <v>0</v>
      </c>
      <c r="DG23" s="64"/>
      <c r="DH23" s="796" t="s">
        <v>1951</v>
      </c>
      <c r="DI23" s="72">
        <f t="shared" si="194"/>
        <v>0</v>
      </c>
      <c r="DJ23" s="64"/>
      <c r="DK23" s="796" t="s">
        <v>1962</v>
      </c>
      <c r="DL23" s="72">
        <f t="shared" si="195"/>
        <v>0</v>
      </c>
      <c r="DM23" s="64"/>
      <c r="DN23" s="73"/>
      <c r="DO23" s="72">
        <f t="shared" si="196"/>
        <v>0</v>
      </c>
      <c r="DP23" s="64"/>
      <c r="DQ23" s="796" t="s">
        <v>1951</v>
      </c>
      <c r="DR23" s="72">
        <f t="shared" si="251"/>
        <v>0</v>
      </c>
      <c r="DS23" s="64"/>
      <c r="DT23" s="73" t="s">
        <v>1951</v>
      </c>
      <c r="DU23" s="72">
        <f t="shared" si="277"/>
        <v>0</v>
      </c>
      <c r="DV23" s="64"/>
      <c r="DW23" s="73"/>
      <c r="DX23" s="72">
        <f t="shared" si="278"/>
        <v>0</v>
      </c>
      <c r="DY23" s="64"/>
      <c r="DZ23" s="73"/>
      <c r="EA23" s="72">
        <f t="shared" si="197"/>
        <v>0</v>
      </c>
      <c r="EB23" s="64"/>
      <c r="EC23" s="73"/>
      <c r="ED23" s="72">
        <f t="shared" si="198"/>
        <v>0</v>
      </c>
      <c r="EE23" s="64"/>
      <c r="EF23" s="73"/>
      <c r="EG23" s="72">
        <f t="shared" si="199"/>
        <v>0</v>
      </c>
      <c r="EH23" s="64"/>
      <c r="EI23" s="73"/>
      <c r="EJ23" s="72">
        <f t="shared" si="252"/>
        <v>0</v>
      </c>
      <c r="EK23" s="64"/>
      <c r="EL23" s="73"/>
      <c r="EM23" s="72">
        <f t="shared" si="253"/>
        <v>0</v>
      </c>
      <c r="EN23" s="64"/>
      <c r="EO23" s="73"/>
      <c r="EP23" s="72">
        <f t="shared" si="200"/>
        <v>0</v>
      </c>
      <c r="EQ23" s="64"/>
      <c r="ER23" s="73"/>
      <c r="ES23" s="72">
        <f t="shared" si="201"/>
        <v>0</v>
      </c>
      <c r="ET23" s="64"/>
      <c r="EU23" s="73"/>
      <c r="EV23" s="72">
        <f t="shared" si="202"/>
        <v>0</v>
      </c>
      <c r="EW23" s="64"/>
      <c r="EX23" s="73"/>
      <c r="EY23" s="72">
        <f t="shared" si="254"/>
        <v>0</v>
      </c>
      <c r="EZ23" s="64"/>
      <c r="FA23" s="73"/>
      <c r="FB23" s="72">
        <f t="shared" si="255"/>
        <v>0</v>
      </c>
      <c r="FC23" s="64"/>
      <c r="FD23" s="73"/>
      <c r="FE23" s="72">
        <f t="shared" si="203"/>
        <v>0</v>
      </c>
      <c r="FF23" s="64"/>
      <c r="FG23" s="73"/>
      <c r="FH23" s="72">
        <f t="shared" si="204"/>
        <v>0</v>
      </c>
      <c r="FI23" s="64"/>
      <c r="FJ23" s="73"/>
      <c r="FK23" s="72">
        <f t="shared" si="205"/>
        <v>0</v>
      </c>
      <c r="FL23" s="64"/>
      <c r="FM23" s="73"/>
      <c r="FN23" s="72">
        <f t="shared" si="256"/>
        <v>0</v>
      </c>
      <c r="FO23" s="64"/>
      <c r="FP23" s="73"/>
      <c r="FQ23" s="72">
        <f t="shared" si="257"/>
        <v>0</v>
      </c>
      <c r="FR23" s="64"/>
      <c r="FS23" s="73"/>
      <c r="FT23" s="72">
        <f t="shared" si="206"/>
        <v>0</v>
      </c>
      <c r="FU23" s="64"/>
      <c r="FV23" s="73"/>
      <c r="FW23" s="72">
        <f t="shared" si="207"/>
        <v>0</v>
      </c>
      <c r="FX23" s="64"/>
      <c r="FY23" s="73"/>
      <c r="FZ23" s="72">
        <f t="shared" si="208"/>
        <v>0</v>
      </c>
      <c r="GA23" s="64"/>
      <c r="GB23" s="73"/>
      <c r="GC23" s="72">
        <f t="shared" si="258"/>
        <v>0</v>
      </c>
      <c r="GD23" s="64"/>
      <c r="GE23" s="73"/>
      <c r="GF23" s="72">
        <f t="shared" si="259"/>
        <v>0</v>
      </c>
      <c r="GG23" s="64"/>
      <c r="GH23" s="73"/>
      <c r="GI23" s="72">
        <f t="shared" si="209"/>
        <v>0</v>
      </c>
      <c r="GJ23" s="64"/>
      <c r="GK23" s="73"/>
      <c r="GL23" s="72">
        <f t="shared" si="210"/>
        <v>0</v>
      </c>
      <c r="GM23" s="64"/>
      <c r="GN23" s="73"/>
      <c r="GO23" s="72">
        <f t="shared" si="211"/>
        <v>0</v>
      </c>
      <c r="GP23" s="64"/>
      <c r="GQ23" s="73"/>
      <c r="GR23" s="72">
        <f t="shared" si="260"/>
        <v>0</v>
      </c>
      <c r="GS23" s="64"/>
      <c r="GT23" s="73"/>
      <c r="GU23" s="72">
        <f t="shared" si="261"/>
        <v>0</v>
      </c>
      <c r="GV23" s="64"/>
      <c r="GW23" s="73"/>
      <c r="GX23" s="72">
        <f t="shared" si="212"/>
        <v>0</v>
      </c>
      <c r="GY23" s="64"/>
      <c r="GZ23" s="73"/>
      <c r="HA23" s="72">
        <f t="shared" si="213"/>
        <v>0</v>
      </c>
      <c r="HB23" s="64"/>
      <c r="HC23" s="73"/>
      <c r="HD23" s="72">
        <f t="shared" si="214"/>
        <v>0</v>
      </c>
      <c r="HE23" s="64"/>
      <c r="HF23" s="73"/>
      <c r="HG23" s="72">
        <f t="shared" si="262"/>
        <v>0</v>
      </c>
      <c r="HH23" s="64"/>
      <c r="HI23" s="73"/>
      <c r="HJ23" s="72">
        <f t="shared" si="263"/>
        <v>0</v>
      </c>
      <c r="HK23" s="64"/>
      <c r="HL23" s="73"/>
      <c r="HM23" s="72">
        <f t="shared" si="215"/>
        <v>0</v>
      </c>
      <c r="HN23" s="64"/>
      <c r="HO23" s="73"/>
      <c r="HP23" s="72">
        <f t="shared" si="216"/>
        <v>0</v>
      </c>
      <c r="HQ23" s="64"/>
      <c r="HR23" s="73"/>
      <c r="HS23" s="72">
        <f t="shared" si="217"/>
        <v>0</v>
      </c>
      <c r="HT23" s="64"/>
      <c r="HU23" s="73"/>
      <c r="HV23" s="72">
        <f t="shared" si="264"/>
        <v>0</v>
      </c>
      <c r="HW23" s="64"/>
      <c r="HX23" s="73"/>
      <c r="HY23" s="72">
        <f t="shared" si="265"/>
        <v>0</v>
      </c>
      <c r="HZ23" s="64"/>
      <c r="IA23" s="73"/>
      <c r="IB23" s="72">
        <f t="shared" si="218"/>
        <v>0</v>
      </c>
      <c r="IC23" s="64"/>
      <c r="ID23" s="73"/>
      <c r="IE23" s="72">
        <f t="shared" si="219"/>
        <v>0</v>
      </c>
      <c r="IF23" s="64"/>
      <c r="IG23" s="73"/>
      <c r="IH23" s="72">
        <f t="shared" si="220"/>
        <v>0</v>
      </c>
      <c r="II23" s="64"/>
      <c r="IJ23" s="73"/>
      <c r="IK23" s="72">
        <f t="shared" si="266"/>
        <v>0</v>
      </c>
      <c r="IL23" s="64"/>
      <c r="IM23" s="73"/>
      <c r="IN23" s="72">
        <f t="shared" si="267"/>
        <v>0</v>
      </c>
      <c r="IO23" s="64"/>
      <c r="IP23" s="73"/>
      <c r="IQ23" s="72">
        <f t="shared" si="221"/>
        <v>0</v>
      </c>
      <c r="IR23" s="64"/>
      <c r="IS23" s="73"/>
      <c r="IT23" s="72">
        <f t="shared" si="222"/>
        <v>0</v>
      </c>
      <c r="IU23" s="64"/>
      <c r="IV23" s="73"/>
      <c r="IW23" s="72">
        <f t="shared" si="223"/>
        <v>0</v>
      </c>
      <c r="IX23" s="64"/>
      <c r="IY23" s="73"/>
      <c r="IZ23" s="72">
        <f t="shared" si="268"/>
        <v>0</v>
      </c>
      <c r="JA23" s="64"/>
      <c r="JB23" s="73"/>
      <c r="JC23" s="72">
        <f t="shared" si="269"/>
        <v>0</v>
      </c>
      <c r="JD23" s="64"/>
      <c r="JE23" s="73"/>
      <c r="JF23" s="72">
        <f t="shared" si="224"/>
        <v>0</v>
      </c>
      <c r="JG23" s="64"/>
      <c r="JH23" s="73"/>
      <c r="JI23" s="72">
        <f t="shared" si="225"/>
        <v>0</v>
      </c>
      <c r="JJ23" s="64"/>
      <c r="JK23" s="73"/>
      <c r="JL23" s="72">
        <f t="shared" si="226"/>
        <v>0</v>
      </c>
      <c r="JM23" s="64"/>
      <c r="JN23" s="73"/>
      <c r="JO23" s="72">
        <f t="shared" si="270"/>
        <v>0</v>
      </c>
      <c r="JP23" s="64"/>
      <c r="JQ23" s="73"/>
      <c r="JR23" s="72">
        <f t="shared" si="271"/>
        <v>0</v>
      </c>
      <c r="JS23" s="64"/>
      <c r="JT23" s="73"/>
      <c r="JU23" s="72">
        <f t="shared" si="227"/>
        <v>0</v>
      </c>
      <c r="JV23" s="64"/>
      <c r="JW23" s="73"/>
      <c r="JX23" s="72">
        <f t="shared" si="228"/>
        <v>0</v>
      </c>
      <c r="JY23" s="64"/>
      <c r="JZ23" s="73"/>
      <c r="KA23" s="72">
        <f t="shared" si="229"/>
        <v>0</v>
      </c>
      <c r="KB23" s="64"/>
      <c r="KC23" s="73"/>
      <c r="KD23" s="72">
        <f t="shared" si="272"/>
        <v>0</v>
      </c>
      <c r="KE23" s="64"/>
      <c r="KF23" s="73"/>
      <c r="KG23" s="72">
        <f t="shared" si="273"/>
        <v>0</v>
      </c>
      <c r="KH23" s="64"/>
      <c r="KI23" s="73"/>
      <c r="KJ23" s="72">
        <f t="shared" si="230"/>
        <v>0</v>
      </c>
      <c r="KK23" s="64"/>
      <c r="KL23" s="73"/>
      <c r="KM23" s="72">
        <f t="shared" si="231"/>
        <v>0</v>
      </c>
      <c r="KN23" s="64"/>
      <c r="KO23" s="73"/>
      <c r="KP23" s="72">
        <f t="shared" si="232"/>
        <v>0</v>
      </c>
      <c r="KQ23" s="64"/>
      <c r="KR23" s="73"/>
      <c r="KS23" s="72">
        <f t="shared" si="274"/>
        <v>0</v>
      </c>
      <c r="KT23" s="64"/>
      <c r="KU23" s="73"/>
      <c r="KV23" s="72">
        <f t="shared" si="275"/>
        <v>0</v>
      </c>
      <c r="KW23" s="64"/>
      <c r="KX23" s="73"/>
      <c r="KY23" s="72">
        <f t="shared" si="233"/>
        <v>0</v>
      </c>
      <c r="KZ23" s="64"/>
      <c r="LA23" s="73"/>
      <c r="LB23" s="72">
        <f t="shared" si="234"/>
        <v>0</v>
      </c>
      <c r="LC23" s="64"/>
      <c r="LD23" s="73"/>
      <c r="LE23" s="72">
        <f t="shared" si="235"/>
        <v>0</v>
      </c>
      <c r="LF23" s="64"/>
    </row>
    <row r="24" spans="1:318" s="784" customFormat="1">
      <c r="A24" s="49"/>
      <c r="B24" s="49"/>
      <c r="C24" s="435" t="str">
        <f>Idiomas!D320</f>
        <v>CUARTOS - Signo 1X2  (local, empate, visitante)</v>
      </c>
      <c r="D24" s="62">
        <v>14</v>
      </c>
      <c r="E24" s="109"/>
      <c r="F24" s="443">
        <f t="shared" si="236"/>
        <v>15</v>
      </c>
      <c r="G24" s="443">
        <f ca="1">VLOOKUP(H24,Equipos!$Q$1:$R$25,2,0)</f>
        <v>6</v>
      </c>
      <c r="H24" s="444">
        <f ca="1">TRUNC(INDEX(WORLDCUP!$X$4:$X$147,MATCH(ADMIN!K24,WORLDCUP!$DT$4:$DT$147,0))+INDEX(Horarios!$R$3:$R$86,MATCH(Horarios!$C$3,Horarios!$P$3:$P$86,0))/24)</f>
        <v>46189</v>
      </c>
      <c r="I24" s="48">
        <v>1</v>
      </c>
      <c r="J24" s="94" t="s">
        <v>26</v>
      </c>
      <c r="K24" s="53" t="str">
        <f ca="1">CONCATENATE(WORLDCUP!AA76,"-",WORLDCUP!AF76)</f>
        <v>Argentina-Argelia</v>
      </c>
      <c r="L24" s="53"/>
      <c r="M24" s="55" t="str">
        <f>IF(OR(WORLDCUP!AC76="",WORLDCUP!AD76=""),"-",N24&amp;"|"&amp;O24&amp;"-"&amp;P24)</f>
        <v>-</v>
      </c>
      <c r="N24" s="25" t="str">
        <f>IF(OR(WORLDCUP!AC76="",WORLDCUP!AD76=""),"",IF(WORLDCUP!AC76&gt;WORLDCUP!AD76,"1",IF(WORLDCUP!AC76&lt;WORLDCUP!AD76,"2","X")))</f>
        <v/>
      </c>
      <c r="O24" s="25">
        <f>WORLDCUP!AC76</f>
        <v>0</v>
      </c>
      <c r="P24" s="25">
        <f>WORLDCUP!AD76</f>
        <v>0</v>
      </c>
      <c r="Q24" s="25">
        <f t="shared" si="276"/>
        <v>0</v>
      </c>
      <c r="R24" s="49"/>
      <c r="S24" s="796" t="s">
        <v>1960</v>
      </c>
      <c r="T24" s="76">
        <f t="shared" si="237"/>
        <v>0</v>
      </c>
      <c r="U24" s="64"/>
      <c r="V24" s="75" t="s">
        <v>1960</v>
      </c>
      <c r="W24" s="76">
        <f t="shared" si="238"/>
        <v>0</v>
      </c>
      <c r="X24" s="64"/>
      <c r="Y24" s="796" t="s">
        <v>1948</v>
      </c>
      <c r="Z24" s="76">
        <f t="shared" si="176"/>
        <v>0</v>
      </c>
      <c r="AA24" s="64"/>
      <c r="AB24" s="796" t="s">
        <v>1960</v>
      </c>
      <c r="AC24" s="76">
        <f t="shared" si="177"/>
        <v>0</v>
      </c>
      <c r="AD24" s="64"/>
      <c r="AE24" s="796" t="s">
        <v>1956</v>
      </c>
      <c r="AF24" s="76">
        <f t="shared" si="279"/>
        <v>0</v>
      </c>
      <c r="AG24" s="64"/>
      <c r="AH24" s="796" t="s">
        <v>1955</v>
      </c>
      <c r="AI24" s="76">
        <f t="shared" si="240"/>
        <v>0</v>
      </c>
      <c r="AJ24" s="64"/>
      <c r="AK24" s="806" t="s">
        <v>1955</v>
      </c>
      <c r="AL24" s="76">
        <f t="shared" si="241"/>
        <v>0</v>
      </c>
      <c r="AM24" s="64"/>
      <c r="AN24" s="796" t="s">
        <v>1957</v>
      </c>
      <c r="AO24" s="76">
        <f t="shared" si="179"/>
        <v>0</v>
      </c>
      <c r="AP24" s="64"/>
      <c r="AQ24" s="806" t="s">
        <v>1948</v>
      </c>
      <c r="AR24" s="76">
        <f t="shared" si="180"/>
        <v>0</v>
      </c>
      <c r="AS24" s="64"/>
      <c r="AT24" s="796" t="s">
        <v>1960</v>
      </c>
      <c r="AU24" s="76">
        <f t="shared" si="181"/>
        <v>0</v>
      </c>
      <c r="AV24" s="64"/>
      <c r="AW24" s="796" t="s">
        <v>1948</v>
      </c>
      <c r="AX24" s="76">
        <f t="shared" si="242"/>
        <v>0</v>
      </c>
      <c r="AY24" s="64"/>
      <c r="AZ24" s="796" t="s">
        <v>1949</v>
      </c>
      <c r="BA24" s="76">
        <f t="shared" si="243"/>
        <v>0</v>
      </c>
      <c r="BB24" s="64"/>
      <c r="BC24" s="796" t="s">
        <v>2051</v>
      </c>
      <c r="BD24" s="76">
        <f t="shared" si="182"/>
        <v>0</v>
      </c>
      <c r="BE24" s="64"/>
      <c r="BF24" s="796" t="s">
        <v>1948</v>
      </c>
      <c r="BG24" s="76">
        <f t="shared" si="183"/>
        <v>0</v>
      </c>
      <c r="BH24" s="64"/>
      <c r="BI24" s="796" t="s">
        <v>1948</v>
      </c>
      <c r="BJ24" s="76">
        <f t="shared" si="184"/>
        <v>0</v>
      </c>
      <c r="BK24" s="64"/>
      <c r="BL24" s="796" t="s">
        <v>1955</v>
      </c>
      <c r="BM24" s="76">
        <f t="shared" si="244"/>
        <v>0</v>
      </c>
      <c r="BN24" s="64"/>
      <c r="BO24" s="816" t="s">
        <v>1956</v>
      </c>
      <c r="BP24" s="76">
        <f t="shared" si="245"/>
        <v>0</v>
      </c>
      <c r="BQ24" s="64"/>
      <c r="BR24" s="796" t="s">
        <v>1955</v>
      </c>
      <c r="BS24" s="76">
        <f t="shared" si="185"/>
        <v>0</v>
      </c>
      <c r="BT24" s="64"/>
      <c r="BU24" s="796" t="s">
        <v>1947</v>
      </c>
      <c r="BV24" s="76">
        <f t="shared" si="186"/>
        <v>0</v>
      </c>
      <c r="BW24" s="64"/>
      <c r="BX24" s="75" t="s">
        <v>1948</v>
      </c>
      <c r="BY24" s="76">
        <f t="shared" si="187"/>
        <v>0</v>
      </c>
      <c r="BZ24" s="64"/>
      <c r="CA24" s="816" t="s">
        <v>1956</v>
      </c>
      <c r="CB24" s="76">
        <f t="shared" si="246"/>
        <v>0</v>
      </c>
      <c r="CC24" s="64"/>
      <c r="CD24" s="825" t="s">
        <v>1957</v>
      </c>
      <c r="CE24" s="76">
        <f t="shared" si="247"/>
        <v>0</v>
      </c>
      <c r="CF24" s="64"/>
      <c r="CG24" s="796" t="s">
        <v>1956</v>
      </c>
      <c r="CH24" s="76">
        <f t="shared" si="188"/>
        <v>0</v>
      </c>
      <c r="CI24" s="64"/>
      <c r="CJ24" s="796" t="s">
        <v>1955</v>
      </c>
      <c r="CK24" s="76">
        <f t="shared" si="189"/>
        <v>0</v>
      </c>
      <c r="CL24" s="64"/>
      <c r="CM24" s="796" t="s">
        <v>1955</v>
      </c>
      <c r="CN24" s="76">
        <f t="shared" si="190"/>
        <v>0</v>
      </c>
      <c r="CO24" s="64"/>
      <c r="CP24" s="796" t="s">
        <v>1955</v>
      </c>
      <c r="CQ24" s="76">
        <f t="shared" si="248"/>
        <v>0</v>
      </c>
      <c r="CR24" s="64"/>
      <c r="CS24" s="796" t="s">
        <v>1957</v>
      </c>
      <c r="CT24" s="76">
        <f t="shared" si="249"/>
        <v>0</v>
      </c>
      <c r="CU24" s="64"/>
      <c r="CV24" s="796" t="s">
        <v>1956</v>
      </c>
      <c r="CW24" s="76">
        <f t="shared" si="191"/>
        <v>0</v>
      </c>
      <c r="CX24" s="64"/>
      <c r="CY24" s="796" t="s">
        <v>1956</v>
      </c>
      <c r="CZ24" s="76">
        <f t="shared" si="250"/>
        <v>0</v>
      </c>
      <c r="DA24" s="64"/>
      <c r="DB24" s="796" t="s">
        <v>1956</v>
      </c>
      <c r="DC24" s="76">
        <f t="shared" si="192"/>
        <v>0</v>
      </c>
      <c r="DD24" s="64"/>
      <c r="DE24" s="796" t="s">
        <v>1955</v>
      </c>
      <c r="DF24" s="76">
        <f t="shared" si="193"/>
        <v>0</v>
      </c>
      <c r="DG24" s="64"/>
      <c r="DH24" s="796" t="s">
        <v>1956</v>
      </c>
      <c r="DI24" s="76">
        <f t="shared" si="194"/>
        <v>0</v>
      </c>
      <c r="DJ24" s="64"/>
      <c r="DK24" s="796" t="s">
        <v>1948</v>
      </c>
      <c r="DL24" s="76">
        <f t="shared" si="195"/>
        <v>0</v>
      </c>
      <c r="DM24" s="64"/>
      <c r="DN24" s="75"/>
      <c r="DO24" s="76">
        <f t="shared" si="196"/>
        <v>0</v>
      </c>
      <c r="DP24" s="64"/>
      <c r="DQ24" s="796" t="s">
        <v>1948</v>
      </c>
      <c r="DR24" s="76">
        <f t="shared" si="251"/>
        <v>0</v>
      </c>
      <c r="DS24" s="64"/>
      <c r="DT24" s="75" t="s">
        <v>1948</v>
      </c>
      <c r="DU24" s="76">
        <f t="shared" si="277"/>
        <v>0</v>
      </c>
      <c r="DV24" s="64"/>
      <c r="DW24" s="75"/>
      <c r="DX24" s="76">
        <f t="shared" si="278"/>
        <v>0</v>
      </c>
      <c r="DY24" s="64"/>
      <c r="DZ24" s="75"/>
      <c r="EA24" s="76">
        <f t="shared" si="197"/>
        <v>0</v>
      </c>
      <c r="EB24" s="64"/>
      <c r="EC24" s="75"/>
      <c r="ED24" s="76">
        <f t="shared" si="198"/>
        <v>0</v>
      </c>
      <c r="EE24" s="64"/>
      <c r="EF24" s="75"/>
      <c r="EG24" s="76">
        <f t="shared" si="199"/>
        <v>0</v>
      </c>
      <c r="EH24" s="64"/>
      <c r="EI24" s="75"/>
      <c r="EJ24" s="76">
        <f t="shared" si="252"/>
        <v>0</v>
      </c>
      <c r="EK24" s="64"/>
      <c r="EL24" s="75"/>
      <c r="EM24" s="76">
        <f t="shared" si="253"/>
        <v>0</v>
      </c>
      <c r="EN24" s="64"/>
      <c r="EO24" s="75"/>
      <c r="EP24" s="76">
        <f t="shared" si="200"/>
        <v>0</v>
      </c>
      <c r="EQ24" s="64"/>
      <c r="ER24" s="75"/>
      <c r="ES24" s="76">
        <f t="shared" si="201"/>
        <v>0</v>
      </c>
      <c r="ET24" s="64"/>
      <c r="EU24" s="75"/>
      <c r="EV24" s="76">
        <f t="shared" si="202"/>
        <v>0</v>
      </c>
      <c r="EW24" s="64"/>
      <c r="EX24" s="75"/>
      <c r="EY24" s="76">
        <f t="shared" si="254"/>
        <v>0</v>
      </c>
      <c r="EZ24" s="64"/>
      <c r="FA24" s="75"/>
      <c r="FB24" s="76">
        <f t="shared" si="255"/>
        <v>0</v>
      </c>
      <c r="FC24" s="64"/>
      <c r="FD24" s="75"/>
      <c r="FE24" s="76">
        <f t="shared" si="203"/>
        <v>0</v>
      </c>
      <c r="FF24" s="64"/>
      <c r="FG24" s="75"/>
      <c r="FH24" s="76">
        <f t="shared" si="204"/>
        <v>0</v>
      </c>
      <c r="FI24" s="64"/>
      <c r="FJ24" s="75"/>
      <c r="FK24" s="76">
        <f t="shared" si="205"/>
        <v>0</v>
      </c>
      <c r="FL24" s="64"/>
      <c r="FM24" s="75"/>
      <c r="FN24" s="76">
        <f t="shared" si="256"/>
        <v>0</v>
      </c>
      <c r="FO24" s="64"/>
      <c r="FP24" s="75"/>
      <c r="FQ24" s="76">
        <f t="shared" si="257"/>
        <v>0</v>
      </c>
      <c r="FR24" s="64"/>
      <c r="FS24" s="75"/>
      <c r="FT24" s="76">
        <f t="shared" si="206"/>
        <v>0</v>
      </c>
      <c r="FU24" s="64"/>
      <c r="FV24" s="75"/>
      <c r="FW24" s="76">
        <f t="shared" si="207"/>
        <v>0</v>
      </c>
      <c r="FX24" s="64"/>
      <c r="FY24" s="75"/>
      <c r="FZ24" s="76">
        <f t="shared" si="208"/>
        <v>0</v>
      </c>
      <c r="GA24" s="64"/>
      <c r="GB24" s="75"/>
      <c r="GC24" s="76">
        <f t="shared" si="258"/>
        <v>0</v>
      </c>
      <c r="GD24" s="64"/>
      <c r="GE24" s="75"/>
      <c r="GF24" s="76">
        <f t="shared" si="259"/>
        <v>0</v>
      </c>
      <c r="GG24" s="64"/>
      <c r="GH24" s="75"/>
      <c r="GI24" s="76">
        <f t="shared" si="209"/>
        <v>0</v>
      </c>
      <c r="GJ24" s="64"/>
      <c r="GK24" s="75"/>
      <c r="GL24" s="76">
        <f t="shared" si="210"/>
        <v>0</v>
      </c>
      <c r="GM24" s="64"/>
      <c r="GN24" s="75"/>
      <c r="GO24" s="76">
        <f t="shared" si="211"/>
        <v>0</v>
      </c>
      <c r="GP24" s="64"/>
      <c r="GQ24" s="75"/>
      <c r="GR24" s="76">
        <f t="shared" si="260"/>
        <v>0</v>
      </c>
      <c r="GS24" s="64"/>
      <c r="GT24" s="75"/>
      <c r="GU24" s="76">
        <f t="shared" si="261"/>
        <v>0</v>
      </c>
      <c r="GV24" s="64"/>
      <c r="GW24" s="75"/>
      <c r="GX24" s="76">
        <f t="shared" si="212"/>
        <v>0</v>
      </c>
      <c r="GY24" s="64"/>
      <c r="GZ24" s="75"/>
      <c r="HA24" s="76">
        <f t="shared" si="213"/>
        <v>0</v>
      </c>
      <c r="HB24" s="64"/>
      <c r="HC24" s="75"/>
      <c r="HD24" s="76">
        <f t="shared" si="214"/>
        <v>0</v>
      </c>
      <c r="HE24" s="64"/>
      <c r="HF24" s="75"/>
      <c r="HG24" s="76">
        <f t="shared" si="262"/>
        <v>0</v>
      </c>
      <c r="HH24" s="64"/>
      <c r="HI24" s="75"/>
      <c r="HJ24" s="76">
        <f t="shared" si="263"/>
        <v>0</v>
      </c>
      <c r="HK24" s="64"/>
      <c r="HL24" s="75"/>
      <c r="HM24" s="76">
        <f t="shared" si="215"/>
        <v>0</v>
      </c>
      <c r="HN24" s="64"/>
      <c r="HO24" s="75"/>
      <c r="HP24" s="76">
        <f t="shared" si="216"/>
        <v>0</v>
      </c>
      <c r="HQ24" s="64"/>
      <c r="HR24" s="75"/>
      <c r="HS24" s="76">
        <f t="shared" si="217"/>
        <v>0</v>
      </c>
      <c r="HT24" s="64"/>
      <c r="HU24" s="75"/>
      <c r="HV24" s="76">
        <f t="shared" si="264"/>
        <v>0</v>
      </c>
      <c r="HW24" s="64"/>
      <c r="HX24" s="75"/>
      <c r="HY24" s="76">
        <f t="shared" si="265"/>
        <v>0</v>
      </c>
      <c r="HZ24" s="64"/>
      <c r="IA24" s="75"/>
      <c r="IB24" s="76">
        <f t="shared" si="218"/>
        <v>0</v>
      </c>
      <c r="IC24" s="64"/>
      <c r="ID24" s="75"/>
      <c r="IE24" s="76">
        <f t="shared" si="219"/>
        <v>0</v>
      </c>
      <c r="IF24" s="64"/>
      <c r="IG24" s="75"/>
      <c r="IH24" s="76">
        <f t="shared" si="220"/>
        <v>0</v>
      </c>
      <c r="II24" s="64"/>
      <c r="IJ24" s="75"/>
      <c r="IK24" s="76">
        <f t="shared" si="266"/>
        <v>0</v>
      </c>
      <c r="IL24" s="64"/>
      <c r="IM24" s="75"/>
      <c r="IN24" s="76">
        <f t="shared" si="267"/>
        <v>0</v>
      </c>
      <c r="IO24" s="64"/>
      <c r="IP24" s="75"/>
      <c r="IQ24" s="76">
        <f t="shared" si="221"/>
        <v>0</v>
      </c>
      <c r="IR24" s="64"/>
      <c r="IS24" s="75"/>
      <c r="IT24" s="76">
        <f t="shared" si="222"/>
        <v>0</v>
      </c>
      <c r="IU24" s="64"/>
      <c r="IV24" s="75"/>
      <c r="IW24" s="76">
        <f t="shared" si="223"/>
        <v>0</v>
      </c>
      <c r="IX24" s="64"/>
      <c r="IY24" s="75"/>
      <c r="IZ24" s="76">
        <f t="shared" si="268"/>
        <v>0</v>
      </c>
      <c r="JA24" s="64"/>
      <c r="JB24" s="75"/>
      <c r="JC24" s="76">
        <f t="shared" si="269"/>
        <v>0</v>
      </c>
      <c r="JD24" s="64"/>
      <c r="JE24" s="75"/>
      <c r="JF24" s="76">
        <f t="shared" si="224"/>
        <v>0</v>
      </c>
      <c r="JG24" s="64"/>
      <c r="JH24" s="75"/>
      <c r="JI24" s="76">
        <f t="shared" si="225"/>
        <v>0</v>
      </c>
      <c r="JJ24" s="64"/>
      <c r="JK24" s="75"/>
      <c r="JL24" s="76">
        <f t="shared" si="226"/>
        <v>0</v>
      </c>
      <c r="JM24" s="64"/>
      <c r="JN24" s="75"/>
      <c r="JO24" s="76">
        <f t="shared" si="270"/>
        <v>0</v>
      </c>
      <c r="JP24" s="64"/>
      <c r="JQ24" s="75"/>
      <c r="JR24" s="76">
        <f t="shared" si="271"/>
        <v>0</v>
      </c>
      <c r="JS24" s="64"/>
      <c r="JT24" s="75"/>
      <c r="JU24" s="76">
        <f t="shared" si="227"/>
        <v>0</v>
      </c>
      <c r="JV24" s="64"/>
      <c r="JW24" s="75"/>
      <c r="JX24" s="76">
        <f t="shared" si="228"/>
        <v>0</v>
      </c>
      <c r="JY24" s="64"/>
      <c r="JZ24" s="75"/>
      <c r="KA24" s="76">
        <f t="shared" si="229"/>
        <v>0</v>
      </c>
      <c r="KB24" s="64"/>
      <c r="KC24" s="75"/>
      <c r="KD24" s="76">
        <f t="shared" si="272"/>
        <v>0</v>
      </c>
      <c r="KE24" s="64"/>
      <c r="KF24" s="75"/>
      <c r="KG24" s="76">
        <f t="shared" si="273"/>
        <v>0</v>
      </c>
      <c r="KH24" s="64"/>
      <c r="KI24" s="75"/>
      <c r="KJ24" s="76">
        <f t="shared" si="230"/>
        <v>0</v>
      </c>
      <c r="KK24" s="64"/>
      <c r="KL24" s="75"/>
      <c r="KM24" s="76">
        <f t="shared" si="231"/>
        <v>0</v>
      </c>
      <c r="KN24" s="64"/>
      <c r="KO24" s="75"/>
      <c r="KP24" s="76">
        <f t="shared" si="232"/>
        <v>0</v>
      </c>
      <c r="KQ24" s="64"/>
      <c r="KR24" s="75"/>
      <c r="KS24" s="76">
        <f t="shared" si="274"/>
        <v>0</v>
      </c>
      <c r="KT24" s="64"/>
      <c r="KU24" s="75"/>
      <c r="KV24" s="76">
        <f t="shared" si="275"/>
        <v>0</v>
      </c>
      <c r="KW24" s="64"/>
      <c r="KX24" s="75"/>
      <c r="KY24" s="76">
        <f t="shared" si="233"/>
        <v>0</v>
      </c>
      <c r="KZ24" s="64"/>
      <c r="LA24" s="75"/>
      <c r="LB24" s="76">
        <f t="shared" si="234"/>
        <v>0</v>
      </c>
      <c r="LC24" s="64"/>
      <c r="LD24" s="75"/>
      <c r="LE24" s="76">
        <f t="shared" si="235"/>
        <v>0</v>
      </c>
      <c r="LF24" s="64"/>
    </row>
    <row r="25" spans="1:318" s="784" customFormat="1">
      <c r="A25" s="49"/>
      <c r="B25" s="49"/>
      <c r="C25" s="436" t="str">
        <f>Idiomas!D321&amp;"**"</f>
        <v>CUARTOS -Diferencia/Distancia de goles (Con 1X2 acertado)**</v>
      </c>
      <c r="D25" s="62">
        <v>0</v>
      </c>
      <c r="E25" s="109"/>
      <c r="F25" s="443">
        <f t="shared" si="236"/>
        <v>15</v>
      </c>
      <c r="G25" s="443">
        <f ca="1">VLOOKUP(H25,Equipos!$Q$1:$R$25,2,0)</f>
        <v>6</v>
      </c>
      <c r="H25" s="444">
        <f ca="1">TRUNC(INDEX(WORLDCUP!$X$4:$X$147,MATCH(ADMIN!K25,WORLDCUP!$DT$4:$DT$147,0))+INDEX(Horarios!$R$3:$R$86,MATCH(Horarios!$C$3,Horarios!$P$3:$P$86,0))/24)</f>
        <v>46189</v>
      </c>
      <c r="I25" s="48">
        <v>1</v>
      </c>
      <c r="J25" s="94" t="s">
        <v>26</v>
      </c>
      <c r="K25" s="53" t="str">
        <f ca="1">CONCATENATE(WORLDCUP!AA77,"-",WORLDCUP!AF77)</f>
        <v>Austria-Jordania</v>
      </c>
      <c r="L25" s="53"/>
      <c r="M25" s="55" t="str">
        <f>IF(OR(WORLDCUP!AC77="",WORLDCUP!AD77=""),"-",N25&amp;"|"&amp;O25&amp;"-"&amp;P25)</f>
        <v>-</v>
      </c>
      <c r="N25" s="25" t="str">
        <f>IF(OR(WORLDCUP!AC77="",WORLDCUP!AD77=""),"",IF(WORLDCUP!AC77&gt;WORLDCUP!AD77,"1",IF(WORLDCUP!AC77&lt;WORLDCUP!AD77,"2","X")))</f>
        <v/>
      </c>
      <c r="O25" s="25">
        <f>WORLDCUP!AC77</f>
        <v>0</v>
      </c>
      <c r="P25" s="25">
        <f>WORLDCUP!AD77</f>
        <v>0</v>
      </c>
      <c r="Q25" s="25">
        <f t="shared" si="276"/>
        <v>0</v>
      </c>
      <c r="R25" s="49"/>
      <c r="S25" s="796" t="s">
        <v>1948</v>
      </c>
      <c r="T25" s="72">
        <f t="shared" si="237"/>
        <v>0</v>
      </c>
      <c r="U25" s="64"/>
      <c r="V25" s="73" t="s">
        <v>1948</v>
      </c>
      <c r="W25" s="72">
        <f t="shared" si="238"/>
        <v>0</v>
      </c>
      <c r="X25" s="64"/>
      <c r="Y25" s="796" t="s">
        <v>1961</v>
      </c>
      <c r="Z25" s="72">
        <f t="shared" si="176"/>
        <v>0</v>
      </c>
      <c r="AA25" s="64"/>
      <c r="AB25" s="796" t="s">
        <v>1948</v>
      </c>
      <c r="AC25" s="72">
        <f t="shared" si="177"/>
        <v>0</v>
      </c>
      <c r="AD25" s="64"/>
      <c r="AE25" s="796" t="s">
        <v>1962</v>
      </c>
      <c r="AF25" s="72">
        <f t="shared" si="279"/>
        <v>0</v>
      </c>
      <c r="AG25" s="64"/>
      <c r="AH25" s="796" t="s">
        <v>1956</v>
      </c>
      <c r="AI25" s="72">
        <f t="shared" si="240"/>
        <v>0</v>
      </c>
      <c r="AJ25" s="64"/>
      <c r="AK25" s="806" t="s">
        <v>1957</v>
      </c>
      <c r="AL25" s="72">
        <f t="shared" si="241"/>
        <v>0</v>
      </c>
      <c r="AM25" s="64"/>
      <c r="AN25" s="796" t="s">
        <v>1958</v>
      </c>
      <c r="AO25" s="72">
        <f t="shared" si="179"/>
        <v>0</v>
      </c>
      <c r="AP25" s="64"/>
      <c r="AQ25" s="806" t="s">
        <v>1958</v>
      </c>
      <c r="AR25" s="72">
        <f t="shared" si="180"/>
        <v>0</v>
      </c>
      <c r="AS25" s="64"/>
      <c r="AT25" s="796" t="s">
        <v>1955</v>
      </c>
      <c r="AU25" s="72">
        <f t="shared" si="181"/>
        <v>0</v>
      </c>
      <c r="AV25" s="64"/>
      <c r="AW25" s="796" t="s">
        <v>1948</v>
      </c>
      <c r="AX25" s="72">
        <f t="shared" si="242"/>
        <v>0</v>
      </c>
      <c r="AY25" s="64"/>
      <c r="AZ25" s="796" t="s">
        <v>2342</v>
      </c>
      <c r="BA25" s="72">
        <f t="shared" si="243"/>
        <v>0</v>
      </c>
      <c r="BB25" s="64"/>
      <c r="BC25" s="796" t="s">
        <v>1948</v>
      </c>
      <c r="BD25" s="72">
        <f t="shared" si="182"/>
        <v>0</v>
      </c>
      <c r="BE25" s="64"/>
      <c r="BF25" s="796" t="s">
        <v>1958</v>
      </c>
      <c r="BG25" s="72">
        <f t="shared" si="183"/>
        <v>0</v>
      </c>
      <c r="BH25" s="64"/>
      <c r="BI25" s="796" t="s">
        <v>1955</v>
      </c>
      <c r="BJ25" s="72">
        <f t="shared" si="184"/>
        <v>0</v>
      </c>
      <c r="BK25" s="64"/>
      <c r="BL25" s="796" t="s">
        <v>1952</v>
      </c>
      <c r="BM25" s="72">
        <f t="shared" si="244"/>
        <v>0</v>
      </c>
      <c r="BN25" s="64"/>
      <c r="BO25" s="816" t="s">
        <v>1955</v>
      </c>
      <c r="BP25" s="72">
        <f t="shared" si="245"/>
        <v>0</v>
      </c>
      <c r="BQ25" s="64"/>
      <c r="BR25" s="796" t="s">
        <v>1948</v>
      </c>
      <c r="BS25" s="72">
        <f t="shared" si="185"/>
        <v>0</v>
      </c>
      <c r="BT25" s="64"/>
      <c r="BU25" s="796" t="s">
        <v>1948</v>
      </c>
      <c r="BV25" s="72">
        <f t="shared" si="186"/>
        <v>0</v>
      </c>
      <c r="BW25" s="64"/>
      <c r="BX25" s="73" t="s">
        <v>1958</v>
      </c>
      <c r="BY25" s="72">
        <f t="shared" si="187"/>
        <v>0</v>
      </c>
      <c r="BZ25" s="64"/>
      <c r="CA25" s="816" t="s">
        <v>1955</v>
      </c>
      <c r="CB25" s="72">
        <f t="shared" si="246"/>
        <v>0</v>
      </c>
      <c r="CC25" s="64"/>
      <c r="CD25" s="825" t="s">
        <v>1958</v>
      </c>
      <c r="CE25" s="72">
        <f t="shared" si="247"/>
        <v>0</v>
      </c>
      <c r="CF25" s="64"/>
      <c r="CG25" s="796" t="s">
        <v>1955</v>
      </c>
      <c r="CH25" s="72">
        <f t="shared" si="188"/>
        <v>0</v>
      </c>
      <c r="CI25" s="64"/>
      <c r="CJ25" s="796" t="s">
        <v>1958</v>
      </c>
      <c r="CK25" s="72">
        <f t="shared" si="189"/>
        <v>0</v>
      </c>
      <c r="CL25" s="64"/>
      <c r="CM25" s="796" t="s">
        <v>1948</v>
      </c>
      <c r="CN25" s="72">
        <f t="shared" si="190"/>
        <v>0</v>
      </c>
      <c r="CO25" s="64"/>
      <c r="CP25" s="796" t="s">
        <v>1957</v>
      </c>
      <c r="CQ25" s="72">
        <f t="shared" si="248"/>
        <v>0</v>
      </c>
      <c r="CR25" s="64"/>
      <c r="CS25" s="796" t="s">
        <v>1948</v>
      </c>
      <c r="CT25" s="72">
        <f t="shared" si="249"/>
        <v>0</v>
      </c>
      <c r="CU25" s="64"/>
      <c r="CV25" s="796" t="s">
        <v>1958</v>
      </c>
      <c r="CW25" s="72">
        <f t="shared" si="191"/>
        <v>0</v>
      </c>
      <c r="CX25" s="64"/>
      <c r="CY25" s="796" t="s">
        <v>1948</v>
      </c>
      <c r="CZ25" s="72">
        <f t="shared" si="250"/>
        <v>0</v>
      </c>
      <c r="DA25" s="64"/>
      <c r="DB25" s="796" t="s">
        <v>1960</v>
      </c>
      <c r="DC25" s="72">
        <f t="shared" si="192"/>
        <v>0</v>
      </c>
      <c r="DD25" s="64"/>
      <c r="DE25" s="796" t="s">
        <v>1948</v>
      </c>
      <c r="DF25" s="72">
        <f t="shared" si="193"/>
        <v>0</v>
      </c>
      <c r="DG25" s="64"/>
      <c r="DH25" s="796" t="s">
        <v>1948</v>
      </c>
      <c r="DI25" s="72">
        <f t="shared" si="194"/>
        <v>0</v>
      </c>
      <c r="DJ25" s="64"/>
      <c r="DK25" s="796" t="s">
        <v>1950</v>
      </c>
      <c r="DL25" s="72">
        <f t="shared" si="195"/>
        <v>0</v>
      </c>
      <c r="DM25" s="64"/>
      <c r="DN25" s="73"/>
      <c r="DO25" s="72">
        <f t="shared" si="196"/>
        <v>0</v>
      </c>
      <c r="DP25" s="64"/>
      <c r="DQ25" s="796" t="s">
        <v>1958</v>
      </c>
      <c r="DR25" s="72">
        <f t="shared" si="251"/>
        <v>0</v>
      </c>
      <c r="DS25" s="64"/>
      <c r="DT25" s="73" t="s">
        <v>1948</v>
      </c>
      <c r="DU25" s="72">
        <f t="shared" si="277"/>
        <v>0</v>
      </c>
      <c r="DV25" s="64"/>
      <c r="DW25" s="73"/>
      <c r="DX25" s="72">
        <f t="shared" si="278"/>
        <v>0</v>
      </c>
      <c r="DY25" s="64"/>
      <c r="DZ25" s="73"/>
      <c r="EA25" s="72">
        <f t="shared" si="197"/>
        <v>0</v>
      </c>
      <c r="EB25" s="64"/>
      <c r="EC25" s="73"/>
      <c r="ED25" s="72">
        <f t="shared" si="198"/>
        <v>0</v>
      </c>
      <c r="EE25" s="64"/>
      <c r="EF25" s="73"/>
      <c r="EG25" s="72">
        <f t="shared" si="199"/>
        <v>0</v>
      </c>
      <c r="EH25" s="64"/>
      <c r="EI25" s="73"/>
      <c r="EJ25" s="72">
        <f t="shared" si="252"/>
        <v>0</v>
      </c>
      <c r="EK25" s="64"/>
      <c r="EL25" s="73"/>
      <c r="EM25" s="72">
        <f t="shared" si="253"/>
        <v>0</v>
      </c>
      <c r="EN25" s="64"/>
      <c r="EO25" s="73"/>
      <c r="EP25" s="72">
        <f t="shared" si="200"/>
        <v>0</v>
      </c>
      <c r="EQ25" s="64"/>
      <c r="ER25" s="73"/>
      <c r="ES25" s="72">
        <f t="shared" si="201"/>
        <v>0</v>
      </c>
      <c r="ET25" s="64"/>
      <c r="EU25" s="73"/>
      <c r="EV25" s="72">
        <f t="shared" si="202"/>
        <v>0</v>
      </c>
      <c r="EW25" s="64"/>
      <c r="EX25" s="73"/>
      <c r="EY25" s="72">
        <f t="shared" si="254"/>
        <v>0</v>
      </c>
      <c r="EZ25" s="64"/>
      <c r="FA25" s="73"/>
      <c r="FB25" s="72">
        <f t="shared" si="255"/>
        <v>0</v>
      </c>
      <c r="FC25" s="64"/>
      <c r="FD25" s="73"/>
      <c r="FE25" s="72">
        <f t="shared" si="203"/>
        <v>0</v>
      </c>
      <c r="FF25" s="64"/>
      <c r="FG25" s="73"/>
      <c r="FH25" s="72">
        <f t="shared" si="204"/>
        <v>0</v>
      </c>
      <c r="FI25" s="64"/>
      <c r="FJ25" s="73"/>
      <c r="FK25" s="72">
        <f t="shared" si="205"/>
        <v>0</v>
      </c>
      <c r="FL25" s="64"/>
      <c r="FM25" s="73"/>
      <c r="FN25" s="72">
        <f t="shared" si="256"/>
        <v>0</v>
      </c>
      <c r="FO25" s="64"/>
      <c r="FP25" s="73"/>
      <c r="FQ25" s="72">
        <f t="shared" si="257"/>
        <v>0</v>
      </c>
      <c r="FR25" s="64"/>
      <c r="FS25" s="73"/>
      <c r="FT25" s="72">
        <f t="shared" si="206"/>
        <v>0</v>
      </c>
      <c r="FU25" s="64"/>
      <c r="FV25" s="73"/>
      <c r="FW25" s="72">
        <f t="shared" si="207"/>
        <v>0</v>
      </c>
      <c r="FX25" s="64"/>
      <c r="FY25" s="73"/>
      <c r="FZ25" s="72">
        <f t="shared" si="208"/>
        <v>0</v>
      </c>
      <c r="GA25" s="64"/>
      <c r="GB25" s="73"/>
      <c r="GC25" s="72">
        <f t="shared" si="258"/>
        <v>0</v>
      </c>
      <c r="GD25" s="64"/>
      <c r="GE25" s="73"/>
      <c r="GF25" s="72">
        <f t="shared" si="259"/>
        <v>0</v>
      </c>
      <c r="GG25" s="64"/>
      <c r="GH25" s="73"/>
      <c r="GI25" s="72">
        <f t="shared" si="209"/>
        <v>0</v>
      </c>
      <c r="GJ25" s="64"/>
      <c r="GK25" s="73"/>
      <c r="GL25" s="72">
        <f t="shared" si="210"/>
        <v>0</v>
      </c>
      <c r="GM25" s="64"/>
      <c r="GN25" s="73"/>
      <c r="GO25" s="72">
        <f t="shared" si="211"/>
        <v>0</v>
      </c>
      <c r="GP25" s="64"/>
      <c r="GQ25" s="73"/>
      <c r="GR25" s="72">
        <f t="shared" si="260"/>
        <v>0</v>
      </c>
      <c r="GS25" s="64"/>
      <c r="GT25" s="73"/>
      <c r="GU25" s="72">
        <f t="shared" si="261"/>
        <v>0</v>
      </c>
      <c r="GV25" s="64"/>
      <c r="GW25" s="73"/>
      <c r="GX25" s="72">
        <f t="shared" si="212"/>
        <v>0</v>
      </c>
      <c r="GY25" s="64"/>
      <c r="GZ25" s="73"/>
      <c r="HA25" s="72">
        <f t="shared" si="213"/>
        <v>0</v>
      </c>
      <c r="HB25" s="64"/>
      <c r="HC25" s="73"/>
      <c r="HD25" s="72">
        <f t="shared" si="214"/>
        <v>0</v>
      </c>
      <c r="HE25" s="64"/>
      <c r="HF25" s="73"/>
      <c r="HG25" s="72">
        <f t="shared" si="262"/>
        <v>0</v>
      </c>
      <c r="HH25" s="64"/>
      <c r="HI25" s="73"/>
      <c r="HJ25" s="72">
        <f t="shared" si="263"/>
        <v>0</v>
      </c>
      <c r="HK25" s="64"/>
      <c r="HL25" s="73"/>
      <c r="HM25" s="72">
        <f t="shared" si="215"/>
        <v>0</v>
      </c>
      <c r="HN25" s="64"/>
      <c r="HO25" s="73"/>
      <c r="HP25" s="72">
        <f t="shared" si="216"/>
        <v>0</v>
      </c>
      <c r="HQ25" s="64"/>
      <c r="HR25" s="73"/>
      <c r="HS25" s="72">
        <f t="shared" si="217"/>
        <v>0</v>
      </c>
      <c r="HT25" s="64"/>
      <c r="HU25" s="73"/>
      <c r="HV25" s="72">
        <f t="shared" si="264"/>
        <v>0</v>
      </c>
      <c r="HW25" s="64"/>
      <c r="HX25" s="73"/>
      <c r="HY25" s="72">
        <f t="shared" si="265"/>
        <v>0</v>
      </c>
      <c r="HZ25" s="64"/>
      <c r="IA25" s="73"/>
      <c r="IB25" s="72">
        <f t="shared" si="218"/>
        <v>0</v>
      </c>
      <c r="IC25" s="64"/>
      <c r="ID25" s="73"/>
      <c r="IE25" s="72">
        <f t="shared" si="219"/>
        <v>0</v>
      </c>
      <c r="IF25" s="64"/>
      <c r="IG25" s="73"/>
      <c r="IH25" s="72">
        <f t="shared" si="220"/>
        <v>0</v>
      </c>
      <c r="II25" s="64"/>
      <c r="IJ25" s="73"/>
      <c r="IK25" s="72">
        <f t="shared" si="266"/>
        <v>0</v>
      </c>
      <c r="IL25" s="64"/>
      <c r="IM25" s="73"/>
      <c r="IN25" s="72">
        <f t="shared" si="267"/>
        <v>0</v>
      </c>
      <c r="IO25" s="64"/>
      <c r="IP25" s="73"/>
      <c r="IQ25" s="72">
        <f t="shared" si="221"/>
        <v>0</v>
      </c>
      <c r="IR25" s="64"/>
      <c r="IS25" s="73"/>
      <c r="IT25" s="72">
        <f t="shared" si="222"/>
        <v>0</v>
      </c>
      <c r="IU25" s="64"/>
      <c r="IV25" s="73"/>
      <c r="IW25" s="72">
        <f t="shared" si="223"/>
        <v>0</v>
      </c>
      <c r="IX25" s="64"/>
      <c r="IY25" s="73"/>
      <c r="IZ25" s="72">
        <f t="shared" si="268"/>
        <v>0</v>
      </c>
      <c r="JA25" s="64"/>
      <c r="JB25" s="73"/>
      <c r="JC25" s="72">
        <f t="shared" si="269"/>
        <v>0</v>
      </c>
      <c r="JD25" s="64"/>
      <c r="JE25" s="73"/>
      <c r="JF25" s="72">
        <f t="shared" si="224"/>
        <v>0</v>
      </c>
      <c r="JG25" s="64"/>
      <c r="JH25" s="73"/>
      <c r="JI25" s="72">
        <f t="shared" si="225"/>
        <v>0</v>
      </c>
      <c r="JJ25" s="64"/>
      <c r="JK25" s="73"/>
      <c r="JL25" s="72">
        <f t="shared" si="226"/>
        <v>0</v>
      </c>
      <c r="JM25" s="64"/>
      <c r="JN25" s="73"/>
      <c r="JO25" s="72">
        <f t="shared" si="270"/>
        <v>0</v>
      </c>
      <c r="JP25" s="64"/>
      <c r="JQ25" s="73"/>
      <c r="JR25" s="72">
        <f t="shared" si="271"/>
        <v>0</v>
      </c>
      <c r="JS25" s="64"/>
      <c r="JT25" s="73"/>
      <c r="JU25" s="72">
        <f t="shared" si="227"/>
        <v>0</v>
      </c>
      <c r="JV25" s="64"/>
      <c r="JW25" s="73"/>
      <c r="JX25" s="72">
        <f t="shared" si="228"/>
        <v>0</v>
      </c>
      <c r="JY25" s="64"/>
      <c r="JZ25" s="73"/>
      <c r="KA25" s="72">
        <f t="shared" si="229"/>
        <v>0</v>
      </c>
      <c r="KB25" s="64"/>
      <c r="KC25" s="73"/>
      <c r="KD25" s="72">
        <f t="shared" si="272"/>
        <v>0</v>
      </c>
      <c r="KE25" s="64"/>
      <c r="KF25" s="73"/>
      <c r="KG25" s="72">
        <f t="shared" si="273"/>
        <v>0</v>
      </c>
      <c r="KH25" s="64"/>
      <c r="KI25" s="73"/>
      <c r="KJ25" s="72">
        <f t="shared" si="230"/>
        <v>0</v>
      </c>
      <c r="KK25" s="64"/>
      <c r="KL25" s="73"/>
      <c r="KM25" s="72">
        <f t="shared" si="231"/>
        <v>0</v>
      </c>
      <c r="KN25" s="64"/>
      <c r="KO25" s="73"/>
      <c r="KP25" s="72">
        <f t="shared" si="232"/>
        <v>0</v>
      </c>
      <c r="KQ25" s="64"/>
      <c r="KR25" s="73"/>
      <c r="KS25" s="72">
        <f t="shared" si="274"/>
        <v>0</v>
      </c>
      <c r="KT25" s="64"/>
      <c r="KU25" s="73"/>
      <c r="KV25" s="72">
        <f t="shared" si="275"/>
        <v>0</v>
      </c>
      <c r="KW25" s="64"/>
      <c r="KX25" s="73"/>
      <c r="KY25" s="72">
        <f t="shared" si="233"/>
        <v>0</v>
      </c>
      <c r="KZ25" s="64"/>
      <c r="LA25" s="73"/>
      <c r="LB25" s="72">
        <f t="shared" si="234"/>
        <v>0</v>
      </c>
      <c r="LC25" s="64"/>
      <c r="LD25" s="73"/>
      <c r="LE25" s="72">
        <f t="shared" si="235"/>
        <v>0</v>
      </c>
      <c r="LF25" s="64"/>
    </row>
    <row r="26" spans="1:318" s="784" customFormat="1">
      <c r="A26" s="49"/>
      <c r="B26" s="49"/>
      <c r="C26" s="435" t="str">
        <f>Idiomas!D322</f>
        <v>CUARTOS - Resultado exacto</v>
      </c>
      <c r="D26" s="62">
        <v>16</v>
      </c>
      <c r="E26" s="109"/>
      <c r="F26" s="443">
        <f t="shared" si="236"/>
        <v>15</v>
      </c>
      <c r="G26" s="443">
        <f ca="1">VLOOKUP(H26,Equipos!$Q$1:$R$25,2,0)</f>
        <v>7</v>
      </c>
      <c r="H26" s="444">
        <f ca="1">TRUNC(INDEX(WORLDCUP!$X$4:$X$147,MATCH(ADMIN!K26,WORLDCUP!$DT$4:$DT$147,0))+INDEX(Horarios!$R$3:$R$86,MATCH(Horarios!$C$3,Horarios!$P$3:$P$86,0))/24)</f>
        <v>46190</v>
      </c>
      <c r="I26" s="48">
        <v>1</v>
      </c>
      <c r="J26" s="93" t="s">
        <v>515</v>
      </c>
      <c r="K26" s="56" t="str">
        <f ca="1">CONCATENATE(WORLDCUP!AA84,"-",WORLDCUP!AF84)</f>
        <v>Portugal-RD Congo</v>
      </c>
      <c r="L26" s="53"/>
      <c r="M26" s="55" t="str">
        <f>IF(OR(WORLDCUP!AC84="",WORLDCUP!AD84=""),"-",N26&amp;"|"&amp;O26&amp;"-"&amp;P26)</f>
        <v>-</v>
      </c>
      <c r="N26" s="25" t="str">
        <f>IF(OR(WORLDCUP!AC84="",WORLDCUP!AD84=""),"",IF(WORLDCUP!AC84&gt;WORLDCUP!AD84,"1",IF(WORLDCUP!AC84&lt;WORLDCUP!AD84,"2","X")))</f>
        <v/>
      </c>
      <c r="O26" s="25">
        <f>WORLDCUP!AC84</f>
        <v>0</v>
      </c>
      <c r="P26" s="25">
        <f>WORLDCUP!AD84</f>
        <v>0</v>
      </c>
      <c r="Q26" s="25">
        <f t="shared" si="276"/>
        <v>0</v>
      </c>
      <c r="R26" s="49"/>
      <c r="S26" s="796" t="s">
        <v>1957</v>
      </c>
      <c r="T26" s="72">
        <f t="shared" si="237"/>
        <v>0</v>
      </c>
      <c r="U26" s="64"/>
      <c r="V26" s="73" t="s">
        <v>1956</v>
      </c>
      <c r="W26" s="72">
        <f t="shared" si="238"/>
        <v>0</v>
      </c>
      <c r="X26" s="64"/>
      <c r="Y26" s="796" t="s">
        <v>1960</v>
      </c>
      <c r="Z26" s="72">
        <f t="shared" si="176"/>
        <v>0</v>
      </c>
      <c r="AA26" s="64"/>
      <c r="AB26" s="796" t="s">
        <v>2088</v>
      </c>
      <c r="AC26" s="72">
        <f t="shared" si="177"/>
        <v>0</v>
      </c>
      <c r="AD26" s="64"/>
      <c r="AE26" s="796" t="s">
        <v>1955</v>
      </c>
      <c r="AF26" s="72">
        <f t="shared" si="279"/>
        <v>0</v>
      </c>
      <c r="AG26" s="64"/>
      <c r="AH26" s="796" t="s">
        <v>1956</v>
      </c>
      <c r="AI26" s="72">
        <f t="shared" si="240"/>
        <v>0</v>
      </c>
      <c r="AJ26" s="64"/>
      <c r="AK26" s="806" t="s">
        <v>1960</v>
      </c>
      <c r="AL26" s="72">
        <f t="shared" si="241"/>
        <v>0</v>
      </c>
      <c r="AM26" s="64"/>
      <c r="AN26" s="796" t="s">
        <v>1957</v>
      </c>
      <c r="AO26" s="72">
        <f t="shared" si="179"/>
        <v>0</v>
      </c>
      <c r="AP26" s="64"/>
      <c r="AQ26" s="806" t="s">
        <v>1957</v>
      </c>
      <c r="AR26" s="72">
        <f t="shared" si="180"/>
        <v>0</v>
      </c>
      <c r="AS26" s="64"/>
      <c r="AT26" s="796" t="s">
        <v>1957</v>
      </c>
      <c r="AU26" s="72">
        <f t="shared" si="181"/>
        <v>0</v>
      </c>
      <c r="AV26" s="64"/>
      <c r="AW26" s="796" t="s">
        <v>2088</v>
      </c>
      <c r="AX26" s="72">
        <f t="shared" si="242"/>
        <v>0</v>
      </c>
      <c r="AY26" s="64"/>
      <c r="AZ26" s="796" t="s">
        <v>2008</v>
      </c>
      <c r="BA26" s="72">
        <f t="shared" si="243"/>
        <v>0</v>
      </c>
      <c r="BB26" s="64"/>
      <c r="BC26" s="796" t="s">
        <v>1956</v>
      </c>
      <c r="BD26" s="72">
        <f t="shared" si="182"/>
        <v>0</v>
      </c>
      <c r="BE26" s="64"/>
      <c r="BF26" s="796" t="s">
        <v>1956</v>
      </c>
      <c r="BG26" s="72">
        <f t="shared" si="183"/>
        <v>0</v>
      </c>
      <c r="BH26" s="64"/>
      <c r="BI26" s="796" t="s">
        <v>1948</v>
      </c>
      <c r="BJ26" s="72">
        <f t="shared" si="184"/>
        <v>0</v>
      </c>
      <c r="BK26" s="64"/>
      <c r="BL26" s="796" t="s">
        <v>1948</v>
      </c>
      <c r="BM26" s="72">
        <f t="shared" si="244"/>
        <v>0</v>
      </c>
      <c r="BN26" s="64"/>
      <c r="BO26" s="816" t="s">
        <v>1948</v>
      </c>
      <c r="BP26" s="72">
        <f t="shared" si="245"/>
        <v>0</v>
      </c>
      <c r="BQ26" s="64"/>
      <c r="BR26" s="796" t="s">
        <v>1955</v>
      </c>
      <c r="BS26" s="72">
        <f t="shared" si="185"/>
        <v>0</v>
      </c>
      <c r="BT26" s="64"/>
      <c r="BU26" s="796" t="s">
        <v>2088</v>
      </c>
      <c r="BV26" s="72">
        <f t="shared" si="186"/>
        <v>0</v>
      </c>
      <c r="BW26" s="64"/>
      <c r="BX26" s="73" t="s">
        <v>1956</v>
      </c>
      <c r="BY26" s="72">
        <f t="shared" si="187"/>
        <v>0</v>
      </c>
      <c r="BZ26" s="64"/>
      <c r="CA26" s="816" t="s">
        <v>1956</v>
      </c>
      <c r="CB26" s="72">
        <f t="shared" si="246"/>
        <v>0</v>
      </c>
      <c r="CC26" s="64"/>
      <c r="CD26" s="825" t="s">
        <v>1957</v>
      </c>
      <c r="CE26" s="72">
        <f t="shared" si="247"/>
        <v>0</v>
      </c>
      <c r="CF26" s="64"/>
      <c r="CG26" s="796" t="s">
        <v>2051</v>
      </c>
      <c r="CH26" s="72">
        <f t="shared" si="188"/>
        <v>0</v>
      </c>
      <c r="CI26" s="64"/>
      <c r="CJ26" s="796" t="s">
        <v>1956</v>
      </c>
      <c r="CK26" s="72">
        <f t="shared" si="189"/>
        <v>0</v>
      </c>
      <c r="CL26" s="64"/>
      <c r="CM26" s="796" t="s">
        <v>1955</v>
      </c>
      <c r="CN26" s="72">
        <f t="shared" si="190"/>
        <v>0</v>
      </c>
      <c r="CO26" s="64"/>
      <c r="CP26" s="796" t="s">
        <v>1956</v>
      </c>
      <c r="CQ26" s="72">
        <f t="shared" si="248"/>
        <v>0</v>
      </c>
      <c r="CR26" s="64"/>
      <c r="CS26" s="796" t="s">
        <v>1948</v>
      </c>
      <c r="CT26" s="72">
        <f t="shared" si="249"/>
        <v>0</v>
      </c>
      <c r="CU26" s="64"/>
      <c r="CV26" s="796" t="s">
        <v>1956</v>
      </c>
      <c r="CW26" s="72">
        <f t="shared" si="191"/>
        <v>0</v>
      </c>
      <c r="CX26" s="64"/>
      <c r="CY26" s="796" t="s">
        <v>1956</v>
      </c>
      <c r="CZ26" s="72">
        <f t="shared" si="250"/>
        <v>0</v>
      </c>
      <c r="DA26" s="64"/>
      <c r="DB26" s="796" t="s">
        <v>1958</v>
      </c>
      <c r="DC26" s="72">
        <f t="shared" si="192"/>
        <v>0</v>
      </c>
      <c r="DD26" s="64"/>
      <c r="DE26" s="796" t="s">
        <v>2088</v>
      </c>
      <c r="DF26" s="72">
        <f t="shared" si="193"/>
        <v>0</v>
      </c>
      <c r="DG26" s="64"/>
      <c r="DH26" s="796" t="s">
        <v>1960</v>
      </c>
      <c r="DI26" s="72">
        <f t="shared" si="194"/>
        <v>0</v>
      </c>
      <c r="DJ26" s="64"/>
      <c r="DK26" s="796" t="s">
        <v>1960</v>
      </c>
      <c r="DL26" s="72">
        <f t="shared" si="195"/>
        <v>0</v>
      </c>
      <c r="DM26" s="64"/>
      <c r="DN26" s="73"/>
      <c r="DO26" s="72">
        <f t="shared" si="196"/>
        <v>0</v>
      </c>
      <c r="DP26" s="64"/>
      <c r="DQ26" s="796" t="s">
        <v>2088</v>
      </c>
      <c r="DR26" s="72">
        <f t="shared" si="251"/>
        <v>0</v>
      </c>
      <c r="DS26" s="64"/>
      <c r="DT26" s="73" t="s">
        <v>1956</v>
      </c>
      <c r="DU26" s="72">
        <f t="shared" si="277"/>
        <v>0</v>
      </c>
      <c r="DV26" s="64"/>
      <c r="DW26" s="73"/>
      <c r="DX26" s="72">
        <f t="shared" si="278"/>
        <v>0</v>
      </c>
      <c r="DY26" s="64"/>
      <c r="DZ26" s="73"/>
      <c r="EA26" s="72">
        <f t="shared" si="197"/>
        <v>0</v>
      </c>
      <c r="EB26" s="64"/>
      <c r="EC26" s="73"/>
      <c r="ED26" s="72">
        <f t="shared" si="198"/>
        <v>0</v>
      </c>
      <c r="EE26" s="64"/>
      <c r="EF26" s="73"/>
      <c r="EG26" s="72">
        <f t="shared" si="199"/>
        <v>0</v>
      </c>
      <c r="EH26" s="64"/>
      <c r="EI26" s="73"/>
      <c r="EJ26" s="72">
        <f t="shared" si="252"/>
        <v>0</v>
      </c>
      <c r="EK26" s="64"/>
      <c r="EL26" s="73"/>
      <c r="EM26" s="72">
        <f t="shared" si="253"/>
        <v>0</v>
      </c>
      <c r="EN26" s="64"/>
      <c r="EO26" s="73"/>
      <c r="EP26" s="72">
        <f t="shared" si="200"/>
        <v>0</v>
      </c>
      <c r="EQ26" s="64"/>
      <c r="ER26" s="73"/>
      <c r="ES26" s="72">
        <f t="shared" si="201"/>
        <v>0</v>
      </c>
      <c r="ET26" s="64"/>
      <c r="EU26" s="73"/>
      <c r="EV26" s="72">
        <f t="shared" si="202"/>
        <v>0</v>
      </c>
      <c r="EW26" s="64"/>
      <c r="EX26" s="73"/>
      <c r="EY26" s="72">
        <f t="shared" si="254"/>
        <v>0</v>
      </c>
      <c r="EZ26" s="64"/>
      <c r="FA26" s="73"/>
      <c r="FB26" s="72">
        <f t="shared" si="255"/>
        <v>0</v>
      </c>
      <c r="FC26" s="64"/>
      <c r="FD26" s="73"/>
      <c r="FE26" s="72">
        <f t="shared" si="203"/>
        <v>0</v>
      </c>
      <c r="FF26" s="64"/>
      <c r="FG26" s="73"/>
      <c r="FH26" s="72">
        <f t="shared" si="204"/>
        <v>0</v>
      </c>
      <c r="FI26" s="64"/>
      <c r="FJ26" s="73"/>
      <c r="FK26" s="72">
        <f t="shared" si="205"/>
        <v>0</v>
      </c>
      <c r="FL26" s="64"/>
      <c r="FM26" s="73"/>
      <c r="FN26" s="72">
        <f t="shared" si="256"/>
        <v>0</v>
      </c>
      <c r="FO26" s="64"/>
      <c r="FP26" s="73"/>
      <c r="FQ26" s="72">
        <f t="shared" si="257"/>
        <v>0</v>
      </c>
      <c r="FR26" s="64"/>
      <c r="FS26" s="73"/>
      <c r="FT26" s="72">
        <f t="shared" si="206"/>
        <v>0</v>
      </c>
      <c r="FU26" s="64"/>
      <c r="FV26" s="73"/>
      <c r="FW26" s="72">
        <f t="shared" si="207"/>
        <v>0</v>
      </c>
      <c r="FX26" s="64"/>
      <c r="FY26" s="73"/>
      <c r="FZ26" s="72">
        <f t="shared" si="208"/>
        <v>0</v>
      </c>
      <c r="GA26" s="64"/>
      <c r="GB26" s="73"/>
      <c r="GC26" s="72">
        <f t="shared" si="258"/>
        <v>0</v>
      </c>
      <c r="GD26" s="64"/>
      <c r="GE26" s="73"/>
      <c r="GF26" s="72">
        <f t="shared" si="259"/>
        <v>0</v>
      </c>
      <c r="GG26" s="64"/>
      <c r="GH26" s="73"/>
      <c r="GI26" s="72">
        <f t="shared" si="209"/>
        <v>0</v>
      </c>
      <c r="GJ26" s="64"/>
      <c r="GK26" s="73"/>
      <c r="GL26" s="72">
        <f t="shared" si="210"/>
        <v>0</v>
      </c>
      <c r="GM26" s="64"/>
      <c r="GN26" s="73"/>
      <c r="GO26" s="72">
        <f t="shared" si="211"/>
        <v>0</v>
      </c>
      <c r="GP26" s="64"/>
      <c r="GQ26" s="73"/>
      <c r="GR26" s="72">
        <f t="shared" si="260"/>
        <v>0</v>
      </c>
      <c r="GS26" s="64"/>
      <c r="GT26" s="73"/>
      <c r="GU26" s="72">
        <f t="shared" si="261"/>
        <v>0</v>
      </c>
      <c r="GV26" s="64"/>
      <c r="GW26" s="73"/>
      <c r="GX26" s="72">
        <f t="shared" si="212"/>
        <v>0</v>
      </c>
      <c r="GY26" s="64"/>
      <c r="GZ26" s="73"/>
      <c r="HA26" s="72">
        <f t="shared" si="213"/>
        <v>0</v>
      </c>
      <c r="HB26" s="64"/>
      <c r="HC26" s="73"/>
      <c r="HD26" s="72">
        <f t="shared" si="214"/>
        <v>0</v>
      </c>
      <c r="HE26" s="64"/>
      <c r="HF26" s="73"/>
      <c r="HG26" s="72">
        <f t="shared" si="262"/>
        <v>0</v>
      </c>
      <c r="HH26" s="64"/>
      <c r="HI26" s="73"/>
      <c r="HJ26" s="72">
        <f t="shared" si="263"/>
        <v>0</v>
      </c>
      <c r="HK26" s="64"/>
      <c r="HL26" s="73"/>
      <c r="HM26" s="72">
        <f t="shared" si="215"/>
        <v>0</v>
      </c>
      <c r="HN26" s="64"/>
      <c r="HO26" s="73"/>
      <c r="HP26" s="72">
        <f t="shared" si="216"/>
        <v>0</v>
      </c>
      <c r="HQ26" s="64"/>
      <c r="HR26" s="73"/>
      <c r="HS26" s="72">
        <f t="shared" si="217"/>
        <v>0</v>
      </c>
      <c r="HT26" s="64"/>
      <c r="HU26" s="73"/>
      <c r="HV26" s="72">
        <f t="shared" si="264"/>
        <v>0</v>
      </c>
      <c r="HW26" s="64"/>
      <c r="HX26" s="73"/>
      <c r="HY26" s="72">
        <f t="shared" si="265"/>
        <v>0</v>
      </c>
      <c r="HZ26" s="64"/>
      <c r="IA26" s="73"/>
      <c r="IB26" s="72">
        <f t="shared" si="218"/>
        <v>0</v>
      </c>
      <c r="IC26" s="64"/>
      <c r="ID26" s="73"/>
      <c r="IE26" s="72">
        <f t="shared" si="219"/>
        <v>0</v>
      </c>
      <c r="IF26" s="64"/>
      <c r="IG26" s="73"/>
      <c r="IH26" s="72">
        <f t="shared" si="220"/>
        <v>0</v>
      </c>
      <c r="II26" s="64"/>
      <c r="IJ26" s="73"/>
      <c r="IK26" s="72">
        <f t="shared" si="266"/>
        <v>0</v>
      </c>
      <c r="IL26" s="64"/>
      <c r="IM26" s="73"/>
      <c r="IN26" s="72">
        <f t="shared" si="267"/>
        <v>0</v>
      </c>
      <c r="IO26" s="64"/>
      <c r="IP26" s="73"/>
      <c r="IQ26" s="72">
        <f t="shared" si="221"/>
        <v>0</v>
      </c>
      <c r="IR26" s="64"/>
      <c r="IS26" s="73"/>
      <c r="IT26" s="72">
        <f t="shared" si="222"/>
        <v>0</v>
      </c>
      <c r="IU26" s="64"/>
      <c r="IV26" s="73"/>
      <c r="IW26" s="72">
        <f t="shared" si="223"/>
        <v>0</v>
      </c>
      <c r="IX26" s="64"/>
      <c r="IY26" s="73"/>
      <c r="IZ26" s="72">
        <f t="shared" si="268"/>
        <v>0</v>
      </c>
      <c r="JA26" s="64"/>
      <c r="JB26" s="73"/>
      <c r="JC26" s="72">
        <f t="shared" si="269"/>
        <v>0</v>
      </c>
      <c r="JD26" s="64"/>
      <c r="JE26" s="73"/>
      <c r="JF26" s="72">
        <f t="shared" si="224"/>
        <v>0</v>
      </c>
      <c r="JG26" s="64"/>
      <c r="JH26" s="73"/>
      <c r="JI26" s="72">
        <f t="shared" si="225"/>
        <v>0</v>
      </c>
      <c r="JJ26" s="64"/>
      <c r="JK26" s="73"/>
      <c r="JL26" s="72">
        <f t="shared" si="226"/>
        <v>0</v>
      </c>
      <c r="JM26" s="64"/>
      <c r="JN26" s="73"/>
      <c r="JO26" s="72">
        <f t="shared" si="270"/>
        <v>0</v>
      </c>
      <c r="JP26" s="64"/>
      <c r="JQ26" s="73"/>
      <c r="JR26" s="72">
        <f t="shared" si="271"/>
        <v>0</v>
      </c>
      <c r="JS26" s="64"/>
      <c r="JT26" s="73"/>
      <c r="JU26" s="72">
        <f t="shared" si="227"/>
        <v>0</v>
      </c>
      <c r="JV26" s="64"/>
      <c r="JW26" s="73"/>
      <c r="JX26" s="72">
        <f t="shared" si="228"/>
        <v>0</v>
      </c>
      <c r="JY26" s="64"/>
      <c r="JZ26" s="73"/>
      <c r="KA26" s="72">
        <f t="shared" si="229"/>
        <v>0</v>
      </c>
      <c r="KB26" s="64"/>
      <c r="KC26" s="73"/>
      <c r="KD26" s="72">
        <f t="shared" si="272"/>
        <v>0</v>
      </c>
      <c r="KE26" s="64"/>
      <c r="KF26" s="73"/>
      <c r="KG26" s="72">
        <f t="shared" si="273"/>
        <v>0</v>
      </c>
      <c r="KH26" s="64"/>
      <c r="KI26" s="73"/>
      <c r="KJ26" s="72">
        <f t="shared" si="230"/>
        <v>0</v>
      </c>
      <c r="KK26" s="64"/>
      <c r="KL26" s="73"/>
      <c r="KM26" s="72">
        <f t="shared" si="231"/>
        <v>0</v>
      </c>
      <c r="KN26" s="64"/>
      <c r="KO26" s="73"/>
      <c r="KP26" s="72">
        <f t="shared" si="232"/>
        <v>0</v>
      </c>
      <c r="KQ26" s="64"/>
      <c r="KR26" s="73"/>
      <c r="KS26" s="72">
        <f t="shared" si="274"/>
        <v>0</v>
      </c>
      <c r="KT26" s="64"/>
      <c r="KU26" s="73"/>
      <c r="KV26" s="72">
        <f t="shared" si="275"/>
        <v>0</v>
      </c>
      <c r="KW26" s="64"/>
      <c r="KX26" s="73"/>
      <c r="KY26" s="72">
        <f t="shared" si="233"/>
        <v>0</v>
      </c>
      <c r="KZ26" s="64"/>
      <c r="LA26" s="73"/>
      <c r="LB26" s="72">
        <f t="shared" si="234"/>
        <v>0</v>
      </c>
      <c r="LC26" s="64"/>
      <c r="LD26" s="73"/>
      <c r="LE26" s="72">
        <f t="shared" si="235"/>
        <v>0</v>
      </c>
      <c r="LF26" s="64"/>
    </row>
    <row r="27" spans="1:318" s="784" customFormat="1">
      <c r="A27" s="49"/>
      <c r="B27" s="49"/>
      <c r="C27" s="437" t="str">
        <f>Idiomas!D323</f>
        <v>Equipo clasificado para SEMIFINALES</v>
      </c>
      <c r="D27" s="62">
        <v>50</v>
      </c>
      <c r="E27" s="109"/>
      <c r="F27" s="443">
        <f t="shared" si="236"/>
        <v>15</v>
      </c>
      <c r="G27" s="443">
        <f ca="1">VLOOKUP(H27,Equipos!$Q$1:$R$25,2,0)</f>
        <v>7</v>
      </c>
      <c r="H27" s="444">
        <f ca="1">TRUNC(INDEX(WORLDCUP!$X$4:$X$147,MATCH(ADMIN!K27,WORLDCUP!$DT$4:$DT$147,0))+INDEX(Horarios!$R$3:$R$86,MATCH(Horarios!$C$3,Horarios!$P$3:$P$86,0))/24)</f>
        <v>46190</v>
      </c>
      <c r="I27" s="48">
        <v>1</v>
      </c>
      <c r="J27" s="93" t="s">
        <v>515</v>
      </c>
      <c r="K27" s="53" t="str">
        <f ca="1">CONCATENATE(WORLDCUP!AA85,"-",WORLDCUP!AF85)</f>
        <v>Uzbekistán-Colombia</v>
      </c>
      <c r="L27" s="53"/>
      <c r="M27" s="53" t="str">
        <f>IF(OR(WORLDCUP!AC85="",WORLDCUP!AD85=""),"-",N27&amp;"|"&amp;O27&amp;"-"&amp;P27)</f>
        <v>-</v>
      </c>
      <c r="N27" s="25" t="str">
        <f>IF(OR(WORLDCUP!AC85="",WORLDCUP!AD85=""),"",IF(WORLDCUP!AC85&gt;WORLDCUP!AD85,"1",IF(WORLDCUP!AC85&lt;WORLDCUP!AD85,"2","X")))</f>
        <v/>
      </c>
      <c r="O27" s="25">
        <f>WORLDCUP!AC85</f>
        <v>0</v>
      </c>
      <c r="P27" s="25">
        <f>WORLDCUP!AD85</f>
        <v>0</v>
      </c>
      <c r="Q27" s="25">
        <f t="shared" si="276"/>
        <v>0</v>
      </c>
      <c r="R27" s="49"/>
      <c r="S27" s="796" t="s">
        <v>1959</v>
      </c>
      <c r="T27" s="72">
        <f t="shared" si="237"/>
        <v>0</v>
      </c>
      <c r="U27" s="64"/>
      <c r="V27" s="73" t="s">
        <v>1963</v>
      </c>
      <c r="W27" s="72">
        <f t="shared" si="238"/>
        <v>0</v>
      </c>
      <c r="X27" s="64"/>
      <c r="Y27" s="796" t="s">
        <v>1962</v>
      </c>
      <c r="Z27" s="72">
        <f t="shared" si="176"/>
        <v>0</v>
      </c>
      <c r="AA27" s="64"/>
      <c r="AB27" s="796" t="s">
        <v>1949</v>
      </c>
      <c r="AC27" s="72">
        <f t="shared" si="177"/>
        <v>0</v>
      </c>
      <c r="AD27" s="64"/>
      <c r="AE27" s="796" t="s">
        <v>1962</v>
      </c>
      <c r="AF27" s="72">
        <f t="shared" si="279"/>
        <v>0</v>
      </c>
      <c r="AG27" s="64"/>
      <c r="AH27" s="796" t="s">
        <v>1949</v>
      </c>
      <c r="AI27" s="72">
        <f t="shared" si="240"/>
        <v>0</v>
      </c>
      <c r="AJ27" s="64"/>
      <c r="AK27" s="806" t="s">
        <v>1962</v>
      </c>
      <c r="AL27" s="72">
        <f t="shared" si="241"/>
        <v>0</v>
      </c>
      <c r="AM27" s="64"/>
      <c r="AN27" s="796" t="s">
        <v>2008</v>
      </c>
      <c r="AO27" s="72">
        <f t="shared" si="179"/>
        <v>0</v>
      </c>
      <c r="AP27" s="64"/>
      <c r="AQ27" s="806" t="s">
        <v>1962</v>
      </c>
      <c r="AR27" s="72">
        <f t="shared" si="180"/>
        <v>0</v>
      </c>
      <c r="AS27" s="64"/>
      <c r="AT27" s="796" t="s">
        <v>1963</v>
      </c>
      <c r="AU27" s="72">
        <f t="shared" si="181"/>
        <v>0</v>
      </c>
      <c r="AV27" s="64"/>
      <c r="AW27" s="796" t="s">
        <v>1949</v>
      </c>
      <c r="AX27" s="72">
        <f t="shared" si="242"/>
        <v>0</v>
      </c>
      <c r="AY27" s="64"/>
      <c r="AZ27" s="796" t="s">
        <v>2343</v>
      </c>
      <c r="BA27" s="72">
        <f t="shared" si="243"/>
        <v>0</v>
      </c>
      <c r="BB27" s="64"/>
      <c r="BC27" s="796" t="s">
        <v>2006</v>
      </c>
      <c r="BD27" s="72">
        <f t="shared" si="182"/>
        <v>0</v>
      </c>
      <c r="BE27" s="64"/>
      <c r="BF27" s="796" t="s">
        <v>2006</v>
      </c>
      <c r="BG27" s="72">
        <f t="shared" si="183"/>
        <v>0</v>
      </c>
      <c r="BH27" s="64"/>
      <c r="BI27" s="796" t="s">
        <v>1949</v>
      </c>
      <c r="BJ27" s="72">
        <f t="shared" si="184"/>
        <v>0</v>
      </c>
      <c r="BK27" s="64"/>
      <c r="BL27" s="796" t="s">
        <v>1961</v>
      </c>
      <c r="BM27" s="72">
        <f t="shared" si="244"/>
        <v>0</v>
      </c>
      <c r="BN27" s="64"/>
      <c r="BO27" s="816" t="s">
        <v>2006</v>
      </c>
      <c r="BP27" s="72">
        <f t="shared" si="245"/>
        <v>0</v>
      </c>
      <c r="BQ27" s="64"/>
      <c r="BR27" s="796" t="s">
        <v>1962</v>
      </c>
      <c r="BS27" s="72">
        <f t="shared" si="185"/>
        <v>0</v>
      </c>
      <c r="BT27" s="64"/>
      <c r="BU27" s="796" t="s">
        <v>1951</v>
      </c>
      <c r="BV27" s="72">
        <f t="shared" si="186"/>
        <v>0</v>
      </c>
      <c r="BW27" s="64"/>
      <c r="BX27" s="73" t="s">
        <v>1949</v>
      </c>
      <c r="BY27" s="72">
        <f t="shared" si="187"/>
        <v>0</v>
      </c>
      <c r="BZ27" s="64"/>
      <c r="CA27" s="816" t="s">
        <v>1949</v>
      </c>
      <c r="CB27" s="72">
        <f t="shared" si="246"/>
        <v>0</v>
      </c>
      <c r="CC27" s="64"/>
      <c r="CD27" s="825" t="s">
        <v>1962</v>
      </c>
      <c r="CE27" s="72">
        <f t="shared" si="247"/>
        <v>0</v>
      </c>
      <c r="CF27" s="64"/>
      <c r="CG27" s="796" t="s">
        <v>1963</v>
      </c>
      <c r="CH27" s="72">
        <f t="shared" si="188"/>
        <v>0</v>
      </c>
      <c r="CI27" s="64"/>
      <c r="CJ27" s="796" t="s">
        <v>1963</v>
      </c>
      <c r="CK27" s="72">
        <f t="shared" si="189"/>
        <v>0</v>
      </c>
      <c r="CL27" s="64"/>
      <c r="CM27" s="796" t="s">
        <v>1963</v>
      </c>
      <c r="CN27" s="72">
        <f t="shared" si="190"/>
        <v>0</v>
      </c>
      <c r="CO27" s="64"/>
      <c r="CP27" s="796" t="s">
        <v>1963</v>
      </c>
      <c r="CQ27" s="72">
        <f t="shared" si="248"/>
        <v>0</v>
      </c>
      <c r="CR27" s="64"/>
      <c r="CS27" s="796" t="s">
        <v>1962</v>
      </c>
      <c r="CT27" s="72">
        <f t="shared" si="249"/>
        <v>0</v>
      </c>
      <c r="CU27" s="64"/>
      <c r="CV27" s="796" t="s">
        <v>1962</v>
      </c>
      <c r="CW27" s="72">
        <f t="shared" si="191"/>
        <v>0</v>
      </c>
      <c r="CX27" s="64"/>
      <c r="CY27" s="796" t="s">
        <v>1949</v>
      </c>
      <c r="CZ27" s="72">
        <f t="shared" si="250"/>
        <v>0</v>
      </c>
      <c r="DA27" s="64"/>
      <c r="DB27" s="796" t="s">
        <v>1951</v>
      </c>
      <c r="DC27" s="72">
        <f t="shared" si="192"/>
        <v>0</v>
      </c>
      <c r="DD27" s="64"/>
      <c r="DE27" s="796" t="s">
        <v>1949</v>
      </c>
      <c r="DF27" s="72">
        <f t="shared" si="193"/>
        <v>0</v>
      </c>
      <c r="DG27" s="64"/>
      <c r="DH27" s="796" t="s">
        <v>1947</v>
      </c>
      <c r="DI27" s="72">
        <f t="shared" si="194"/>
        <v>0</v>
      </c>
      <c r="DJ27" s="64"/>
      <c r="DK27" s="796" t="s">
        <v>1949</v>
      </c>
      <c r="DL27" s="72">
        <f t="shared" si="195"/>
        <v>0</v>
      </c>
      <c r="DM27" s="64"/>
      <c r="DN27" s="73"/>
      <c r="DO27" s="72">
        <f t="shared" si="196"/>
        <v>0</v>
      </c>
      <c r="DP27" s="64"/>
      <c r="DQ27" s="796" t="s">
        <v>1962</v>
      </c>
      <c r="DR27" s="72">
        <f t="shared" si="251"/>
        <v>0</v>
      </c>
      <c r="DS27" s="64"/>
      <c r="DT27" s="73" t="s">
        <v>1962</v>
      </c>
      <c r="DU27" s="72">
        <f t="shared" si="277"/>
        <v>0</v>
      </c>
      <c r="DV27" s="64"/>
      <c r="DW27" s="73"/>
      <c r="DX27" s="72">
        <f t="shared" si="278"/>
        <v>0</v>
      </c>
      <c r="DY27" s="64"/>
      <c r="DZ27" s="73"/>
      <c r="EA27" s="72">
        <f t="shared" si="197"/>
        <v>0</v>
      </c>
      <c r="EB27" s="64"/>
      <c r="EC27" s="73"/>
      <c r="ED27" s="72">
        <f t="shared" si="198"/>
        <v>0</v>
      </c>
      <c r="EE27" s="64"/>
      <c r="EF27" s="73"/>
      <c r="EG27" s="72">
        <f t="shared" si="199"/>
        <v>0</v>
      </c>
      <c r="EH27" s="64"/>
      <c r="EI27" s="73"/>
      <c r="EJ27" s="72">
        <f t="shared" si="252"/>
        <v>0</v>
      </c>
      <c r="EK27" s="64"/>
      <c r="EL27" s="73"/>
      <c r="EM27" s="72">
        <f t="shared" si="253"/>
        <v>0</v>
      </c>
      <c r="EN27" s="64"/>
      <c r="EO27" s="73"/>
      <c r="EP27" s="72">
        <f t="shared" si="200"/>
        <v>0</v>
      </c>
      <c r="EQ27" s="64"/>
      <c r="ER27" s="73"/>
      <c r="ES27" s="72">
        <f t="shared" si="201"/>
        <v>0</v>
      </c>
      <c r="ET27" s="64"/>
      <c r="EU27" s="73"/>
      <c r="EV27" s="72">
        <f t="shared" si="202"/>
        <v>0</v>
      </c>
      <c r="EW27" s="64"/>
      <c r="EX27" s="73"/>
      <c r="EY27" s="72">
        <f t="shared" si="254"/>
        <v>0</v>
      </c>
      <c r="EZ27" s="64"/>
      <c r="FA27" s="73"/>
      <c r="FB27" s="72">
        <f t="shared" si="255"/>
        <v>0</v>
      </c>
      <c r="FC27" s="64"/>
      <c r="FD27" s="73"/>
      <c r="FE27" s="72">
        <f t="shared" si="203"/>
        <v>0</v>
      </c>
      <c r="FF27" s="64"/>
      <c r="FG27" s="73"/>
      <c r="FH27" s="72">
        <f t="shared" si="204"/>
        <v>0</v>
      </c>
      <c r="FI27" s="64"/>
      <c r="FJ27" s="73"/>
      <c r="FK27" s="72">
        <f t="shared" si="205"/>
        <v>0</v>
      </c>
      <c r="FL27" s="64"/>
      <c r="FM27" s="73"/>
      <c r="FN27" s="72">
        <f t="shared" si="256"/>
        <v>0</v>
      </c>
      <c r="FO27" s="64"/>
      <c r="FP27" s="73"/>
      <c r="FQ27" s="72">
        <f t="shared" si="257"/>
        <v>0</v>
      </c>
      <c r="FR27" s="64"/>
      <c r="FS27" s="73"/>
      <c r="FT27" s="72">
        <f t="shared" si="206"/>
        <v>0</v>
      </c>
      <c r="FU27" s="64"/>
      <c r="FV27" s="73"/>
      <c r="FW27" s="72">
        <f t="shared" si="207"/>
        <v>0</v>
      </c>
      <c r="FX27" s="64"/>
      <c r="FY27" s="73"/>
      <c r="FZ27" s="72">
        <f t="shared" si="208"/>
        <v>0</v>
      </c>
      <c r="GA27" s="64"/>
      <c r="GB27" s="73"/>
      <c r="GC27" s="72">
        <f t="shared" si="258"/>
        <v>0</v>
      </c>
      <c r="GD27" s="64"/>
      <c r="GE27" s="73"/>
      <c r="GF27" s="72">
        <f t="shared" si="259"/>
        <v>0</v>
      </c>
      <c r="GG27" s="64"/>
      <c r="GH27" s="73"/>
      <c r="GI27" s="72">
        <f t="shared" si="209"/>
        <v>0</v>
      </c>
      <c r="GJ27" s="64"/>
      <c r="GK27" s="73"/>
      <c r="GL27" s="72">
        <f t="shared" si="210"/>
        <v>0</v>
      </c>
      <c r="GM27" s="64"/>
      <c r="GN27" s="73"/>
      <c r="GO27" s="72">
        <f t="shared" si="211"/>
        <v>0</v>
      </c>
      <c r="GP27" s="64"/>
      <c r="GQ27" s="73"/>
      <c r="GR27" s="72">
        <f t="shared" si="260"/>
        <v>0</v>
      </c>
      <c r="GS27" s="64"/>
      <c r="GT27" s="73"/>
      <c r="GU27" s="72">
        <f t="shared" si="261"/>
        <v>0</v>
      </c>
      <c r="GV27" s="64"/>
      <c r="GW27" s="73"/>
      <c r="GX27" s="72">
        <f t="shared" si="212"/>
        <v>0</v>
      </c>
      <c r="GY27" s="64"/>
      <c r="GZ27" s="73"/>
      <c r="HA27" s="72">
        <f t="shared" si="213"/>
        <v>0</v>
      </c>
      <c r="HB27" s="64"/>
      <c r="HC27" s="73"/>
      <c r="HD27" s="72">
        <f t="shared" si="214"/>
        <v>0</v>
      </c>
      <c r="HE27" s="64"/>
      <c r="HF27" s="73"/>
      <c r="HG27" s="72">
        <f t="shared" si="262"/>
        <v>0</v>
      </c>
      <c r="HH27" s="64"/>
      <c r="HI27" s="73"/>
      <c r="HJ27" s="72">
        <f t="shared" si="263"/>
        <v>0</v>
      </c>
      <c r="HK27" s="64"/>
      <c r="HL27" s="73"/>
      <c r="HM27" s="72">
        <f t="shared" si="215"/>
        <v>0</v>
      </c>
      <c r="HN27" s="64"/>
      <c r="HO27" s="73"/>
      <c r="HP27" s="72">
        <f t="shared" si="216"/>
        <v>0</v>
      </c>
      <c r="HQ27" s="64"/>
      <c r="HR27" s="73"/>
      <c r="HS27" s="72">
        <f t="shared" si="217"/>
        <v>0</v>
      </c>
      <c r="HT27" s="64"/>
      <c r="HU27" s="73"/>
      <c r="HV27" s="72">
        <f t="shared" si="264"/>
        <v>0</v>
      </c>
      <c r="HW27" s="64"/>
      <c r="HX27" s="73"/>
      <c r="HY27" s="72">
        <f t="shared" si="265"/>
        <v>0</v>
      </c>
      <c r="HZ27" s="64"/>
      <c r="IA27" s="73"/>
      <c r="IB27" s="72">
        <f t="shared" si="218"/>
        <v>0</v>
      </c>
      <c r="IC27" s="64"/>
      <c r="ID27" s="73"/>
      <c r="IE27" s="72">
        <f t="shared" si="219"/>
        <v>0</v>
      </c>
      <c r="IF27" s="64"/>
      <c r="IG27" s="73"/>
      <c r="IH27" s="72">
        <f t="shared" si="220"/>
        <v>0</v>
      </c>
      <c r="II27" s="64"/>
      <c r="IJ27" s="73"/>
      <c r="IK27" s="72">
        <f t="shared" si="266"/>
        <v>0</v>
      </c>
      <c r="IL27" s="64"/>
      <c r="IM27" s="73"/>
      <c r="IN27" s="72">
        <f t="shared" si="267"/>
        <v>0</v>
      </c>
      <c r="IO27" s="64"/>
      <c r="IP27" s="73"/>
      <c r="IQ27" s="72">
        <f t="shared" si="221"/>
        <v>0</v>
      </c>
      <c r="IR27" s="64"/>
      <c r="IS27" s="73"/>
      <c r="IT27" s="72">
        <f t="shared" si="222"/>
        <v>0</v>
      </c>
      <c r="IU27" s="64"/>
      <c r="IV27" s="73"/>
      <c r="IW27" s="72">
        <f t="shared" si="223"/>
        <v>0</v>
      </c>
      <c r="IX27" s="64"/>
      <c r="IY27" s="73"/>
      <c r="IZ27" s="72">
        <f t="shared" si="268"/>
        <v>0</v>
      </c>
      <c r="JA27" s="64"/>
      <c r="JB27" s="73"/>
      <c r="JC27" s="72">
        <f t="shared" si="269"/>
        <v>0</v>
      </c>
      <c r="JD27" s="64"/>
      <c r="JE27" s="73"/>
      <c r="JF27" s="72">
        <f t="shared" si="224"/>
        <v>0</v>
      </c>
      <c r="JG27" s="64"/>
      <c r="JH27" s="73"/>
      <c r="JI27" s="72">
        <f t="shared" si="225"/>
        <v>0</v>
      </c>
      <c r="JJ27" s="64"/>
      <c r="JK27" s="73"/>
      <c r="JL27" s="72">
        <f t="shared" si="226"/>
        <v>0</v>
      </c>
      <c r="JM27" s="64"/>
      <c r="JN27" s="73"/>
      <c r="JO27" s="72">
        <f t="shared" si="270"/>
        <v>0</v>
      </c>
      <c r="JP27" s="64"/>
      <c r="JQ27" s="73"/>
      <c r="JR27" s="72">
        <f t="shared" si="271"/>
        <v>0</v>
      </c>
      <c r="JS27" s="64"/>
      <c r="JT27" s="73"/>
      <c r="JU27" s="72">
        <f t="shared" si="227"/>
        <v>0</v>
      </c>
      <c r="JV27" s="64"/>
      <c r="JW27" s="73"/>
      <c r="JX27" s="72">
        <f t="shared" si="228"/>
        <v>0</v>
      </c>
      <c r="JY27" s="64"/>
      <c r="JZ27" s="73"/>
      <c r="KA27" s="72">
        <f t="shared" si="229"/>
        <v>0</v>
      </c>
      <c r="KB27" s="64"/>
      <c r="KC27" s="73"/>
      <c r="KD27" s="72">
        <f t="shared" si="272"/>
        <v>0</v>
      </c>
      <c r="KE27" s="64"/>
      <c r="KF27" s="73"/>
      <c r="KG27" s="72">
        <f t="shared" si="273"/>
        <v>0</v>
      </c>
      <c r="KH27" s="64"/>
      <c r="KI27" s="73"/>
      <c r="KJ27" s="72">
        <f t="shared" si="230"/>
        <v>0</v>
      </c>
      <c r="KK27" s="64"/>
      <c r="KL27" s="73"/>
      <c r="KM27" s="72">
        <f t="shared" si="231"/>
        <v>0</v>
      </c>
      <c r="KN27" s="64"/>
      <c r="KO27" s="73"/>
      <c r="KP27" s="72">
        <f t="shared" si="232"/>
        <v>0</v>
      </c>
      <c r="KQ27" s="64"/>
      <c r="KR27" s="73"/>
      <c r="KS27" s="72">
        <f t="shared" si="274"/>
        <v>0</v>
      </c>
      <c r="KT27" s="64"/>
      <c r="KU27" s="73"/>
      <c r="KV27" s="72">
        <f t="shared" si="275"/>
        <v>0</v>
      </c>
      <c r="KW27" s="64"/>
      <c r="KX27" s="73"/>
      <c r="KY27" s="72">
        <f t="shared" si="233"/>
        <v>0</v>
      </c>
      <c r="KZ27" s="64"/>
      <c r="LA27" s="73"/>
      <c r="LB27" s="72">
        <f t="shared" si="234"/>
        <v>0</v>
      </c>
      <c r="LC27" s="64"/>
      <c r="LD27" s="73"/>
      <c r="LE27" s="72">
        <f t="shared" si="235"/>
        <v>0</v>
      </c>
      <c r="LF27" s="64"/>
    </row>
    <row r="28" spans="1:318" s="784" customFormat="1">
      <c r="A28" s="49"/>
      <c r="B28" s="49"/>
      <c r="C28" s="435" t="str">
        <f>Idiomas!D324</f>
        <v>SEMIFINALES - Signo 1X2  (local, empate, visitante)</v>
      </c>
      <c r="D28" s="62">
        <v>14</v>
      </c>
      <c r="E28" s="109"/>
      <c r="F28" s="443">
        <f t="shared" si="236"/>
        <v>15</v>
      </c>
      <c r="G28" s="443">
        <f ca="1">VLOOKUP(H28,Equipos!$Q$1:$R$25,2,0)</f>
        <v>7</v>
      </c>
      <c r="H28" s="444">
        <f ca="1">TRUNC(INDEX(WORLDCUP!$X$4:$X$147,MATCH(ADMIN!K28,WORLDCUP!$DT$4:$DT$147,0))+INDEX(Horarios!$R$3:$R$86,MATCH(Horarios!$C$3,Horarios!$P$3:$P$86,0))/24)</f>
        <v>46190</v>
      </c>
      <c r="I28" s="48">
        <v>1</v>
      </c>
      <c r="J28" s="94" t="s">
        <v>1196</v>
      </c>
      <c r="K28" s="53" t="str">
        <f ca="1">CONCATENATE(WORLDCUP!AA92,"-",WORLDCUP!AF92)</f>
        <v>Inglaterra-Croacia</v>
      </c>
      <c r="L28" s="53"/>
      <c r="M28" s="55" t="str">
        <f>IF(OR(WORLDCUP!AC92="",WORLDCUP!AD92=""),"-",N28&amp;"|"&amp;O28&amp;"-"&amp;P28)</f>
        <v>-</v>
      </c>
      <c r="N28" s="25" t="str">
        <f>IF(OR(WORLDCUP!AC92="",WORLDCUP!AD92=""),"",IF(WORLDCUP!AC92&gt;WORLDCUP!AD92,"1",IF(WORLDCUP!AC92&lt;WORLDCUP!AD92,"2","X")))</f>
        <v/>
      </c>
      <c r="O28" s="25">
        <f>WORLDCUP!AC92</f>
        <v>0</v>
      </c>
      <c r="P28" s="25">
        <f>WORLDCUP!AD92</f>
        <v>0</v>
      </c>
      <c r="Q28" s="25">
        <f t="shared" si="276"/>
        <v>0</v>
      </c>
      <c r="R28" s="49"/>
      <c r="S28" s="796" t="s">
        <v>1955</v>
      </c>
      <c r="T28" s="72">
        <f t="shared" si="237"/>
        <v>0</v>
      </c>
      <c r="U28" s="64"/>
      <c r="V28" s="73" t="s">
        <v>1958</v>
      </c>
      <c r="W28" s="72">
        <f t="shared" si="238"/>
        <v>0</v>
      </c>
      <c r="X28" s="64"/>
      <c r="Y28" s="796" t="s">
        <v>1949</v>
      </c>
      <c r="Z28" s="72">
        <f t="shared" si="176"/>
        <v>0</v>
      </c>
      <c r="AA28" s="64"/>
      <c r="AB28" s="796" t="s">
        <v>2007</v>
      </c>
      <c r="AC28" s="72">
        <f t="shared" si="177"/>
        <v>0</v>
      </c>
      <c r="AD28" s="64"/>
      <c r="AE28" s="796" t="s">
        <v>1954</v>
      </c>
      <c r="AF28" s="72">
        <f t="shared" si="279"/>
        <v>0</v>
      </c>
      <c r="AG28" s="64"/>
      <c r="AH28" s="796" t="s">
        <v>1955</v>
      </c>
      <c r="AI28" s="72">
        <f t="shared" si="240"/>
        <v>0</v>
      </c>
      <c r="AJ28" s="64"/>
      <c r="AK28" s="806" t="s">
        <v>1948</v>
      </c>
      <c r="AL28" s="72">
        <f t="shared" si="241"/>
        <v>0</v>
      </c>
      <c r="AM28" s="64"/>
      <c r="AN28" s="796" t="s">
        <v>1955</v>
      </c>
      <c r="AO28" s="72">
        <f t="shared" si="179"/>
        <v>0</v>
      </c>
      <c r="AP28" s="64"/>
      <c r="AQ28" s="806" t="s">
        <v>2007</v>
      </c>
      <c r="AR28" s="72">
        <f t="shared" si="180"/>
        <v>0</v>
      </c>
      <c r="AS28" s="64"/>
      <c r="AT28" s="796" t="s">
        <v>1949</v>
      </c>
      <c r="AU28" s="72">
        <f t="shared" si="181"/>
        <v>0</v>
      </c>
      <c r="AV28" s="64"/>
      <c r="AW28" s="796" t="s">
        <v>2007</v>
      </c>
      <c r="AX28" s="72">
        <f t="shared" si="242"/>
        <v>0</v>
      </c>
      <c r="AY28" s="64"/>
      <c r="AZ28" s="796" t="s">
        <v>1949</v>
      </c>
      <c r="BA28" s="72">
        <f t="shared" si="243"/>
        <v>0</v>
      </c>
      <c r="BB28" s="64"/>
      <c r="BC28" s="796" t="s">
        <v>1954</v>
      </c>
      <c r="BD28" s="72">
        <f t="shared" si="182"/>
        <v>0</v>
      </c>
      <c r="BE28" s="64"/>
      <c r="BF28" s="796" t="s">
        <v>1949</v>
      </c>
      <c r="BG28" s="72">
        <f t="shared" si="183"/>
        <v>0</v>
      </c>
      <c r="BH28" s="64"/>
      <c r="BI28" s="796" t="s">
        <v>1955</v>
      </c>
      <c r="BJ28" s="72">
        <f t="shared" si="184"/>
        <v>0</v>
      </c>
      <c r="BK28" s="64"/>
      <c r="BL28" s="796" t="s">
        <v>1949</v>
      </c>
      <c r="BM28" s="72">
        <f t="shared" si="244"/>
        <v>0</v>
      </c>
      <c r="BN28" s="64"/>
      <c r="BO28" s="816" t="s">
        <v>1955</v>
      </c>
      <c r="BP28" s="72">
        <f t="shared" si="245"/>
        <v>0</v>
      </c>
      <c r="BQ28" s="64"/>
      <c r="BR28" s="796" t="s">
        <v>1961</v>
      </c>
      <c r="BS28" s="72">
        <f t="shared" si="185"/>
        <v>0</v>
      </c>
      <c r="BT28" s="64"/>
      <c r="BU28" s="796" t="s">
        <v>1948</v>
      </c>
      <c r="BV28" s="72">
        <f t="shared" si="186"/>
        <v>0</v>
      </c>
      <c r="BW28" s="64"/>
      <c r="BX28" s="73" t="s">
        <v>1955</v>
      </c>
      <c r="BY28" s="72">
        <f t="shared" si="187"/>
        <v>0</v>
      </c>
      <c r="BZ28" s="64"/>
      <c r="CA28" s="816" t="s">
        <v>1955</v>
      </c>
      <c r="CB28" s="72">
        <f t="shared" si="246"/>
        <v>0</v>
      </c>
      <c r="CC28" s="64"/>
      <c r="CD28" s="825" t="s">
        <v>1954</v>
      </c>
      <c r="CE28" s="72">
        <f t="shared" si="247"/>
        <v>0</v>
      </c>
      <c r="CF28" s="64"/>
      <c r="CG28" s="796" t="s">
        <v>1960</v>
      </c>
      <c r="CH28" s="72">
        <f t="shared" si="188"/>
        <v>0</v>
      </c>
      <c r="CI28" s="64"/>
      <c r="CJ28" s="796" t="s">
        <v>2007</v>
      </c>
      <c r="CK28" s="72">
        <f t="shared" si="189"/>
        <v>0</v>
      </c>
      <c r="CL28" s="64"/>
      <c r="CM28" s="796" t="s">
        <v>1955</v>
      </c>
      <c r="CN28" s="72">
        <f t="shared" si="190"/>
        <v>0</v>
      </c>
      <c r="CO28" s="64"/>
      <c r="CP28" s="796" t="s">
        <v>1955</v>
      </c>
      <c r="CQ28" s="72">
        <f t="shared" si="248"/>
        <v>0</v>
      </c>
      <c r="CR28" s="64"/>
      <c r="CS28" s="796" t="s">
        <v>1950</v>
      </c>
      <c r="CT28" s="72">
        <f t="shared" si="249"/>
        <v>0</v>
      </c>
      <c r="CU28" s="64"/>
      <c r="CV28" s="796" t="s">
        <v>1961</v>
      </c>
      <c r="CW28" s="72">
        <f t="shared" si="191"/>
        <v>0</v>
      </c>
      <c r="CX28" s="64"/>
      <c r="CY28" s="796" t="s">
        <v>1963</v>
      </c>
      <c r="CZ28" s="72">
        <f t="shared" si="250"/>
        <v>0</v>
      </c>
      <c r="DA28" s="64"/>
      <c r="DB28" s="796" t="s">
        <v>1961</v>
      </c>
      <c r="DC28" s="72">
        <f t="shared" si="192"/>
        <v>0</v>
      </c>
      <c r="DD28" s="64"/>
      <c r="DE28" s="796" t="s">
        <v>1955</v>
      </c>
      <c r="DF28" s="72">
        <f t="shared" si="193"/>
        <v>0</v>
      </c>
      <c r="DG28" s="64"/>
      <c r="DH28" s="796" t="s">
        <v>1955</v>
      </c>
      <c r="DI28" s="72">
        <f t="shared" si="194"/>
        <v>0</v>
      </c>
      <c r="DJ28" s="64"/>
      <c r="DK28" s="796" t="s">
        <v>1961</v>
      </c>
      <c r="DL28" s="72">
        <f t="shared" si="195"/>
        <v>0</v>
      </c>
      <c r="DM28" s="64"/>
      <c r="DN28" s="73"/>
      <c r="DO28" s="72">
        <f t="shared" si="196"/>
        <v>0</v>
      </c>
      <c r="DP28" s="64"/>
      <c r="DQ28" s="796" t="s">
        <v>1954</v>
      </c>
      <c r="DR28" s="72">
        <f t="shared" si="251"/>
        <v>0</v>
      </c>
      <c r="DS28" s="64"/>
      <c r="DT28" s="73" t="s">
        <v>1955</v>
      </c>
      <c r="DU28" s="72">
        <f t="shared" si="277"/>
        <v>0</v>
      </c>
      <c r="DV28" s="64"/>
      <c r="DW28" s="73"/>
      <c r="DX28" s="72">
        <f t="shared" si="278"/>
        <v>0</v>
      </c>
      <c r="DY28" s="64"/>
      <c r="DZ28" s="73"/>
      <c r="EA28" s="72">
        <f t="shared" si="197"/>
        <v>0</v>
      </c>
      <c r="EB28" s="64"/>
      <c r="EC28" s="73"/>
      <c r="ED28" s="72">
        <f t="shared" si="198"/>
        <v>0</v>
      </c>
      <c r="EE28" s="64"/>
      <c r="EF28" s="73"/>
      <c r="EG28" s="72">
        <f t="shared" si="199"/>
        <v>0</v>
      </c>
      <c r="EH28" s="64"/>
      <c r="EI28" s="73"/>
      <c r="EJ28" s="72">
        <f t="shared" si="252"/>
        <v>0</v>
      </c>
      <c r="EK28" s="64"/>
      <c r="EL28" s="73"/>
      <c r="EM28" s="72">
        <f t="shared" si="253"/>
        <v>0</v>
      </c>
      <c r="EN28" s="64"/>
      <c r="EO28" s="73"/>
      <c r="EP28" s="72">
        <f t="shared" si="200"/>
        <v>0</v>
      </c>
      <c r="EQ28" s="64"/>
      <c r="ER28" s="73"/>
      <c r="ES28" s="72">
        <f t="shared" si="201"/>
        <v>0</v>
      </c>
      <c r="ET28" s="64"/>
      <c r="EU28" s="73"/>
      <c r="EV28" s="72">
        <f t="shared" si="202"/>
        <v>0</v>
      </c>
      <c r="EW28" s="64"/>
      <c r="EX28" s="73"/>
      <c r="EY28" s="72">
        <f t="shared" si="254"/>
        <v>0</v>
      </c>
      <c r="EZ28" s="64"/>
      <c r="FA28" s="73"/>
      <c r="FB28" s="72">
        <f t="shared" si="255"/>
        <v>0</v>
      </c>
      <c r="FC28" s="64"/>
      <c r="FD28" s="73"/>
      <c r="FE28" s="72">
        <f t="shared" si="203"/>
        <v>0</v>
      </c>
      <c r="FF28" s="64"/>
      <c r="FG28" s="73"/>
      <c r="FH28" s="72">
        <f t="shared" si="204"/>
        <v>0</v>
      </c>
      <c r="FI28" s="64"/>
      <c r="FJ28" s="73"/>
      <c r="FK28" s="72">
        <f t="shared" si="205"/>
        <v>0</v>
      </c>
      <c r="FL28" s="64"/>
      <c r="FM28" s="73"/>
      <c r="FN28" s="72">
        <f t="shared" si="256"/>
        <v>0</v>
      </c>
      <c r="FO28" s="64"/>
      <c r="FP28" s="73"/>
      <c r="FQ28" s="72">
        <f t="shared" si="257"/>
        <v>0</v>
      </c>
      <c r="FR28" s="64"/>
      <c r="FS28" s="73"/>
      <c r="FT28" s="72">
        <f t="shared" si="206"/>
        <v>0</v>
      </c>
      <c r="FU28" s="64"/>
      <c r="FV28" s="73"/>
      <c r="FW28" s="72">
        <f t="shared" si="207"/>
        <v>0</v>
      </c>
      <c r="FX28" s="64"/>
      <c r="FY28" s="73"/>
      <c r="FZ28" s="72">
        <f t="shared" si="208"/>
        <v>0</v>
      </c>
      <c r="GA28" s="64"/>
      <c r="GB28" s="73"/>
      <c r="GC28" s="72">
        <f t="shared" si="258"/>
        <v>0</v>
      </c>
      <c r="GD28" s="64"/>
      <c r="GE28" s="73"/>
      <c r="GF28" s="72">
        <f t="shared" si="259"/>
        <v>0</v>
      </c>
      <c r="GG28" s="64"/>
      <c r="GH28" s="73"/>
      <c r="GI28" s="72">
        <f t="shared" si="209"/>
        <v>0</v>
      </c>
      <c r="GJ28" s="64"/>
      <c r="GK28" s="73"/>
      <c r="GL28" s="72">
        <f t="shared" si="210"/>
        <v>0</v>
      </c>
      <c r="GM28" s="64"/>
      <c r="GN28" s="73"/>
      <c r="GO28" s="72">
        <f t="shared" si="211"/>
        <v>0</v>
      </c>
      <c r="GP28" s="64"/>
      <c r="GQ28" s="73"/>
      <c r="GR28" s="72">
        <f t="shared" si="260"/>
        <v>0</v>
      </c>
      <c r="GS28" s="64"/>
      <c r="GT28" s="73"/>
      <c r="GU28" s="72">
        <f t="shared" si="261"/>
        <v>0</v>
      </c>
      <c r="GV28" s="64"/>
      <c r="GW28" s="73"/>
      <c r="GX28" s="72">
        <f t="shared" si="212"/>
        <v>0</v>
      </c>
      <c r="GY28" s="64"/>
      <c r="GZ28" s="73"/>
      <c r="HA28" s="72">
        <f t="shared" si="213"/>
        <v>0</v>
      </c>
      <c r="HB28" s="64"/>
      <c r="HC28" s="73"/>
      <c r="HD28" s="72">
        <f t="shared" si="214"/>
        <v>0</v>
      </c>
      <c r="HE28" s="64"/>
      <c r="HF28" s="73"/>
      <c r="HG28" s="72">
        <f t="shared" si="262"/>
        <v>0</v>
      </c>
      <c r="HH28" s="64"/>
      <c r="HI28" s="73"/>
      <c r="HJ28" s="72">
        <f t="shared" si="263"/>
        <v>0</v>
      </c>
      <c r="HK28" s="64"/>
      <c r="HL28" s="73"/>
      <c r="HM28" s="72">
        <f t="shared" si="215"/>
        <v>0</v>
      </c>
      <c r="HN28" s="64"/>
      <c r="HO28" s="73"/>
      <c r="HP28" s="72">
        <f t="shared" si="216"/>
        <v>0</v>
      </c>
      <c r="HQ28" s="64"/>
      <c r="HR28" s="73"/>
      <c r="HS28" s="72">
        <f t="shared" si="217"/>
        <v>0</v>
      </c>
      <c r="HT28" s="64"/>
      <c r="HU28" s="73"/>
      <c r="HV28" s="72">
        <f t="shared" si="264"/>
        <v>0</v>
      </c>
      <c r="HW28" s="64"/>
      <c r="HX28" s="73"/>
      <c r="HY28" s="72">
        <f t="shared" si="265"/>
        <v>0</v>
      </c>
      <c r="HZ28" s="64"/>
      <c r="IA28" s="73"/>
      <c r="IB28" s="72">
        <f t="shared" si="218"/>
        <v>0</v>
      </c>
      <c r="IC28" s="64"/>
      <c r="ID28" s="73"/>
      <c r="IE28" s="72">
        <f t="shared" si="219"/>
        <v>0</v>
      </c>
      <c r="IF28" s="64"/>
      <c r="IG28" s="73"/>
      <c r="IH28" s="72">
        <f t="shared" si="220"/>
        <v>0</v>
      </c>
      <c r="II28" s="64"/>
      <c r="IJ28" s="73"/>
      <c r="IK28" s="72">
        <f t="shared" si="266"/>
        <v>0</v>
      </c>
      <c r="IL28" s="64"/>
      <c r="IM28" s="73"/>
      <c r="IN28" s="72">
        <f t="shared" si="267"/>
        <v>0</v>
      </c>
      <c r="IO28" s="64"/>
      <c r="IP28" s="73"/>
      <c r="IQ28" s="72">
        <f t="shared" si="221"/>
        <v>0</v>
      </c>
      <c r="IR28" s="64"/>
      <c r="IS28" s="73"/>
      <c r="IT28" s="72">
        <f t="shared" si="222"/>
        <v>0</v>
      </c>
      <c r="IU28" s="64"/>
      <c r="IV28" s="73"/>
      <c r="IW28" s="72">
        <f t="shared" si="223"/>
        <v>0</v>
      </c>
      <c r="IX28" s="64"/>
      <c r="IY28" s="73"/>
      <c r="IZ28" s="72">
        <f t="shared" si="268"/>
        <v>0</v>
      </c>
      <c r="JA28" s="64"/>
      <c r="JB28" s="73"/>
      <c r="JC28" s="72">
        <f t="shared" si="269"/>
        <v>0</v>
      </c>
      <c r="JD28" s="64"/>
      <c r="JE28" s="73"/>
      <c r="JF28" s="72">
        <f t="shared" si="224"/>
        <v>0</v>
      </c>
      <c r="JG28" s="64"/>
      <c r="JH28" s="73"/>
      <c r="JI28" s="72">
        <f t="shared" si="225"/>
        <v>0</v>
      </c>
      <c r="JJ28" s="64"/>
      <c r="JK28" s="73"/>
      <c r="JL28" s="72">
        <f t="shared" si="226"/>
        <v>0</v>
      </c>
      <c r="JM28" s="64"/>
      <c r="JN28" s="73"/>
      <c r="JO28" s="72">
        <f t="shared" si="270"/>
        <v>0</v>
      </c>
      <c r="JP28" s="64"/>
      <c r="JQ28" s="73"/>
      <c r="JR28" s="72">
        <f t="shared" si="271"/>
        <v>0</v>
      </c>
      <c r="JS28" s="64"/>
      <c r="JT28" s="73"/>
      <c r="JU28" s="72">
        <f t="shared" si="227"/>
        <v>0</v>
      </c>
      <c r="JV28" s="64"/>
      <c r="JW28" s="73"/>
      <c r="JX28" s="72">
        <f t="shared" si="228"/>
        <v>0</v>
      </c>
      <c r="JY28" s="64"/>
      <c r="JZ28" s="73"/>
      <c r="KA28" s="72">
        <f t="shared" si="229"/>
        <v>0</v>
      </c>
      <c r="KB28" s="64"/>
      <c r="KC28" s="73"/>
      <c r="KD28" s="72">
        <f t="shared" si="272"/>
        <v>0</v>
      </c>
      <c r="KE28" s="64"/>
      <c r="KF28" s="73"/>
      <c r="KG28" s="72">
        <f t="shared" si="273"/>
        <v>0</v>
      </c>
      <c r="KH28" s="64"/>
      <c r="KI28" s="73"/>
      <c r="KJ28" s="72">
        <f t="shared" si="230"/>
        <v>0</v>
      </c>
      <c r="KK28" s="64"/>
      <c r="KL28" s="73"/>
      <c r="KM28" s="72">
        <f t="shared" si="231"/>
        <v>0</v>
      </c>
      <c r="KN28" s="64"/>
      <c r="KO28" s="73"/>
      <c r="KP28" s="72">
        <f t="shared" si="232"/>
        <v>0</v>
      </c>
      <c r="KQ28" s="64"/>
      <c r="KR28" s="73"/>
      <c r="KS28" s="72">
        <f t="shared" si="274"/>
        <v>0</v>
      </c>
      <c r="KT28" s="64"/>
      <c r="KU28" s="73"/>
      <c r="KV28" s="72">
        <f t="shared" si="275"/>
        <v>0</v>
      </c>
      <c r="KW28" s="64"/>
      <c r="KX28" s="73"/>
      <c r="KY28" s="72">
        <f t="shared" si="233"/>
        <v>0</v>
      </c>
      <c r="KZ28" s="64"/>
      <c r="LA28" s="73"/>
      <c r="LB28" s="72">
        <f t="shared" si="234"/>
        <v>0</v>
      </c>
      <c r="LC28" s="64"/>
      <c r="LD28" s="73"/>
      <c r="LE28" s="72">
        <f t="shared" si="235"/>
        <v>0</v>
      </c>
      <c r="LF28" s="64"/>
    </row>
    <row r="29" spans="1:318" s="784" customFormat="1">
      <c r="A29" s="49"/>
      <c r="B29" s="49"/>
      <c r="C29" s="436" t="str">
        <f>Idiomas!D325&amp;"**"</f>
        <v>SEMIFINALES -Diferencia/Distancia de goles (Con 1X2 acertado)**</v>
      </c>
      <c r="D29" s="62">
        <v>0</v>
      </c>
      <c r="E29" s="109"/>
      <c r="F29" s="443">
        <f t="shared" si="236"/>
        <v>15</v>
      </c>
      <c r="G29" s="443">
        <f ca="1">VLOOKUP(H29,Equipos!$Q$1:$R$25,2,0)</f>
        <v>7</v>
      </c>
      <c r="H29" s="444">
        <f ca="1">TRUNC(INDEX(WORLDCUP!$X$4:$X$147,MATCH(ADMIN!K29,WORLDCUP!$DT$4:$DT$147,0))+INDEX(Horarios!$R$3:$R$86,MATCH(Horarios!$C$3,Horarios!$P$3:$P$86,0))/24)</f>
        <v>46190</v>
      </c>
      <c r="I29" s="48">
        <v>1</v>
      </c>
      <c r="J29" s="94" t="s">
        <v>1196</v>
      </c>
      <c r="K29" s="57" t="str">
        <f ca="1">CONCATENATE(WORLDCUP!AA93,"-",WORLDCUP!AF93)</f>
        <v>Ghana-Panamá</v>
      </c>
      <c r="L29" s="58"/>
      <c r="M29" s="59" t="str">
        <f>IF(OR(WORLDCUP!AC93="",WORLDCUP!AD93=""),"-",N29&amp;"|"&amp;O29&amp;"-"&amp;P29)</f>
        <v>-</v>
      </c>
      <c r="N29" s="25" t="str">
        <f>IF(OR(WORLDCUP!AC93="",WORLDCUP!AD93=""),"",IF(WORLDCUP!AC93&gt;WORLDCUP!AD93,"1",IF(WORLDCUP!AC93&lt;WORLDCUP!AD93,"2","X")))</f>
        <v/>
      </c>
      <c r="O29" s="25">
        <f>WORLDCUP!AC93</f>
        <v>0</v>
      </c>
      <c r="P29" s="25">
        <f>WORLDCUP!AD93</f>
        <v>0</v>
      </c>
      <c r="Q29" s="25">
        <f t="shared" si="276"/>
        <v>0</v>
      </c>
      <c r="R29" s="49"/>
      <c r="S29" s="796" t="s">
        <v>1950</v>
      </c>
      <c r="T29" s="78">
        <f t="shared" si="237"/>
        <v>0</v>
      </c>
      <c r="U29" s="64"/>
      <c r="V29" s="77" t="s">
        <v>1960</v>
      </c>
      <c r="W29" s="78">
        <f t="shared" si="238"/>
        <v>0</v>
      </c>
      <c r="X29" s="64"/>
      <c r="Y29" s="796" t="s">
        <v>2007</v>
      </c>
      <c r="Z29" s="78">
        <f t="shared" si="176"/>
        <v>0</v>
      </c>
      <c r="AA29" s="64"/>
      <c r="AB29" s="796" t="s">
        <v>1955</v>
      </c>
      <c r="AC29" s="78">
        <f t="shared" si="177"/>
        <v>0</v>
      </c>
      <c r="AD29" s="64"/>
      <c r="AE29" s="796" t="s">
        <v>1948</v>
      </c>
      <c r="AF29" s="78">
        <f t="shared" si="279"/>
        <v>0</v>
      </c>
      <c r="AG29" s="64"/>
      <c r="AH29" s="796" t="s">
        <v>1948</v>
      </c>
      <c r="AI29" s="78">
        <f t="shared" si="240"/>
        <v>0</v>
      </c>
      <c r="AJ29" s="64"/>
      <c r="AK29" s="806" t="s">
        <v>1954</v>
      </c>
      <c r="AL29" s="78">
        <f t="shared" si="241"/>
        <v>0</v>
      </c>
      <c r="AM29" s="64"/>
      <c r="AN29" s="796" t="s">
        <v>1950</v>
      </c>
      <c r="AO29" s="78">
        <f t="shared" si="179"/>
        <v>0</v>
      </c>
      <c r="AP29" s="64"/>
      <c r="AQ29" s="806" t="s">
        <v>1948</v>
      </c>
      <c r="AR29" s="78">
        <f t="shared" si="180"/>
        <v>0</v>
      </c>
      <c r="AS29" s="64"/>
      <c r="AT29" s="796" t="s">
        <v>1955</v>
      </c>
      <c r="AU29" s="78">
        <f t="shared" si="181"/>
        <v>0</v>
      </c>
      <c r="AV29" s="64"/>
      <c r="AW29" s="796" t="s">
        <v>1954</v>
      </c>
      <c r="AX29" s="78">
        <f t="shared" si="242"/>
        <v>0</v>
      </c>
      <c r="AY29" s="64"/>
      <c r="AZ29" s="796" t="s">
        <v>2340</v>
      </c>
      <c r="BA29" s="78">
        <f t="shared" si="243"/>
        <v>0</v>
      </c>
      <c r="BB29" s="64"/>
      <c r="BC29" s="796" t="s">
        <v>1948</v>
      </c>
      <c r="BD29" s="78">
        <f t="shared" si="182"/>
        <v>0</v>
      </c>
      <c r="BE29" s="64"/>
      <c r="BF29" s="796" t="s">
        <v>2007</v>
      </c>
      <c r="BG29" s="78">
        <f t="shared" si="183"/>
        <v>0</v>
      </c>
      <c r="BH29" s="64"/>
      <c r="BI29" s="796" t="s">
        <v>1955</v>
      </c>
      <c r="BJ29" s="78">
        <f t="shared" si="184"/>
        <v>0</v>
      </c>
      <c r="BK29" s="64"/>
      <c r="BL29" s="796" t="s">
        <v>1957</v>
      </c>
      <c r="BM29" s="78">
        <f t="shared" si="244"/>
        <v>0</v>
      </c>
      <c r="BN29" s="64"/>
      <c r="BO29" s="816" t="s">
        <v>1955</v>
      </c>
      <c r="BP29" s="78">
        <f t="shared" si="245"/>
        <v>0</v>
      </c>
      <c r="BQ29" s="64"/>
      <c r="BR29" s="796" t="s">
        <v>1956</v>
      </c>
      <c r="BS29" s="78">
        <f t="shared" si="185"/>
        <v>0</v>
      </c>
      <c r="BT29" s="64"/>
      <c r="BU29" s="796" t="s">
        <v>1947</v>
      </c>
      <c r="BV29" s="78">
        <f t="shared" si="186"/>
        <v>0</v>
      </c>
      <c r="BW29" s="64"/>
      <c r="BX29" s="77" t="s">
        <v>1948</v>
      </c>
      <c r="BY29" s="78">
        <f t="shared" si="187"/>
        <v>0</v>
      </c>
      <c r="BZ29" s="64"/>
      <c r="CA29" s="816" t="s">
        <v>1958</v>
      </c>
      <c r="CB29" s="78">
        <f t="shared" si="246"/>
        <v>0</v>
      </c>
      <c r="CC29" s="64"/>
      <c r="CD29" s="825" t="s">
        <v>1950</v>
      </c>
      <c r="CE29" s="78">
        <f t="shared" si="247"/>
        <v>0</v>
      </c>
      <c r="CF29" s="64"/>
      <c r="CG29" s="796" t="s">
        <v>1955</v>
      </c>
      <c r="CH29" s="78">
        <f t="shared" si="188"/>
        <v>0</v>
      </c>
      <c r="CI29" s="64"/>
      <c r="CJ29" s="796" t="s">
        <v>1958</v>
      </c>
      <c r="CK29" s="78">
        <f t="shared" si="189"/>
        <v>0</v>
      </c>
      <c r="CL29" s="64"/>
      <c r="CM29" s="796" t="s">
        <v>1949</v>
      </c>
      <c r="CN29" s="78">
        <f t="shared" si="190"/>
        <v>0</v>
      </c>
      <c r="CO29" s="64"/>
      <c r="CP29" s="796" t="s">
        <v>1955</v>
      </c>
      <c r="CQ29" s="78">
        <f t="shared" si="248"/>
        <v>0</v>
      </c>
      <c r="CR29" s="64"/>
      <c r="CS29" s="796" t="s">
        <v>1955</v>
      </c>
      <c r="CT29" s="78">
        <f t="shared" si="249"/>
        <v>0</v>
      </c>
      <c r="CU29" s="64"/>
      <c r="CV29" s="796" t="s">
        <v>1955</v>
      </c>
      <c r="CW29" s="78">
        <f t="shared" si="191"/>
        <v>0</v>
      </c>
      <c r="CX29" s="64"/>
      <c r="CY29" s="796" t="s">
        <v>1955</v>
      </c>
      <c r="CZ29" s="78">
        <f t="shared" si="250"/>
        <v>0</v>
      </c>
      <c r="DA29" s="64"/>
      <c r="DB29" s="796" t="s">
        <v>1949</v>
      </c>
      <c r="DC29" s="78">
        <f t="shared" si="192"/>
        <v>0</v>
      </c>
      <c r="DD29" s="64"/>
      <c r="DE29" s="796" t="s">
        <v>1958</v>
      </c>
      <c r="DF29" s="78">
        <f t="shared" si="193"/>
        <v>0</v>
      </c>
      <c r="DG29" s="64"/>
      <c r="DH29" s="796" t="s">
        <v>1956</v>
      </c>
      <c r="DI29" s="78">
        <f t="shared" si="194"/>
        <v>0</v>
      </c>
      <c r="DJ29" s="64"/>
      <c r="DK29" s="796" t="s">
        <v>1958</v>
      </c>
      <c r="DL29" s="78">
        <f t="shared" si="195"/>
        <v>0</v>
      </c>
      <c r="DM29" s="64"/>
      <c r="DN29" s="77"/>
      <c r="DO29" s="78">
        <f t="shared" si="196"/>
        <v>0</v>
      </c>
      <c r="DP29" s="64"/>
      <c r="DQ29" s="796" t="s">
        <v>1961</v>
      </c>
      <c r="DR29" s="78">
        <f t="shared" si="251"/>
        <v>0</v>
      </c>
      <c r="DS29" s="64"/>
      <c r="DT29" s="77" t="s">
        <v>1948</v>
      </c>
      <c r="DU29" s="78">
        <f t="shared" si="277"/>
        <v>0</v>
      </c>
      <c r="DV29" s="64"/>
      <c r="DW29" s="77"/>
      <c r="DX29" s="78">
        <f t="shared" si="278"/>
        <v>0</v>
      </c>
      <c r="DY29" s="64"/>
      <c r="DZ29" s="77"/>
      <c r="EA29" s="78">
        <f t="shared" si="197"/>
        <v>0</v>
      </c>
      <c r="EB29" s="64"/>
      <c r="EC29" s="77"/>
      <c r="ED29" s="78">
        <f t="shared" si="198"/>
        <v>0</v>
      </c>
      <c r="EE29" s="64"/>
      <c r="EF29" s="77"/>
      <c r="EG29" s="78">
        <f t="shared" si="199"/>
        <v>0</v>
      </c>
      <c r="EH29" s="64"/>
      <c r="EI29" s="77"/>
      <c r="EJ29" s="78">
        <f t="shared" si="252"/>
        <v>0</v>
      </c>
      <c r="EK29" s="64"/>
      <c r="EL29" s="77"/>
      <c r="EM29" s="78">
        <f t="shared" si="253"/>
        <v>0</v>
      </c>
      <c r="EN29" s="64"/>
      <c r="EO29" s="77"/>
      <c r="EP29" s="78">
        <f t="shared" si="200"/>
        <v>0</v>
      </c>
      <c r="EQ29" s="64"/>
      <c r="ER29" s="77"/>
      <c r="ES29" s="78">
        <f t="shared" si="201"/>
        <v>0</v>
      </c>
      <c r="ET29" s="64"/>
      <c r="EU29" s="77"/>
      <c r="EV29" s="78">
        <f t="shared" si="202"/>
        <v>0</v>
      </c>
      <c r="EW29" s="64"/>
      <c r="EX29" s="77"/>
      <c r="EY29" s="78">
        <f t="shared" si="254"/>
        <v>0</v>
      </c>
      <c r="EZ29" s="64"/>
      <c r="FA29" s="77"/>
      <c r="FB29" s="78">
        <f t="shared" si="255"/>
        <v>0</v>
      </c>
      <c r="FC29" s="64"/>
      <c r="FD29" s="77"/>
      <c r="FE29" s="78">
        <f t="shared" si="203"/>
        <v>0</v>
      </c>
      <c r="FF29" s="64"/>
      <c r="FG29" s="77"/>
      <c r="FH29" s="78">
        <f t="shared" si="204"/>
        <v>0</v>
      </c>
      <c r="FI29" s="64"/>
      <c r="FJ29" s="77"/>
      <c r="FK29" s="78">
        <f t="shared" si="205"/>
        <v>0</v>
      </c>
      <c r="FL29" s="64"/>
      <c r="FM29" s="77"/>
      <c r="FN29" s="78">
        <f t="shared" si="256"/>
        <v>0</v>
      </c>
      <c r="FO29" s="64"/>
      <c r="FP29" s="77"/>
      <c r="FQ29" s="78">
        <f t="shared" si="257"/>
        <v>0</v>
      </c>
      <c r="FR29" s="64"/>
      <c r="FS29" s="77"/>
      <c r="FT29" s="78">
        <f t="shared" si="206"/>
        <v>0</v>
      </c>
      <c r="FU29" s="64"/>
      <c r="FV29" s="77"/>
      <c r="FW29" s="78">
        <f t="shared" si="207"/>
        <v>0</v>
      </c>
      <c r="FX29" s="64"/>
      <c r="FY29" s="77"/>
      <c r="FZ29" s="78">
        <f t="shared" si="208"/>
        <v>0</v>
      </c>
      <c r="GA29" s="64"/>
      <c r="GB29" s="77"/>
      <c r="GC29" s="78">
        <f t="shared" si="258"/>
        <v>0</v>
      </c>
      <c r="GD29" s="64"/>
      <c r="GE29" s="77"/>
      <c r="GF29" s="78">
        <f t="shared" si="259"/>
        <v>0</v>
      </c>
      <c r="GG29" s="64"/>
      <c r="GH29" s="77"/>
      <c r="GI29" s="78">
        <f t="shared" si="209"/>
        <v>0</v>
      </c>
      <c r="GJ29" s="64"/>
      <c r="GK29" s="77"/>
      <c r="GL29" s="78">
        <f t="shared" si="210"/>
        <v>0</v>
      </c>
      <c r="GM29" s="64"/>
      <c r="GN29" s="77"/>
      <c r="GO29" s="78">
        <f t="shared" si="211"/>
        <v>0</v>
      </c>
      <c r="GP29" s="64"/>
      <c r="GQ29" s="77"/>
      <c r="GR29" s="78">
        <f t="shared" si="260"/>
        <v>0</v>
      </c>
      <c r="GS29" s="64"/>
      <c r="GT29" s="77"/>
      <c r="GU29" s="78">
        <f t="shared" si="261"/>
        <v>0</v>
      </c>
      <c r="GV29" s="64"/>
      <c r="GW29" s="77"/>
      <c r="GX29" s="78">
        <f t="shared" si="212"/>
        <v>0</v>
      </c>
      <c r="GY29" s="64"/>
      <c r="GZ29" s="77"/>
      <c r="HA29" s="78">
        <f t="shared" si="213"/>
        <v>0</v>
      </c>
      <c r="HB29" s="64"/>
      <c r="HC29" s="77"/>
      <c r="HD29" s="78">
        <f t="shared" si="214"/>
        <v>0</v>
      </c>
      <c r="HE29" s="64"/>
      <c r="HF29" s="77"/>
      <c r="HG29" s="78">
        <f t="shared" si="262"/>
        <v>0</v>
      </c>
      <c r="HH29" s="64"/>
      <c r="HI29" s="77"/>
      <c r="HJ29" s="78">
        <f t="shared" si="263"/>
        <v>0</v>
      </c>
      <c r="HK29" s="64"/>
      <c r="HL29" s="77"/>
      <c r="HM29" s="78">
        <f t="shared" si="215"/>
        <v>0</v>
      </c>
      <c r="HN29" s="64"/>
      <c r="HO29" s="77"/>
      <c r="HP29" s="78">
        <f t="shared" si="216"/>
        <v>0</v>
      </c>
      <c r="HQ29" s="64"/>
      <c r="HR29" s="77"/>
      <c r="HS29" s="78">
        <f t="shared" si="217"/>
        <v>0</v>
      </c>
      <c r="HT29" s="64"/>
      <c r="HU29" s="77"/>
      <c r="HV29" s="78">
        <f t="shared" si="264"/>
        <v>0</v>
      </c>
      <c r="HW29" s="64"/>
      <c r="HX29" s="77"/>
      <c r="HY29" s="78">
        <f t="shared" si="265"/>
        <v>0</v>
      </c>
      <c r="HZ29" s="64"/>
      <c r="IA29" s="77"/>
      <c r="IB29" s="78">
        <f t="shared" si="218"/>
        <v>0</v>
      </c>
      <c r="IC29" s="64"/>
      <c r="ID29" s="77"/>
      <c r="IE29" s="78">
        <f t="shared" si="219"/>
        <v>0</v>
      </c>
      <c r="IF29" s="64"/>
      <c r="IG29" s="77"/>
      <c r="IH29" s="78">
        <f t="shared" si="220"/>
        <v>0</v>
      </c>
      <c r="II29" s="64"/>
      <c r="IJ29" s="77"/>
      <c r="IK29" s="78">
        <f t="shared" si="266"/>
        <v>0</v>
      </c>
      <c r="IL29" s="64"/>
      <c r="IM29" s="77"/>
      <c r="IN29" s="78">
        <f t="shared" si="267"/>
        <v>0</v>
      </c>
      <c r="IO29" s="64"/>
      <c r="IP29" s="77"/>
      <c r="IQ29" s="78">
        <f t="shared" si="221"/>
        <v>0</v>
      </c>
      <c r="IR29" s="64"/>
      <c r="IS29" s="77"/>
      <c r="IT29" s="78">
        <f t="shared" si="222"/>
        <v>0</v>
      </c>
      <c r="IU29" s="64"/>
      <c r="IV29" s="77"/>
      <c r="IW29" s="78">
        <f t="shared" si="223"/>
        <v>0</v>
      </c>
      <c r="IX29" s="64"/>
      <c r="IY29" s="77"/>
      <c r="IZ29" s="78">
        <f t="shared" si="268"/>
        <v>0</v>
      </c>
      <c r="JA29" s="64"/>
      <c r="JB29" s="77"/>
      <c r="JC29" s="78">
        <f t="shared" si="269"/>
        <v>0</v>
      </c>
      <c r="JD29" s="64"/>
      <c r="JE29" s="77"/>
      <c r="JF29" s="78">
        <f t="shared" si="224"/>
        <v>0</v>
      </c>
      <c r="JG29" s="64"/>
      <c r="JH29" s="77"/>
      <c r="JI29" s="78">
        <f t="shared" si="225"/>
        <v>0</v>
      </c>
      <c r="JJ29" s="64"/>
      <c r="JK29" s="77"/>
      <c r="JL29" s="78">
        <f t="shared" si="226"/>
        <v>0</v>
      </c>
      <c r="JM29" s="64"/>
      <c r="JN29" s="77"/>
      <c r="JO29" s="78">
        <f t="shared" si="270"/>
        <v>0</v>
      </c>
      <c r="JP29" s="64"/>
      <c r="JQ29" s="77"/>
      <c r="JR29" s="78">
        <f t="shared" si="271"/>
        <v>0</v>
      </c>
      <c r="JS29" s="64"/>
      <c r="JT29" s="77"/>
      <c r="JU29" s="78">
        <f t="shared" si="227"/>
        <v>0</v>
      </c>
      <c r="JV29" s="64"/>
      <c r="JW29" s="77"/>
      <c r="JX29" s="78">
        <f t="shared" si="228"/>
        <v>0</v>
      </c>
      <c r="JY29" s="64"/>
      <c r="JZ29" s="77"/>
      <c r="KA29" s="78">
        <f t="shared" si="229"/>
        <v>0</v>
      </c>
      <c r="KB29" s="64"/>
      <c r="KC29" s="77"/>
      <c r="KD29" s="78">
        <f t="shared" si="272"/>
        <v>0</v>
      </c>
      <c r="KE29" s="64"/>
      <c r="KF29" s="77"/>
      <c r="KG29" s="78">
        <f t="shared" si="273"/>
        <v>0</v>
      </c>
      <c r="KH29" s="64"/>
      <c r="KI29" s="77"/>
      <c r="KJ29" s="78">
        <f t="shared" si="230"/>
        <v>0</v>
      </c>
      <c r="KK29" s="64"/>
      <c r="KL29" s="77"/>
      <c r="KM29" s="78">
        <f t="shared" si="231"/>
        <v>0</v>
      </c>
      <c r="KN29" s="64"/>
      <c r="KO29" s="77"/>
      <c r="KP29" s="78">
        <f t="shared" si="232"/>
        <v>0</v>
      </c>
      <c r="KQ29" s="64"/>
      <c r="KR29" s="77"/>
      <c r="KS29" s="78">
        <f t="shared" si="274"/>
        <v>0</v>
      </c>
      <c r="KT29" s="64"/>
      <c r="KU29" s="77"/>
      <c r="KV29" s="78">
        <f t="shared" si="275"/>
        <v>0</v>
      </c>
      <c r="KW29" s="64"/>
      <c r="KX29" s="77"/>
      <c r="KY29" s="78">
        <f t="shared" si="233"/>
        <v>0</v>
      </c>
      <c r="KZ29" s="64"/>
      <c r="LA29" s="77"/>
      <c r="LB29" s="78">
        <f t="shared" si="234"/>
        <v>0</v>
      </c>
      <c r="LC29" s="64"/>
      <c r="LD29" s="77"/>
      <c r="LE29" s="78">
        <f t="shared" si="235"/>
        <v>0</v>
      </c>
      <c r="LF29" s="64"/>
    </row>
    <row r="30" spans="1:318" s="784" customFormat="1">
      <c r="A30" s="49"/>
      <c r="B30" s="49"/>
      <c r="C30" s="435" t="str">
        <f>Idiomas!D326</f>
        <v>SEMIFINALES - Resultado exacto</v>
      </c>
      <c r="D30" s="62">
        <v>16</v>
      </c>
      <c r="E30" s="109"/>
      <c r="F30" s="443">
        <f t="shared" si="236"/>
        <v>15</v>
      </c>
      <c r="G30" s="443">
        <f ca="1">VLOOKUP(H30,Equipos!$Q$1:$R$25,2,0)</f>
        <v>8</v>
      </c>
      <c r="H30" s="444">
        <f ca="1">TRUNC(INDEX(WORLDCUP!$X$4:$X$147,MATCH(ADMIN!K30,WORLDCUP!$DT$4:$DT$147,0))+INDEX(Horarios!$R$3:$R$86,MATCH(Horarios!$C$3,Horarios!$P$3:$P$86,0))/24)</f>
        <v>46191</v>
      </c>
      <c r="I30" s="48">
        <v>1</v>
      </c>
      <c r="J30" s="93" t="s">
        <v>118</v>
      </c>
      <c r="K30" s="53" t="str">
        <f ca="1">CONCATENATE(WORLDCUP!AA6,"-",WORLDCUP!AF6)</f>
        <v>República Checa-Sudáfrica</v>
      </c>
      <c r="L30" s="53"/>
      <c r="M30" s="55" t="str">
        <f>IF(OR(WORLDCUP!AC6="",WORLDCUP!AD6=""),"-",N30&amp;"|"&amp;O30&amp;"-"&amp;P30)</f>
        <v>-</v>
      </c>
      <c r="N30" s="25" t="str">
        <f>IF(OR(WORLDCUP!AC6="",WORLDCUP!AD6=""),"",IF(WORLDCUP!AC6&gt;WORLDCUP!AD6,"1",IF(WORLDCUP!AC6&lt;WORLDCUP!AD6,"2","X")))</f>
        <v/>
      </c>
      <c r="O30" s="25">
        <f>WORLDCUP!AC6</f>
        <v>0</v>
      </c>
      <c r="P30" s="25">
        <f>WORLDCUP!AD6</f>
        <v>0</v>
      </c>
      <c r="Q30" s="25">
        <f t="shared" si="276"/>
        <v>0</v>
      </c>
      <c r="R30" s="49"/>
      <c r="S30" s="796" t="s">
        <v>1958</v>
      </c>
      <c r="T30" s="76">
        <f t="shared" si="237"/>
        <v>0</v>
      </c>
      <c r="U30" s="64"/>
      <c r="V30" s="75" t="s">
        <v>1960</v>
      </c>
      <c r="W30" s="76">
        <f t="shared" si="238"/>
        <v>0</v>
      </c>
      <c r="X30" s="64"/>
      <c r="Y30" s="796" t="s">
        <v>1961</v>
      </c>
      <c r="Z30" s="76">
        <f t="shared" si="176"/>
        <v>0</v>
      </c>
      <c r="AA30" s="64"/>
      <c r="AB30" s="796" t="s">
        <v>1955</v>
      </c>
      <c r="AC30" s="76">
        <f t="shared" si="177"/>
        <v>0</v>
      </c>
      <c r="AD30" s="64"/>
      <c r="AE30" s="796" t="s">
        <v>1958</v>
      </c>
      <c r="AF30" s="76">
        <f t="shared" si="279"/>
        <v>0</v>
      </c>
      <c r="AG30" s="64"/>
      <c r="AH30" s="796" t="s">
        <v>1956</v>
      </c>
      <c r="AI30" s="76">
        <f t="shared" si="240"/>
        <v>0</v>
      </c>
      <c r="AJ30" s="64"/>
      <c r="AK30" s="806" t="s">
        <v>1954</v>
      </c>
      <c r="AL30" s="76">
        <f t="shared" si="241"/>
        <v>0</v>
      </c>
      <c r="AM30" s="64"/>
      <c r="AN30" s="796" t="s">
        <v>1961</v>
      </c>
      <c r="AO30" s="76">
        <f t="shared" si="179"/>
        <v>0</v>
      </c>
      <c r="AP30" s="64"/>
      <c r="AQ30" s="806" t="s">
        <v>1948</v>
      </c>
      <c r="AR30" s="76">
        <f t="shared" si="180"/>
        <v>0</v>
      </c>
      <c r="AS30" s="64"/>
      <c r="AT30" s="796" t="s">
        <v>1955</v>
      </c>
      <c r="AU30" s="76">
        <f t="shared" si="181"/>
        <v>0</v>
      </c>
      <c r="AV30" s="64"/>
      <c r="AW30" s="796" t="s">
        <v>1955</v>
      </c>
      <c r="AX30" s="76">
        <f t="shared" si="242"/>
        <v>0</v>
      </c>
      <c r="AY30" s="64"/>
      <c r="AZ30" s="796" t="s">
        <v>1963</v>
      </c>
      <c r="BA30" s="76">
        <f t="shared" si="243"/>
        <v>0</v>
      </c>
      <c r="BB30" s="64"/>
      <c r="BC30" s="796" t="s">
        <v>1947</v>
      </c>
      <c r="BD30" s="76">
        <f t="shared" si="182"/>
        <v>0</v>
      </c>
      <c r="BE30" s="64"/>
      <c r="BF30" s="796" t="s">
        <v>1953</v>
      </c>
      <c r="BG30" s="76">
        <f t="shared" si="183"/>
        <v>0</v>
      </c>
      <c r="BH30" s="64"/>
      <c r="BI30" s="796" t="s">
        <v>1948</v>
      </c>
      <c r="BJ30" s="76">
        <f t="shared" si="184"/>
        <v>0</v>
      </c>
      <c r="BK30" s="64"/>
      <c r="BL30" s="796" t="s">
        <v>1948</v>
      </c>
      <c r="BM30" s="76">
        <f t="shared" si="244"/>
        <v>0</v>
      </c>
      <c r="BN30" s="64"/>
      <c r="BO30" s="816" t="s">
        <v>1948</v>
      </c>
      <c r="BP30" s="76">
        <f t="shared" si="245"/>
        <v>0</v>
      </c>
      <c r="BQ30" s="64"/>
      <c r="BR30" s="796" t="s">
        <v>1955</v>
      </c>
      <c r="BS30" s="76">
        <f t="shared" si="185"/>
        <v>0</v>
      </c>
      <c r="BT30" s="64"/>
      <c r="BU30" s="796" t="s">
        <v>1961</v>
      </c>
      <c r="BV30" s="76">
        <f t="shared" si="186"/>
        <v>0</v>
      </c>
      <c r="BW30" s="64"/>
      <c r="BX30" s="75" t="s">
        <v>1961</v>
      </c>
      <c r="BY30" s="76">
        <f t="shared" si="187"/>
        <v>0</v>
      </c>
      <c r="BZ30" s="64"/>
      <c r="CA30" s="816" t="s">
        <v>1962</v>
      </c>
      <c r="CB30" s="76">
        <f t="shared" si="246"/>
        <v>0</v>
      </c>
      <c r="CC30" s="64"/>
      <c r="CD30" s="825" t="s">
        <v>1960</v>
      </c>
      <c r="CE30" s="76">
        <f t="shared" si="247"/>
        <v>0</v>
      </c>
      <c r="CF30" s="64"/>
      <c r="CG30" s="796" t="s">
        <v>1961</v>
      </c>
      <c r="CH30" s="76">
        <f t="shared" si="188"/>
        <v>0</v>
      </c>
      <c r="CI30" s="64"/>
      <c r="CJ30" s="796" t="s">
        <v>1948</v>
      </c>
      <c r="CK30" s="76">
        <f t="shared" si="189"/>
        <v>0</v>
      </c>
      <c r="CL30" s="64"/>
      <c r="CM30" s="796" t="s">
        <v>1955</v>
      </c>
      <c r="CN30" s="76">
        <f t="shared" si="190"/>
        <v>0</v>
      </c>
      <c r="CO30" s="64"/>
      <c r="CP30" s="796" t="s">
        <v>1948</v>
      </c>
      <c r="CQ30" s="76">
        <f t="shared" si="248"/>
        <v>0</v>
      </c>
      <c r="CR30" s="64"/>
      <c r="CS30" s="796" t="s">
        <v>1958</v>
      </c>
      <c r="CT30" s="76">
        <f t="shared" si="249"/>
        <v>0</v>
      </c>
      <c r="CU30" s="64"/>
      <c r="CV30" s="796" t="s">
        <v>1948</v>
      </c>
      <c r="CW30" s="76">
        <f t="shared" si="191"/>
        <v>0</v>
      </c>
      <c r="CX30" s="64"/>
      <c r="CY30" s="796" t="s">
        <v>1961</v>
      </c>
      <c r="CZ30" s="76">
        <f t="shared" si="250"/>
        <v>0</v>
      </c>
      <c r="DA30" s="64"/>
      <c r="DB30" s="796" t="s">
        <v>1958</v>
      </c>
      <c r="DC30" s="76">
        <f t="shared" si="192"/>
        <v>0</v>
      </c>
      <c r="DD30" s="64"/>
      <c r="DE30" s="796" t="s">
        <v>1956</v>
      </c>
      <c r="DF30" s="76">
        <f t="shared" si="193"/>
        <v>0</v>
      </c>
      <c r="DG30" s="64"/>
      <c r="DH30" s="796" t="s">
        <v>1948</v>
      </c>
      <c r="DI30" s="76">
        <f t="shared" si="194"/>
        <v>0</v>
      </c>
      <c r="DJ30" s="64"/>
      <c r="DK30" s="796" t="s">
        <v>1961</v>
      </c>
      <c r="DL30" s="76">
        <f t="shared" si="195"/>
        <v>0</v>
      </c>
      <c r="DM30" s="64"/>
      <c r="DN30" s="75" t="str">
        <f>Idiomas!$D$365</f>
        <v>Pegar Valores (J2)</v>
      </c>
      <c r="DO30" s="76">
        <f t="shared" si="196"/>
        <v>0</v>
      </c>
      <c r="DP30" s="64"/>
      <c r="DQ30" s="796" t="s">
        <v>1948</v>
      </c>
      <c r="DR30" s="76">
        <f t="shared" si="251"/>
        <v>0</v>
      </c>
      <c r="DS30" s="64"/>
      <c r="DT30" s="75" t="s">
        <v>1955</v>
      </c>
      <c r="DU30" s="76">
        <f t="shared" si="277"/>
        <v>0</v>
      </c>
      <c r="DV30" s="64"/>
      <c r="DW30" s="75" t="str">
        <f>Idiomas!$D$365</f>
        <v>Pegar Valores (J2)</v>
      </c>
      <c r="DX30" s="76">
        <f t="shared" si="278"/>
        <v>0</v>
      </c>
      <c r="DY30" s="64"/>
      <c r="DZ30" s="75" t="str">
        <f>Idiomas!$D$365</f>
        <v>Pegar Valores (J2)</v>
      </c>
      <c r="EA30" s="76">
        <f t="shared" si="197"/>
        <v>0</v>
      </c>
      <c r="EB30" s="64"/>
      <c r="EC30" s="75" t="str">
        <f>Idiomas!$D$365</f>
        <v>Pegar Valores (J2)</v>
      </c>
      <c r="ED30" s="76">
        <f t="shared" si="198"/>
        <v>0</v>
      </c>
      <c r="EE30" s="64"/>
      <c r="EF30" s="75" t="str">
        <f>Idiomas!$D$365</f>
        <v>Pegar Valores (J2)</v>
      </c>
      <c r="EG30" s="76">
        <f t="shared" si="199"/>
        <v>0</v>
      </c>
      <c r="EH30" s="64"/>
      <c r="EI30" s="75" t="str">
        <f>Idiomas!$D$365</f>
        <v>Pegar Valores (J2)</v>
      </c>
      <c r="EJ30" s="76">
        <f t="shared" si="252"/>
        <v>0</v>
      </c>
      <c r="EK30" s="64"/>
      <c r="EL30" s="75" t="str">
        <f>Idiomas!$D$365</f>
        <v>Pegar Valores (J2)</v>
      </c>
      <c r="EM30" s="76">
        <f t="shared" si="253"/>
        <v>0</v>
      </c>
      <c r="EN30" s="64"/>
      <c r="EO30" s="75" t="str">
        <f>Idiomas!$D$365</f>
        <v>Pegar Valores (J2)</v>
      </c>
      <c r="EP30" s="76">
        <f t="shared" si="200"/>
        <v>0</v>
      </c>
      <c r="EQ30" s="64"/>
      <c r="ER30" s="75" t="str">
        <f>Idiomas!$D$365</f>
        <v>Pegar Valores (J2)</v>
      </c>
      <c r="ES30" s="76">
        <f t="shared" si="201"/>
        <v>0</v>
      </c>
      <c r="ET30" s="64"/>
      <c r="EU30" s="75" t="str">
        <f>Idiomas!$D$365</f>
        <v>Pegar Valores (J2)</v>
      </c>
      <c r="EV30" s="76">
        <f t="shared" si="202"/>
        <v>0</v>
      </c>
      <c r="EW30" s="64"/>
      <c r="EX30" s="75" t="str">
        <f>Idiomas!$D$365</f>
        <v>Pegar Valores (J2)</v>
      </c>
      <c r="EY30" s="76">
        <f t="shared" si="254"/>
        <v>0</v>
      </c>
      <c r="EZ30" s="64"/>
      <c r="FA30" s="75" t="str">
        <f>Idiomas!$D$365</f>
        <v>Pegar Valores (J2)</v>
      </c>
      <c r="FB30" s="76">
        <f t="shared" si="255"/>
        <v>0</v>
      </c>
      <c r="FC30" s="64"/>
      <c r="FD30" s="75" t="str">
        <f>Idiomas!$D$365</f>
        <v>Pegar Valores (J2)</v>
      </c>
      <c r="FE30" s="76">
        <f t="shared" si="203"/>
        <v>0</v>
      </c>
      <c r="FF30" s="64"/>
      <c r="FG30" s="75" t="str">
        <f>Idiomas!$D$365</f>
        <v>Pegar Valores (J2)</v>
      </c>
      <c r="FH30" s="76">
        <f t="shared" si="204"/>
        <v>0</v>
      </c>
      <c r="FI30" s="64"/>
      <c r="FJ30" s="75" t="str">
        <f>Idiomas!$D$365</f>
        <v>Pegar Valores (J2)</v>
      </c>
      <c r="FK30" s="76">
        <f t="shared" si="205"/>
        <v>0</v>
      </c>
      <c r="FL30" s="64"/>
      <c r="FM30" s="75" t="str">
        <f>Idiomas!$D$365</f>
        <v>Pegar Valores (J2)</v>
      </c>
      <c r="FN30" s="76">
        <f t="shared" si="256"/>
        <v>0</v>
      </c>
      <c r="FO30" s="64"/>
      <c r="FP30" s="75" t="str">
        <f>Idiomas!$D$365</f>
        <v>Pegar Valores (J2)</v>
      </c>
      <c r="FQ30" s="76">
        <f t="shared" si="257"/>
        <v>0</v>
      </c>
      <c r="FR30" s="64"/>
      <c r="FS30" s="75" t="str">
        <f>Idiomas!$D$365</f>
        <v>Pegar Valores (J2)</v>
      </c>
      <c r="FT30" s="76">
        <f t="shared" si="206"/>
        <v>0</v>
      </c>
      <c r="FU30" s="64"/>
      <c r="FV30" s="75" t="str">
        <f>Idiomas!$D$365</f>
        <v>Pegar Valores (J2)</v>
      </c>
      <c r="FW30" s="76">
        <f t="shared" si="207"/>
        <v>0</v>
      </c>
      <c r="FX30" s="64"/>
      <c r="FY30" s="75" t="str">
        <f>Idiomas!$D$365</f>
        <v>Pegar Valores (J2)</v>
      </c>
      <c r="FZ30" s="76">
        <f t="shared" si="208"/>
        <v>0</v>
      </c>
      <c r="GA30" s="64"/>
      <c r="GB30" s="75" t="str">
        <f>Idiomas!$D$365</f>
        <v>Pegar Valores (J2)</v>
      </c>
      <c r="GC30" s="76">
        <f t="shared" si="258"/>
        <v>0</v>
      </c>
      <c r="GD30" s="64"/>
      <c r="GE30" s="75" t="str">
        <f>Idiomas!$D$365</f>
        <v>Pegar Valores (J2)</v>
      </c>
      <c r="GF30" s="76">
        <f t="shared" si="259"/>
        <v>0</v>
      </c>
      <c r="GG30" s="64"/>
      <c r="GH30" s="75" t="str">
        <f>Idiomas!$D$365</f>
        <v>Pegar Valores (J2)</v>
      </c>
      <c r="GI30" s="76">
        <f t="shared" si="209"/>
        <v>0</v>
      </c>
      <c r="GJ30" s="64"/>
      <c r="GK30" s="75" t="str">
        <f>Idiomas!$D$365</f>
        <v>Pegar Valores (J2)</v>
      </c>
      <c r="GL30" s="76">
        <f t="shared" si="210"/>
        <v>0</v>
      </c>
      <c r="GM30" s="64"/>
      <c r="GN30" s="75" t="str">
        <f>Idiomas!$D$365</f>
        <v>Pegar Valores (J2)</v>
      </c>
      <c r="GO30" s="76">
        <f t="shared" si="211"/>
        <v>0</v>
      </c>
      <c r="GP30" s="64"/>
      <c r="GQ30" s="75" t="str">
        <f>Idiomas!$D$365</f>
        <v>Pegar Valores (J2)</v>
      </c>
      <c r="GR30" s="76">
        <f t="shared" si="260"/>
        <v>0</v>
      </c>
      <c r="GS30" s="64"/>
      <c r="GT30" s="75" t="str">
        <f>Idiomas!$D$365</f>
        <v>Pegar Valores (J2)</v>
      </c>
      <c r="GU30" s="76">
        <f t="shared" si="261"/>
        <v>0</v>
      </c>
      <c r="GV30" s="64"/>
      <c r="GW30" s="75" t="str">
        <f>Idiomas!$D$365</f>
        <v>Pegar Valores (J2)</v>
      </c>
      <c r="GX30" s="76">
        <f t="shared" si="212"/>
        <v>0</v>
      </c>
      <c r="GY30" s="64"/>
      <c r="GZ30" s="75" t="str">
        <f>Idiomas!$D$365</f>
        <v>Pegar Valores (J2)</v>
      </c>
      <c r="HA30" s="76">
        <f t="shared" si="213"/>
        <v>0</v>
      </c>
      <c r="HB30" s="64"/>
      <c r="HC30" s="75" t="str">
        <f>Idiomas!$D$365</f>
        <v>Pegar Valores (J2)</v>
      </c>
      <c r="HD30" s="76">
        <f t="shared" si="214"/>
        <v>0</v>
      </c>
      <c r="HE30" s="64"/>
      <c r="HF30" s="75" t="str">
        <f>Idiomas!$D$365</f>
        <v>Pegar Valores (J2)</v>
      </c>
      <c r="HG30" s="76">
        <f t="shared" si="262"/>
        <v>0</v>
      </c>
      <c r="HH30" s="64"/>
      <c r="HI30" s="75" t="str">
        <f>Idiomas!$D$365</f>
        <v>Pegar Valores (J2)</v>
      </c>
      <c r="HJ30" s="76">
        <f t="shared" si="263"/>
        <v>0</v>
      </c>
      <c r="HK30" s="64"/>
      <c r="HL30" s="75" t="str">
        <f>Idiomas!$D$365</f>
        <v>Pegar Valores (J2)</v>
      </c>
      <c r="HM30" s="76">
        <f t="shared" si="215"/>
        <v>0</v>
      </c>
      <c r="HN30" s="64"/>
      <c r="HO30" s="75" t="str">
        <f>Idiomas!$D$365</f>
        <v>Pegar Valores (J2)</v>
      </c>
      <c r="HP30" s="76">
        <f t="shared" si="216"/>
        <v>0</v>
      </c>
      <c r="HQ30" s="64"/>
      <c r="HR30" s="75" t="str">
        <f>Idiomas!$D$365</f>
        <v>Pegar Valores (J2)</v>
      </c>
      <c r="HS30" s="76">
        <f t="shared" si="217"/>
        <v>0</v>
      </c>
      <c r="HT30" s="64"/>
      <c r="HU30" s="75" t="str">
        <f>Idiomas!$D$365</f>
        <v>Pegar Valores (J2)</v>
      </c>
      <c r="HV30" s="76">
        <f t="shared" si="264"/>
        <v>0</v>
      </c>
      <c r="HW30" s="64"/>
      <c r="HX30" s="75" t="str">
        <f>Idiomas!$D$365</f>
        <v>Pegar Valores (J2)</v>
      </c>
      <c r="HY30" s="76">
        <f t="shared" si="265"/>
        <v>0</v>
      </c>
      <c r="HZ30" s="64"/>
      <c r="IA30" s="75" t="str">
        <f>Idiomas!$D$365</f>
        <v>Pegar Valores (J2)</v>
      </c>
      <c r="IB30" s="76">
        <f t="shared" si="218"/>
        <v>0</v>
      </c>
      <c r="IC30" s="64"/>
      <c r="ID30" s="75" t="str">
        <f>Idiomas!$D$365</f>
        <v>Pegar Valores (J2)</v>
      </c>
      <c r="IE30" s="76">
        <f t="shared" si="219"/>
        <v>0</v>
      </c>
      <c r="IF30" s="64"/>
      <c r="IG30" s="75" t="str">
        <f>Idiomas!$D$365</f>
        <v>Pegar Valores (J2)</v>
      </c>
      <c r="IH30" s="76">
        <f t="shared" si="220"/>
        <v>0</v>
      </c>
      <c r="II30" s="64"/>
      <c r="IJ30" s="75" t="str">
        <f>Idiomas!$D$365</f>
        <v>Pegar Valores (J2)</v>
      </c>
      <c r="IK30" s="76">
        <f t="shared" si="266"/>
        <v>0</v>
      </c>
      <c r="IL30" s="64"/>
      <c r="IM30" s="75" t="str">
        <f>Idiomas!$D$365</f>
        <v>Pegar Valores (J2)</v>
      </c>
      <c r="IN30" s="76">
        <f t="shared" si="267"/>
        <v>0</v>
      </c>
      <c r="IO30" s="64"/>
      <c r="IP30" s="75" t="str">
        <f>Idiomas!$D$365</f>
        <v>Pegar Valores (J2)</v>
      </c>
      <c r="IQ30" s="76">
        <f t="shared" si="221"/>
        <v>0</v>
      </c>
      <c r="IR30" s="64"/>
      <c r="IS30" s="75" t="str">
        <f>Idiomas!$D$365</f>
        <v>Pegar Valores (J2)</v>
      </c>
      <c r="IT30" s="76">
        <f t="shared" si="222"/>
        <v>0</v>
      </c>
      <c r="IU30" s="64"/>
      <c r="IV30" s="75" t="str">
        <f>Idiomas!$D$365</f>
        <v>Pegar Valores (J2)</v>
      </c>
      <c r="IW30" s="76">
        <f t="shared" si="223"/>
        <v>0</v>
      </c>
      <c r="IX30" s="64"/>
      <c r="IY30" s="75" t="str">
        <f>Idiomas!$D$365</f>
        <v>Pegar Valores (J2)</v>
      </c>
      <c r="IZ30" s="76">
        <f t="shared" si="268"/>
        <v>0</v>
      </c>
      <c r="JA30" s="64"/>
      <c r="JB30" s="75" t="str">
        <f>Idiomas!$D$365</f>
        <v>Pegar Valores (J2)</v>
      </c>
      <c r="JC30" s="76">
        <f t="shared" si="269"/>
        <v>0</v>
      </c>
      <c r="JD30" s="64"/>
      <c r="JE30" s="75" t="str">
        <f>Idiomas!$D$365</f>
        <v>Pegar Valores (J2)</v>
      </c>
      <c r="JF30" s="76">
        <f t="shared" si="224"/>
        <v>0</v>
      </c>
      <c r="JG30" s="64"/>
      <c r="JH30" s="75" t="str">
        <f>Idiomas!$D$365</f>
        <v>Pegar Valores (J2)</v>
      </c>
      <c r="JI30" s="76">
        <f t="shared" si="225"/>
        <v>0</v>
      </c>
      <c r="JJ30" s="64"/>
      <c r="JK30" s="75" t="str">
        <f>Idiomas!$D$365</f>
        <v>Pegar Valores (J2)</v>
      </c>
      <c r="JL30" s="76">
        <f t="shared" si="226"/>
        <v>0</v>
      </c>
      <c r="JM30" s="64"/>
      <c r="JN30" s="75" t="str">
        <f>Idiomas!$D$365</f>
        <v>Pegar Valores (J2)</v>
      </c>
      <c r="JO30" s="76">
        <f t="shared" si="270"/>
        <v>0</v>
      </c>
      <c r="JP30" s="64"/>
      <c r="JQ30" s="75" t="str">
        <f>Idiomas!$D$365</f>
        <v>Pegar Valores (J2)</v>
      </c>
      <c r="JR30" s="76">
        <f t="shared" si="271"/>
        <v>0</v>
      </c>
      <c r="JS30" s="64"/>
      <c r="JT30" s="75" t="str">
        <f>Idiomas!$D$365</f>
        <v>Pegar Valores (J2)</v>
      </c>
      <c r="JU30" s="76">
        <f t="shared" si="227"/>
        <v>0</v>
      </c>
      <c r="JV30" s="64"/>
      <c r="JW30" s="75" t="str">
        <f>Idiomas!$D$365</f>
        <v>Pegar Valores (J2)</v>
      </c>
      <c r="JX30" s="76">
        <f t="shared" si="228"/>
        <v>0</v>
      </c>
      <c r="JY30" s="64"/>
      <c r="JZ30" s="75" t="str">
        <f>Idiomas!$D$365</f>
        <v>Pegar Valores (J2)</v>
      </c>
      <c r="KA30" s="76">
        <f t="shared" si="229"/>
        <v>0</v>
      </c>
      <c r="KB30" s="64"/>
      <c r="KC30" s="75" t="str">
        <f>Idiomas!$D$365</f>
        <v>Pegar Valores (J2)</v>
      </c>
      <c r="KD30" s="76">
        <f t="shared" si="272"/>
        <v>0</v>
      </c>
      <c r="KE30" s="64"/>
      <c r="KF30" s="75" t="str">
        <f>Idiomas!$D$365</f>
        <v>Pegar Valores (J2)</v>
      </c>
      <c r="KG30" s="76">
        <f t="shared" si="273"/>
        <v>0</v>
      </c>
      <c r="KH30" s="64"/>
      <c r="KI30" s="75" t="str">
        <f>Idiomas!$D$365</f>
        <v>Pegar Valores (J2)</v>
      </c>
      <c r="KJ30" s="76">
        <f t="shared" si="230"/>
        <v>0</v>
      </c>
      <c r="KK30" s="64"/>
      <c r="KL30" s="75" t="str">
        <f>Idiomas!$D$365</f>
        <v>Pegar Valores (J2)</v>
      </c>
      <c r="KM30" s="76">
        <f t="shared" si="231"/>
        <v>0</v>
      </c>
      <c r="KN30" s="64"/>
      <c r="KO30" s="75" t="str">
        <f>Idiomas!$D$365</f>
        <v>Pegar Valores (J2)</v>
      </c>
      <c r="KP30" s="76">
        <f t="shared" si="232"/>
        <v>0</v>
      </c>
      <c r="KQ30" s="64"/>
      <c r="KR30" s="75" t="str">
        <f>Idiomas!$D$365</f>
        <v>Pegar Valores (J2)</v>
      </c>
      <c r="KS30" s="76">
        <f t="shared" si="274"/>
        <v>0</v>
      </c>
      <c r="KT30" s="64"/>
      <c r="KU30" s="75" t="str">
        <f>Idiomas!$D$365</f>
        <v>Pegar Valores (J2)</v>
      </c>
      <c r="KV30" s="76">
        <f t="shared" si="275"/>
        <v>0</v>
      </c>
      <c r="KW30" s="64"/>
      <c r="KX30" s="75" t="str">
        <f>Idiomas!$D$365</f>
        <v>Pegar Valores (J2)</v>
      </c>
      <c r="KY30" s="76">
        <f t="shared" si="233"/>
        <v>0</v>
      </c>
      <c r="KZ30" s="64"/>
      <c r="LA30" s="75" t="str">
        <f>Idiomas!$D$365</f>
        <v>Pegar Valores (J2)</v>
      </c>
      <c r="LB30" s="76">
        <f t="shared" si="234"/>
        <v>0</v>
      </c>
      <c r="LC30" s="64"/>
      <c r="LD30" s="75" t="str">
        <f>Idiomas!$D$365</f>
        <v>Pegar Valores (J2)</v>
      </c>
      <c r="LE30" s="76">
        <f t="shared" si="235"/>
        <v>0</v>
      </c>
      <c r="LF30" s="64"/>
    </row>
    <row r="31" spans="1:318" s="784" customFormat="1">
      <c r="A31" s="49"/>
      <c r="B31" s="49"/>
      <c r="C31" s="436" t="str">
        <f>Idiomas!D327</f>
        <v>Equipo clasificado para 3º y 4º puesto</v>
      </c>
      <c r="D31" s="62">
        <v>30</v>
      </c>
      <c r="E31" s="109"/>
      <c r="F31" s="443">
        <f t="shared" si="236"/>
        <v>15</v>
      </c>
      <c r="G31" s="443">
        <f ca="1">VLOOKUP(H31,Equipos!$Q$1:$R$25,2,0)</f>
        <v>8</v>
      </c>
      <c r="H31" s="444">
        <f ca="1">TRUNC(INDEX(WORLDCUP!$X$4:$X$147,MATCH(ADMIN!K31,WORLDCUP!$DT$4:$DT$147,0))+INDEX(Horarios!$R$3:$R$86,MATCH(Horarios!$C$3,Horarios!$P$3:$P$86,0))/24)</f>
        <v>46191</v>
      </c>
      <c r="I31" s="48">
        <v>1</v>
      </c>
      <c r="J31" s="93"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276"/>
        <v>0</v>
      </c>
      <c r="R31" s="49"/>
      <c r="S31" s="796" t="s">
        <v>1949</v>
      </c>
      <c r="T31" s="72">
        <f t="shared" si="237"/>
        <v>0</v>
      </c>
      <c r="U31" s="64"/>
      <c r="V31" s="73" t="s">
        <v>1955</v>
      </c>
      <c r="W31" s="72">
        <f t="shared" si="238"/>
        <v>0</v>
      </c>
      <c r="X31" s="64"/>
      <c r="Y31" s="796" t="s">
        <v>1962</v>
      </c>
      <c r="Z31" s="72">
        <f t="shared" si="176"/>
        <v>0</v>
      </c>
      <c r="AA31" s="64"/>
      <c r="AB31" s="796" t="s">
        <v>1955</v>
      </c>
      <c r="AC31" s="72">
        <f t="shared" si="177"/>
        <v>0</v>
      </c>
      <c r="AD31" s="64"/>
      <c r="AE31" s="796" t="s">
        <v>1962</v>
      </c>
      <c r="AF31" s="72">
        <f t="shared" ref="AF31:AF42" si="280">IFERROR(IF($M31=AE31,($D$8+$D$9+$D$10)*$I31,IF($N31=LEFT(AE31,1),($D$8+MAX(0,IF($D$50=1,$D$9*(1-(ABS($Q31-ABS(VALUE(MID(AE31,FIND("|",AE31)+1,FIND("-",AE31)-FIND("|",AE31)-1))-VALUE(MID(AE31,FIND("-",AE31)+1,10)))))*$D$50),$D$9*(1-(IF($N31="X",ABS($O31-VALUE(MID(AE31,FIND("|",AE31)+1,FIND("-",AE31)-FIND("|",AE31)-1))),ABS($Q31-ABS(VALUE(MID(AE31,FIND("|",AE31)+1,FIND("-",AE31)-FIND("|",AE31)-1))-VALUE(MID(AE31,FIND("-",AE31)+1,10)))))*$D$50)))))*$I31,0)),0)</f>
        <v>0</v>
      </c>
      <c r="AG31" s="64"/>
      <c r="AH31" s="796" t="s">
        <v>1949</v>
      </c>
      <c r="AI31" s="72">
        <f t="shared" si="240"/>
        <v>0</v>
      </c>
      <c r="AJ31" s="64"/>
      <c r="AK31" s="806" t="s">
        <v>1950</v>
      </c>
      <c r="AL31" s="72">
        <f t="shared" si="241"/>
        <v>0</v>
      </c>
      <c r="AM31" s="64"/>
      <c r="AN31" s="796" t="s">
        <v>1961</v>
      </c>
      <c r="AO31" s="72">
        <f t="shared" si="179"/>
        <v>0</v>
      </c>
      <c r="AP31" s="64"/>
      <c r="AQ31" s="806" t="s">
        <v>1961</v>
      </c>
      <c r="AR31" s="72">
        <f t="shared" si="180"/>
        <v>0</v>
      </c>
      <c r="AS31" s="64"/>
      <c r="AT31" s="796" t="s">
        <v>2007</v>
      </c>
      <c r="AU31" s="72">
        <f t="shared" si="181"/>
        <v>0</v>
      </c>
      <c r="AV31" s="64"/>
      <c r="AW31" s="796" t="s">
        <v>1955</v>
      </c>
      <c r="AX31" s="72">
        <f t="shared" si="242"/>
        <v>0</v>
      </c>
      <c r="AY31" s="64"/>
      <c r="AZ31" s="796" t="s">
        <v>1947</v>
      </c>
      <c r="BA31" s="72">
        <f t="shared" si="243"/>
        <v>0</v>
      </c>
      <c r="BB31" s="64"/>
      <c r="BC31" s="796" t="s">
        <v>1948</v>
      </c>
      <c r="BD31" s="72">
        <f t="shared" si="182"/>
        <v>0</v>
      </c>
      <c r="BE31" s="64"/>
      <c r="BF31" s="796" t="s">
        <v>1949</v>
      </c>
      <c r="BG31" s="72">
        <f t="shared" si="183"/>
        <v>0</v>
      </c>
      <c r="BH31" s="64"/>
      <c r="BI31" s="796" t="s">
        <v>1955</v>
      </c>
      <c r="BJ31" s="72">
        <f t="shared" si="184"/>
        <v>0</v>
      </c>
      <c r="BK31" s="64"/>
      <c r="BL31" s="796" t="s">
        <v>1958</v>
      </c>
      <c r="BM31" s="72">
        <f t="shared" si="244"/>
        <v>0</v>
      </c>
      <c r="BN31" s="64"/>
      <c r="BO31" s="816" t="s">
        <v>1960</v>
      </c>
      <c r="BP31" s="72">
        <f t="shared" si="245"/>
        <v>0</v>
      </c>
      <c r="BQ31" s="64"/>
      <c r="BR31" s="796" t="s">
        <v>2007</v>
      </c>
      <c r="BS31" s="72">
        <f t="shared" si="185"/>
        <v>0</v>
      </c>
      <c r="BT31" s="64"/>
      <c r="BU31" s="796" t="s">
        <v>1958</v>
      </c>
      <c r="BV31" s="72">
        <f t="shared" si="186"/>
        <v>0</v>
      </c>
      <c r="BW31" s="64"/>
      <c r="BX31" s="73" t="s">
        <v>1949</v>
      </c>
      <c r="BY31" s="72">
        <f t="shared" si="187"/>
        <v>0</v>
      </c>
      <c r="BZ31" s="64"/>
      <c r="CA31" s="816" t="s">
        <v>1955</v>
      </c>
      <c r="CB31" s="72">
        <f t="shared" si="246"/>
        <v>0</v>
      </c>
      <c r="CC31" s="64"/>
      <c r="CD31" s="825" t="s">
        <v>1947</v>
      </c>
      <c r="CE31" s="72">
        <f t="shared" si="247"/>
        <v>0</v>
      </c>
      <c r="CF31" s="64"/>
      <c r="CG31" s="796" t="s">
        <v>1961</v>
      </c>
      <c r="CH31" s="72">
        <f t="shared" si="188"/>
        <v>0</v>
      </c>
      <c r="CI31" s="64"/>
      <c r="CJ31" s="796" t="s">
        <v>1955</v>
      </c>
      <c r="CK31" s="72">
        <f t="shared" si="189"/>
        <v>0</v>
      </c>
      <c r="CL31" s="64"/>
      <c r="CM31" s="796" t="s">
        <v>1960</v>
      </c>
      <c r="CN31" s="72">
        <f t="shared" si="190"/>
        <v>0</v>
      </c>
      <c r="CO31" s="64"/>
      <c r="CP31" s="796" t="s">
        <v>1949</v>
      </c>
      <c r="CQ31" s="72">
        <f t="shared" si="248"/>
        <v>0</v>
      </c>
      <c r="CR31" s="64"/>
      <c r="CS31" s="796" t="s">
        <v>1958</v>
      </c>
      <c r="CT31" s="72">
        <f t="shared" si="249"/>
        <v>0</v>
      </c>
      <c r="CU31" s="64"/>
      <c r="CV31" s="796" t="s">
        <v>1961</v>
      </c>
      <c r="CW31" s="72">
        <f t="shared" si="191"/>
        <v>0</v>
      </c>
      <c r="CX31" s="64"/>
      <c r="CY31" s="796" t="s">
        <v>1949</v>
      </c>
      <c r="CZ31" s="72">
        <f t="shared" si="250"/>
        <v>0</v>
      </c>
      <c r="DA31" s="64"/>
      <c r="DB31" s="796" t="s">
        <v>1961</v>
      </c>
      <c r="DC31" s="72">
        <f t="shared" si="192"/>
        <v>0</v>
      </c>
      <c r="DD31" s="64"/>
      <c r="DE31" s="796" t="s">
        <v>2007</v>
      </c>
      <c r="DF31" s="72">
        <f t="shared" si="193"/>
        <v>0</v>
      </c>
      <c r="DG31" s="64"/>
      <c r="DH31" s="796" t="s">
        <v>1958</v>
      </c>
      <c r="DI31" s="72">
        <f t="shared" si="194"/>
        <v>0</v>
      </c>
      <c r="DJ31" s="64"/>
      <c r="DK31" s="796" t="s">
        <v>1955</v>
      </c>
      <c r="DL31" s="72">
        <f t="shared" si="195"/>
        <v>0</v>
      </c>
      <c r="DM31" s="64"/>
      <c r="DN31" s="73"/>
      <c r="DO31" s="72">
        <f t="shared" si="196"/>
        <v>0</v>
      </c>
      <c r="DP31" s="64"/>
      <c r="DQ31" s="796" t="s">
        <v>1949</v>
      </c>
      <c r="DR31" s="72">
        <f t="shared" si="251"/>
        <v>0</v>
      </c>
      <c r="DS31" s="64"/>
      <c r="DT31" s="73" t="s">
        <v>1948</v>
      </c>
      <c r="DU31" s="72">
        <f t="shared" si="277"/>
        <v>0</v>
      </c>
      <c r="DV31" s="64"/>
      <c r="DW31" s="73"/>
      <c r="DX31" s="72">
        <f t="shared" si="278"/>
        <v>0</v>
      </c>
      <c r="DY31" s="64"/>
      <c r="DZ31" s="73"/>
      <c r="EA31" s="72">
        <f t="shared" si="197"/>
        <v>0</v>
      </c>
      <c r="EB31" s="64"/>
      <c r="EC31" s="73"/>
      <c r="ED31" s="72">
        <f t="shared" si="198"/>
        <v>0</v>
      </c>
      <c r="EE31" s="64"/>
      <c r="EF31" s="73"/>
      <c r="EG31" s="72">
        <f t="shared" si="199"/>
        <v>0</v>
      </c>
      <c r="EH31" s="64"/>
      <c r="EI31" s="73"/>
      <c r="EJ31" s="72">
        <f t="shared" si="252"/>
        <v>0</v>
      </c>
      <c r="EK31" s="64"/>
      <c r="EL31" s="73"/>
      <c r="EM31" s="72">
        <f t="shared" si="253"/>
        <v>0</v>
      </c>
      <c r="EN31" s="64"/>
      <c r="EO31" s="73"/>
      <c r="EP31" s="72">
        <f t="shared" si="200"/>
        <v>0</v>
      </c>
      <c r="EQ31" s="64"/>
      <c r="ER31" s="73"/>
      <c r="ES31" s="72">
        <f t="shared" si="201"/>
        <v>0</v>
      </c>
      <c r="ET31" s="64"/>
      <c r="EU31" s="73"/>
      <c r="EV31" s="72">
        <f t="shared" si="202"/>
        <v>0</v>
      </c>
      <c r="EW31" s="64"/>
      <c r="EX31" s="73"/>
      <c r="EY31" s="72">
        <f t="shared" si="254"/>
        <v>0</v>
      </c>
      <c r="EZ31" s="64"/>
      <c r="FA31" s="73"/>
      <c r="FB31" s="72">
        <f t="shared" si="255"/>
        <v>0</v>
      </c>
      <c r="FC31" s="64"/>
      <c r="FD31" s="73"/>
      <c r="FE31" s="72">
        <f t="shared" si="203"/>
        <v>0</v>
      </c>
      <c r="FF31" s="64"/>
      <c r="FG31" s="73"/>
      <c r="FH31" s="72">
        <f t="shared" si="204"/>
        <v>0</v>
      </c>
      <c r="FI31" s="64"/>
      <c r="FJ31" s="73"/>
      <c r="FK31" s="72">
        <f t="shared" si="205"/>
        <v>0</v>
      </c>
      <c r="FL31" s="64"/>
      <c r="FM31" s="73"/>
      <c r="FN31" s="72">
        <f t="shared" si="256"/>
        <v>0</v>
      </c>
      <c r="FO31" s="64"/>
      <c r="FP31" s="73"/>
      <c r="FQ31" s="72">
        <f t="shared" si="257"/>
        <v>0</v>
      </c>
      <c r="FR31" s="64"/>
      <c r="FS31" s="73"/>
      <c r="FT31" s="72">
        <f t="shared" si="206"/>
        <v>0</v>
      </c>
      <c r="FU31" s="64"/>
      <c r="FV31" s="73"/>
      <c r="FW31" s="72">
        <f t="shared" si="207"/>
        <v>0</v>
      </c>
      <c r="FX31" s="64"/>
      <c r="FY31" s="73"/>
      <c r="FZ31" s="72">
        <f t="shared" si="208"/>
        <v>0</v>
      </c>
      <c r="GA31" s="64"/>
      <c r="GB31" s="73"/>
      <c r="GC31" s="72">
        <f t="shared" si="258"/>
        <v>0</v>
      </c>
      <c r="GD31" s="64"/>
      <c r="GE31" s="73"/>
      <c r="GF31" s="72">
        <f t="shared" si="259"/>
        <v>0</v>
      </c>
      <c r="GG31" s="64"/>
      <c r="GH31" s="73"/>
      <c r="GI31" s="72">
        <f t="shared" si="209"/>
        <v>0</v>
      </c>
      <c r="GJ31" s="64"/>
      <c r="GK31" s="73"/>
      <c r="GL31" s="72">
        <f t="shared" si="210"/>
        <v>0</v>
      </c>
      <c r="GM31" s="64"/>
      <c r="GN31" s="73"/>
      <c r="GO31" s="72">
        <f t="shared" si="211"/>
        <v>0</v>
      </c>
      <c r="GP31" s="64"/>
      <c r="GQ31" s="73"/>
      <c r="GR31" s="72">
        <f t="shared" si="260"/>
        <v>0</v>
      </c>
      <c r="GS31" s="64"/>
      <c r="GT31" s="73"/>
      <c r="GU31" s="72">
        <f t="shared" si="261"/>
        <v>0</v>
      </c>
      <c r="GV31" s="64"/>
      <c r="GW31" s="73"/>
      <c r="GX31" s="72">
        <f t="shared" si="212"/>
        <v>0</v>
      </c>
      <c r="GY31" s="64"/>
      <c r="GZ31" s="73"/>
      <c r="HA31" s="72">
        <f t="shared" si="213"/>
        <v>0</v>
      </c>
      <c r="HB31" s="64"/>
      <c r="HC31" s="73"/>
      <c r="HD31" s="72">
        <f t="shared" si="214"/>
        <v>0</v>
      </c>
      <c r="HE31" s="64"/>
      <c r="HF31" s="73"/>
      <c r="HG31" s="72">
        <f t="shared" si="262"/>
        <v>0</v>
      </c>
      <c r="HH31" s="64"/>
      <c r="HI31" s="73"/>
      <c r="HJ31" s="72">
        <f t="shared" si="263"/>
        <v>0</v>
      </c>
      <c r="HK31" s="64"/>
      <c r="HL31" s="73"/>
      <c r="HM31" s="72">
        <f t="shared" si="215"/>
        <v>0</v>
      </c>
      <c r="HN31" s="64"/>
      <c r="HO31" s="73"/>
      <c r="HP31" s="72">
        <f t="shared" si="216"/>
        <v>0</v>
      </c>
      <c r="HQ31" s="64"/>
      <c r="HR31" s="73"/>
      <c r="HS31" s="72">
        <f t="shared" si="217"/>
        <v>0</v>
      </c>
      <c r="HT31" s="64"/>
      <c r="HU31" s="73"/>
      <c r="HV31" s="72">
        <f t="shared" si="264"/>
        <v>0</v>
      </c>
      <c r="HW31" s="64"/>
      <c r="HX31" s="73"/>
      <c r="HY31" s="72">
        <f t="shared" si="265"/>
        <v>0</v>
      </c>
      <c r="HZ31" s="64"/>
      <c r="IA31" s="73"/>
      <c r="IB31" s="72">
        <f t="shared" si="218"/>
        <v>0</v>
      </c>
      <c r="IC31" s="64"/>
      <c r="ID31" s="73"/>
      <c r="IE31" s="72">
        <f t="shared" si="219"/>
        <v>0</v>
      </c>
      <c r="IF31" s="64"/>
      <c r="IG31" s="73"/>
      <c r="IH31" s="72">
        <f t="shared" si="220"/>
        <v>0</v>
      </c>
      <c r="II31" s="64"/>
      <c r="IJ31" s="73"/>
      <c r="IK31" s="72">
        <f t="shared" si="266"/>
        <v>0</v>
      </c>
      <c r="IL31" s="64"/>
      <c r="IM31" s="73"/>
      <c r="IN31" s="72">
        <f t="shared" si="267"/>
        <v>0</v>
      </c>
      <c r="IO31" s="64"/>
      <c r="IP31" s="73"/>
      <c r="IQ31" s="72">
        <f t="shared" si="221"/>
        <v>0</v>
      </c>
      <c r="IR31" s="64"/>
      <c r="IS31" s="73"/>
      <c r="IT31" s="72">
        <f t="shared" si="222"/>
        <v>0</v>
      </c>
      <c r="IU31" s="64"/>
      <c r="IV31" s="73"/>
      <c r="IW31" s="72">
        <f t="shared" si="223"/>
        <v>0</v>
      </c>
      <c r="IX31" s="64"/>
      <c r="IY31" s="73"/>
      <c r="IZ31" s="72">
        <f t="shared" si="268"/>
        <v>0</v>
      </c>
      <c r="JA31" s="64"/>
      <c r="JB31" s="73"/>
      <c r="JC31" s="72">
        <f t="shared" si="269"/>
        <v>0</v>
      </c>
      <c r="JD31" s="64"/>
      <c r="JE31" s="73"/>
      <c r="JF31" s="72">
        <f t="shared" si="224"/>
        <v>0</v>
      </c>
      <c r="JG31" s="64"/>
      <c r="JH31" s="73"/>
      <c r="JI31" s="72">
        <f t="shared" si="225"/>
        <v>0</v>
      </c>
      <c r="JJ31" s="64"/>
      <c r="JK31" s="73"/>
      <c r="JL31" s="72">
        <f t="shared" si="226"/>
        <v>0</v>
      </c>
      <c r="JM31" s="64"/>
      <c r="JN31" s="73"/>
      <c r="JO31" s="72">
        <f t="shared" si="270"/>
        <v>0</v>
      </c>
      <c r="JP31" s="64"/>
      <c r="JQ31" s="73"/>
      <c r="JR31" s="72">
        <f t="shared" si="271"/>
        <v>0</v>
      </c>
      <c r="JS31" s="64"/>
      <c r="JT31" s="73"/>
      <c r="JU31" s="72">
        <f t="shared" si="227"/>
        <v>0</v>
      </c>
      <c r="JV31" s="64"/>
      <c r="JW31" s="73"/>
      <c r="JX31" s="72">
        <f t="shared" si="228"/>
        <v>0</v>
      </c>
      <c r="JY31" s="64"/>
      <c r="JZ31" s="73"/>
      <c r="KA31" s="72">
        <f t="shared" si="229"/>
        <v>0</v>
      </c>
      <c r="KB31" s="64"/>
      <c r="KC31" s="73"/>
      <c r="KD31" s="72">
        <f t="shared" si="272"/>
        <v>0</v>
      </c>
      <c r="KE31" s="64"/>
      <c r="KF31" s="73"/>
      <c r="KG31" s="72">
        <f t="shared" si="273"/>
        <v>0</v>
      </c>
      <c r="KH31" s="64"/>
      <c r="KI31" s="73"/>
      <c r="KJ31" s="72">
        <f t="shared" si="230"/>
        <v>0</v>
      </c>
      <c r="KK31" s="64"/>
      <c r="KL31" s="73"/>
      <c r="KM31" s="72">
        <f t="shared" si="231"/>
        <v>0</v>
      </c>
      <c r="KN31" s="64"/>
      <c r="KO31" s="73"/>
      <c r="KP31" s="72">
        <f t="shared" si="232"/>
        <v>0</v>
      </c>
      <c r="KQ31" s="64"/>
      <c r="KR31" s="73"/>
      <c r="KS31" s="72">
        <f t="shared" si="274"/>
        <v>0</v>
      </c>
      <c r="KT31" s="64"/>
      <c r="KU31" s="73"/>
      <c r="KV31" s="72">
        <f t="shared" si="275"/>
        <v>0</v>
      </c>
      <c r="KW31" s="64"/>
      <c r="KX31" s="73"/>
      <c r="KY31" s="72">
        <f t="shared" si="233"/>
        <v>0</v>
      </c>
      <c r="KZ31" s="64"/>
      <c r="LA31" s="73"/>
      <c r="LB31" s="72">
        <f t="shared" si="234"/>
        <v>0</v>
      </c>
      <c r="LC31" s="64"/>
      <c r="LD31" s="73"/>
      <c r="LE31" s="72">
        <f t="shared" si="235"/>
        <v>0</v>
      </c>
      <c r="LF31" s="64"/>
    </row>
    <row r="32" spans="1:318" s="784" customFormat="1">
      <c r="A32" s="49"/>
      <c r="B32" s="49"/>
      <c r="C32" s="438" t="str">
        <f>Idiomas!D328</f>
        <v>Equipo clasificado para FINAL</v>
      </c>
      <c r="D32" s="62">
        <v>60</v>
      </c>
      <c r="E32" s="109"/>
      <c r="F32" s="443">
        <f t="shared" si="236"/>
        <v>15</v>
      </c>
      <c r="G32" s="443">
        <f ca="1">VLOOKUP(H32,Equipos!$Q$1:$R$25,2,0)</f>
        <v>8</v>
      </c>
      <c r="H32" s="444">
        <f ca="1">TRUNC(INDEX(WORLDCUP!$X$4:$X$147,MATCH(ADMIN!K32,WORLDCUP!$DT$4:$DT$147,0))+INDEX(Horarios!$R$3:$R$86,MATCH(Horarios!$C$3,Horarios!$P$3:$P$86,0))/24)</f>
        <v>46191</v>
      </c>
      <c r="I32" s="48">
        <v>1</v>
      </c>
      <c r="J32" s="94"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276"/>
        <v>0</v>
      </c>
      <c r="R32" s="49"/>
      <c r="S32" s="796" t="s">
        <v>1960</v>
      </c>
      <c r="T32" s="72">
        <f t="shared" si="237"/>
        <v>0</v>
      </c>
      <c r="U32" s="64"/>
      <c r="V32" s="73" t="s">
        <v>1955</v>
      </c>
      <c r="W32" s="72">
        <f t="shared" si="238"/>
        <v>0</v>
      </c>
      <c r="X32" s="64"/>
      <c r="Y32" s="796" t="s">
        <v>1948</v>
      </c>
      <c r="Z32" s="72">
        <f t="shared" si="176"/>
        <v>0</v>
      </c>
      <c r="AA32" s="64"/>
      <c r="AB32" s="796" t="s">
        <v>2007</v>
      </c>
      <c r="AC32" s="72">
        <f t="shared" si="177"/>
        <v>0</v>
      </c>
      <c r="AD32" s="64"/>
      <c r="AE32" s="796" t="s">
        <v>1948</v>
      </c>
      <c r="AF32" s="72">
        <f t="shared" si="280"/>
        <v>0</v>
      </c>
      <c r="AG32" s="64"/>
      <c r="AH32" s="796" t="s">
        <v>1955</v>
      </c>
      <c r="AI32" s="72">
        <f t="shared" si="240"/>
        <v>0</v>
      </c>
      <c r="AJ32" s="64"/>
      <c r="AK32" s="806" t="s">
        <v>2007</v>
      </c>
      <c r="AL32" s="72">
        <f t="shared" si="241"/>
        <v>0</v>
      </c>
      <c r="AM32" s="64"/>
      <c r="AN32" s="796" t="s">
        <v>1948</v>
      </c>
      <c r="AO32" s="72">
        <f t="shared" si="179"/>
        <v>0</v>
      </c>
      <c r="AP32" s="64"/>
      <c r="AQ32" s="806" t="s">
        <v>1955</v>
      </c>
      <c r="AR32" s="72">
        <f t="shared" si="180"/>
        <v>0</v>
      </c>
      <c r="AS32" s="64"/>
      <c r="AT32" s="796" t="s">
        <v>1955</v>
      </c>
      <c r="AU32" s="72">
        <f t="shared" si="181"/>
        <v>0</v>
      </c>
      <c r="AV32" s="64"/>
      <c r="AW32" s="796" t="s">
        <v>2007</v>
      </c>
      <c r="AX32" s="72">
        <f t="shared" si="242"/>
        <v>0</v>
      </c>
      <c r="AY32" s="64"/>
      <c r="AZ32" s="796" t="s">
        <v>1963</v>
      </c>
      <c r="BA32" s="72">
        <f t="shared" si="243"/>
        <v>0</v>
      </c>
      <c r="BB32" s="64"/>
      <c r="BC32" s="796" t="s">
        <v>1955</v>
      </c>
      <c r="BD32" s="72">
        <f t="shared" si="182"/>
        <v>0</v>
      </c>
      <c r="BE32" s="64"/>
      <c r="BF32" s="796" t="s">
        <v>1955</v>
      </c>
      <c r="BG32" s="72">
        <f t="shared" si="183"/>
        <v>0</v>
      </c>
      <c r="BH32" s="64"/>
      <c r="BI32" s="796" t="s">
        <v>1955</v>
      </c>
      <c r="BJ32" s="72">
        <f t="shared" si="184"/>
        <v>0</v>
      </c>
      <c r="BK32" s="64"/>
      <c r="BL32" s="796" t="s">
        <v>1955</v>
      </c>
      <c r="BM32" s="72">
        <f t="shared" si="244"/>
        <v>0</v>
      </c>
      <c r="BN32" s="64"/>
      <c r="BO32" s="816" t="s">
        <v>1955</v>
      </c>
      <c r="BP32" s="72">
        <f t="shared" si="245"/>
        <v>0</v>
      </c>
      <c r="BQ32" s="64"/>
      <c r="BR32" s="796" t="s">
        <v>1961</v>
      </c>
      <c r="BS32" s="72">
        <f t="shared" si="185"/>
        <v>0</v>
      </c>
      <c r="BT32" s="64"/>
      <c r="BU32" s="796" t="s">
        <v>1956</v>
      </c>
      <c r="BV32" s="72">
        <f t="shared" si="186"/>
        <v>0</v>
      </c>
      <c r="BW32" s="64"/>
      <c r="BX32" s="73" t="s">
        <v>1958</v>
      </c>
      <c r="BY32" s="72">
        <f t="shared" si="187"/>
        <v>0</v>
      </c>
      <c r="BZ32" s="64"/>
      <c r="CA32" s="816" t="s">
        <v>1962</v>
      </c>
      <c r="CB32" s="72">
        <f t="shared" si="246"/>
        <v>0</v>
      </c>
      <c r="CC32" s="64"/>
      <c r="CD32" s="825" t="s">
        <v>1958</v>
      </c>
      <c r="CE32" s="72">
        <f t="shared" si="247"/>
        <v>0</v>
      </c>
      <c r="CF32" s="64"/>
      <c r="CG32" s="796" t="s">
        <v>1961</v>
      </c>
      <c r="CH32" s="72">
        <f t="shared" si="188"/>
        <v>0</v>
      </c>
      <c r="CI32" s="64"/>
      <c r="CJ32" s="796" t="s">
        <v>2007</v>
      </c>
      <c r="CK32" s="72">
        <f t="shared" si="189"/>
        <v>0</v>
      </c>
      <c r="CL32" s="64"/>
      <c r="CM32" s="796" t="s">
        <v>1960</v>
      </c>
      <c r="CN32" s="72">
        <f t="shared" si="190"/>
        <v>0</v>
      </c>
      <c r="CO32" s="64"/>
      <c r="CP32" s="796" t="s">
        <v>1961</v>
      </c>
      <c r="CQ32" s="72">
        <f t="shared" si="248"/>
        <v>0</v>
      </c>
      <c r="CR32" s="64"/>
      <c r="CS32" s="796" t="s">
        <v>1956</v>
      </c>
      <c r="CT32" s="72">
        <f t="shared" si="249"/>
        <v>0</v>
      </c>
      <c r="CU32" s="64"/>
      <c r="CV32" s="796" t="s">
        <v>1954</v>
      </c>
      <c r="CW32" s="72">
        <f t="shared" si="191"/>
        <v>0</v>
      </c>
      <c r="CX32" s="64"/>
      <c r="CY32" s="796" t="s">
        <v>1955</v>
      </c>
      <c r="CZ32" s="72">
        <f t="shared" si="250"/>
        <v>0</v>
      </c>
      <c r="DA32" s="64"/>
      <c r="DB32" s="796" t="s">
        <v>1948</v>
      </c>
      <c r="DC32" s="72">
        <f t="shared" si="192"/>
        <v>0</v>
      </c>
      <c r="DD32" s="64"/>
      <c r="DE32" s="796" t="s">
        <v>1961</v>
      </c>
      <c r="DF32" s="72">
        <f t="shared" si="193"/>
        <v>0</v>
      </c>
      <c r="DG32" s="64"/>
      <c r="DH32" s="796" t="s">
        <v>1955</v>
      </c>
      <c r="DI32" s="72">
        <f t="shared" si="194"/>
        <v>0</v>
      </c>
      <c r="DJ32" s="64"/>
      <c r="DK32" s="796" t="s">
        <v>1955</v>
      </c>
      <c r="DL32" s="72">
        <f t="shared" si="195"/>
        <v>0</v>
      </c>
      <c r="DM32" s="64"/>
      <c r="DN32" s="73"/>
      <c r="DO32" s="72">
        <f t="shared" si="196"/>
        <v>0</v>
      </c>
      <c r="DP32" s="64"/>
      <c r="DQ32" s="796" t="s">
        <v>1960</v>
      </c>
      <c r="DR32" s="72">
        <f t="shared" si="251"/>
        <v>0</v>
      </c>
      <c r="DS32" s="64"/>
      <c r="DT32" s="73" t="s">
        <v>1955</v>
      </c>
      <c r="DU32" s="72">
        <f t="shared" si="277"/>
        <v>0</v>
      </c>
      <c r="DV32" s="64"/>
      <c r="DW32" s="73"/>
      <c r="DX32" s="72">
        <f t="shared" si="278"/>
        <v>0</v>
      </c>
      <c r="DY32" s="64"/>
      <c r="DZ32" s="73"/>
      <c r="EA32" s="72">
        <f t="shared" si="197"/>
        <v>0</v>
      </c>
      <c r="EB32" s="64"/>
      <c r="EC32" s="73"/>
      <c r="ED32" s="72">
        <f t="shared" si="198"/>
        <v>0</v>
      </c>
      <c r="EE32" s="64"/>
      <c r="EF32" s="73"/>
      <c r="EG32" s="72">
        <f t="shared" si="199"/>
        <v>0</v>
      </c>
      <c r="EH32" s="64"/>
      <c r="EI32" s="73"/>
      <c r="EJ32" s="72">
        <f t="shared" si="252"/>
        <v>0</v>
      </c>
      <c r="EK32" s="64"/>
      <c r="EL32" s="73"/>
      <c r="EM32" s="72">
        <f t="shared" si="253"/>
        <v>0</v>
      </c>
      <c r="EN32" s="64"/>
      <c r="EO32" s="73"/>
      <c r="EP32" s="72">
        <f t="shared" si="200"/>
        <v>0</v>
      </c>
      <c r="EQ32" s="64"/>
      <c r="ER32" s="73"/>
      <c r="ES32" s="72">
        <f t="shared" si="201"/>
        <v>0</v>
      </c>
      <c r="ET32" s="64"/>
      <c r="EU32" s="73"/>
      <c r="EV32" s="72">
        <f t="shared" si="202"/>
        <v>0</v>
      </c>
      <c r="EW32" s="64"/>
      <c r="EX32" s="73"/>
      <c r="EY32" s="72">
        <f t="shared" si="254"/>
        <v>0</v>
      </c>
      <c r="EZ32" s="64"/>
      <c r="FA32" s="73"/>
      <c r="FB32" s="72">
        <f t="shared" si="255"/>
        <v>0</v>
      </c>
      <c r="FC32" s="64"/>
      <c r="FD32" s="73"/>
      <c r="FE32" s="72">
        <f t="shared" si="203"/>
        <v>0</v>
      </c>
      <c r="FF32" s="64"/>
      <c r="FG32" s="73"/>
      <c r="FH32" s="72">
        <f t="shared" si="204"/>
        <v>0</v>
      </c>
      <c r="FI32" s="64"/>
      <c r="FJ32" s="73"/>
      <c r="FK32" s="72">
        <f t="shared" si="205"/>
        <v>0</v>
      </c>
      <c r="FL32" s="64"/>
      <c r="FM32" s="73"/>
      <c r="FN32" s="72">
        <f t="shared" si="256"/>
        <v>0</v>
      </c>
      <c r="FO32" s="64"/>
      <c r="FP32" s="73"/>
      <c r="FQ32" s="72">
        <f t="shared" si="257"/>
        <v>0</v>
      </c>
      <c r="FR32" s="64"/>
      <c r="FS32" s="73"/>
      <c r="FT32" s="72">
        <f t="shared" si="206"/>
        <v>0</v>
      </c>
      <c r="FU32" s="64"/>
      <c r="FV32" s="73"/>
      <c r="FW32" s="72">
        <f t="shared" si="207"/>
        <v>0</v>
      </c>
      <c r="FX32" s="64"/>
      <c r="FY32" s="73"/>
      <c r="FZ32" s="72">
        <f t="shared" si="208"/>
        <v>0</v>
      </c>
      <c r="GA32" s="64"/>
      <c r="GB32" s="73"/>
      <c r="GC32" s="72">
        <f t="shared" si="258"/>
        <v>0</v>
      </c>
      <c r="GD32" s="64"/>
      <c r="GE32" s="73"/>
      <c r="GF32" s="72">
        <f t="shared" si="259"/>
        <v>0</v>
      </c>
      <c r="GG32" s="64"/>
      <c r="GH32" s="73"/>
      <c r="GI32" s="72">
        <f t="shared" si="209"/>
        <v>0</v>
      </c>
      <c r="GJ32" s="64"/>
      <c r="GK32" s="73"/>
      <c r="GL32" s="72">
        <f t="shared" si="210"/>
        <v>0</v>
      </c>
      <c r="GM32" s="64"/>
      <c r="GN32" s="73"/>
      <c r="GO32" s="72">
        <f t="shared" si="211"/>
        <v>0</v>
      </c>
      <c r="GP32" s="64"/>
      <c r="GQ32" s="73"/>
      <c r="GR32" s="72">
        <f t="shared" si="260"/>
        <v>0</v>
      </c>
      <c r="GS32" s="64"/>
      <c r="GT32" s="73"/>
      <c r="GU32" s="72">
        <f t="shared" si="261"/>
        <v>0</v>
      </c>
      <c r="GV32" s="64"/>
      <c r="GW32" s="73"/>
      <c r="GX32" s="72">
        <f t="shared" si="212"/>
        <v>0</v>
      </c>
      <c r="GY32" s="64"/>
      <c r="GZ32" s="73"/>
      <c r="HA32" s="72">
        <f t="shared" si="213"/>
        <v>0</v>
      </c>
      <c r="HB32" s="64"/>
      <c r="HC32" s="73"/>
      <c r="HD32" s="72">
        <f t="shared" si="214"/>
        <v>0</v>
      </c>
      <c r="HE32" s="64"/>
      <c r="HF32" s="73"/>
      <c r="HG32" s="72">
        <f t="shared" si="262"/>
        <v>0</v>
      </c>
      <c r="HH32" s="64"/>
      <c r="HI32" s="73"/>
      <c r="HJ32" s="72">
        <f t="shared" si="263"/>
        <v>0</v>
      </c>
      <c r="HK32" s="64"/>
      <c r="HL32" s="73"/>
      <c r="HM32" s="72">
        <f t="shared" si="215"/>
        <v>0</v>
      </c>
      <c r="HN32" s="64"/>
      <c r="HO32" s="73"/>
      <c r="HP32" s="72">
        <f t="shared" si="216"/>
        <v>0</v>
      </c>
      <c r="HQ32" s="64"/>
      <c r="HR32" s="73"/>
      <c r="HS32" s="72">
        <f t="shared" si="217"/>
        <v>0</v>
      </c>
      <c r="HT32" s="64"/>
      <c r="HU32" s="73"/>
      <c r="HV32" s="72">
        <f t="shared" si="264"/>
        <v>0</v>
      </c>
      <c r="HW32" s="64"/>
      <c r="HX32" s="73"/>
      <c r="HY32" s="72">
        <f t="shared" si="265"/>
        <v>0</v>
      </c>
      <c r="HZ32" s="64"/>
      <c r="IA32" s="73"/>
      <c r="IB32" s="72">
        <f t="shared" si="218"/>
        <v>0</v>
      </c>
      <c r="IC32" s="64"/>
      <c r="ID32" s="73"/>
      <c r="IE32" s="72">
        <f t="shared" si="219"/>
        <v>0</v>
      </c>
      <c r="IF32" s="64"/>
      <c r="IG32" s="73"/>
      <c r="IH32" s="72">
        <f t="shared" si="220"/>
        <v>0</v>
      </c>
      <c r="II32" s="64"/>
      <c r="IJ32" s="73"/>
      <c r="IK32" s="72">
        <f t="shared" si="266"/>
        <v>0</v>
      </c>
      <c r="IL32" s="64"/>
      <c r="IM32" s="73"/>
      <c r="IN32" s="72">
        <f t="shared" si="267"/>
        <v>0</v>
      </c>
      <c r="IO32" s="64"/>
      <c r="IP32" s="73"/>
      <c r="IQ32" s="72">
        <f t="shared" si="221"/>
        <v>0</v>
      </c>
      <c r="IR32" s="64"/>
      <c r="IS32" s="73"/>
      <c r="IT32" s="72">
        <f t="shared" si="222"/>
        <v>0</v>
      </c>
      <c r="IU32" s="64"/>
      <c r="IV32" s="73"/>
      <c r="IW32" s="72">
        <f t="shared" si="223"/>
        <v>0</v>
      </c>
      <c r="IX32" s="64"/>
      <c r="IY32" s="73"/>
      <c r="IZ32" s="72">
        <f t="shared" si="268"/>
        <v>0</v>
      </c>
      <c r="JA32" s="64"/>
      <c r="JB32" s="73"/>
      <c r="JC32" s="72">
        <f t="shared" si="269"/>
        <v>0</v>
      </c>
      <c r="JD32" s="64"/>
      <c r="JE32" s="73"/>
      <c r="JF32" s="72">
        <f t="shared" si="224"/>
        <v>0</v>
      </c>
      <c r="JG32" s="64"/>
      <c r="JH32" s="73"/>
      <c r="JI32" s="72">
        <f t="shared" si="225"/>
        <v>0</v>
      </c>
      <c r="JJ32" s="64"/>
      <c r="JK32" s="73"/>
      <c r="JL32" s="72">
        <f t="shared" si="226"/>
        <v>0</v>
      </c>
      <c r="JM32" s="64"/>
      <c r="JN32" s="73"/>
      <c r="JO32" s="72">
        <f t="shared" si="270"/>
        <v>0</v>
      </c>
      <c r="JP32" s="64"/>
      <c r="JQ32" s="73"/>
      <c r="JR32" s="72">
        <f t="shared" si="271"/>
        <v>0</v>
      </c>
      <c r="JS32" s="64"/>
      <c r="JT32" s="73"/>
      <c r="JU32" s="72">
        <f t="shared" si="227"/>
        <v>0</v>
      </c>
      <c r="JV32" s="64"/>
      <c r="JW32" s="73"/>
      <c r="JX32" s="72">
        <f t="shared" si="228"/>
        <v>0</v>
      </c>
      <c r="JY32" s="64"/>
      <c r="JZ32" s="73"/>
      <c r="KA32" s="72">
        <f t="shared" si="229"/>
        <v>0</v>
      </c>
      <c r="KB32" s="64"/>
      <c r="KC32" s="73"/>
      <c r="KD32" s="72">
        <f t="shared" si="272"/>
        <v>0</v>
      </c>
      <c r="KE32" s="64"/>
      <c r="KF32" s="73"/>
      <c r="KG32" s="72">
        <f t="shared" si="273"/>
        <v>0</v>
      </c>
      <c r="KH32" s="64"/>
      <c r="KI32" s="73"/>
      <c r="KJ32" s="72">
        <f t="shared" si="230"/>
        <v>0</v>
      </c>
      <c r="KK32" s="64"/>
      <c r="KL32" s="73"/>
      <c r="KM32" s="72">
        <f t="shared" si="231"/>
        <v>0</v>
      </c>
      <c r="KN32" s="64"/>
      <c r="KO32" s="73"/>
      <c r="KP32" s="72">
        <f t="shared" si="232"/>
        <v>0</v>
      </c>
      <c r="KQ32" s="64"/>
      <c r="KR32" s="73"/>
      <c r="KS32" s="72">
        <f t="shared" si="274"/>
        <v>0</v>
      </c>
      <c r="KT32" s="64"/>
      <c r="KU32" s="73"/>
      <c r="KV32" s="72">
        <f t="shared" si="275"/>
        <v>0</v>
      </c>
      <c r="KW32" s="64"/>
      <c r="KX32" s="73"/>
      <c r="KY32" s="72">
        <f t="shared" si="233"/>
        <v>0</v>
      </c>
      <c r="KZ32" s="64"/>
      <c r="LA32" s="73"/>
      <c r="LB32" s="72">
        <f t="shared" si="234"/>
        <v>0</v>
      </c>
      <c r="LC32" s="64"/>
      <c r="LD32" s="73"/>
      <c r="LE32" s="72">
        <f t="shared" si="235"/>
        <v>0</v>
      </c>
      <c r="LF32" s="64"/>
    </row>
    <row r="33" spans="1:318" s="784" customFormat="1">
      <c r="A33" s="49"/>
      <c r="B33" s="49"/>
      <c r="C33" s="436" t="str">
        <f>Idiomas!D329</f>
        <v>3ºy4º PUESTO - Signo 1X2  (local, empate, visitante)</v>
      </c>
      <c r="D33" s="62">
        <v>14</v>
      </c>
      <c r="E33" s="109"/>
      <c r="F33" s="443">
        <f t="shared" si="236"/>
        <v>15</v>
      </c>
      <c r="G33" s="443">
        <f ca="1">VLOOKUP(H33,Equipos!$Q$1:$R$25,2,0)</f>
        <v>8</v>
      </c>
      <c r="H33" s="444">
        <f ca="1">TRUNC(INDEX(WORLDCUP!$X$4:$X$147,MATCH(ADMIN!K33,WORLDCUP!$DT$4:$DT$147,0))+INDEX(Horarios!$R$3:$R$86,MATCH(Horarios!$C$3,Horarios!$P$3:$P$86,0))/24)</f>
        <v>46191</v>
      </c>
      <c r="I33" s="48">
        <v>1</v>
      </c>
      <c r="J33" s="94"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276"/>
        <v>0</v>
      </c>
      <c r="R33" s="49"/>
      <c r="S33" s="796" t="s">
        <v>1961</v>
      </c>
      <c r="T33" s="72">
        <f t="shared" si="237"/>
        <v>0</v>
      </c>
      <c r="U33" s="64"/>
      <c r="V33" s="73" t="s">
        <v>1955</v>
      </c>
      <c r="W33" s="72">
        <f t="shared" si="238"/>
        <v>0</v>
      </c>
      <c r="X33" s="64"/>
      <c r="Y33" s="796" t="s">
        <v>1961</v>
      </c>
      <c r="Z33" s="72">
        <f t="shared" si="176"/>
        <v>0</v>
      </c>
      <c r="AA33" s="64"/>
      <c r="AB33" s="796" t="s">
        <v>1961</v>
      </c>
      <c r="AC33" s="72">
        <f t="shared" si="177"/>
        <v>0</v>
      </c>
      <c r="AD33" s="64"/>
      <c r="AE33" s="796" t="s">
        <v>1961</v>
      </c>
      <c r="AF33" s="72">
        <f t="shared" si="280"/>
        <v>0</v>
      </c>
      <c r="AG33" s="64"/>
      <c r="AH33" s="796" t="s">
        <v>1958</v>
      </c>
      <c r="AI33" s="72">
        <f t="shared" si="240"/>
        <v>0</v>
      </c>
      <c r="AJ33" s="64"/>
      <c r="AK33" s="806" t="s">
        <v>1960</v>
      </c>
      <c r="AL33" s="72">
        <f t="shared" si="241"/>
        <v>0</v>
      </c>
      <c r="AM33" s="64"/>
      <c r="AN33" s="796" t="s">
        <v>1961</v>
      </c>
      <c r="AO33" s="72">
        <f t="shared" si="179"/>
        <v>0</v>
      </c>
      <c r="AP33" s="64"/>
      <c r="AQ33" s="806" t="s">
        <v>1955</v>
      </c>
      <c r="AR33" s="72">
        <f t="shared" si="180"/>
        <v>0</v>
      </c>
      <c r="AS33" s="64"/>
      <c r="AT33" s="796" t="s">
        <v>1955</v>
      </c>
      <c r="AU33" s="72">
        <f t="shared" si="181"/>
        <v>0</v>
      </c>
      <c r="AV33" s="64"/>
      <c r="AW33" s="796" t="s">
        <v>1961</v>
      </c>
      <c r="AX33" s="72">
        <f t="shared" si="242"/>
        <v>0</v>
      </c>
      <c r="AY33" s="64"/>
      <c r="AZ33" s="796" t="s">
        <v>1962</v>
      </c>
      <c r="BA33" s="72">
        <f t="shared" si="243"/>
        <v>0</v>
      </c>
      <c r="BB33" s="64"/>
      <c r="BC33" s="796" t="s">
        <v>2007</v>
      </c>
      <c r="BD33" s="72">
        <f t="shared" si="182"/>
        <v>0</v>
      </c>
      <c r="BE33" s="64"/>
      <c r="BF33" s="796" t="s">
        <v>1956</v>
      </c>
      <c r="BG33" s="72">
        <f t="shared" si="183"/>
        <v>0</v>
      </c>
      <c r="BH33" s="64"/>
      <c r="BI33" s="796" t="s">
        <v>1955</v>
      </c>
      <c r="BJ33" s="72">
        <f t="shared" si="184"/>
        <v>0</v>
      </c>
      <c r="BK33" s="64"/>
      <c r="BL33" s="796" t="s">
        <v>1948</v>
      </c>
      <c r="BM33" s="72">
        <f t="shared" si="244"/>
        <v>0</v>
      </c>
      <c r="BN33" s="64"/>
      <c r="BO33" s="816" t="s">
        <v>1948</v>
      </c>
      <c r="BP33" s="72">
        <f t="shared" si="245"/>
        <v>0</v>
      </c>
      <c r="BQ33" s="64"/>
      <c r="BR33" s="796" t="s">
        <v>1955</v>
      </c>
      <c r="BS33" s="72">
        <f t="shared" si="185"/>
        <v>0</v>
      </c>
      <c r="BT33" s="64"/>
      <c r="BU33" s="796" t="s">
        <v>1956</v>
      </c>
      <c r="BV33" s="72">
        <f t="shared" si="186"/>
        <v>0</v>
      </c>
      <c r="BW33" s="64"/>
      <c r="BX33" s="73" t="s">
        <v>1955</v>
      </c>
      <c r="BY33" s="72">
        <f t="shared" si="187"/>
        <v>0</v>
      </c>
      <c r="BZ33" s="64"/>
      <c r="CA33" s="816" t="s">
        <v>1955</v>
      </c>
      <c r="CB33" s="72">
        <f t="shared" si="246"/>
        <v>0</v>
      </c>
      <c r="CC33" s="64"/>
      <c r="CD33" s="825" t="s">
        <v>1950</v>
      </c>
      <c r="CE33" s="72">
        <f t="shared" si="247"/>
        <v>0</v>
      </c>
      <c r="CF33" s="64"/>
      <c r="CG33" s="796" t="s">
        <v>1956</v>
      </c>
      <c r="CH33" s="72">
        <f t="shared" si="188"/>
        <v>0</v>
      </c>
      <c r="CI33" s="64"/>
      <c r="CJ33" s="796" t="s">
        <v>1960</v>
      </c>
      <c r="CK33" s="72">
        <f t="shared" si="189"/>
        <v>0</v>
      </c>
      <c r="CL33" s="64"/>
      <c r="CM33" s="796" t="s">
        <v>1955</v>
      </c>
      <c r="CN33" s="72">
        <f t="shared" si="190"/>
        <v>0</v>
      </c>
      <c r="CO33" s="64"/>
      <c r="CP33" s="796" t="s">
        <v>1960</v>
      </c>
      <c r="CQ33" s="72">
        <f t="shared" si="248"/>
        <v>0</v>
      </c>
      <c r="CR33" s="64"/>
      <c r="CS33" s="796" t="s">
        <v>1960</v>
      </c>
      <c r="CT33" s="72">
        <f t="shared" si="249"/>
        <v>0</v>
      </c>
      <c r="CU33" s="64"/>
      <c r="CV33" s="796" t="s">
        <v>1958</v>
      </c>
      <c r="CW33" s="72">
        <f t="shared" si="191"/>
        <v>0</v>
      </c>
      <c r="CX33" s="64"/>
      <c r="CY33" s="796" t="s">
        <v>1956</v>
      </c>
      <c r="CZ33" s="72">
        <f t="shared" si="250"/>
        <v>0</v>
      </c>
      <c r="DA33" s="64"/>
      <c r="DB33" s="796" t="s">
        <v>1948</v>
      </c>
      <c r="DC33" s="72">
        <f t="shared" si="192"/>
        <v>0</v>
      </c>
      <c r="DD33" s="64"/>
      <c r="DE33" s="796" t="s">
        <v>1948</v>
      </c>
      <c r="DF33" s="72">
        <f t="shared" si="193"/>
        <v>0</v>
      </c>
      <c r="DG33" s="64"/>
      <c r="DH33" s="796" t="s">
        <v>1956</v>
      </c>
      <c r="DI33" s="72">
        <f t="shared" si="194"/>
        <v>0</v>
      </c>
      <c r="DJ33" s="64"/>
      <c r="DK33" s="796" t="s">
        <v>1948</v>
      </c>
      <c r="DL33" s="72">
        <f t="shared" si="195"/>
        <v>0</v>
      </c>
      <c r="DM33" s="64"/>
      <c r="DN33" s="73"/>
      <c r="DO33" s="72">
        <f t="shared" si="196"/>
        <v>0</v>
      </c>
      <c r="DP33" s="64"/>
      <c r="DQ33" s="796" t="s">
        <v>1955</v>
      </c>
      <c r="DR33" s="72">
        <f t="shared" si="251"/>
        <v>0</v>
      </c>
      <c r="DS33" s="64"/>
      <c r="DT33" s="73" t="s">
        <v>1948</v>
      </c>
      <c r="DU33" s="72">
        <f t="shared" si="277"/>
        <v>0</v>
      </c>
      <c r="DV33" s="64"/>
      <c r="DW33" s="73"/>
      <c r="DX33" s="72">
        <f t="shared" si="278"/>
        <v>0</v>
      </c>
      <c r="DY33" s="64"/>
      <c r="DZ33" s="73"/>
      <c r="EA33" s="72">
        <f t="shared" si="197"/>
        <v>0</v>
      </c>
      <c r="EB33" s="64"/>
      <c r="EC33" s="73"/>
      <c r="ED33" s="72">
        <f t="shared" si="198"/>
        <v>0</v>
      </c>
      <c r="EE33" s="64"/>
      <c r="EF33" s="73"/>
      <c r="EG33" s="72">
        <f t="shared" si="199"/>
        <v>0</v>
      </c>
      <c r="EH33" s="64"/>
      <c r="EI33" s="73"/>
      <c r="EJ33" s="72">
        <f t="shared" si="252"/>
        <v>0</v>
      </c>
      <c r="EK33" s="64"/>
      <c r="EL33" s="73"/>
      <c r="EM33" s="72">
        <f t="shared" si="253"/>
        <v>0</v>
      </c>
      <c r="EN33" s="64"/>
      <c r="EO33" s="73"/>
      <c r="EP33" s="72">
        <f t="shared" si="200"/>
        <v>0</v>
      </c>
      <c r="EQ33" s="64"/>
      <c r="ER33" s="73"/>
      <c r="ES33" s="72">
        <f t="shared" si="201"/>
        <v>0</v>
      </c>
      <c r="ET33" s="64"/>
      <c r="EU33" s="73"/>
      <c r="EV33" s="72">
        <f t="shared" si="202"/>
        <v>0</v>
      </c>
      <c r="EW33" s="64"/>
      <c r="EX33" s="73"/>
      <c r="EY33" s="72">
        <f t="shared" si="254"/>
        <v>0</v>
      </c>
      <c r="EZ33" s="64"/>
      <c r="FA33" s="73"/>
      <c r="FB33" s="72">
        <f t="shared" si="255"/>
        <v>0</v>
      </c>
      <c r="FC33" s="64"/>
      <c r="FD33" s="73"/>
      <c r="FE33" s="72">
        <f t="shared" si="203"/>
        <v>0</v>
      </c>
      <c r="FF33" s="64"/>
      <c r="FG33" s="73"/>
      <c r="FH33" s="72">
        <f t="shared" si="204"/>
        <v>0</v>
      </c>
      <c r="FI33" s="64"/>
      <c r="FJ33" s="73"/>
      <c r="FK33" s="72">
        <f t="shared" si="205"/>
        <v>0</v>
      </c>
      <c r="FL33" s="64"/>
      <c r="FM33" s="73"/>
      <c r="FN33" s="72">
        <f t="shared" si="256"/>
        <v>0</v>
      </c>
      <c r="FO33" s="64"/>
      <c r="FP33" s="73"/>
      <c r="FQ33" s="72">
        <f t="shared" si="257"/>
        <v>0</v>
      </c>
      <c r="FR33" s="64"/>
      <c r="FS33" s="73"/>
      <c r="FT33" s="72">
        <f t="shared" si="206"/>
        <v>0</v>
      </c>
      <c r="FU33" s="64"/>
      <c r="FV33" s="73"/>
      <c r="FW33" s="72">
        <f t="shared" si="207"/>
        <v>0</v>
      </c>
      <c r="FX33" s="64"/>
      <c r="FY33" s="73"/>
      <c r="FZ33" s="72">
        <f t="shared" si="208"/>
        <v>0</v>
      </c>
      <c r="GA33" s="64"/>
      <c r="GB33" s="73"/>
      <c r="GC33" s="72">
        <f t="shared" si="258"/>
        <v>0</v>
      </c>
      <c r="GD33" s="64"/>
      <c r="GE33" s="73"/>
      <c r="GF33" s="72">
        <f t="shared" si="259"/>
        <v>0</v>
      </c>
      <c r="GG33" s="64"/>
      <c r="GH33" s="73"/>
      <c r="GI33" s="72">
        <f t="shared" si="209"/>
        <v>0</v>
      </c>
      <c r="GJ33" s="64"/>
      <c r="GK33" s="73"/>
      <c r="GL33" s="72">
        <f t="shared" si="210"/>
        <v>0</v>
      </c>
      <c r="GM33" s="64"/>
      <c r="GN33" s="73"/>
      <c r="GO33" s="72">
        <f t="shared" si="211"/>
        <v>0</v>
      </c>
      <c r="GP33" s="64"/>
      <c r="GQ33" s="73"/>
      <c r="GR33" s="72">
        <f t="shared" si="260"/>
        <v>0</v>
      </c>
      <c r="GS33" s="64"/>
      <c r="GT33" s="73"/>
      <c r="GU33" s="72">
        <f t="shared" si="261"/>
        <v>0</v>
      </c>
      <c r="GV33" s="64"/>
      <c r="GW33" s="73"/>
      <c r="GX33" s="72">
        <f t="shared" si="212"/>
        <v>0</v>
      </c>
      <c r="GY33" s="64"/>
      <c r="GZ33" s="73"/>
      <c r="HA33" s="72">
        <f t="shared" si="213"/>
        <v>0</v>
      </c>
      <c r="HB33" s="64"/>
      <c r="HC33" s="73"/>
      <c r="HD33" s="72">
        <f t="shared" si="214"/>
        <v>0</v>
      </c>
      <c r="HE33" s="64"/>
      <c r="HF33" s="73"/>
      <c r="HG33" s="72">
        <f t="shared" si="262"/>
        <v>0</v>
      </c>
      <c r="HH33" s="64"/>
      <c r="HI33" s="73"/>
      <c r="HJ33" s="72">
        <f t="shared" si="263"/>
        <v>0</v>
      </c>
      <c r="HK33" s="64"/>
      <c r="HL33" s="73"/>
      <c r="HM33" s="72">
        <f t="shared" si="215"/>
        <v>0</v>
      </c>
      <c r="HN33" s="64"/>
      <c r="HO33" s="73"/>
      <c r="HP33" s="72">
        <f t="shared" si="216"/>
        <v>0</v>
      </c>
      <c r="HQ33" s="64"/>
      <c r="HR33" s="73"/>
      <c r="HS33" s="72">
        <f t="shared" si="217"/>
        <v>0</v>
      </c>
      <c r="HT33" s="64"/>
      <c r="HU33" s="73"/>
      <c r="HV33" s="72">
        <f t="shared" si="264"/>
        <v>0</v>
      </c>
      <c r="HW33" s="64"/>
      <c r="HX33" s="73"/>
      <c r="HY33" s="72">
        <f t="shared" si="265"/>
        <v>0</v>
      </c>
      <c r="HZ33" s="64"/>
      <c r="IA33" s="73"/>
      <c r="IB33" s="72">
        <f t="shared" si="218"/>
        <v>0</v>
      </c>
      <c r="IC33" s="64"/>
      <c r="ID33" s="73"/>
      <c r="IE33" s="72">
        <f t="shared" si="219"/>
        <v>0</v>
      </c>
      <c r="IF33" s="64"/>
      <c r="IG33" s="73"/>
      <c r="IH33" s="72">
        <f t="shared" si="220"/>
        <v>0</v>
      </c>
      <c r="II33" s="64"/>
      <c r="IJ33" s="73"/>
      <c r="IK33" s="72">
        <f t="shared" si="266"/>
        <v>0</v>
      </c>
      <c r="IL33" s="64"/>
      <c r="IM33" s="73"/>
      <c r="IN33" s="72">
        <f t="shared" si="267"/>
        <v>0</v>
      </c>
      <c r="IO33" s="64"/>
      <c r="IP33" s="73"/>
      <c r="IQ33" s="72">
        <f t="shared" si="221"/>
        <v>0</v>
      </c>
      <c r="IR33" s="64"/>
      <c r="IS33" s="73"/>
      <c r="IT33" s="72">
        <f t="shared" si="222"/>
        <v>0</v>
      </c>
      <c r="IU33" s="64"/>
      <c r="IV33" s="73"/>
      <c r="IW33" s="72">
        <f t="shared" si="223"/>
        <v>0</v>
      </c>
      <c r="IX33" s="64"/>
      <c r="IY33" s="73"/>
      <c r="IZ33" s="72">
        <f t="shared" si="268"/>
        <v>0</v>
      </c>
      <c r="JA33" s="64"/>
      <c r="JB33" s="73"/>
      <c r="JC33" s="72">
        <f t="shared" si="269"/>
        <v>0</v>
      </c>
      <c r="JD33" s="64"/>
      <c r="JE33" s="73"/>
      <c r="JF33" s="72">
        <f t="shared" si="224"/>
        <v>0</v>
      </c>
      <c r="JG33" s="64"/>
      <c r="JH33" s="73"/>
      <c r="JI33" s="72">
        <f t="shared" si="225"/>
        <v>0</v>
      </c>
      <c r="JJ33" s="64"/>
      <c r="JK33" s="73"/>
      <c r="JL33" s="72">
        <f t="shared" si="226"/>
        <v>0</v>
      </c>
      <c r="JM33" s="64"/>
      <c r="JN33" s="73"/>
      <c r="JO33" s="72">
        <f t="shared" si="270"/>
        <v>0</v>
      </c>
      <c r="JP33" s="64"/>
      <c r="JQ33" s="73"/>
      <c r="JR33" s="72">
        <f t="shared" si="271"/>
        <v>0</v>
      </c>
      <c r="JS33" s="64"/>
      <c r="JT33" s="73"/>
      <c r="JU33" s="72">
        <f t="shared" si="227"/>
        <v>0</v>
      </c>
      <c r="JV33" s="64"/>
      <c r="JW33" s="73"/>
      <c r="JX33" s="72">
        <f t="shared" si="228"/>
        <v>0</v>
      </c>
      <c r="JY33" s="64"/>
      <c r="JZ33" s="73"/>
      <c r="KA33" s="72">
        <f t="shared" si="229"/>
        <v>0</v>
      </c>
      <c r="KB33" s="64"/>
      <c r="KC33" s="73"/>
      <c r="KD33" s="72">
        <f t="shared" si="272"/>
        <v>0</v>
      </c>
      <c r="KE33" s="64"/>
      <c r="KF33" s="73"/>
      <c r="KG33" s="72">
        <f t="shared" si="273"/>
        <v>0</v>
      </c>
      <c r="KH33" s="64"/>
      <c r="KI33" s="73"/>
      <c r="KJ33" s="72">
        <f t="shared" si="230"/>
        <v>0</v>
      </c>
      <c r="KK33" s="64"/>
      <c r="KL33" s="73"/>
      <c r="KM33" s="72">
        <f t="shared" si="231"/>
        <v>0</v>
      </c>
      <c r="KN33" s="64"/>
      <c r="KO33" s="73"/>
      <c r="KP33" s="72">
        <f t="shared" si="232"/>
        <v>0</v>
      </c>
      <c r="KQ33" s="64"/>
      <c r="KR33" s="73"/>
      <c r="KS33" s="72">
        <f t="shared" si="274"/>
        <v>0</v>
      </c>
      <c r="KT33" s="64"/>
      <c r="KU33" s="73"/>
      <c r="KV33" s="72">
        <f t="shared" si="275"/>
        <v>0</v>
      </c>
      <c r="KW33" s="64"/>
      <c r="KX33" s="73"/>
      <c r="KY33" s="72">
        <f t="shared" si="233"/>
        <v>0</v>
      </c>
      <c r="KZ33" s="64"/>
      <c r="LA33" s="73"/>
      <c r="LB33" s="72">
        <f t="shared" si="234"/>
        <v>0</v>
      </c>
      <c r="LC33" s="64"/>
      <c r="LD33" s="73"/>
      <c r="LE33" s="72">
        <f t="shared" si="235"/>
        <v>0</v>
      </c>
      <c r="LF33" s="64"/>
    </row>
    <row r="34" spans="1:318" s="784" customFormat="1">
      <c r="A34" s="49"/>
      <c r="B34" s="49"/>
      <c r="C34" s="435" t="str">
        <f>Idiomas!D330&amp;"**"</f>
        <v>3ºy4º PUESTO - Diferencia/Distancia de goles (Con 1X2 acertado)**</v>
      </c>
      <c r="D34" s="62">
        <v>0</v>
      </c>
      <c r="E34" s="109"/>
      <c r="F34" s="443">
        <f t="shared" si="236"/>
        <v>15</v>
      </c>
      <c r="G34" s="443">
        <f ca="1">VLOOKUP(H34,Equipos!$Q$1:$R$25,2,0)</f>
        <v>9</v>
      </c>
      <c r="H34" s="444">
        <f ca="1">TRUNC(INDEX(WORLDCUP!$X$4:$X$147,MATCH(ADMIN!K34,WORLDCUP!$DT$4:$DT$147,0))+INDEX(Horarios!$R$3:$R$86,MATCH(Horarios!$C$3,Horarios!$P$3:$P$86,0))/24)</f>
        <v>46192</v>
      </c>
      <c r="I34" s="48">
        <v>1</v>
      </c>
      <c r="J34" s="93"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276"/>
        <v>0</v>
      </c>
      <c r="R34" s="49"/>
      <c r="S34" s="796" t="s">
        <v>1949</v>
      </c>
      <c r="T34" s="72">
        <f t="shared" si="237"/>
        <v>0</v>
      </c>
      <c r="U34" s="64"/>
      <c r="V34" s="73" t="s">
        <v>1949</v>
      </c>
      <c r="W34" s="72">
        <f t="shared" si="238"/>
        <v>0</v>
      </c>
      <c r="X34" s="64"/>
      <c r="Y34" s="796" t="s">
        <v>1963</v>
      </c>
      <c r="Z34" s="72">
        <f t="shared" si="176"/>
        <v>0</v>
      </c>
      <c r="AA34" s="64"/>
      <c r="AB34" s="796" t="s">
        <v>1962</v>
      </c>
      <c r="AC34" s="72">
        <f t="shared" si="177"/>
        <v>0</v>
      </c>
      <c r="AD34" s="64"/>
      <c r="AE34" s="796" t="s">
        <v>1949</v>
      </c>
      <c r="AF34" s="72">
        <f t="shared" si="280"/>
        <v>0</v>
      </c>
      <c r="AG34" s="64"/>
      <c r="AH34" s="796" t="s">
        <v>1949</v>
      </c>
      <c r="AI34" s="72">
        <f t="shared" si="240"/>
        <v>0</v>
      </c>
      <c r="AJ34" s="64"/>
      <c r="AK34" s="806" t="s">
        <v>2194</v>
      </c>
      <c r="AL34" s="72">
        <f t="shared" si="241"/>
        <v>0</v>
      </c>
      <c r="AM34" s="64"/>
      <c r="AN34" s="796" t="s">
        <v>1963</v>
      </c>
      <c r="AO34" s="72">
        <f t="shared" si="179"/>
        <v>0</v>
      </c>
      <c r="AP34" s="64"/>
      <c r="AQ34" s="806" t="s">
        <v>1962</v>
      </c>
      <c r="AR34" s="72">
        <f t="shared" si="180"/>
        <v>0</v>
      </c>
      <c r="AS34" s="64"/>
      <c r="AT34" s="796" t="s">
        <v>1963</v>
      </c>
      <c r="AU34" s="72">
        <f t="shared" si="181"/>
        <v>0</v>
      </c>
      <c r="AV34" s="64"/>
      <c r="AW34" s="796" t="s">
        <v>1949</v>
      </c>
      <c r="AX34" s="72">
        <f t="shared" si="242"/>
        <v>0</v>
      </c>
      <c r="AY34" s="64"/>
      <c r="AZ34" s="796" t="s">
        <v>1958</v>
      </c>
      <c r="BA34" s="72">
        <f t="shared" si="243"/>
        <v>0</v>
      </c>
      <c r="BB34" s="64"/>
      <c r="BC34" s="796" t="s">
        <v>1949</v>
      </c>
      <c r="BD34" s="72">
        <f t="shared" si="182"/>
        <v>0</v>
      </c>
      <c r="BE34" s="64"/>
      <c r="BF34" s="796" t="s">
        <v>1949</v>
      </c>
      <c r="BG34" s="72">
        <f t="shared" si="183"/>
        <v>0</v>
      </c>
      <c r="BH34" s="64"/>
      <c r="BI34" s="796" t="s">
        <v>1949</v>
      </c>
      <c r="BJ34" s="72">
        <f t="shared" si="184"/>
        <v>0</v>
      </c>
      <c r="BK34" s="64"/>
      <c r="BL34" s="796" t="s">
        <v>1949</v>
      </c>
      <c r="BM34" s="72">
        <f t="shared" si="244"/>
        <v>0</v>
      </c>
      <c r="BN34" s="64"/>
      <c r="BO34" s="816" t="s">
        <v>1949</v>
      </c>
      <c r="BP34" s="72">
        <f t="shared" si="245"/>
        <v>0</v>
      </c>
      <c r="BQ34" s="64"/>
      <c r="BR34" s="796" t="s">
        <v>1949</v>
      </c>
      <c r="BS34" s="72">
        <f t="shared" si="185"/>
        <v>0</v>
      </c>
      <c r="BT34" s="64"/>
      <c r="BU34" s="796" t="s">
        <v>1962</v>
      </c>
      <c r="BV34" s="72">
        <f t="shared" si="186"/>
        <v>0</v>
      </c>
      <c r="BW34" s="64"/>
      <c r="BX34" s="73" t="s">
        <v>1949</v>
      </c>
      <c r="BY34" s="72">
        <f t="shared" si="187"/>
        <v>0</v>
      </c>
      <c r="BZ34" s="64"/>
      <c r="CA34" s="816" t="s">
        <v>1962</v>
      </c>
      <c r="CB34" s="72">
        <f t="shared" si="246"/>
        <v>0</v>
      </c>
      <c r="CC34" s="64"/>
      <c r="CD34" s="825" t="s">
        <v>1950</v>
      </c>
      <c r="CE34" s="72">
        <f t="shared" si="247"/>
        <v>0</v>
      </c>
      <c r="CF34" s="64"/>
      <c r="CG34" s="796" t="s">
        <v>1949</v>
      </c>
      <c r="CH34" s="72">
        <f t="shared" si="188"/>
        <v>0</v>
      </c>
      <c r="CI34" s="64"/>
      <c r="CJ34" s="796" t="s">
        <v>1963</v>
      </c>
      <c r="CK34" s="72">
        <f t="shared" si="189"/>
        <v>0</v>
      </c>
      <c r="CL34" s="64"/>
      <c r="CM34" s="796" t="s">
        <v>1962</v>
      </c>
      <c r="CN34" s="72">
        <f t="shared" si="190"/>
        <v>0</v>
      </c>
      <c r="CO34" s="64"/>
      <c r="CP34" s="796" t="s">
        <v>1947</v>
      </c>
      <c r="CQ34" s="72">
        <f t="shared" si="248"/>
        <v>0</v>
      </c>
      <c r="CR34" s="64"/>
      <c r="CS34" s="796" t="s">
        <v>1948</v>
      </c>
      <c r="CT34" s="72">
        <f t="shared" si="249"/>
        <v>0</v>
      </c>
      <c r="CU34" s="64"/>
      <c r="CV34" s="796" t="s">
        <v>1962</v>
      </c>
      <c r="CW34" s="72">
        <f t="shared" si="191"/>
        <v>0</v>
      </c>
      <c r="CX34" s="64"/>
      <c r="CY34" s="796" t="s">
        <v>1962</v>
      </c>
      <c r="CZ34" s="72">
        <f t="shared" si="250"/>
        <v>0</v>
      </c>
      <c r="DA34" s="64"/>
      <c r="DB34" s="796" t="s">
        <v>1962</v>
      </c>
      <c r="DC34" s="72">
        <f t="shared" si="192"/>
        <v>0</v>
      </c>
      <c r="DD34" s="64"/>
      <c r="DE34" s="796" t="s">
        <v>1949</v>
      </c>
      <c r="DF34" s="72">
        <f t="shared" si="193"/>
        <v>0</v>
      </c>
      <c r="DG34" s="64"/>
      <c r="DH34" s="796" t="s">
        <v>2007</v>
      </c>
      <c r="DI34" s="72">
        <f t="shared" si="194"/>
        <v>0</v>
      </c>
      <c r="DJ34" s="64"/>
      <c r="DK34" s="796" t="s">
        <v>1949</v>
      </c>
      <c r="DL34" s="72">
        <f t="shared" si="195"/>
        <v>0</v>
      </c>
      <c r="DM34" s="64"/>
      <c r="DN34" s="73"/>
      <c r="DO34" s="72">
        <f t="shared" si="196"/>
        <v>0</v>
      </c>
      <c r="DP34" s="64"/>
      <c r="DQ34" s="796" t="s">
        <v>1949</v>
      </c>
      <c r="DR34" s="72">
        <f t="shared" si="251"/>
        <v>0</v>
      </c>
      <c r="DS34" s="64"/>
      <c r="DT34" s="73" t="s">
        <v>1949</v>
      </c>
      <c r="DU34" s="72">
        <f t="shared" si="277"/>
        <v>0</v>
      </c>
      <c r="DV34" s="64"/>
      <c r="DW34" s="73"/>
      <c r="DX34" s="72">
        <f t="shared" si="278"/>
        <v>0</v>
      </c>
      <c r="DY34" s="64"/>
      <c r="DZ34" s="73"/>
      <c r="EA34" s="72">
        <f t="shared" si="197"/>
        <v>0</v>
      </c>
      <c r="EB34" s="64"/>
      <c r="EC34" s="73"/>
      <c r="ED34" s="72">
        <f t="shared" si="198"/>
        <v>0</v>
      </c>
      <c r="EE34" s="64"/>
      <c r="EF34" s="73"/>
      <c r="EG34" s="72">
        <f t="shared" si="199"/>
        <v>0</v>
      </c>
      <c r="EH34" s="64"/>
      <c r="EI34" s="73"/>
      <c r="EJ34" s="72">
        <f t="shared" si="252"/>
        <v>0</v>
      </c>
      <c r="EK34" s="64"/>
      <c r="EL34" s="73"/>
      <c r="EM34" s="72">
        <f t="shared" si="253"/>
        <v>0</v>
      </c>
      <c r="EN34" s="64"/>
      <c r="EO34" s="73"/>
      <c r="EP34" s="72">
        <f t="shared" si="200"/>
        <v>0</v>
      </c>
      <c r="EQ34" s="64"/>
      <c r="ER34" s="73"/>
      <c r="ES34" s="72">
        <f t="shared" si="201"/>
        <v>0</v>
      </c>
      <c r="ET34" s="64"/>
      <c r="EU34" s="73"/>
      <c r="EV34" s="72">
        <f t="shared" si="202"/>
        <v>0</v>
      </c>
      <c r="EW34" s="64"/>
      <c r="EX34" s="73"/>
      <c r="EY34" s="72">
        <f t="shared" si="254"/>
        <v>0</v>
      </c>
      <c r="EZ34" s="64"/>
      <c r="FA34" s="73"/>
      <c r="FB34" s="72">
        <f t="shared" si="255"/>
        <v>0</v>
      </c>
      <c r="FC34" s="64"/>
      <c r="FD34" s="73"/>
      <c r="FE34" s="72">
        <f t="shared" si="203"/>
        <v>0</v>
      </c>
      <c r="FF34" s="64"/>
      <c r="FG34" s="73"/>
      <c r="FH34" s="72">
        <f t="shared" si="204"/>
        <v>0</v>
      </c>
      <c r="FI34" s="64"/>
      <c r="FJ34" s="73"/>
      <c r="FK34" s="72">
        <f t="shared" si="205"/>
        <v>0</v>
      </c>
      <c r="FL34" s="64"/>
      <c r="FM34" s="73"/>
      <c r="FN34" s="72">
        <f t="shared" si="256"/>
        <v>0</v>
      </c>
      <c r="FO34" s="64"/>
      <c r="FP34" s="73"/>
      <c r="FQ34" s="72">
        <f t="shared" si="257"/>
        <v>0</v>
      </c>
      <c r="FR34" s="64"/>
      <c r="FS34" s="73"/>
      <c r="FT34" s="72">
        <f t="shared" si="206"/>
        <v>0</v>
      </c>
      <c r="FU34" s="64"/>
      <c r="FV34" s="73"/>
      <c r="FW34" s="72">
        <f t="shared" si="207"/>
        <v>0</v>
      </c>
      <c r="FX34" s="64"/>
      <c r="FY34" s="73"/>
      <c r="FZ34" s="72">
        <f t="shared" si="208"/>
        <v>0</v>
      </c>
      <c r="GA34" s="64"/>
      <c r="GB34" s="73"/>
      <c r="GC34" s="72">
        <f t="shared" si="258"/>
        <v>0</v>
      </c>
      <c r="GD34" s="64"/>
      <c r="GE34" s="73"/>
      <c r="GF34" s="72">
        <f t="shared" si="259"/>
        <v>0</v>
      </c>
      <c r="GG34" s="64"/>
      <c r="GH34" s="73"/>
      <c r="GI34" s="72">
        <f t="shared" si="209"/>
        <v>0</v>
      </c>
      <c r="GJ34" s="64"/>
      <c r="GK34" s="73"/>
      <c r="GL34" s="72">
        <f t="shared" si="210"/>
        <v>0</v>
      </c>
      <c r="GM34" s="64"/>
      <c r="GN34" s="73"/>
      <c r="GO34" s="72">
        <f t="shared" si="211"/>
        <v>0</v>
      </c>
      <c r="GP34" s="64"/>
      <c r="GQ34" s="73"/>
      <c r="GR34" s="72">
        <f t="shared" si="260"/>
        <v>0</v>
      </c>
      <c r="GS34" s="64"/>
      <c r="GT34" s="73"/>
      <c r="GU34" s="72">
        <f t="shared" si="261"/>
        <v>0</v>
      </c>
      <c r="GV34" s="64"/>
      <c r="GW34" s="73"/>
      <c r="GX34" s="72">
        <f t="shared" si="212"/>
        <v>0</v>
      </c>
      <c r="GY34" s="64"/>
      <c r="GZ34" s="73"/>
      <c r="HA34" s="72">
        <f t="shared" si="213"/>
        <v>0</v>
      </c>
      <c r="HB34" s="64"/>
      <c r="HC34" s="73"/>
      <c r="HD34" s="72">
        <f t="shared" si="214"/>
        <v>0</v>
      </c>
      <c r="HE34" s="64"/>
      <c r="HF34" s="73"/>
      <c r="HG34" s="72">
        <f t="shared" si="262"/>
        <v>0</v>
      </c>
      <c r="HH34" s="64"/>
      <c r="HI34" s="73"/>
      <c r="HJ34" s="72">
        <f t="shared" si="263"/>
        <v>0</v>
      </c>
      <c r="HK34" s="64"/>
      <c r="HL34" s="73"/>
      <c r="HM34" s="72">
        <f t="shared" si="215"/>
        <v>0</v>
      </c>
      <c r="HN34" s="64"/>
      <c r="HO34" s="73"/>
      <c r="HP34" s="72">
        <f t="shared" si="216"/>
        <v>0</v>
      </c>
      <c r="HQ34" s="64"/>
      <c r="HR34" s="73"/>
      <c r="HS34" s="72">
        <f t="shared" si="217"/>
        <v>0</v>
      </c>
      <c r="HT34" s="64"/>
      <c r="HU34" s="73"/>
      <c r="HV34" s="72">
        <f t="shared" si="264"/>
        <v>0</v>
      </c>
      <c r="HW34" s="64"/>
      <c r="HX34" s="73"/>
      <c r="HY34" s="72">
        <f t="shared" si="265"/>
        <v>0</v>
      </c>
      <c r="HZ34" s="64"/>
      <c r="IA34" s="73"/>
      <c r="IB34" s="72">
        <f t="shared" si="218"/>
        <v>0</v>
      </c>
      <c r="IC34" s="64"/>
      <c r="ID34" s="73"/>
      <c r="IE34" s="72">
        <f t="shared" si="219"/>
        <v>0</v>
      </c>
      <c r="IF34" s="64"/>
      <c r="IG34" s="73"/>
      <c r="IH34" s="72">
        <f t="shared" si="220"/>
        <v>0</v>
      </c>
      <c r="II34" s="64"/>
      <c r="IJ34" s="73"/>
      <c r="IK34" s="72">
        <f t="shared" si="266"/>
        <v>0</v>
      </c>
      <c r="IL34" s="64"/>
      <c r="IM34" s="73"/>
      <c r="IN34" s="72">
        <f t="shared" si="267"/>
        <v>0</v>
      </c>
      <c r="IO34" s="64"/>
      <c r="IP34" s="73"/>
      <c r="IQ34" s="72">
        <f t="shared" si="221"/>
        <v>0</v>
      </c>
      <c r="IR34" s="64"/>
      <c r="IS34" s="73"/>
      <c r="IT34" s="72">
        <f t="shared" si="222"/>
        <v>0</v>
      </c>
      <c r="IU34" s="64"/>
      <c r="IV34" s="73"/>
      <c r="IW34" s="72">
        <f t="shared" si="223"/>
        <v>0</v>
      </c>
      <c r="IX34" s="64"/>
      <c r="IY34" s="73"/>
      <c r="IZ34" s="72">
        <f t="shared" si="268"/>
        <v>0</v>
      </c>
      <c r="JA34" s="64"/>
      <c r="JB34" s="73"/>
      <c r="JC34" s="72">
        <f t="shared" si="269"/>
        <v>0</v>
      </c>
      <c r="JD34" s="64"/>
      <c r="JE34" s="73"/>
      <c r="JF34" s="72">
        <f t="shared" si="224"/>
        <v>0</v>
      </c>
      <c r="JG34" s="64"/>
      <c r="JH34" s="73"/>
      <c r="JI34" s="72">
        <f t="shared" si="225"/>
        <v>0</v>
      </c>
      <c r="JJ34" s="64"/>
      <c r="JK34" s="73"/>
      <c r="JL34" s="72">
        <f t="shared" si="226"/>
        <v>0</v>
      </c>
      <c r="JM34" s="64"/>
      <c r="JN34" s="73"/>
      <c r="JO34" s="72">
        <f t="shared" si="270"/>
        <v>0</v>
      </c>
      <c r="JP34" s="64"/>
      <c r="JQ34" s="73"/>
      <c r="JR34" s="72">
        <f t="shared" si="271"/>
        <v>0</v>
      </c>
      <c r="JS34" s="64"/>
      <c r="JT34" s="73"/>
      <c r="JU34" s="72">
        <f t="shared" si="227"/>
        <v>0</v>
      </c>
      <c r="JV34" s="64"/>
      <c r="JW34" s="73"/>
      <c r="JX34" s="72">
        <f t="shared" si="228"/>
        <v>0</v>
      </c>
      <c r="JY34" s="64"/>
      <c r="JZ34" s="73"/>
      <c r="KA34" s="72">
        <f t="shared" si="229"/>
        <v>0</v>
      </c>
      <c r="KB34" s="64"/>
      <c r="KC34" s="73"/>
      <c r="KD34" s="72">
        <f t="shared" si="272"/>
        <v>0</v>
      </c>
      <c r="KE34" s="64"/>
      <c r="KF34" s="73"/>
      <c r="KG34" s="72">
        <f t="shared" si="273"/>
        <v>0</v>
      </c>
      <c r="KH34" s="64"/>
      <c r="KI34" s="73"/>
      <c r="KJ34" s="72">
        <f t="shared" si="230"/>
        <v>0</v>
      </c>
      <c r="KK34" s="64"/>
      <c r="KL34" s="73"/>
      <c r="KM34" s="72">
        <f t="shared" si="231"/>
        <v>0</v>
      </c>
      <c r="KN34" s="64"/>
      <c r="KO34" s="73"/>
      <c r="KP34" s="72">
        <f t="shared" si="232"/>
        <v>0</v>
      </c>
      <c r="KQ34" s="64"/>
      <c r="KR34" s="73"/>
      <c r="KS34" s="72">
        <f t="shared" si="274"/>
        <v>0</v>
      </c>
      <c r="KT34" s="64"/>
      <c r="KU34" s="73"/>
      <c r="KV34" s="72">
        <f t="shared" si="275"/>
        <v>0</v>
      </c>
      <c r="KW34" s="64"/>
      <c r="KX34" s="73"/>
      <c r="KY34" s="72">
        <f t="shared" si="233"/>
        <v>0</v>
      </c>
      <c r="KZ34" s="64"/>
      <c r="LA34" s="73"/>
      <c r="LB34" s="72">
        <f t="shared" si="234"/>
        <v>0</v>
      </c>
      <c r="LC34" s="64"/>
      <c r="LD34" s="73"/>
      <c r="LE34" s="72">
        <f t="shared" si="235"/>
        <v>0</v>
      </c>
      <c r="LF34" s="64"/>
    </row>
    <row r="35" spans="1:318" s="784" customFormat="1">
      <c r="A35" s="49"/>
      <c r="B35" s="49"/>
      <c r="C35" s="437" t="str">
        <f>Idiomas!D331</f>
        <v>3ºy4º PUESTO - Resultado exacto</v>
      </c>
      <c r="D35" s="62">
        <v>16</v>
      </c>
      <c r="E35" s="109"/>
      <c r="F35" s="443">
        <f t="shared" si="236"/>
        <v>15</v>
      </c>
      <c r="G35" s="443">
        <f ca="1">VLOOKUP(H35,Equipos!$Q$1:$R$25,2,0)</f>
        <v>9</v>
      </c>
      <c r="H35" s="444">
        <f ca="1">TRUNC(INDEX(WORLDCUP!$X$4:$X$147,MATCH(ADMIN!K35,WORLDCUP!$DT$4:$DT$147,0))+INDEX(Horarios!$R$3:$R$86,MATCH(Horarios!$C$3,Horarios!$P$3:$P$86,0))/24)</f>
        <v>46192</v>
      </c>
      <c r="I35" s="48">
        <v>1</v>
      </c>
      <c r="J35" s="93"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276"/>
        <v>0</v>
      </c>
      <c r="R35" s="49"/>
      <c r="S35" s="796" t="s">
        <v>1956</v>
      </c>
      <c r="T35" s="72">
        <f t="shared" si="237"/>
        <v>0</v>
      </c>
      <c r="U35" s="64"/>
      <c r="V35" s="73" t="s">
        <v>1957</v>
      </c>
      <c r="W35" s="72">
        <f t="shared" si="238"/>
        <v>0</v>
      </c>
      <c r="X35" s="64"/>
      <c r="Y35" s="796" t="s">
        <v>1957</v>
      </c>
      <c r="Z35" s="72">
        <f t="shared" si="176"/>
        <v>0</v>
      </c>
      <c r="AA35" s="64"/>
      <c r="AB35" s="796" t="s">
        <v>2088</v>
      </c>
      <c r="AC35" s="72">
        <f t="shared" si="177"/>
        <v>0</v>
      </c>
      <c r="AD35" s="64"/>
      <c r="AE35" s="796" t="s">
        <v>1957</v>
      </c>
      <c r="AF35" s="72">
        <f t="shared" si="280"/>
        <v>0</v>
      </c>
      <c r="AG35" s="64"/>
      <c r="AH35" s="796" t="s">
        <v>1956</v>
      </c>
      <c r="AI35" s="72">
        <f t="shared" si="240"/>
        <v>0</v>
      </c>
      <c r="AJ35" s="64"/>
      <c r="AK35" s="806" t="s">
        <v>2195</v>
      </c>
      <c r="AL35" s="72">
        <f t="shared" si="241"/>
        <v>0</v>
      </c>
      <c r="AM35" s="64"/>
      <c r="AN35" s="796" t="s">
        <v>1957</v>
      </c>
      <c r="AO35" s="72">
        <f t="shared" si="179"/>
        <v>0</v>
      </c>
      <c r="AP35" s="64"/>
      <c r="AQ35" s="806" t="s">
        <v>1957</v>
      </c>
      <c r="AR35" s="72">
        <f t="shared" si="180"/>
        <v>0</v>
      </c>
      <c r="AS35" s="64"/>
      <c r="AT35" s="796" t="s">
        <v>2088</v>
      </c>
      <c r="AU35" s="72">
        <f t="shared" si="181"/>
        <v>0</v>
      </c>
      <c r="AV35" s="64"/>
      <c r="AW35" s="796" t="s">
        <v>1957</v>
      </c>
      <c r="AX35" s="72">
        <f t="shared" si="242"/>
        <v>0</v>
      </c>
      <c r="AY35" s="64"/>
      <c r="AZ35" s="796" t="s">
        <v>2344</v>
      </c>
      <c r="BA35" s="72">
        <f t="shared" si="243"/>
        <v>0</v>
      </c>
      <c r="BB35" s="64"/>
      <c r="BC35" s="796" t="s">
        <v>1957</v>
      </c>
      <c r="BD35" s="72">
        <f t="shared" si="182"/>
        <v>0</v>
      </c>
      <c r="BE35" s="64"/>
      <c r="BF35" s="796" t="s">
        <v>1960</v>
      </c>
      <c r="BG35" s="72">
        <f t="shared" si="183"/>
        <v>0</v>
      </c>
      <c r="BH35" s="64"/>
      <c r="BI35" s="796" t="s">
        <v>1956</v>
      </c>
      <c r="BJ35" s="72">
        <f t="shared" si="184"/>
        <v>0</v>
      </c>
      <c r="BK35" s="64"/>
      <c r="BL35" s="796" t="s">
        <v>2196</v>
      </c>
      <c r="BM35" s="72">
        <f t="shared" si="244"/>
        <v>0</v>
      </c>
      <c r="BN35" s="64"/>
      <c r="BO35" s="816" t="s">
        <v>2088</v>
      </c>
      <c r="BP35" s="72">
        <f t="shared" si="245"/>
        <v>0</v>
      </c>
      <c r="BQ35" s="64"/>
      <c r="BR35" s="796" t="s">
        <v>1957</v>
      </c>
      <c r="BS35" s="72">
        <f t="shared" si="185"/>
        <v>0</v>
      </c>
      <c r="BT35" s="64"/>
      <c r="BU35" s="796" t="s">
        <v>1952</v>
      </c>
      <c r="BV35" s="72">
        <f t="shared" si="186"/>
        <v>0</v>
      </c>
      <c r="BW35" s="64"/>
      <c r="BX35" s="73" t="s">
        <v>1957</v>
      </c>
      <c r="BY35" s="72">
        <f t="shared" si="187"/>
        <v>0</v>
      </c>
      <c r="BZ35" s="64"/>
      <c r="CA35" s="816" t="s">
        <v>1955</v>
      </c>
      <c r="CB35" s="72">
        <f t="shared" si="246"/>
        <v>0</v>
      </c>
      <c r="CC35" s="64"/>
      <c r="CD35" s="825" t="s">
        <v>1957</v>
      </c>
      <c r="CE35" s="72">
        <f t="shared" si="247"/>
        <v>0</v>
      </c>
      <c r="CF35" s="64"/>
      <c r="CG35" s="796" t="s">
        <v>1956</v>
      </c>
      <c r="CH35" s="72">
        <f t="shared" si="188"/>
        <v>0</v>
      </c>
      <c r="CI35" s="64"/>
      <c r="CJ35" s="796" t="s">
        <v>1956</v>
      </c>
      <c r="CK35" s="72">
        <f t="shared" si="189"/>
        <v>0</v>
      </c>
      <c r="CL35" s="64"/>
      <c r="CM35" s="796" t="s">
        <v>1957</v>
      </c>
      <c r="CN35" s="72">
        <f t="shared" si="190"/>
        <v>0</v>
      </c>
      <c r="CO35" s="64"/>
      <c r="CP35" s="796" t="s">
        <v>2088</v>
      </c>
      <c r="CQ35" s="72">
        <f t="shared" si="248"/>
        <v>0</v>
      </c>
      <c r="CR35" s="64"/>
      <c r="CS35" s="796" t="s">
        <v>1957</v>
      </c>
      <c r="CT35" s="72">
        <f t="shared" si="249"/>
        <v>0</v>
      </c>
      <c r="CU35" s="64"/>
      <c r="CV35" s="796" t="s">
        <v>1956</v>
      </c>
      <c r="CW35" s="72">
        <f t="shared" si="191"/>
        <v>0</v>
      </c>
      <c r="CX35" s="64"/>
      <c r="CY35" s="796" t="s">
        <v>1956</v>
      </c>
      <c r="CZ35" s="72">
        <f t="shared" si="250"/>
        <v>0</v>
      </c>
      <c r="DA35" s="64"/>
      <c r="DB35" s="796" t="s">
        <v>1957</v>
      </c>
      <c r="DC35" s="72">
        <f t="shared" si="192"/>
        <v>0</v>
      </c>
      <c r="DD35" s="64"/>
      <c r="DE35" s="796" t="s">
        <v>1952</v>
      </c>
      <c r="DF35" s="72">
        <f t="shared" si="193"/>
        <v>0</v>
      </c>
      <c r="DG35" s="64"/>
      <c r="DH35" s="796" t="s">
        <v>2088</v>
      </c>
      <c r="DI35" s="72">
        <f t="shared" si="194"/>
        <v>0</v>
      </c>
      <c r="DJ35" s="64"/>
      <c r="DK35" s="796" t="s">
        <v>1956</v>
      </c>
      <c r="DL35" s="72">
        <f t="shared" si="195"/>
        <v>0</v>
      </c>
      <c r="DM35" s="64"/>
      <c r="DN35" s="73"/>
      <c r="DO35" s="72">
        <f t="shared" si="196"/>
        <v>0</v>
      </c>
      <c r="DP35" s="64"/>
      <c r="DQ35" s="796" t="s">
        <v>2088</v>
      </c>
      <c r="DR35" s="72">
        <f t="shared" si="251"/>
        <v>0</v>
      </c>
      <c r="DS35" s="64"/>
      <c r="DT35" s="73" t="s">
        <v>1957</v>
      </c>
      <c r="DU35" s="72">
        <f t="shared" si="277"/>
        <v>0</v>
      </c>
      <c r="DV35" s="64"/>
      <c r="DW35" s="73"/>
      <c r="DX35" s="72">
        <f t="shared" si="278"/>
        <v>0</v>
      </c>
      <c r="DY35" s="64"/>
      <c r="DZ35" s="73"/>
      <c r="EA35" s="72">
        <f t="shared" si="197"/>
        <v>0</v>
      </c>
      <c r="EB35" s="64"/>
      <c r="EC35" s="73"/>
      <c r="ED35" s="72">
        <f t="shared" si="198"/>
        <v>0</v>
      </c>
      <c r="EE35" s="64"/>
      <c r="EF35" s="73"/>
      <c r="EG35" s="72">
        <f t="shared" si="199"/>
        <v>0</v>
      </c>
      <c r="EH35" s="64"/>
      <c r="EI35" s="73"/>
      <c r="EJ35" s="72">
        <f t="shared" si="252"/>
        <v>0</v>
      </c>
      <c r="EK35" s="64"/>
      <c r="EL35" s="73"/>
      <c r="EM35" s="72">
        <f t="shared" si="253"/>
        <v>0</v>
      </c>
      <c r="EN35" s="64"/>
      <c r="EO35" s="73"/>
      <c r="EP35" s="72">
        <f t="shared" si="200"/>
        <v>0</v>
      </c>
      <c r="EQ35" s="64"/>
      <c r="ER35" s="73"/>
      <c r="ES35" s="72">
        <f t="shared" si="201"/>
        <v>0</v>
      </c>
      <c r="ET35" s="64"/>
      <c r="EU35" s="73"/>
      <c r="EV35" s="72">
        <f t="shared" si="202"/>
        <v>0</v>
      </c>
      <c r="EW35" s="64"/>
      <c r="EX35" s="73"/>
      <c r="EY35" s="72">
        <f t="shared" si="254"/>
        <v>0</v>
      </c>
      <c r="EZ35" s="64"/>
      <c r="FA35" s="73"/>
      <c r="FB35" s="72">
        <f t="shared" si="255"/>
        <v>0</v>
      </c>
      <c r="FC35" s="64"/>
      <c r="FD35" s="73"/>
      <c r="FE35" s="72">
        <f t="shared" si="203"/>
        <v>0</v>
      </c>
      <c r="FF35" s="64"/>
      <c r="FG35" s="73"/>
      <c r="FH35" s="72">
        <f t="shared" si="204"/>
        <v>0</v>
      </c>
      <c r="FI35" s="64"/>
      <c r="FJ35" s="73"/>
      <c r="FK35" s="72">
        <f t="shared" si="205"/>
        <v>0</v>
      </c>
      <c r="FL35" s="64"/>
      <c r="FM35" s="73"/>
      <c r="FN35" s="72">
        <f t="shared" si="256"/>
        <v>0</v>
      </c>
      <c r="FO35" s="64"/>
      <c r="FP35" s="73"/>
      <c r="FQ35" s="72">
        <f t="shared" si="257"/>
        <v>0</v>
      </c>
      <c r="FR35" s="64"/>
      <c r="FS35" s="73"/>
      <c r="FT35" s="72">
        <f t="shared" si="206"/>
        <v>0</v>
      </c>
      <c r="FU35" s="64"/>
      <c r="FV35" s="73"/>
      <c r="FW35" s="72">
        <f t="shared" si="207"/>
        <v>0</v>
      </c>
      <c r="FX35" s="64"/>
      <c r="FY35" s="73"/>
      <c r="FZ35" s="72">
        <f t="shared" si="208"/>
        <v>0</v>
      </c>
      <c r="GA35" s="64"/>
      <c r="GB35" s="73"/>
      <c r="GC35" s="72">
        <f t="shared" si="258"/>
        <v>0</v>
      </c>
      <c r="GD35" s="64"/>
      <c r="GE35" s="73"/>
      <c r="GF35" s="72">
        <f t="shared" si="259"/>
        <v>0</v>
      </c>
      <c r="GG35" s="64"/>
      <c r="GH35" s="73"/>
      <c r="GI35" s="72">
        <f t="shared" si="209"/>
        <v>0</v>
      </c>
      <c r="GJ35" s="64"/>
      <c r="GK35" s="73"/>
      <c r="GL35" s="72">
        <f t="shared" si="210"/>
        <v>0</v>
      </c>
      <c r="GM35" s="64"/>
      <c r="GN35" s="73"/>
      <c r="GO35" s="72">
        <f t="shared" si="211"/>
        <v>0</v>
      </c>
      <c r="GP35" s="64"/>
      <c r="GQ35" s="73"/>
      <c r="GR35" s="72">
        <f t="shared" si="260"/>
        <v>0</v>
      </c>
      <c r="GS35" s="64"/>
      <c r="GT35" s="73"/>
      <c r="GU35" s="72">
        <f t="shared" si="261"/>
        <v>0</v>
      </c>
      <c r="GV35" s="64"/>
      <c r="GW35" s="73"/>
      <c r="GX35" s="72">
        <f t="shared" si="212"/>
        <v>0</v>
      </c>
      <c r="GY35" s="64"/>
      <c r="GZ35" s="73"/>
      <c r="HA35" s="72">
        <f t="shared" si="213"/>
        <v>0</v>
      </c>
      <c r="HB35" s="64"/>
      <c r="HC35" s="73"/>
      <c r="HD35" s="72">
        <f t="shared" si="214"/>
        <v>0</v>
      </c>
      <c r="HE35" s="64"/>
      <c r="HF35" s="73"/>
      <c r="HG35" s="72">
        <f t="shared" si="262"/>
        <v>0</v>
      </c>
      <c r="HH35" s="64"/>
      <c r="HI35" s="73"/>
      <c r="HJ35" s="72">
        <f t="shared" si="263"/>
        <v>0</v>
      </c>
      <c r="HK35" s="64"/>
      <c r="HL35" s="73"/>
      <c r="HM35" s="72">
        <f t="shared" si="215"/>
        <v>0</v>
      </c>
      <c r="HN35" s="64"/>
      <c r="HO35" s="73"/>
      <c r="HP35" s="72">
        <f t="shared" si="216"/>
        <v>0</v>
      </c>
      <c r="HQ35" s="64"/>
      <c r="HR35" s="73"/>
      <c r="HS35" s="72">
        <f t="shared" si="217"/>
        <v>0</v>
      </c>
      <c r="HT35" s="64"/>
      <c r="HU35" s="73"/>
      <c r="HV35" s="72">
        <f t="shared" si="264"/>
        <v>0</v>
      </c>
      <c r="HW35" s="64"/>
      <c r="HX35" s="73"/>
      <c r="HY35" s="72">
        <f t="shared" si="265"/>
        <v>0</v>
      </c>
      <c r="HZ35" s="64"/>
      <c r="IA35" s="73"/>
      <c r="IB35" s="72">
        <f t="shared" si="218"/>
        <v>0</v>
      </c>
      <c r="IC35" s="64"/>
      <c r="ID35" s="73"/>
      <c r="IE35" s="72">
        <f t="shared" si="219"/>
        <v>0</v>
      </c>
      <c r="IF35" s="64"/>
      <c r="IG35" s="73"/>
      <c r="IH35" s="72">
        <f t="shared" si="220"/>
        <v>0</v>
      </c>
      <c r="II35" s="64"/>
      <c r="IJ35" s="73"/>
      <c r="IK35" s="72">
        <f t="shared" si="266"/>
        <v>0</v>
      </c>
      <c r="IL35" s="64"/>
      <c r="IM35" s="73"/>
      <c r="IN35" s="72">
        <f t="shared" si="267"/>
        <v>0</v>
      </c>
      <c r="IO35" s="64"/>
      <c r="IP35" s="73"/>
      <c r="IQ35" s="72">
        <f t="shared" si="221"/>
        <v>0</v>
      </c>
      <c r="IR35" s="64"/>
      <c r="IS35" s="73"/>
      <c r="IT35" s="72">
        <f t="shared" si="222"/>
        <v>0</v>
      </c>
      <c r="IU35" s="64"/>
      <c r="IV35" s="73"/>
      <c r="IW35" s="72">
        <f t="shared" si="223"/>
        <v>0</v>
      </c>
      <c r="IX35" s="64"/>
      <c r="IY35" s="73"/>
      <c r="IZ35" s="72">
        <f t="shared" si="268"/>
        <v>0</v>
      </c>
      <c r="JA35" s="64"/>
      <c r="JB35" s="73"/>
      <c r="JC35" s="72">
        <f t="shared" si="269"/>
        <v>0</v>
      </c>
      <c r="JD35" s="64"/>
      <c r="JE35" s="73"/>
      <c r="JF35" s="72">
        <f t="shared" si="224"/>
        <v>0</v>
      </c>
      <c r="JG35" s="64"/>
      <c r="JH35" s="73"/>
      <c r="JI35" s="72">
        <f t="shared" si="225"/>
        <v>0</v>
      </c>
      <c r="JJ35" s="64"/>
      <c r="JK35" s="73"/>
      <c r="JL35" s="72">
        <f t="shared" si="226"/>
        <v>0</v>
      </c>
      <c r="JM35" s="64"/>
      <c r="JN35" s="73"/>
      <c r="JO35" s="72">
        <f t="shared" si="270"/>
        <v>0</v>
      </c>
      <c r="JP35" s="64"/>
      <c r="JQ35" s="73"/>
      <c r="JR35" s="72">
        <f t="shared" si="271"/>
        <v>0</v>
      </c>
      <c r="JS35" s="64"/>
      <c r="JT35" s="73"/>
      <c r="JU35" s="72">
        <f t="shared" si="227"/>
        <v>0</v>
      </c>
      <c r="JV35" s="64"/>
      <c r="JW35" s="73"/>
      <c r="JX35" s="72">
        <f t="shared" si="228"/>
        <v>0</v>
      </c>
      <c r="JY35" s="64"/>
      <c r="JZ35" s="73"/>
      <c r="KA35" s="72">
        <f t="shared" si="229"/>
        <v>0</v>
      </c>
      <c r="KB35" s="64"/>
      <c r="KC35" s="73"/>
      <c r="KD35" s="72">
        <f t="shared" si="272"/>
        <v>0</v>
      </c>
      <c r="KE35" s="64"/>
      <c r="KF35" s="73"/>
      <c r="KG35" s="72">
        <f t="shared" si="273"/>
        <v>0</v>
      </c>
      <c r="KH35" s="64"/>
      <c r="KI35" s="73"/>
      <c r="KJ35" s="72">
        <f t="shared" si="230"/>
        <v>0</v>
      </c>
      <c r="KK35" s="64"/>
      <c r="KL35" s="73"/>
      <c r="KM35" s="72">
        <f t="shared" si="231"/>
        <v>0</v>
      </c>
      <c r="KN35" s="64"/>
      <c r="KO35" s="73"/>
      <c r="KP35" s="72">
        <f t="shared" si="232"/>
        <v>0</v>
      </c>
      <c r="KQ35" s="64"/>
      <c r="KR35" s="73"/>
      <c r="KS35" s="72">
        <f t="shared" si="274"/>
        <v>0</v>
      </c>
      <c r="KT35" s="64"/>
      <c r="KU35" s="73"/>
      <c r="KV35" s="72">
        <f t="shared" si="275"/>
        <v>0</v>
      </c>
      <c r="KW35" s="64"/>
      <c r="KX35" s="73"/>
      <c r="KY35" s="72">
        <f t="shared" si="233"/>
        <v>0</v>
      </c>
      <c r="KZ35" s="64"/>
      <c r="LA35" s="73"/>
      <c r="LB35" s="72">
        <f t="shared" si="234"/>
        <v>0</v>
      </c>
      <c r="LC35" s="64"/>
      <c r="LD35" s="73"/>
      <c r="LE35" s="72">
        <f t="shared" si="235"/>
        <v>0</v>
      </c>
      <c r="LF35" s="64"/>
    </row>
    <row r="36" spans="1:318" s="784" customFormat="1">
      <c r="A36" s="49"/>
      <c r="B36" s="49"/>
      <c r="C36" s="435" t="str">
        <f>Idiomas!D332</f>
        <v>FINAL - Signo 1X2  (local, empate, visitante)</v>
      </c>
      <c r="D36" s="62">
        <v>14</v>
      </c>
      <c r="E36" s="109"/>
      <c r="F36" s="443">
        <f t="shared" si="236"/>
        <v>15</v>
      </c>
      <c r="G36" s="443">
        <f ca="1">VLOOKUP(H36,Equipos!$Q$1:$R$25,2,0)</f>
        <v>9</v>
      </c>
      <c r="H36" s="444">
        <f ca="1">TRUNC(INDEX(WORLDCUP!$X$4:$X$147,MATCH(ADMIN!K36,WORLDCUP!$DT$4:$DT$147,0))+INDEX(Horarios!$R$3:$R$86,MATCH(Horarios!$C$3,Horarios!$P$3:$P$86,0))/24)</f>
        <v>46192</v>
      </c>
      <c r="I36" s="48">
        <v>1</v>
      </c>
      <c r="J36" s="94"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276"/>
        <v>0</v>
      </c>
      <c r="R36" s="49"/>
      <c r="S36" s="796" t="s">
        <v>1948</v>
      </c>
      <c r="T36" s="72">
        <f t="shared" si="237"/>
        <v>0</v>
      </c>
      <c r="U36" s="64"/>
      <c r="V36" s="73" t="s">
        <v>1955</v>
      </c>
      <c r="W36" s="72">
        <f t="shared" si="238"/>
        <v>0</v>
      </c>
      <c r="X36" s="64"/>
      <c r="Y36" s="796" t="s">
        <v>1955</v>
      </c>
      <c r="Z36" s="72">
        <f t="shared" si="176"/>
        <v>0</v>
      </c>
      <c r="AA36" s="64"/>
      <c r="AB36" s="796" t="s">
        <v>1961</v>
      </c>
      <c r="AC36" s="72">
        <f t="shared" si="177"/>
        <v>0</v>
      </c>
      <c r="AD36" s="64"/>
      <c r="AE36" s="796" t="s">
        <v>2007</v>
      </c>
      <c r="AF36" s="72">
        <f t="shared" si="280"/>
        <v>0</v>
      </c>
      <c r="AG36" s="64"/>
      <c r="AH36" s="796" t="s">
        <v>1961</v>
      </c>
      <c r="AI36" s="72">
        <f t="shared" si="240"/>
        <v>0</v>
      </c>
      <c r="AJ36" s="64"/>
      <c r="AK36" s="806" t="s">
        <v>2007</v>
      </c>
      <c r="AL36" s="72">
        <f t="shared" si="241"/>
        <v>0</v>
      </c>
      <c r="AM36" s="64"/>
      <c r="AN36" s="796" t="s">
        <v>1958</v>
      </c>
      <c r="AO36" s="72">
        <f t="shared" si="179"/>
        <v>0</v>
      </c>
      <c r="AP36" s="64"/>
      <c r="AQ36" s="806" t="s">
        <v>1950</v>
      </c>
      <c r="AR36" s="72">
        <f t="shared" si="180"/>
        <v>0</v>
      </c>
      <c r="AS36" s="64"/>
      <c r="AT36" s="796" t="s">
        <v>1955</v>
      </c>
      <c r="AU36" s="72">
        <f t="shared" si="181"/>
        <v>0</v>
      </c>
      <c r="AV36" s="64"/>
      <c r="AW36" s="796" t="s">
        <v>1955</v>
      </c>
      <c r="AX36" s="72">
        <f t="shared" si="242"/>
        <v>0</v>
      </c>
      <c r="AY36" s="64"/>
      <c r="AZ36" s="796" t="s">
        <v>1963</v>
      </c>
      <c r="BA36" s="72">
        <f t="shared" si="243"/>
        <v>0</v>
      </c>
      <c r="BB36" s="64"/>
      <c r="BC36" s="796" t="s">
        <v>1948</v>
      </c>
      <c r="BD36" s="72">
        <f t="shared" si="182"/>
        <v>0</v>
      </c>
      <c r="BE36" s="64"/>
      <c r="BF36" s="796" t="s">
        <v>1955</v>
      </c>
      <c r="BG36" s="72">
        <f t="shared" si="183"/>
        <v>0</v>
      </c>
      <c r="BH36" s="64"/>
      <c r="BI36" s="796" t="s">
        <v>1948</v>
      </c>
      <c r="BJ36" s="72">
        <f t="shared" si="184"/>
        <v>0</v>
      </c>
      <c r="BK36" s="64"/>
      <c r="BL36" s="796" t="s">
        <v>1955</v>
      </c>
      <c r="BM36" s="72">
        <f t="shared" si="244"/>
        <v>0</v>
      </c>
      <c r="BN36" s="64"/>
      <c r="BO36" s="816" t="s">
        <v>1955</v>
      </c>
      <c r="BP36" s="72">
        <f t="shared" si="245"/>
        <v>0</v>
      </c>
      <c r="BQ36" s="64"/>
      <c r="BR36" s="796" t="s">
        <v>1955</v>
      </c>
      <c r="BS36" s="72">
        <f t="shared" si="185"/>
        <v>0</v>
      </c>
      <c r="BT36" s="64"/>
      <c r="BU36" s="796" t="s">
        <v>1955</v>
      </c>
      <c r="BV36" s="72">
        <f t="shared" si="186"/>
        <v>0</v>
      </c>
      <c r="BW36" s="64"/>
      <c r="BX36" s="73" t="s">
        <v>1955</v>
      </c>
      <c r="BY36" s="72">
        <f t="shared" si="187"/>
        <v>0</v>
      </c>
      <c r="BZ36" s="64"/>
      <c r="CA36" s="816" t="s">
        <v>1955</v>
      </c>
      <c r="CB36" s="72">
        <f t="shared" si="246"/>
        <v>0</v>
      </c>
      <c r="CC36" s="64"/>
      <c r="CD36" s="825" t="s">
        <v>1948</v>
      </c>
      <c r="CE36" s="72">
        <f t="shared" si="247"/>
        <v>0</v>
      </c>
      <c r="CF36" s="64"/>
      <c r="CG36" s="796" t="s">
        <v>1955</v>
      </c>
      <c r="CH36" s="72">
        <f t="shared" si="188"/>
        <v>0</v>
      </c>
      <c r="CI36" s="64"/>
      <c r="CJ36" s="796" t="s">
        <v>1958</v>
      </c>
      <c r="CK36" s="72">
        <f t="shared" si="189"/>
        <v>0</v>
      </c>
      <c r="CL36" s="64"/>
      <c r="CM36" s="796" t="s">
        <v>1948</v>
      </c>
      <c r="CN36" s="72">
        <f t="shared" si="190"/>
        <v>0</v>
      </c>
      <c r="CO36" s="64"/>
      <c r="CP36" s="796" t="s">
        <v>1960</v>
      </c>
      <c r="CQ36" s="72">
        <f t="shared" si="248"/>
        <v>0</v>
      </c>
      <c r="CR36" s="64"/>
      <c r="CS36" s="796" t="s">
        <v>1955</v>
      </c>
      <c r="CT36" s="72">
        <f t="shared" si="249"/>
        <v>0</v>
      </c>
      <c r="CU36" s="64"/>
      <c r="CV36" s="796" t="s">
        <v>1958</v>
      </c>
      <c r="CW36" s="72">
        <f t="shared" si="191"/>
        <v>0</v>
      </c>
      <c r="CX36" s="64"/>
      <c r="CY36" s="796" t="s">
        <v>1955</v>
      </c>
      <c r="CZ36" s="72">
        <f t="shared" si="250"/>
        <v>0</v>
      </c>
      <c r="DA36" s="64"/>
      <c r="DB36" s="796" t="s">
        <v>1958</v>
      </c>
      <c r="DC36" s="72">
        <f t="shared" si="192"/>
        <v>0</v>
      </c>
      <c r="DD36" s="64"/>
      <c r="DE36" s="796" t="s">
        <v>1960</v>
      </c>
      <c r="DF36" s="72">
        <f t="shared" si="193"/>
        <v>0</v>
      </c>
      <c r="DG36" s="64"/>
      <c r="DH36" s="796" t="s">
        <v>1948</v>
      </c>
      <c r="DI36" s="72">
        <f t="shared" si="194"/>
        <v>0</v>
      </c>
      <c r="DJ36" s="64"/>
      <c r="DK36" s="796" t="s">
        <v>1948</v>
      </c>
      <c r="DL36" s="72">
        <f t="shared" si="195"/>
        <v>0</v>
      </c>
      <c r="DM36" s="64"/>
      <c r="DN36" s="73"/>
      <c r="DO36" s="72">
        <f t="shared" si="196"/>
        <v>0</v>
      </c>
      <c r="DP36" s="64"/>
      <c r="DQ36" s="796" t="s">
        <v>1961</v>
      </c>
      <c r="DR36" s="72">
        <f t="shared" si="251"/>
        <v>0</v>
      </c>
      <c r="DS36" s="64"/>
      <c r="DT36" s="73" t="s">
        <v>1948</v>
      </c>
      <c r="DU36" s="72">
        <f t="shared" si="277"/>
        <v>0</v>
      </c>
      <c r="DV36" s="64"/>
      <c r="DW36" s="73"/>
      <c r="DX36" s="72">
        <f t="shared" si="278"/>
        <v>0</v>
      </c>
      <c r="DY36" s="64"/>
      <c r="DZ36" s="73"/>
      <c r="EA36" s="72">
        <f t="shared" si="197"/>
        <v>0</v>
      </c>
      <c r="EB36" s="64"/>
      <c r="EC36" s="73"/>
      <c r="ED36" s="72">
        <f t="shared" si="198"/>
        <v>0</v>
      </c>
      <c r="EE36" s="64"/>
      <c r="EF36" s="73"/>
      <c r="EG36" s="72">
        <f t="shared" si="199"/>
        <v>0</v>
      </c>
      <c r="EH36" s="64"/>
      <c r="EI36" s="73"/>
      <c r="EJ36" s="72">
        <f t="shared" si="252"/>
        <v>0</v>
      </c>
      <c r="EK36" s="64"/>
      <c r="EL36" s="73"/>
      <c r="EM36" s="72">
        <f t="shared" si="253"/>
        <v>0</v>
      </c>
      <c r="EN36" s="64"/>
      <c r="EO36" s="73"/>
      <c r="EP36" s="72">
        <f t="shared" si="200"/>
        <v>0</v>
      </c>
      <c r="EQ36" s="64"/>
      <c r="ER36" s="73"/>
      <c r="ES36" s="72">
        <f t="shared" si="201"/>
        <v>0</v>
      </c>
      <c r="ET36" s="64"/>
      <c r="EU36" s="73"/>
      <c r="EV36" s="72">
        <f t="shared" si="202"/>
        <v>0</v>
      </c>
      <c r="EW36" s="64"/>
      <c r="EX36" s="73"/>
      <c r="EY36" s="72">
        <f t="shared" si="254"/>
        <v>0</v>
      </c>
      <c r="EZ36" s="64"/>
      <c r="FA36" s="73"/>
      <c r="FB36" s="72">
        <f t="shared" si="255"/>
        <v>0</v>
      </c>
      <c r="FC36" s="64"/>
      <c r="FD36" s="73"/>
      <c r="FE36" s="72">
        <f t="shared" si="203"/>
        <v>0</v>
      </c>
      <c r="FF36" s="64"/>
      <c r="FG36" s="73"/>
      <c r="FH36" s="72">
        <f t="shared" si="204"/>
        <v>0</v>
      </c>
      <c r="FI36" s="64"/>
      <c r="FJ36" s="73"/>
      <c r="FK36" s="72">
        <f t="shared" si="205"/>
        <v>0</v>
      </c>
      <c r="FL36" s="64"/>
      <c r="FM36" s="73"/>
      <c r="FN36" s="72">
        <f t="shared" si="256"/>
        <v>0</v>
      </c>
      <c r="FO36" s="64"/>
      <c r="FP36" s="73"/>
      <c r="FQ36" s="72">
        <f t="shared" si="257"/>
        <v>0</v>
      </c>
      <c r="FR36" s="64"/>
      <c r="FS36" s="73"/>
      <c r="FT36" s="72">
        <f t="shared" si="206"/>
        <v>0</v>
      </c>
      <c r="FU36" s="64"/>
      <c r="FV36" s="73"/>
      <c r="FW36" s="72">
        <f t="shared" si="207"/>
        <v>0</v>
      </c>
      <c r="FX36" s="64"/>
      <c r="FY36" s="73"/>
      <c r="FZ36" s="72">
        <f t="shared" si="208"/>
        <v>0</v>
      </c>
      <c r="GA36" s="64"/>
      <c r="GB36" s="73"/>
      <c r="GC36" s="72">
        <f t="shared" si="258"/>
        <v>0</v>
      </c>
      <c r="GD36" s="64"/>
      <c r="GE36" s="73"/>
      <c r="GF36" s="72">
        <f t="shared" si="259"/>
        <v>0</v>
      </c>
      <c r="GG36" s="64"/>
      <c r="GH36" s="73"/>
      <c r="GI36" s="72">
        <f t="shared" si="209"/>
        <v>0</v>
      </c>
      <c r="GJ36" s="64"/>
      <c r="GK36" s="73"/>
      <c r="GL36" s="72">
        <f t="shared" si="210"/>
        <v>0</v>
      </c>
      <c r="GM36" s="64"/>
      <c r="GN36" s="73"/>
      <c r="GO36" s="72">
        <f t="shared" si="211"/>
        <v>0</v>
      </c>
      <c r="GP36" s="64"/>
      <c r="GQ36" s="73"/>
      <c r="GR36" s="72">
        <f t="shared" si="260"/>
        <v>0</v>
      </c>
      <c r="GS36" s="64"/>
      <c r="GT36" s="73"/>
      <c r="GU36" s="72">
        <f t="shared" si="261"/>
        <v>0</v>
      </c>
      <c r="GV36" s="64"/>
      <c r="GW36" s="73"/>
      <c r="GX36" s="72">
        <f t="shared" si="212"/>
        <v>0</v>
      </c>
      <c r="GY36" s="64"/>
      <c r="GZ36" s="73"/>
      <c r="HA36" s="72">
        <f t="shared" si="213"/>
        <v>0</v>
      </c>
      <c r="HB36" s="64"/>
      <c r="HC36" s="73"/>
      <c r="HD36" s="72">
        <f t="shared" si="214"/>
        <v>0</v>
      </c>
      <c r="HE36" s="64"/>
      <c r="HF36" s="73"/>
      <c r="HG36" s="72">
        <f t="shared" si="262"/>
        <v>0</v>
      </c>
      <c r="HH36" s="64"/>
      <c r="HI36" s="73"/>
      <c r="HJ36" s="72">
        <f t="shared" si="263"/>
        <v>0</v>
      </c>
      <c r="HK36" s="64"/>
      <c r="HL36" s="73"/>
      <c r="HM36" s="72">
        <f t="shared" si="215"/>
        <v>0</v>
      </c>
      <c r="HN36" s="64"/>
      <c r="HO36" s="73"/>
      <c r="HP36" s="72">
        <f t="shared" si="216"/>
        <v>0</v>
      </c>
      <c r="HQ36" s="64"/>
      <c r="HR36" s="73"/>
      <c r="HS36" s="72">
        <f t="shared" si="217"/>
        <v>0</v>
      </c>
      <c r="HT36" s="64"/>
      <c r="HU36" s="73"/>
      <c r="HV36" s="72">
        <f t="shared" si="264"/>
        <v>0</v>
      </c>
      <c r="HW36" s="64"/>
      <c r="HX36" s="73"/>
      <c r="HY36" s="72">
        <f t="shared" si="265"/>
        <v>0</v>
      </c>
      <c r="HZ36" s="64"/>
      <c r="IA36" s="73"/>
      <c r="IB36" s="72">
        <f t="shared" si="218"/>
        <v>0</v>
      </c>
      <c r="IC36" s="64"/>
      <c r="ID36" s="73"/>
      <c r="IE36" s="72">
        <f t="shared" si="219"/>
        <v>0</v>
      </c>
      <c r="IF36" s="64"/>
      <c r="IG36" s="73"/>
      <c r="IH36" s="72">
        <f t="shared" si="220"/>
        <v>0</v>
      </c>
      <c r="II36" s="64"/>
      <c r="IJ36" s="73"/>
      <c r="IK36" s="72">
        <f t="shared" si="266"/>
        <v>0</v>
      </c>
      <c r="IL36" s="64"/>
      <c r="IM36" s="73"/>
      <c r="IN36" s="72">
        <f t="shared" si="267"/>
        <v>0</v>
      </c>
      <c r="IO36" s="64"/>
      <c r="IP36" s="73"/>
      <c r="IQ36" s="72">
        <f t="shared" si="221"/>
        <v>0</v>
      </c>
      <c r="IR36" s="64"/>
      <c r="IS36" s="73"/>
      <c r="IT36" s="72">
        <f t="shared" si="222"/>
        <v>0</v>
      </c>
      <c r="IU36" s="64"/>
      <c r="IV36" s="73"/>
      <c r="IW36" s="72">
        <f t="shared" si="223"/>
        <v>0</v>
      </c>
      <c r="IX36" s="64"/>
      <c r="IY36" s="73"/>
      <c r="IZ36" s="72">
        <f t="shared" si="268"/>
        <v>0</v>
      </c>
      <c r="JA36" s="64"/>
      <c r="JB36" s="73"/>
      <c r="JC36" s="72">
        <f t="shared" si="269"/>
        <v>0</v>
      </c>
      <c r="JD36" s="64"/>
      <c r="JE36" s="73"/>
      <c r="JF36" s="72">
        <f t="shared" si="224"/>
        <v>0</v>
      </c>
      <c r="JG36" s="64"/>
      <c r="JH36" s="73"/>
      <c r="JI36" s="72">
        <f t="shared" si="225"/>
        <v>0</v>
      </c>
      <c r="JJ36" s="64"/>
      <c r="JK36" s="73"/>
      <c r="JL36" s="72">
        <f t="shared" si="226"/>
        <v>0</v>
      </c>
      <c r="JM36" s="64"/>
      <c r="JN36" s="73"/>
      <c r="JO36" s="72">
        <f t="shared" si="270"/>
        <v>0</v>
      </c>
      <c r="JP36" s="64"/>
      <c r="JQ36" s="73"/>
      <c r="JR36" s="72">
        <f t="shared" si="271"/>
        <v>0</v>
      </c>
      <c r="JS36" s="64"/>
      <c r="JT36" s="73"/>
      <c r="JU36" s="72">
        <f t="shared" si="227"/>
        <v>0</v>
      </c>
      <c r="JV36" s="64"/>
      <c r="JW36" s="73"/>
      <c r="JX36" s="72">
        <f t="shared" si="228"/>
        <v>0</v>
      </c>
      <c r="JY36" s="64"/>
      <c r="JZ36" s="73"/>
      <c r="KA36" s="72">
        <f t="shared" si="229"/>
        <v>0</v>
      </c>
      <c r="KB36" s="64"/>
      <c r="KC36" s="73"/>
      <c r="KD36" s="72">
        <f t="shared" si="272"/>
        <v>0</v>
      </c>
      <c r="KE36" s="64"/>
      <c r="KF36" s="73"/>
      <c r="KG36" s="72">
        <f t="shared" si="273"/>
        <v>0</v>
      </c>
      <c r="KH36" s="64"/>
      <c r="KI36" s="73"/>
      <c r="KJ36" s="72">
        <f t="shared" si="230"/>
        <v>0</v>
      </c>
      <c r="KK36" s="64"/>
      <c r="KL36" s="73"/>
      <c r="KM36" s="72">
        <f t="shared" si="231"/>
        <v>0</v>
      </c>
      <c r="KN36" s="64"/>
      <c r="KO36" s="73"/>
      <c r="KP36" s="72">
        <f t="shared" si="232"/>
        <v>0</v>
      </c>
      <c r="KQ36" s="64"/>
      <c r="KR36" s="73"/>
      <c r="KS36" s="72">
        <f t="shared" si="274"/>
        <v>0</v>
      </c>
      <c r="KT36" s="64"/>
      <c r="KU36" s="73"/>
      <c r="KV36" s="72">
        <f t="shared" si="275"/>
        <v>0</v>
      </c>
      <c r="KW36" s="64"/>
      <c r="KX36" s="73"/>
      <c r="KY36" s="72">
        <f t="shared" si="233"/>
        <v>0</v>
      </c>
      <c r="KZ36" s="64"/>
      <c r="LA36" s="73"/>
      <c r="LB36" s="72">
        <f t="shared" si="234"/>
        <v>0</v>
      </c>
      <c r="LC36" s="64"/>
      <c r="LD36" s="73"/>
      <c r="LE36" s="72">
        <f t="shared" si="235"/>
        <v>0</v>
      </c>
      <c r="LF36" s="64"/>
    </row>
    <row r="37" spans="1:318" s="784" customFormat="1">
      <c r="A37" s="49"/>
      <c r="B37" s="49"/>
      <c r="C37" s="436" t="str">
        <f>Idiomas!D333&amp;"**"</f>
        <v>FINAL - Diferencia/Distancia de goles (Con 1X2 acertado)**</v>
      </c>
      <c r="D37" s="62">
        <v>0</v>
      </c>
      <c r="E37" s="109"/>
      <c r="F37" s="443">
        <f t="shared" si="236"/>
        <v>15</v>
      </c>
      <c r="G37" s="443">
        <f ca="1">VLOOKUP(H37,Equipos!$Q$1:$R$25,2,0)</f>
        <v>9</v>
      </c>
      <c r="H37" s="444">
        <f ca="1">TRUNC(INDEX(WORLDCUP!$X$4:$X$147,MATCH(ADMIN!K37,WORLDCUP!$DT$4:$DT$147,0))+INDEX(Horarios!$R$3:$R$86,MATCH(Horarios!$C$3,Horarios!$P$3:$P$86,0))/24)</f>
        <v>46192</v>
      </c>
      <c r="I37" s="48">
        <v>1</v>
      </c>
      <c r="J37" s="94"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276"/>
        <v>0</v>
      </c>
      <c r="R37" s="49"/>
      <c r="S37" s="796" t="s">
        <v>1960</v>
      </c>
      <c r="T37" s="72">
        <f t="shared" si="237"/>
        <v>0</v>
      </c>
      <c r="U37" s="64"/>
      <c r="V37" s="73" t="s">
        <v>1958</v>
      </c>
      <c r="W37" s="72">
        <f t="shared" si="238"/>
        <v>0</v>
      </c>
      <c r="X37" s="64"/>
      <c r="Y37" s="796" t="s">
        <v>2007</v>
      </c>
      <c r="Z37" s="72">
        <f t="shared" si="176"/>
        <v>0</v>
      </c>
      <c r="AA37" s="64"/>
      <c r="AB37" s="796" t="s">
        <v>2007</v>
      </c>
      <c r="AC37" s="72">
        <f t="shared" si="177"/>
        <v>0</v>
      </c>
      <c r="AD37" s="64"/>
      <c r="AE37" s="796" t="s">
        <v>2007</v>
      </c>
      <c r="AF37" s="72">
        <f t="shared" si="280"/>
        <v>0</v>
      </c>
      <c r="AG37" s="64"/>
      <c r="AH37" s="796" t="s">
        <v>1958</v>
      </c>
      <c r="AI37" s="72">
        <f t="shared" si="240"/>
        <v>0</v>
      </c>
      <c r="AJ37" s="64"/>
      <c r="AK37" s="806" t="s">
        <v>1949</v>
      </c>
      <c r="AL37" s="72">
        <f t="shared" si="241"/>
        <v>0</v>
      </c>
      <c r="AM37" s="64"/>
      <c r="AN37" s="796" t="s">
        <v>1961</v>
      </c>
      <c r="AO37" s="72">
        <f t="shared" si="179"/>
        <v>0</v>
      </c>
      <c r="AP37" s="64"/>
      <c r="AQ37" s="806" t="s">
        <v>1958</v>
      </c>
      <c r="AR37" s="72">
        <f t="shared" si="180"/>
        <v>0</v>
      </c>
      <c r="AS37" s="64"/>
      <c r="AT37" s="796" t="s">
        <v>1949</v>
      </c>
      <c r="AU37" s="72">
        <f t="shared" si="181"/>
        <v>0</v>
      </c>
      <c r="AV37" s="64"/>
      <c r="AW37" s="796" t="s">
        <v>1948</v>
      </c>
      <c r="AX37" s="72">
        <f t="shared" si="242"/>
        <v>0</v>
      </c>
      <c r="AY37" s="64"/>
      <c r="AZ37" s="796" t="s">
        <v>1950</v>
      </c>
      <c r="BA37" s="72">
        <f t="shared" si="243"/>
        <v>0</v>
      </c>
      <c r="BB37" s="64"/>
      <c r="BC37" s="796" t="s">
        <v>1960</v>
      </c>
      <c r="BD37" s="72">
        <f t="shared" si="182"/>
        <v>0</v>
      </c>
      <c r="BE37" s="64"/>
      <c r="BF37" s="796" t="s">
        <v>1947</v>
      </c>
      <c r="BG37" s="72">
        <f t="shared" si="183"/>
        <v>0</v>
      </c>
      <c r="BH37" s="64"/>
      <c r="BI37" s="796" t="s">
        <v>1961</v>
      </c>
      <c r="BJ37" s="72">
        <f t="shared" si="184"/>
        <v>0</v>
      </c>
      <c r="BK37" s="64"/>
      <c r="BL37" s="796" t="s">
        <v>1961</v>
      </c>
      <c r="BM37" s="72">
        <f t="shared" si="244"/>
        <v>0</v>
      </c>
      <c r="BN37" s="64"/>
      <c r="BO37" s="816" t="s">
        <v>1955</v>
      </c>
      <c r="BP37" s="72">
        <f t="shared" si="245"/>
        <v>0</v>
      </c>
      <c r="BQ37" s="64"/>
      <c r="BR37" s="796" t="s">
        <v>1961</v>
      </c>
      <c r="BS37" s="72">
        <f t="shared" si="185"/>
        <v>0</v>
      </c>
      <c r="BT37" s="64"/>
      <c r="BU37" s="796" t="s">
        <v>1958</v>
      </c>
      <c r="BV37" s="72">
        <f t="shared" si="186"/>
        <v>0</v>
      </c>
      <c r="BW37" s="64"/>
      <c r="BX37" s="73" t="s">
        <v>2007</v>
      </c>
      <c r="BY37" s="72">
        <f t="shared" si="187"/>
        <v>0</v>
      </c>
      <c r="BZ37" s="64"/>
      <c r="CA37" s="816" t="s">
        <v>1948</v>
      </c>
      <c r="CB37" s="72">
        <f t="shared" si="246"/>
        <v>0</v>
      </c>
      <c r="CC37" s="64"/>
      <c r="CD37" s="825" t="s">
        <v>1955</v>
      </c>
      <c r="CE37" s="72">
        <f t="shared" si="247"/>
        <v>0</v>
      </c>
      <c r="CF37" s="64"/>
      <c r="CG37" s="796" t="s">
        <v>1961</v>
      </c>
      <c r="CH37" s="72">
        <f t="shared" si="188"/>
        <v>0</v>
      </c>
      <c r="CI37" s="64"/>
      <c r="CJ37" s="796" t="s">
        <v>1961</v>
      </c>
      <c r="CK37" s="72">
        <f t="shared" si="189"/>
        <v>0</v>
      </c>
      <c r="CL37" s="64"/>
      <c r="CM37" s="796" t="s">
        <v>1949</v>
      </c>
      <c r="CN37" s="72">
        <f t="shared" si="190"/>
        <v>0</v>
      </c>
      <c r="CO37" s="64"/>
      <c r="CP37" s="796" t="s">
        <v>1949</v>
      </c>
      <c r="CQ37" s="72">
        <f t="shared" si="248"/>
        <v>0</v>
      </c>
      <c r="CR37" s="64"/>
      <c r="CS37" s="796" t="s">
        <v>1950</v>
      </c>
      <c r="CT37" s="72">
        <f t="shared" si="249"/>
        <v>0</v>
      </c>
      <c r="CU37" s="64"/>
      <c r="CV37" s="796" t="s">
        <v>1961</v>
      </c>
      <c r="CW37" s="72">
        <f t="shared" si="191"/>
        <v>0</v>
      </c>
      <c r="CX37" s="64"/>
      <c r="CY37" s="796" t="s">
        <v>1948</v>
      </c>
      <c r="CZ37" s="72">
        <f t="shared" si="250"/>
        <v>0</v>
      </c>
      <c r="DA37" s="64"/>
      <c r="DB37" s="796" t="s">
        <v>1961</v>
      </c>
      <c r="DC37" s="72">
        <f t="shared" si="192"/>
        <v>0</v>
      </c>
      <c r="DD37" s="64"/>
      <c r="DE37" s="796" t="s">
        <v>1954</v>
      </c>
      <c r="DF37" s="72">
        <f t="shared" si="193"/>
        <v>0</v>
      </c>
      <c r="DG37" s="64"/>
      <c r="DH37" s="796" t="s">
        <v>1949</v>
      </c>
      <c r="DI37" s="72">
        <f t="shared" si="194"/>
        <v>0</v>
      </c>
      <c r="DJ37" s="64"/>
      <c r="DK37" s="796" t="s">
        <v>1955</v>
      </c>
      <c r="DL37" s="72">
        <f t="shared" si="195"/>
        <v>0</v>
      </c>
      <c r="DM37" s="64"/>
      <c r="DN37" s="73"/>
      <c r="DO37" s="72">
        <f t="shared" si="196"/>
        <v>0</v>
      </c>
      <c r="DP37" s="64"/>
      <c r="DQ37" s="796" t="s">
        <v>2007</v>
      </c>
      <c r="DR37" s="72">
        <f t="shared" si="251"/>
        <v>0</v>
      </c>
      <c r="DS37" s="64"/>
      <c r="DT37" s="73" t="s">
        <v>1948</v>
      </c>
      <c r="DU37" s="72">
        <f t="shared" si="277"/>
        <v>0</v>
      </c>
      <c r="DV37" s="64"/>
      <c r="DW37" s="73"/>
      <c r="DX37" s="72">
        <f t="shared" si="278"/>
        <v>0</v>
      </c>
      <c r="DY37" s="64"/>
      <c r="DZ37" s="73"/>
      <c r="EA37" s="72">
        <f t="shared" si="197"/>
        <v>0</v>
      </c>
      <c r="EB37" s="64"/>
      <c r="EC37" s="73"/>
      <c r="ED37" s="72">
        <f t="shared" si="198"/>
        <v>0</v>
      </c>
      <c r="EE37" s="64"/>
      <c r="EF37" s="73"/>
      <c r="EG37" s="72">
        <f t="shared" si="199"/>
        <v>0</v>
      </c>
      <c r="EH37" s="64"/>
      <c r="EI37" s="73"/>
      <c r="EJ37" s="72">
        <f t="shared" si="252"/>
        <v>0</v>
      </c>
      <c r="EK37" s="64"/>
      <c r="EL37" s="73"/>
      <c r="EM37" s="72">
        <f t="shared" si="253"/>
        <v>0</v>
      </c>
      <c r="EN37" s="64"/>
      <c r="EO37" s="73"/>
      <c r="EP37" s="72">
        <f t="shared" si="200"/>
        <v>0</v>
      </c>
      <c r="EQ37" s="64"/>
      <c r="ER37" s="73"/>
      <c r="ES37" s="72">
        <f t="shared" si="201"/>
        <v>0</v>
      </c>
      <c r="ET37" s="64"/>
      <c r="EU37" s="73"/>
      <c r="EV37" s="72">
        <f t="shared" si="202"/>
        <v>0</v>
      </c>
      <c r="EW37" s="64"/>
      <c r="EX37" s="73"/>
      <c r="EY37" s="72">
        <f t="shared" si="254"/>
        <v>0</v>
      </c>
      <c r="EZ37" s="64"/>
      <c r="FA37" s="73"/>
      <c r="FB37" s="72">
        <f t="shared" si="255"/>
        <v>0</v>
      </c>
      <c r="FC37" s="64"/>
      <c r="FD37" s="73"/>
      <c r="FE37" s="72">
        <f t="shared" si="203"/>
        <v>0</v>
      </c>
      <c r="FF37" s="64"/>
      <c r="FG37" s="73"/>
      <c r="FH37" s="72">
        <f t="shared" si="204"/>
        <v>0</v>
      </c>
      <c r="FI37" s="64"/>
      <c r="FJ37" s="73"/>
      <c r="FK37" s="72">
        <f t="shared" si="205"/>
        <v>0</v>
      </c>
      <c r="FL37" s="64"/>
      <c r="FM37" s="73"/>
      <c r="FN37" s="72">
        <f t="shared" si="256"/>
        <v>0</v>
      </c>
      <c r="FO37" s="64"/>
      <c r="FP37" s="73"/>
      <c r="FQ37" s="72">
        <f t="shared" si="257"/>
        <v>0</v>
      </c>
      <c r="FR37" s="64"/>
      <c r="FS37" s="73"/>
      <c r="FT37" s="72">
        <f t="shared" si="206"/>
        <v>0</v>
      </c>
      <c r="FU37" s="64"/>
      <c r="FV37" s="73"/>
      <c r="FW37" s="72">
        <f t="shared" si="207"/>
        <v>0</v>
      </c>
      <c r="FX37" s="64"/>
      <c r="FY37" s="73"/>
      <c r="FZ37" s="72">
        <f t="shared" si="208"/>
        <v>0</v>
      </c>
      <c r="GA37" s="64"/>
      <c r="GB37" s="73"/>
      <c r="GC37" s="72">
        <f t="shared" si="258"/>
        <v>0</v>
      </c>
      <c r="GD37" s="64"/>
      <c r="GE37" s="73"/>
      <c r="GF37" s="72">
        <f t="shared" si="259"/>
        <v>0</v>
      </c>
      <c r="GG37" s="64"/>
      <c r="GH37" s="73"/>
      <c r="GI37" s="72">
        <f t="shared" si="209"/>
        <v>0</v>
      </c>
      <c r="GJ37" s="64"/>
      <c r="GK37" s="73"/>
      <c r="GL37" s="72">
        <f t="shared" si="210"/>
        <v>0</v>
      </c>
      <c r="GM37" s="64"/>
      <c r="GN37" s="73"/>
      <c r="GO37" s="72">
        <f t="shared" si="211"/>
        <v>0</v>
      </c>
      <c r="GP37" s="64"/>
      <c r="GQ37" s="73"/>
      <c r="GR37" s="72">
        <f t="shared" si="260"/>
        <v>0</v>
      </c>
      <c r="GS37" s="64"/>
      <c r="GT37" s="73"/>
      <c r="GU37" s="72">
        <f t="shared" si="261"/>
        <v>0</v>
      </c>
      <c r="GV37" s="64"/>
      <c r="GW37" s="73"/>
      <c r="GX37" s="72">
        <f t="shared" si="212"/>
        <v>0</v>
      </c>
      <c r="GY37" s="64"/>
      <c r="GZ37" s="73"/>
      <c r="HA37" s="72">
        <f t="shared" si="213"/>
        <v>0</v>
      </c>
      <c r="HB37" s="64"/>
      <c r="HC37" s="73"/>
      <c r="HD37" s="72">
        <f t="shared" si="214"/>
        <v>0</v>
      </c>
      <c r="HE37" s="64"/>
      <c r="HF37" s="73"/>
      <c r="HG37" s="72">
        <f t="shared" si="262"/>
        <v>0</v>
      </c>
      <c r="HH37" s="64"/>
      <c r="HI37" s="73"/>
      <c r="HJ37" s="72">
        <f t="shared" si="263"/>
        <v>0</v>
      </c>
      <c r="HK37" s="64"/>
      <c r="HL37" s="73"/>
      <c r="HM37" s="72">
        <f t="shared" si="215"/>
        <v>0</v>
      </c>
      <c r="HN37" s="64"/>
      <c r="HO37" s="73"/>
      <c r="HP37" s="72">
        <f t="shared" si="216"/>
        <v>0</v>
      </c>
      <c r="HQ37" s="64"/>
      <c r="HR37" s="73"/>
      <c r="HS37" s="72">
        <f t="shared" si="217"/>
        <v>0</v>
      </c>
      <c r="HT37" s="64"/>
      <c r="HU37" s="73"/>
      <c r="HV37" s="72">
        <f t="shared" si="264"/>
        <v>0</v>
      </c>
      <c r="HW37" s="64"/>
      <c r="HX37" s="73"/>
      <c r="HY37" s="72">
        <f t="shared" si="265"/>
        <v>0</v>
      </c>
      <c r="HZ37" s="64"/>
      <c r="IA37" s="73"/>
      <c r="IB37" s="72">
        <f t="shared" si="218"/>
        <v>0</v>
      </c>
      <c r="IC37" s="64"/>
      <c r="ID37" s="73"/>
      <c r="IE37" s="72">
        <f t="shared" si="219"/>
        <v>0</v>
      </c>
      <c r="IF37" s="64"/>
      <c r="IG37" s="73"/>
      <c r="IH37" s="72">
        <f t="shared" si="220"/>
        <v>0</v>
      </c>
      <c r="II37" s="64"/>
      <c r="IJ37" s="73"/>
      <c r="IK37" s="72">
        <f t="shared" si="266"/>
        <v>0</v>
      </c>
      <c r="IL37" s="64"/>
      <c r="IM37" s="73"/>
      <c r="IN37" s="72">
        <f t="shared" si="267"/>
        <v>0</v>
      </c>
      <c r="IO37" s="64"/>
      <c r="IP37" s="73"/>
      <c r="IQ37" s="72">
        <f t="shared" si="221"/>
        <v>0</v>
      </c>
      <c r="IR37" s="64"/>
      <c r="IS37" s="73"/>
      <c r="IT37" s="72">
        <f t="shared" si="222"/>
        <v>0</v>
      </c>
      <c r="IU37" s="64"/>
      <c r="IV37" s="73"/>
      <c r="IW37" s="72">
        <f t="shared" si="223"/>
        <v>0</v>
      </c>
      <c r="IX37" s="64"/>
      <c r="IY37" s="73"/>
      <c r="IZ37" s="72">
        <f t="shared" si="268"/>
        <v>0</v>
      </c>
      <c r="JA37" s="64"/>
      <c r="JB37" s="73"/>
      <c r="JC37" s="72">
        <f t="shared" si="269"/>
        <v>0</v>
      </c>
      <c r="JD37" s="64"/>
      <c r="JE37" s="73"/>
      <c r="JF37" s="72">
        <f t="shared" si="224"/>
        <v>0</v>
      </c>
      <c r="JG37" s="64"/>
      <c r="JH37" s="73"/>
      <c r="JI37" s="72">
        <f t="shared" si="225"/>
        <v>0</v>
      </c>
      <c r="JJ37" s="64"/>
      <c r="JK37" s="73"/>
      <c r="JL37" s="72">
        <f t="shared" si="226"/>
        <v>0</v>
      </c>
      <c r="JM37" s="64"/>
      <c r="JN37" s="73"/>
      <c r="JO37" s="72">
        <f t="shared" si="270"/>
        <v>0</v>
      </c>
      <c r="JP37" s="64"/>
      <c r="JQ37" s="73"/>
      <c r="JR37" s="72">
        <f t="shared" si="271"/>
        <v>0</v>
      </c>
      <c r="JS37" s="64"/>
      <c r="JT37" s="73"/>
      <c r="JU37" s="72">
        <f t="shared" si="227"/>
        <v>0</v>
      </c>
      <c r="JV37" s="64"/>
      <c r="JW37" s="73"/>
      <c r="JX37" s="72">
        <f t="shared" si="228"/>
        <v>0</v>
      </c>
      <c r="JY37" s="64"/>
      <c r="JZ37" s="73"/>
      <c r="KA37" s="72">
        <f t="shared" si="229"/>
        <v>0</v>
      </c>
      <c r="KB37" s="64"/>
      <c r="KC37" s="73"/>
      <c r="KD37" s="72">
        <f t="shared" si="272"/>
        <v>0</v>
      </c>
      <c r="KE37" s="64"/>
      <c r="KF37" s="73"/>
      <c r="KG37" s="72">
        <f t="shared" si="273"/>
        <v>0</v>
      </c>
      <c r="KH37" s="64"/>
      <c r="KI37" s="73"/>
      <c r="KJ37" s="72">
        <f t="shared" si="230"/>
        <v>0</v>
      </c>
      <c r="KK37" s="64"/>
      <c r="KL37" s="73"/>
      <c r="KM37" s="72">
        <f t="shared" si="231"/>
        <v>0</v>
      </c>
      <c r="KN37" s="64"/>
      <c r="KO37" s="73"/>
      <c r="KP37" s="72">
        <f t="shared" si="232"/>
        <v>0</v>
      </c>
      <c r="KQ37" s="64"/>
      <c r="KR37" s="73"/>
      <c r="KS37" s="72">
        <f t="shared" si="274"/>
        <v>0</v>
      </c>
      <c r="KT37" s="64"/>
      <c r="KU37" s="73"/>
      <c r="KV37" s="72">
        <f t="shared" si="275"/>
        <v>0</v>
      </c>
      <c r="KW37" s="64"/>
      <c r="KX37" s="73"/>
      <c r="KY37" s="72">
        <f t="shared" si="233"/>
        <v>0</v>
      </c>
      <c r="KZ37" s="64"/>
      <c r="LA37" s="73"/>
      <c r="LB37" s="72">
        <f t="shared" si="234"/>
        <v>0</v>
      </c>
      <c r="LC37" s="64"/>
      <c r="LD37" s="73"/>
      <c r="LE37" s="72">
        <f t="shared" si="235"/>
        <v>0</v>
      </c>
      <c r="LF37" s="64"/>
    </row>
    <row r="38" spans="1:318" s="784" customFormat="1">
      <c r="A38" s="49"/>
      <c r="B38" s="49"/>
      <c r="C38" s="438" t="str">
        <f>Idiomas!D334</f>
        <v>FINAL - Resultado exacto</v>
      </c>
      <c r="D38" s="62">
        <v>16</v>
      </c>
      <c r="E38" s="109"/>
      <c r="F38" s="443">
        <f t="shared" si="236"/>
        <v>15</v>
      </c>
      <c r="G38" s="443">
        <f ca="1">VLOOKUP(H38,Equipos!$Q$1:$R$25,2,0)</f>
        <v>10</v>
      </c>
      <c r="H38" s="444">
        <f ca="1">TRUNC(INDEX(WORLDCUP!$X$4:$X$147,MATCH(ADMIN!K38,WORLDCUP!$DT$4:$DT$147,0))+INDEX(Horarios!$R$3:$R$86,MATCH(Horarios!$C$3,Horarios!$P$3:$P$86,0))/24)</f>
        <v>46193</v>
      </c>
      <c r="I38" s="48">
        <v>1</v>
      </c>
      <c r="J38" s="93"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276"/>
        <v>0</v>
      </c>
      <c r="R38" s="49"/>
      <c r="S38" s="796" t="s">
        <v>1960</v>
      </c>
      <c r="T38" s="72">
        <f t="shared" si="237"/>
        <v>0</v>
      </c>
      <c r="U38" s="64"/>
      <c r="V38" s="73" t="s">
        <v>1960</v>
      </c>
      <c r="W38" s="72">
        <f t="shared" si="238"/>
        <v>0</v>
      </c>
      <c r="X38" s="64"/>
      <c r="Y38" s="796" t="s">
        <v>1954</v>
      </c>
      <c r="Z38" s="72">
        <f t="shared" si="176"/>
        <v>0</v>
      </c>
      <c r="AA38" s="64"/>
      <c r="AB38" s="796" t="s">
        <v>1955</v>
      </c>
      <c r="AC38" s="72">
        <f t="shared" si="177"/>
        <v>0</v>
      </c>
      <c r="AD38" s="64"/>
      <c r="AE38" s="796" t="s">
        <v>1957</v>
      </c>
      <c r="AF38" s="72">
        <f t="shared" si="280"/>
        <v>0</v>
      </c>
      <c r="AG38" s="64"/>
      <c r="AH38" s="796" t="s">
        <v>1948</v>
      </c>
      <c r="AI38" s="72">
        <f t="shared" si="240"/>
        <v>0</v>
      </c>
      <c r="AJ38" s="64"/>
      <c r="AK38" s="806" t="s">
        <v>1960</v>
      </c>
      <c r="AL38" s="72">
        <f t="shared" si="241"/>
        <v>0</v>
      </c>
      <c r="AM38" s="64"/>
      <c r="AN38" s="796" t="s">
        <v>1957</v>
      </c>
      <c r="AO38" s="72">
        <f t="shared" si="179"/>
        <v>0</v>
      </c>
      <c r="AP38" s="64"/>
      <c r="AQ38" s="806" t="s">
        <v>1955</v>
      </c>
      <c r="AR38" s="72">
        <f t="shared" si="180"/>
        <v>0</v>
      </c>
      <c r="AS38" s="64"/>
      <c r="AT38" s="796" t="s">
        <v>2007</v>
      </c>
      <c r="AU38" s="72">
        <f t="shared" si="181"/>
        <v>0</v>
      </c>
      <c r="AV38" s="64"/>
      <c r="AW38" s="796" t="s">
        <v>1948</v>
      </c>
      <c r="AX38" s="72">
        <f t="shared" si="242"/>
        <v>0</v>
      </c>
      <c r="AY38" s="64"/>
      <c r="AZ38" s="796" t="s">
        <v>2007</v>
      </c>
      <c r="BA38" s="72">
        <f t="shared" si="243"/>
        <v>0</v>
      </c>
      <c r="BB38" s="64"/>
      <c r="BC38" s="796" t="s">
        <v>1960</v>
      </c>
      <c r="BD38" s="72">
        <f t="shared" si="182"/>
        <v>0</v>
      </c>
      <c r="BE38" s="64"/>
      <c r="BF38" s="796" t="s">
        <v>1958</v>
      </c>
      <c r="BG38" s="72">
        <f t="shared" si="183"/>
        <v>0</v>
      </c>
      <c r="BH38" s="64"/>
      <c r="BI38" s="796" t="s">
        <v>1955</v>
      </c>
      <c r="BJ38" s="72">
        <f t="shared" si="184"/>
        <v>0</v>
      </c>
      <c r="BK38" s="64"/>
      <c r="BL38" s="796" t="s">
        <v>1961</v>
      </c>
      <c r="BM38" s="72">
        <f t="shared" si="244"/>
        <v>0</v>
      </c>
      <c r="BN38" s="64"/>
      <c r="BO38" s="816" t="s">
        <v>1960</v>
      </c>
      <c r="BP38" s="72">
        <f t="shared" si="245"/>
        <v>0</v>
      </c>
      <c r="BQ38" s="64"/>
      <c r="BR38" s="796" t="s">
        <v>1960</v>
      </c>
      <c r="BS38" s="72">
        <f t="shared" si="185"/>
        <v>0</v>
      </c>
      <c r="BT38" s="64"/>
      <c r="BU38" s="796" t="s">
        <v>1960</v>
      </c>
      <c r="BV38" s="72">
        <f t="shared" si="186"/>
        <v>0</v>
      </c>
      <c r="BW38" s="64"/>
      <c r="BX38" s="73" t="s">
        <v>1960</v>
      </c>
      <c r="BY38" s="72">
        <f t="shared" si="187"/>
        <v>0</v>
      </c>
      <c r="BZ38" s="64"/>
      <c r="CA38" s="816" t="s">
        <v>1955</v>
      </c>
      <c r="CB38" s="72">
        <f t="shared" si="246"/>
        <v>0</v>
      </c>
      <c r="CC38" s="64"/>
      <c r="CD38" s="825" t="s">
        <v>1956</v>
      </c>
      <c r="CE38" s="72">
        <f t="shared" si="247"/>
        <v>0</v>
      </c>
      <c r="CF38" s="64"/>
      <c r="CG38" s="796" t="s">
        <v>1960</v>
      </c>
      <c r="CH38" s="72">
        <f t="shared" si="188"/>
        <v>0</v>
      </c>
      <c r="CI38" s="64"/>
      <c r="CJ38" s="796" t="s">
        <v>1960</v>
      </c>
      <c r="CK38" s="72">
        <f t="shared" si="189"/>
        <v>0</v>
      </c>
      <c r="CL38" s="64"/>
      <c r="CM38" s="796" t="s">
        <v>1960</v>
      </c>
      <c r="CN38" s="72">
        <f t="shared" si="190"/>
        <v>0</v>
      </c>
      <c r="CO38" s="64"/>
      <c r="CP38" s="796" t="s">
        <v>1960</v>
      </c>
      <c r="CQ38" s="72">
        <f t="shared" si="248"/>
        <v>0</v>
      </c>
      <c r="CR38" s="64"/>
      <c r="CS38" s="796" t="s">
        <v>1957</v>
      </c>
      <c r="CT38" s="72">
        <f t="shared" si="249"/>
        <v>0</v>
      </c>
      <c r="CU38" s="64"/>
      <c r="CV38" s="796" t="s">
        <v>1955</v>
      </c>
      <c r="CW38" s="72">
        <f t="shared" si="191"/>
        <v>0</v>
      </c>
      <c r="CX38" s="64"/>
      <c r="CY38" s="796" t="s">
        <v>1948</v>
      </c>
      <c r="CZ38" s="72">
        <f t="shared" si="250"/>
        <v>0</v>
      </c>
      <c r="DA38" s="64"/>
      <c r="DB38" s="796" t="s">
        <v>1956</v>
      </c>
      <c r="DC38" s="72">
        <f t="shared" si="192"/>
        <v>0</v>
      </c>
      <c r="DD38" s="64"/>
      <c r="DE38" s="796" t="s">
        <v>1955</v>
      </c>
      <c r="DF38" s="72">
        <f t="shared" ref="DF38:DF69" si="281">IFERROR(IF($M38=DE38,($D$8+$D$9+$D$10)*$I38,IF($N38=LEFT(DE38,1),($D$8+MAX(0,IF($D$50=1,$D$9*(1-(ABS($Q38-ABS(VALUE(MID(DE38,FIND("|",DE38)+1,FIND("-",DE38)-FIND("|",DE38)-1))-VALUE(MID(DE38,FIND("-",DE38)+1,10)))))*$D$50),$D$9*(1-(IF($N38="X",ABS($O38-VALUE(MID(DE38,FIND("|",DE38)+1,FIND("-",DE38)-FIND("|",DE38)-1))),ABS($Q38-ABS(VALUE(MID(DE38,FIND("|",DE38)+1,FIND("-",DE38)-FIND("|",DE38)-1))-VALUE(MID(DE38,FIND("-",DE38)+1,10)))))*$D$50)))))*$I38,0)),0)</f>
        <v>0</v>
      </c>
      <c r="DG38" s="64"/>
      <c r="DH38" s="796" t="s">
        <v>1948</v>
      </c>
      <c r="DI38" s="72">
        <f t="shared" ref="DI38:DI69" si="282">IFERROR(IF($M38=DH38,($D$8+$D$9+$D$10)*$I38,IF($N38=LEFT(DH38,1),($D$8+MAX(0,IF($D$50=1,$D$9*(1-(ABS($Q38-ABS(VALUE(MID(DH38,FIND("|",DH38)+1,FIND("-",DH38)-FIND("|",DH38)-1))-VALUE(MID(DH38,FIND("-",DH38)+1,10)))))*$D$50),$D$9*(1-(IF($N38="X",ABS($O38-VALUE(MID(DH38,FIND("|",DH38)+1,FIND("-",DH38)-FIND("|",DH38)-1))),ABS($Q38-ABS(VALUE(MID(DH38,FIND("|",DH38)+1,FIND("-",DH38)-FIND("|",DH38)-1))-VALUE(MID(DH38,FIND("-",DH38)+1,10)))))*$D$50)))))*$I38,0)),0)</f>
        <v>0</v>
      </c>
      <c r="DJ38" s="64"/>
      <c r="DK38" s="796" t="s">
        <v>1955</v>
      </c>
      <c r="DL38" s="72">
        <f t="shared" ref="DL38:DL69" si="283">IFERROR(IF($M38=DK38,($D$8+$D$9+$D$10)*$I38,IF($N38=LEFT(DK38,1),($D$8+MAX(0,IF($D$50=1,$D$9*(1-(ABS($Q38-ABS(VALUE(MID(DK38,FIND("|",DK38)+1,FIND("-",DK38)-FIND("|",DK38)-1))-VALUE(MID(DK38,FIND("-",DK38)+1,10)))))*$D$50),$D$9*(1-(IF($N38="X",ABS($O38-VALUE(MID(DK38,FIND("|",DK38)+1,FIND("-",DK38)-FIND("|",DK38)-1))),ABS($Q38-ABS(VALUE(MID(DK38,FIND("|",DK38)+1,FIND("-",DK38)-FIND("|",DK38)-1))-VALUE(MID(DK38,FIND("-",DK38)+1,10)))))*$D$50)))))*$I38,0)),0)</f>
        <v>0</v>
      </c>
      <c r="DM38" s="64"/>
      <c r="DN38" s="73"/>
      <c r="DO38" s="72">
        <f t="shared" si="196"/>
        <v>0</v>
      </c>
      <c r="DP38" s="64"/>
      <c r="DQ38" s="796" t="s">
        <v>1957</v>
      </c>
      <c r="DR38" s="72">
        <f t="shared" si="251"/>
        <v>0</v>
      </c>
      <c r="DS38" s="64"/>
      <c r="DT38" s="73" t="s">
        <v>1948</v>
      </c>
      <c r="DU38" s="72">
        <f t="shared" si="277"/>
        <v>0</v>
      </c>
      <c r="DV38" s="64"/>
      <c r="DW38" s="73"/>
      <c r="DX38" s="72">
        <f t="shared" si="278"/>
        <v>0</v>
      </c>
      <c r="DY38" s="64"/>
      <c r="DZ38" s="73"/>
      <c r="EA38" s="72">
        <f t="shared" ref="EA38:EA69" si="284">IFERROR(IF($M38=DZ38,($D$8+$D$9+$D$10)*$I38,IF($N38=LEFT(DZ38,1),($D$8+MAX(0,IF($D$50=1,$D$9*(1-(ABS($Q38-ABS(VALUE(MID(DZ38,FIND("|",DZ38)+1,FIND("-",DZ38)-FIND("|",DZ38)-1))-VALUE(MID(DZ38,FIND("-",DZ38)+1,10)))))*$D$50),$D$9*(1-(IF($N38="X",ABS($O38-VALUE(MID(DZ38,FIND("|",DZ38)+1,FIND("-",DZ38)-FIND("|",DZ38)-1))),ABS($Q38-ABS(VALUE(MID(DZ38,FIND("|",DZ38)+1,FIND("-",DZ38)-FIND("|",DZ38)-1))-VALUE(MID(DZ38,FIND("-",DZ38)+1,10)))))*$D$50)))))*$I38,0)),0)</f>
        <v>0</v>
      </c>
      <c r="EB38" s="64"/>
      <c r="EC38" s="73"/>
      <c r="ED38" s="72">
        <f t="shared" si="198"/>
        <v>0</v>
      </c>
      <c r="EE38" s="64"/>
      <c r="EF38" s="73"/>
      <c r="EG38" s="72">
        <f t="shared" si="199"/>
        <v>0</v>
      </c>
      <c r="EH38" s="64"/>
      <c r="EI38" s="73"/>
      <c r="EJ38" s="72">
        <f t="shared" si="252"/>
        <v>0</v>
      </c>
      <c r="EK38" s="64"/>
      <c r="EL38" s="73"/>
      <c r="EM38" s="72">
        <f t="shared" si="253"/>
        <v>0</v>
      </c>
      <c r="EN38" s="64"/>
      <c r="EO38" s="73"/>
      <c r="EP38" s="72">
        <f t="shared" si="200"/>
        <v>0</v>
      </c>
      <c r="EQ38" s="64"/>
      <c r="ER38" s="73"/>
      <c r="ES38" s="72">
        <f t="shared" si="201"/>
        <v>0</v>
      </c>
      <c r="ET38" s="64"/>
      <c r="EU38" s="73"/>
      <c r="EV38" s="72">
        <f t="shared" si="202"/>
        <v>0</v>
      </c>
      <c r="EW38" s="64"/>
      <c r="EX38" s="73"/>
      <c r="EY38" s="72">
        <f t="shared" si="254"/>
        <v>0</v>
      </c>
      <c r="EZ38" s="64"/>
      <c r="FA38" s="73"/>
      <c r="FB38" s="72">
        <f t="shared" si="255"/>
        <v>0</v>
      </c>
      <c r="FC38" s="64"/>
      <c r="FD38" s="73"/>
      <c r="FE38" s="72">
        <f t="shared" si="203"/>
        <v>0</v>
      </c>
      <c r="FF38" s="64"/>
      <c r="FG38" s="73"/>
      <c r="FH38" s="72">
        <f t="shared" si="204"/>
        <v>0</v>
      </c>
      <c r="FI38" s="64"/>
      <c r="FJ38" s="73"/>
      <c r="FK38" s="72">
        <f t="shared" si="205"/>
        <v>0</v>
      </c>
      <c r="FL38" s="64"/>
      <c r="FM38" s="73"/>
      <c r="FN38" s="72">
        <f t="shared" si="256"/>
        <v>0</v>
      </c>
      <c r="FO38" s="64"/>
      <c r="FP38" s="73"/>
      <c r="FQ38" s="72">
        <f t="shared" si="257"/>
        <v>0</v>
      </c>
      <c r="FR38" s="64"/>
      <c r="FS38" s="73"/>
      <c r="FT38" s="72">
        <f t="shared" si="206"/>
        <v>0</v>
      </c>
      <c r="FU38" s="64"/>
      <c r="FV38" s="73"/>
      <c r="FW38" s="72">
        <f t="shared" si="207"/>
        <v>0</v>
      </c>
      <c r="FX38" s="64"/>
      <c r="FY38" s="73"/>
      <c r="FZ38" s="72">
        <f t="shared" si="208"/>
        <v>0</v>
      </c>
      <c r="GA38" s="64"/>
      <c r="GB38" s="73"/>
      <c r="GC38" s="72">
        <f t="shared" si="258"/>
        <v>0</v>
      </c>
      <c r="GD38" s="64"/>
      <c r="GE38" s="73"/>
      <c r="GF38" s="72">
        <f t="shared" si="259"/>
        <v>0</v>
      </c>
      <c r="GG38" s="64"/>
      <c r="GH38" s="73"/>
      <c r="GI38" s="72">
        <f t="shared" si="209"/>
        <v>0</v>
      </c>
      <c r="GJ38" s="64"/>
      <c r="GK38" s="73"/>
      <c r="GL38" s="72">
        <f t="shared" si="210"/>
        <v>0</v>
      </c>
      <c r="GM38" s="64"/>
      <c r="GN38" s="73"/>
      <c r="GO38" s="72">
        <f t="shared" si="211"/>
        <v>0</v>
      </c>
      <c r="GP38" s="64"/>
      <c r="GQ38" s="73"/>
      <c r="GR38" s="72">
        <f t="shared" si="260"/>
        <v>0</v>
      </c>
      <c r="GS38" s="64"/>
      <c r="GT38" s="73"/>
      <c r="GU38" s="72">
        <f t="shared" si="261"/>
        <v>0</v>
      </c>
      <c r="GV38" s="64"/>
      <c r="GW38" s="73"/>
      <c r="GX38" s="72">
        <f t="shared" si="212"/>
        <v>0</v>
      </c>
      <c r="GY38" s="64"/>
      <c r="GZ38" s="73"/>
      <c r="HA38" s="72">
        <f t="shared" si="213"/>
        <v>0</v>
      </c>
      <c r="HB38" s="64"/>
      <c r="HC38" s="73"/>
      <c r="HD38" s="72">
        <f t="shared" si="214"/>
        <v>0</v>
      </c>
      <c r="HE38" s="64"/>
      <c r="HF38" s="73"/>
      <c r="HG38" s="72">
        <f t="shared" si="262"/>
        <v>0</v>
      </c>
      <c r="HH38" s="64"/>
      <c r="HI38" s="73"/>
      <c r="HJ38" s="72">
        <f t="shared" si="263"/>
        <v>0</v>
      </c>
      <c r="HK38" s="64"/>
      <c r="HL38" s="73"/>
      <c r="HM38" s="72">
        <f t="shared" si="215"/>
        <v>0</v>
      </c>
      <c r="HN38" s="64"/>
      <c r="HO38" s="73"/>
      <c r="HP38" s="72">
        <f t="shared" si="216"/>
        <v>0</v>
      </c>
      <c r="HQ38" s="64"/>
      <c r="HR38" s="73"/>
      <c r="HS38" s="72">
        <f t="shared" si="217"/>
        <v>0</v>
      </c>
      <c r="HT38" s="64"/>
      <c r="HU38" s="73"/>
      <c r="HV38" s="72">
        <f t="shared" si="264"/>
        <v>0</v>
      </c>
      <c r="HW38" s="64"/>
      <c r="HX38" s="73"/>
      <c r="HY38" s="72">
        <f t="shared" si="265"/>
        <v>0</v>
      </c>
      <c r="HZ38" s="64"/>
      <c r="IA38" s="73"/>
      <c r="IB38" s="72">
        <f t="shared" si="218"/>
        <v>0</v>
      </c>
      <c r="IC38" s="64"/>
      <c r="ID38" s="73"/>
      <c r="IE38" s="72">
        <f t="shared" si="219"/>
        <v>0</v>
      </c>
      <c r="IF38" s="64"/>
      <c r="IG38" s="73"/>
      <c r="IH38" s="72">
        <f t="shared" si="220"/>
        <v>0</v>
      </c>
      <c r="II38" s="64"/>
      <c r="IJ38" s="73"/>
      <c r="IK38" s="72">
        <f t="shared" si="266"/>
        <v>0</v>
      </c>
      <c r="IL38" s="64"/>
      <c r="IM38" s="73"/>
      <c r="IN38" s="72">
        <f t="shared" si="267"/>
        <v>0</v>
      </c>
      <c r="IO38" s="64"/>
      <c r="IP38" s="73"/>
      <c r="IQ38" s="72">
        <f t="shared" si="221"/>
        <v>0</v>
      </c>
      <c r="IR38" s="64"/>
      <c r="IS38" s="73"/>
      <c r="IT38" s="72">
        <f t="shared" si="222"/>
        <v>0</v>
      </c>
      <c r="IU38" s="64"/>
      <c r="IV38" s="73"/>
      <c r="IW38" s="72">
        <f t="shared" si="223"/>
        <v>0</v>
      </c>
      <c r="IX38" s="64"/>
      <c r="IY38" s="73"/>
      <c r="IZ38" s="72">
        <f t="shared" si="268"/>
        <v>0</v>
      </c>
      <c r="JA38" s="64"/>
      <c r="JB38" s="73"/>
      <c r="JC38" s="72">
        <f t="shared" si="269"/>
        <v>0</v>
      </c>
      <c r="JD38" s="64"/>
      <c r="JE38" s="73"/>
      <c r="JF38" s="72">
        <f t="shared" si="224"/>
        <v>0</v>
      </c>
      <c r="JG38" s="64"/>
      <c r="JH38" s="73"/>
      <c r="JI38" s="72">
        <f t="shared" si="225"/>
        <v>0</v>
      </c>
      <c r="JJ38" s="64"/>
      <c r="JK38" s="73"/>
      <c r="JL38" s="72">
        <f t="shared" si="226"/>
        <v>0</v>
      </c>
      <c r="JM38" s="64"/>
      <c r="JN38" s="73"/>
      <c r="JO38" s="72">
        <f t="shared" si="270"/>
        <v>0</v>
      </c>
      <c r="JP38" s="64"/>
      <c r="JQ38" s="73"/>
      <c r="JR38" s="72">
        <f t="shared" si="271"/>
        <v>0</v>
      </c>
      <c r="JS38" s="64"/>
      <c r="JT38" s="73"/>
      <c r="JU38" s="72">
        <f t="shared" si="227"/>
        <v>0</v>
      </c>
      <c r="JV38" s="64"/>
      <c r="JW38" s="73"/>
      <c r="JX38" s="72">
        <f t="shared" si="228"/>
        <v>0</v>
      </c>
      <c r="JY38" s="64"/>
      <c r="JZ38" s="73"/>
      <c r="KA38" s="72">
        <f t="shared" si="229"/>
        <v>0</v>
      </c>
      <c r="KB38" s="64"/>
      <c r="KC38" s="73"/>
      <c r="KD38" s="72">
        <f t="shared" si="272"/>
        <v>0</v>
      </c>
      <c r="KE38" s="64"/>
      <c r="KF38" s="73"/>
      <c r="KG38" s="72">
        <f t="shared" si="273"/>
        <v>0</v>
      </c>
      <c r="KH38" s="64"/>
      <c r="KI38" s="73"/>
      <c r="KJ38" s="72">
        <f t="shared" si="230"/>
        <v>0</v>
      </c>
      <c r="KK38" s="64"/>
      <c r="KL38" s="73"/>
      <c r="KM38" s="72">
        <f t="shared" si="231"/>
        <v>0</v>
      </c>
      <c r="KN38" s="64"/>
      <c r="KO38" s="73"/>
      <c r="KP38" s="72">
        <f t="shared" si="232"/>
        <v>0</v>
      </c>
      <c r="KQ38" s="64"/>
      <c r="KR38" s="73"/>
      <c r="KS38" s="72">
        <f t="shared" si="274"/>
        <v>0</v>
      </c>
      <c r="KT38" s="64"/>
      <c r="KU38" s="73"/>
      <c r="KV38" s="72">
        <f t="shared" si="275"/>
        <v>0</v>
      </c>
      <c r="KW38" s="64"/>
      <c r="KX38" s="73"/>
      <c r="KY38" s="72">
        <f t="shared" si="233"/>
        <v>0</v>
      </c>
      <c r="KZ38" s="64"/>
      <c r="LA38" s="73"/>
      <c r="LB38" s="72">
        <f t="shared" si="234"/>
        <v>0</v>
      </c>
      <c r="LC38" s="64"/>
      <c r="LD38" s="73"/>
      <c r="LE38" s="72">
        <f t="shared" si="235"/>
        <v>0</v>
      </c>
      <c r="LF38" s="64"/>
    </row>
    <row r="39" spans="1:318" s="784" customFormat="1">
      <c r="A39" s="49"/>
      <c r="B39" s="49"/>
      <c r="C39" s="436" t="str">
        <f>Idiomas!D335</f>
        <v>Campeón</v>
      </c>
      <c r="D39" s="62">
        <v>65</v>
      </c>
      <c r="E39" s="109"/>
      <c r="F39" s="443">
        <f t="shared" si="236"/>
        <v>15</v>
      </c>
      <c r="G39" s="443">
        <f ca="1">VLOOKUP(H39,Equipos!$Q$1:$R$25,2,0)</f>
        <v>10</v>
      </c>
      <c r="H39" s="444">
        <f ca="1">TRUNC(INDEX(WORLDCUP!$X$4:$X$147,MATCH(ADMIN!K39,WORLDCUP!$DT$4:$DT$147,0))+INDEX(Horarios!$R$3:$R$86,MATCH(Horarios!$C$3,Horarios!$P$3:$P$86,0))/24)</f>
        <v>46193</v>
      </c>
      <c r="I39" s="48">
        <v>1</v>
      </c>
      <c r="J39" s="93"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276"/>
        <v>0</v>
      </c>
      <c r="R39" s="49"/>
      <c r="S39" s="796" t="s">
        <v>1956</v>
      </c>
      <c r="T39" s="72">
        <f t="shared" si="237"/>
        <v>0</v>
      </c>
      <c r="U39" s="64"/>
      <c r="V39" s="73" t="s">
        <v>1956</v>
      </c>
      <c r="W39" s="72">
        <f t="shared" si="238"/>
        <v>0</v>
      </c>
      <c r="X39" s="64"/>
      <c r="Y39" s="796" t="s">
        <v>1948</v>
      </c>
      <c r="Z39" s="72">
        <f t="shared" si="176"/>
        <v>0</v>
      </c>
      <c r="AA39" s="64"/>
      <c r="AB39" s="796" t="s">
        <v>1956</v>
      </c>
      <c r="AC39" s="72">
        <f t="shared" si="177"/>
        <v>0</v>
      </c>
      <c r="AD39" s="64"/>
      <c r="AE39" s="796" t="s">
        <v>1948</v>
      </c>
      <c r="AF39" s="72">
        <f t="shared" si="280"/>
        <v>0</v>
      </c>
      <c r="AG39" s="64"/>
      <c r="AH39" s="796" t="s">
        <v>1948</v>
      </c>
      <c r="AI39" s="72">
        <f t="shared" si="240"/>
        <v>0</v>
      </c>
      <c r="AJ39" s="64"/>
      <c r="AK39" s="806" t="s">
        <v>1954</v>
      </c>
      <c r="AL39" s="72">
        <f t="shared" si="241"/>
        <v>0</v>
      </c>
      <c r="AM39" s="64"/>
      <c r="AN39" s="796" t="s">
        <v>1956</v>
      </c>
      <c r="AO39" s="72">
        <f t="shared" si="179"/>
        <v>0</v>
      </c>
      <c r="AP39" s="64"/>
      <c r="AQ39" s="806" t="s">
        <v>1948</v>
      </c>
      <c r="AR39" s="72">
        <f t="shared" si="180"/>
        <v>0</v>
      </c>
      <c r="AS39" s="64"/>
      <c r="AT39" s="796" t="s">
        <v>1957</v>
      </c>
      <c r="AU39" s="72">
        <f t="shared" si="181"/>
        <v>0</v>
      </c>
      <c r="AV39" s="64"/>
      <c r="AW39" s="796" t="s">
        <v>1957</v>
      </c>
      <c r="AX39" s="72">
        <f t="shared" si="242"/>
        <v>0</v>
      </c>
      <c r="AY39" s="64"/>
      <c r="AZ39" s="796" t="s">
        <v>1962</v>
      </c>
      <c r="BA39" s="72">
        <f t="shared" si="243"/>
        <v>0</v>
      </c>
      <c r="BB39" s="64"/>
      <c r="BC39" s="796" t="s">
        <v>1958</v>
      </c>
      <c r="BD39" s="72">
        <f t="shared" si="182"/>
        <v>0</v>
      </c>
      <c r="BE39" s="64"/>
      <c r="BF39" s="796" t="s">
        <v>1948</v>
      </c>
      <c r="BG39" s="72">
        <f t="shared" si="183"/>
        <v>0</v>
      </c>
      <c r="BH39" s="64"/>
      <c r="BI39" s="796" t="s">
        <v>1948</v>
      </c>
      <c r="BJ39" s="72">
        <f t="shared" si="184"/>
        <v>0</v>
      </c>
      <c r="BK39" s="64"/>
      <c r="BL39" s="796" t="s">
        <v>1952</v>
      </c>
      <c r="BM39" s="72">
        <f t="shared" si="244"/>
        <v>0</v>
      </c>
      <c r="BN39" s="64"/>
      <c r="BO39" s="816" t="s">
        <v>1948</v>
      </c>
      <c r="BP39" s="72">
        <f t="shared" si="245"/>
        <v>0</v>
      </c>
      <c r="BQ39" s="64"/>
      <c r="BR39" s="796" t="s">
        <v>1948</v>
      </c>
      <c r="BS39" s="72">
        <f t="shared" si="185"/>
        <v>0</v>
      </c>
      <c r="BT39" s="64"/>
      <c r="BU39" s="796" t="s">
        <v>2051</v>
      </c>
      <c r="BV39" s="72">
        <f t="shared" si="186"/>
        <v>0</v>
      </c>
      <c r="BW39" s="64"/>
      <c r="BX39" s="73" t="s">
        <v>1956</v>
      </c>
      <c r="BY39" s="72">
        <f t="shared" si="187"/>
        <v>0</v>
      </c>
      <c r="BZ39" s="64"/>
      <c r="CA39" s="816" t="s">
        <v>1955</v>
      </c>
      <c r="CB39" s="72">
        <f t="shared" si="246"/>
        <v>0</v>
      </c>
      <c r="CC39" s="64"/>
      <c r="CD39" s="825" t="s">
        <v>1956</v>
      </c>
      <c r="CE39" s="72">
        <f t="shared" si="247"/>
        <v>0</v>
      </c>
      <c r="CF39" s="64"/>
      <c r="CG39" s="796" t="s">
        <v>1948</v>
      </c>
      <c r="CH39" s="72">
        <f t="shared" si="188"/>
        <v>0</v>
      </c>
      <c r="CI39" s="64"/>
      <c r="CJ39" s="796" t="s">
        <v>1948</v>
      </c>
      <c r="CK39" s="72">
        <f t="shared" si="189"/>
        <v>0</v>
      </c>
      <c r="CL39" s="64"/>
      <c r="CM39" s="796" t="s">
        <v>1956</v>
      </c>
      <c r="CN39" s="72">
        <f t="shared" si="190"/>
        <v>0</v>
      </c>
      <c r="CO39" s="64"/>
      <c r="CP39" s="796" t="s">
        <v>1957</v>
      </c>
      <c r="CQ39" s="72">
        <f t="shared" si="248"/>
        <v>0</v>
      </c>
      <c r="CR39" s="64"/>
      <c r="CS39" s="796" t="s">
        <v>1958</v>
      </c>
      <c r="CT39" s="72">
        <f t="shared" si="249"/>
        <v>0</v>
      </c>
      <c r="CU39" s="64"/>
      <c r="CV39" s="796" t="s">
        <v>1957</v>
      </c>
      <c r="CW39" s="72">
        <f t="shared" si="191"/>
        <v>0</v>
      </c>
      <c r="CX39" s="64"/>
      <c r="CY39" s="796" t="s">
        <v>1955</v>
      </c>
      <c r="CZ39" s="72">
        <f t="shared" si="250"/>
        <v>0</v>
      </c>
      <c r="DA39" s="64"/>
      <c r="DB39" s="796" t="s">
        <v>1956</v>
      </c>
      <c r="DC39" s="72">
        <f t="shared" si="192"/>
        <v>0</v>
      </c>
      <c r="DD39" s="64"/>
      <c r="DE39" s="796" t="s">
        <v>1948</v>
      </c>
      <c r="DF39" s="72">
        <f t="shared" si="281"/>
        <v>0</v>
      </c>
      <c r="DG39" s="64"/>
      <c r="DH39" s="796" t="s">
        <v>1957</v>
      </c>
      <c r="DI39" s="72">
        <f t="shared" si="282"/>
        <v>0</v>
      </c>
      <c r="DJ39" s="64"/>
      <c r="DK39" s="796" t="s">
        <v>1948</v>
      </c>
      <c r="DL39" s="72">
        <f t="shared" si="283"/>
        <v>0</v>
      </c>
      <c r="DM39" s="64"/>
      <c r="DN39" s="73"/>
      <c r="DO39" s="72">
        <f t="shared" si="196"/>
        <v>0</v>
      </c>
      <c r="DP39" s="64"/>
      <c r="DQ39" s="796" t="s">
        <v>1948</v>
      </c>
      <c r="DR39" s="72">
        <f t="shared" si="251"/>
        <v>0</v>
      </c>
      <c r="DS39" s="64"/>
      <c r="DT39" s="73" t="s">
        <v>1948</v>
      </c>
      <c r="DU39" s="72">
        <f t="shared" si="277"/>
        <v>0</v>
      </c>
      <c r="DV39" s="64"/>
      <c r="DW39" s="73"/>
      <c r="DX39" s="72">
        <f t="shared" si="278"/>
        <v>0</v>
      </c>
      <c r="DY39" s="64"/>
      <c r="DZ39" s="73"/>
      <c r="EA39" s="72">
        <f t="shared" si="284"/>
        <v>0</v>
      </c>
      <c r="EB39" s="64"/>
      <c r="EC39" s="73"/>
      <c r="ED39" s="72">
        <f t="shared" si="198"/>
        <v>0</v>
      </c>
      <c r="EE39" s="64"/>
      <c r="EF39" s="73"/>
      <c r="EG39" s="72">
        <f t="shared" si="199"/>
        <v>0</v>
      </c>
      <c r="EH39" s="64"/>
      <c r="EI39" s="73"/>
      <c r="EJ39" s="72">
        <f t="shared" si="252"/>
        <v>0</v>
      </c>
      <c r="EK39" s="64"/>
      <c r="EL39" s="73"/>
      <c r="EM39" s="72">
        <f t="shared" si="253"/>
        <v>0</v>
      </c>
      <c r="EN39" s="64"/>
      <c r="EO39" s="73"/>
      <c r="EP39" s="72">
        <f t="shared" si="200"/>
        <v>0</v>
      </c>
      <c r="EQ39" s="64"/>
      <c r="ER39" s="73"/>
      <c r="ES39" s="72">
        <f t="shared" si="201"/>
        <v>0</v>
      </c>
      <c r="ET39" s="64"/>
      <c r="EU39" s="73"/>
      <c r="EV39" s="72">
        <f t="shared" si="202"/>
        <v>0</v>
      </c>
      <c r="EW39" s="64"/>
      <c r="EX39" s="73"/>
      <c r="EY39" s="72">
        <f t="shared" si="254"/>
        <v>0</v>
      </c>
      <c r="EZ39" s="64"/>
      <c r="FA39" s="73"/>
      <c r="FB39" s="72">
        <f t="shared" si="255"/>
        <v>0</v>
      </c>
      <c r="FC39" s="64"/>
      <c r="FD39" s="73"/>
      <c r="FE39" s="72">
        <f t="shared" si="203"/>
        <v>0</v>
      </c>
      <c r="FF39" s="64"/>
      <c r="FG39" s="73"/>
      <c r="FH39" s="72">
        <f t="shared" si="204"/>
        <v>0</v>
      </c>
      <c r="FI39" s="64"/>
      <c r="FJ39" s="73"/>
      <c r="FK39" s="72">
        <f t="shared" si="205"/>
        <v>0</v>
      </c>
      <c r="FL39" s="64"/>
      <c r="FM39" s="73"/>
      <c r="FN39" s="72">
        <f t="shared" si="256"/>
        <v>0</v>
      </c>
      <c r="FO39" s="64"/>
      <c r="FP39" s="73"/>
      <c r="FQ39" s="72">
        <f t="shared" si="257"/>
        <v>0</v>
      </c>
      <c r="FR39" s="64"/>
      <c r="FS39" s="73"/>
      <c r="FT39" s="72">
        <f t="shared" si="206"/>
        <v>0</v>
      </c>
      <c r="FU39" s="64"/>
      <c r="FV39" s="73"/>
      <c r="FW39" s="72">
        <f t="shared" si="207"/>
        <v>0</v>
      </c>
      <c r="FX39" s="64"/>
      <c r="FY39" s="73"/>
      <c r="FZ39" s="72">
        <f t="shared" si="208"/>
        <v>0</v>
      </c>
      <c r="GA39" s="64"/>
      <c r="GB39" s="73"/>
      <c r="GC39" s="72">
        <f t="shared" si="258"/>
        <v>0</v>
      </c>
      <c r="GD39" s="64"/>
      <c r="GE39" s="73"/>
      <c r="GF39" s="72">
        <f t="shared" si="259"/>
        <v>0</v>
      </c>
      <c r="GG39" s="64"/>
      <c r="GH39" s="73"/>
      <c r="GI39" s="72">
        <f t="shared" si="209"/>
        <v>0</v>
      </c>
      <c r="GJ39" s="64"/>
      <c r="GK39" s="73"/>
      <c r="GL39" s="72">
        <f t="shared" si="210"/>
        <v>0</v>
      </c>
      <c r="GM39" s="64"/>
      <c r="GN39" s="73"/>
      <c r="GO39" s="72">
        <f t="shared" si="211"/>
        <v>0</v>
      </c>
      <c r="GP39" s="64"/>
      <c r="GQ39" s="73"/>
      <c r="GR39" s="72">
        <f t="shared" si="260"/>
        <v>0</v>
      </c>
      <c r="GS39" s="64"/>
      <c r="GT39" s="73"/>
      <c r="GU39" s="72">
        <f t="shared" si="261"/>
        <v>0</v>
      </c>
      <c r="GV39" s="64"/>
      <c r="GW39" s="73"/>
      <c r="GX39" s="72">
        <f t="shared" si="212"/>
        <v>0</v>
      </c>
      <c r="GY39" s="64"/>
      <c r="GZ39" s="73"/>
      <c r="HA39" s="72">
        <f t="shared" si="213"/>
        <v>0</v>
      </c>
      <c r="HB39" s="64"/>
      <c r="HC39" s="73"/>
      <c r="HD39" s="72">
        <f t="shared" si="214"/>
        <v>0</v>
      </c>
      <c r="HE39" s="64"/>
      <c r="HF39" s="73"/>
      <c r="HG39" s="72">
        <f t="shared" si="262"/>
        <v>0</v>
      </c>
      <c r="HH39" s="64"/>
      <c r="HI39" s="73"/>
      <c r="HJ39" s="72">
        <f t="shared" si="263"/>
        <v>0</v>
      </c>
      <c r="HK39" s="64"/>
      <c r="HL39" s="73"/>
      <c r="HM39" s="72">
        <f t="shared" si="215"/>
        <v>0</v>
      </c>
      <c r="HN39" s="64"/>
      <c r="HO39" s="73"/>
      <c r="HP39" s="72">
        <f t="shared" si="216"/>
        <v>0</v>
      </c>
      <c r="HQ39" s="64"/>
      <c r="HR39" s="73"/>
      <c r="HS39" s="72">
        <f t="shared" si="217"/>
        <v>0</v>
      </c>
      <c r="HT39" s="64"/>
      <c r="HU39" s="73"/>
      <c r="HV39" s="72">
        <f t="shared" si="264"/>
        <v>0</v>
      </c>
      <c r="HW39" s="64"/>
      <c r="HX39" s="73"/>
      <c r="HY39" s="72">
        <f t="shared" si="265"/>
        <v>0</v>
      </c>
      <c r="HZ39" s="64"/>
      <c r="IA39" s="73"/>
      <c r="IB39" s="72">
        <f t="shared" si="218"/>
        <v>0</v>
      </c>
      <c r="IC39" s="64"/>
      <c r="ID39" s="73"/>
      <c r="IE39" s="72">
        <f t="shared" si="219"/>
        <v>0</v>
      </c>
      <c r="IF39" s="64"/>
      <c r="IG39" s="73"/>
      <c r="IH39" s="72">
        <f t="shared" si="220"/>
        <v>0</v>
      </c>
      <c r="II39" s="64"/>
      <c r="IJ39" s="73"/>
      <c r="IK39" s="72">
        <f t="shared" si="266"/>
        <v>0</v>
      </c>
      <c r="IL39" s="64"/>
      <c r="IM39" s="73"/>
      <c r="IN39" s="72">
        <f t="shared" si="267"/>
        <v>0</v>
      </c>
      <c r="IO39" s="64"/>
      <c r="IP39" s="73"/>
      <c r="IQ39" s="72">
        <f t="shared" si="221"/>
        <v>0</v>
      </c>
      <c r="IR39" s="64"/>
      <c r="IS39" s="73"/>
      <c r="IT39" s="72">
        <f t="shared" si="222"/>
        <v>0</v>
      </c>
      <c r="IU39" s="64"/>
      <c r="IV39" s="73"/>
      <c r="IW39" s="72">
        <f t="shared" si="223"/>
        <v>0</v>
      </c>
      <c r="IX39" s="64"/>
      <c r="IY39" s="73"/>
      <c r="IZ39" s="72">
        <f t="shared" si="268"/>
        <v>0</v>
      </c>
      <c r="JA39" s="64"/>
      <c r="JB39" s="73"/>
      <c r="JC39" s="72">
        <f t="shared" si="269"/>
        <v>0</v>
      </c>
      <c r="JD39" s="64"/>
      <c r="JE39" s="73"/>
      <c r="JF39" s="72">
        <f t="shared" si="224"/>
        <v>0</v>
      </c>
      <c r="JG39" s="64"/>
      <c r="JH39" s="73"/>
      <c r="JI39" s="72">
        <f t="shared" si="225"/>
        <v>0</v>
      </c>
      <c r="JJ39" s="64"/>
      <c r="JK39" s="73"/>
      <c r="JL39" s="72">
        <f t="shared" si="226"/>
        <v>0</v>
      </c>
      <c r="JM39" s="64"/>
      <c r="JN39" s="73"/>
      <c r="JO39" s="72">
        <f t="shared" si="270"/>
        <v>0</v>
      </c>
      <c r="JP39" s="64"/>
      <c r="JQ39" s="73"/>
      <c r="JR39" s="72">
        <f t="shared" si="271"/>
        <v>0</v>
      </c>
      <c r="JS39" s="64"/>
      <c r="JT39" s="73"/>
      <c r="JU39" s="72">
        <f t="shared" si="227"/>
        <v>0</v>
      </c>
      <c r="JV39" s="64"/>
      <c r="JW39" s="73"/>
      <c r="JX39" s="72">
        <f t="shared" si="228"/>
        <v>0</v>
      </c>
      <c r="JY39" s="64"/>
      <c r="JZ39" s="73"/>
      <c r="KA39" s="72">
        <f t="shared" si="229"/>
        <v>0</v>
      </c>
      <c r="KB39" s="64"/>
      <c r="KC39" s="73"/>
      <c r="KD39" s="72">
        <f t="shared" si="272"/>
        <v>0</v>
      </c>
      <c r="KE39" s="64"/>
      <c r="KF39" s="73"/>
      <c r="KG39" s="72">
        <f t="shared" si="273"/>
        <v>0</v>
      </c>
      <c r="KH39" s="64"/>
      <c r="KI39" s="73"/>
      <c r="KJ39" s="72">
        <f t="shared" si="230"/>
        <v>0</v>
      </c>
      <c r="KK39" s="64"/>
      <c r="KL39" s="73"/>
      <c r="KM39" s="72">
        <f t="shared" si="231"/>
        <v>0</v>
      </c>
      <c r="KN39" s="64"/>
      <c r="KO39" s="73"/>
      <c r="KP39" s="72">
        <f t="shared" si="232"/>
        <v>0</v>
      </c>
      <c r="KQ39" s="64"/>
      <c r="KR39" s="73"/>
      <c r="KS39" s="72">
        <f t="shared" si="274"/>
        <v>0</v>
      </c>
      <c r="KT39" s="64"/>
      <c r="KU39" s="73"/>
      <c r="KV39" s="72">
        <f t="shared" si="275"/>
        <v>0</v>
      </c>
      <c r="KW39" s="64"/>
      <c r="KX39" s="73"/>
      <c r="KY39" s="72">
        <f t="shared" si="233"/>
        <v>0</v>
      </c>
      <c r="KZ39" s="64"/>
      <c r="LA39" s="73"/>
      <c r="LB39" s="72">
        <f t="shared" si="234"/>
        <v>0</v>
      </c>
      <c r="LC39" s="64"/>
      <c r="LD39" s="73"/>
      <c r="LE39" s="72">
        <f t="shared" si="235"/>
        <v>0</v>
      </c>
      <c r="LF39" s="64"/>
    </row>
    <row r="40" spans="1:318" s="784" customFormat="1">
      <c r="A40" s="49"/>
      <c r="B40" s="49"/>
      <c r="C40" s="435" t="str">
        <f>Idiomas!D336</f>
        <v>Subcampeón</v>
      </c>
      <c r="D40" s="62">
        <v>40</v>
      </c>
      <c r="E40" s="109"/>
      <c r="F40" s="443">
        <f t="shared" si="236"/>
        <v>15</v>
      </c>
      <c r="G40" s="443">
        <f ca="1">VLOOKUP(H40,Equipos!$Q$1:$R$25,2,0)</f>
        <v>10</v>
      </c>
      <c r="H40" s="444">
        <f ca="1">TRUNC(INDEX(WORLDCUP!$X$4:$X$147,MATCH(ADMIN!K40,WORLDCUP!$DT$4:$DT$147,0))+INDEX(Horarios!$R$3:$R$86,MATCH(Horarios!$C$3,Horarios!$P$3:$P$86,0))/24)</f>
        <v>46193</v>
      </c>
      <c r="I40" s="48">
        <v>1</v>
      </c>
      <c r="J40" s="94"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276"/>
        <v>0</v>
      </c>
      <c r="R40" s="49"/>
      <c r="S40" s="796" t="s">
        <v>1958</v>
      </c>
      <c r="T40" s="72">
        <f t="shared" si="237"/>
        <v>0</v>
      </c>
      <c r="U40" s="64"/>
      <c r="V40" s="73" t="s">
        <v>1955</v>
      </c>
      <c r="W40" s="72">
        <f t="shared" si="238"/>
        <v>0</v>
      </c>
      <c r="X40" s="64"/>
      <c r="Y40" s="796" t="s">
        <v>1955</v>
      </c>
      <c r="Z40" s="72">
        <f t="shared" si="176"/>
        <v>0</v>
      </c>
      <c r="AA40" s="64"/>
      <c r="AB40" s="796" t="s">
        <v>1961</v>
      </c>
      <c r="AC40" s="72">
        <f t="shared" si="177"/>
        <v>0</v>
      </c>
      <c r="AD40" s="64"/>
      <c r="AE40" s="796" t="s">
        <v>1948</v>
      </c>
      <c r="AF40" s="72">
        <f t="shared" si="280"/>
        <v>0</v>
      </c>
      <c r="AG40" s="64"/>
      <c r="AH40" s="796" t="s">
        <v>1950</v>
      </c>
      <c r="AI40" s="72">
        <f t="shared" si="240"/>
        <v>0</v>
      </c>
      <c r="AJ40" s="64"/>
      <c r="AK40" s="806" t="s">
        <v>1956</v>
      </c>
      <c r="AL40" s="72">
        <f t="shared" si="241"/>
        <v>0</v>
      </c>
      <c r="AM40" s="64"/>
      <c r="AN40" s="796" t="s">
        <v>1955</v>
      </c>
      <c r="AO40" s="72">
        <f t="shared" si="179"/>
        <v>0</v>
      </c>
      <c r="AP40" s="64"/>
      <c r="AQ40" s="806" t="s">
        <v>1955</v>
      </c>
      <c r="AR40" s="72">
        <f t="shared" si="180"/>
        <v>0</v>
      </c>
      <c r="AS40" s="64"/>
      <c r="AT40" s="796" t="s">
        <v>1960</v>
      </c>
      <c r="AU40" s="72">
        <f t="shared" si="181"/>
        <v>0</v>
      </c>
      <c r="AV40" s="64"/>
      <c r="AW40" s="796" t="s">
        <v>1955</v>
      </c>
      <c r="AX40" s="72">
        <f t="shared" si="242"/>
        <v>0</v>
      </c>
      <c r="AY40" s="64"/>
      <c r="AZ40" s="796" t="s">
        <v>1949</v>
      </c>
      <c r="BA40" s="72">
        <f t="shared" si="243"/>
        <v>0</v>
      </c>
      <c r="BB40" s="64"/>
      <c r="BC40" s="796" t="s">
        <v>1960</v>
      </c>
      <c r="BD40" s="72">
        <f t="shared" si="182"/>
        <v>0</v>
      </c>
      <c r="BE40" s="64"/>
      <c r="BF40" s="796" t="s">
        <v>1955</v>
      </c>
      <c r="BG40" s="72">
        <f t="shared" si="183"/>
        <v>0</v>
      </c>
      <c r="BH40" s="64"/>
      <c r="BI40" s="796" t="s">
        <v>1955</v>
      </c>
      <c r="BJ40" s="72">
        <f t="shared" si="184"/>
        <v>0</v>
      </c>
      <c r="BK40" s="64"/>
      <c r="BL40" s="796" t="s">
        <v>1958</v>
      </c>
      <c r="BM40" s="72">
        <f t="shared" si="244"/>
        <v>0</v>
      </c>
      <c r="BN40" s="64"/>
      <c r="BO40" s="816" t="s">
        <v>1955</v>
      </c>
      <c r="BP40" s="72">
        <f t="shared" si="245"/>
        <v>0</v>
      </c>
      <c r="BQ40" s="64"/>
      <c r="BR40" s="796" t="s">
        <v>1955</v>
      </c>
      <c r="BS40" s="72">
        <f t="shared" si="185"/>
        <v>0</v>
      </c>
      <c r="BT40" s="64"/>
      <c r="BU40" s="796" t="s">
        <v>1958</v>
      </c>
      <c r="BV40" s="72">
        <f t="shared" si="186"/>
        <v>0</v>
      </c>
      <c r="BW40" s="64"/>
      <c r="BX40" s="73" t="s">
        <v>1958</v>
      </c>
      <c r="BY40" s="72">
        <f t="shared" si="187"/>
        <v>0</v>
      </c>
      <c r="BZ40" s="64"/>
      <c r="CA40" s="816" t="s">
        <v>1955</v>
      </c>
      <c r="CB40" s="72">
        <f t="shared" si="246"/>
        <v>0</v>
      </c>
      <c r="CC40" s="64"/>
      <c r="CD40" s="825" t="s">
        <v>1948</v>
      </c>
      <c r="CE40" s="72">
        <f t="shared" si="247"/>
        <v>0</v>
      </c>
      <c r="CF40" s="64"/>
      <c r="CG40" s="796" t="s">
        <v>1955</v>
      </c>
      <c r="CH40" s="72">
        <f t="shared" si="188"/>
        <v>0</v>
      </c>
      <c r="CI40" s="64"/>
      <c r="CJ40" s="796" t="s">
        <v>1955</v>
      </c>
      <c r="CK40" s="72">
        <f t="shared" si="189"/>
        <v>0</v>
      </c>
      <c r="CL40" s="64"/>
      <c r="CM40" s="796" t="s">
        <v>1948</v>
      </c>
      <c r="CN40" s="72">
        <f t="shared" si="190"/>
        <v>0</v>
      </c>
      <c r="CO40" s="64"/>
      <c r="CP40" s="796" t="s">
        <v>1949</v>
      </c>
      <c r="CQ40" s="72">
        <f t="shared" si="248"/>
        <v>0</v>
      </c>
      <c r="CR40" s="64"/>
      <c r="CS40" s="796" t="s">
        <v>1955</v>
      </c>
      <c r="CT40" s="72">
        <f t="shared" si="249"/>
        <v>0</v>
      </c>
      <c r="CU40" s="64"/>
      <c r="CV40" s="796" t="s">
        <v>1954</v>
      </c>
      <c r="CW40" s="72">
        <f t="shared" si="191"/>
        <v>0</v>
      </c>
      <c r="CX40" s="64"/>
      <c r="CY40" s="796" t="s">
        <v>1955</v>
      </c>
      <c r="CZ40" s="72">
        <f t="shared" si="250"/>
        <v>0</v>
      </c>
      <c r="DA40" s="64"/>
      <c r="DB40" s="796" t="s">
        <v>1955</v>
      </c>
      <c r="DC40" s="72">
        <f t="shared" si="192"/>
        <v>0</v>
      </c>
      <c r="DD40" s="64"/>
      <c r="DE40" s="796" t="s">
        <v>1955</v>
      </c>
      <c r="DF40" s="72">
        <f t="shared" si="281"/>
        <v>0</v>
      </c>
      <c r="DG40" s="64"/>
      <c r="DH40" s="796" t="s">
        <v>2007</v>
      </c>
      <c r="DI40" s="72">
        <f t="shared" si="282"/>
        <v>0</v>
      </c>
      <c r="DJ40" s="64"/>
      <c r="DK40" s="796" t="s">
        <v>1955</v>
      </c>
      <c r="DL40" s="72">
        <f t="shared" si="283"/>
        <v>0</v>
      </c>
      <c r="DM40" s="64"/>
      <c r="DN40" s="73"/>
      <c r="DO40" s="72">
        <f t="shared" si="196"/>
        <v>0</v>
      </c>
      <c r="DP40" s="64"/>
      <c r="DQ40" s="796" t="s">
        <v>1948</v>
      </c>
      <c r="DR40" s="72">
        <f t="shared" si="251"/>
        <v>0</v>
      </c>
      <c r="DS40" s="64"/>
      <c r="DT40" s="73" t="s">
        <v>1955</v>
      </c>
      <c r="DU40" s="72">
        <f t="shared" si="277"/>
        <v>0</v>
      </c>
      <c r="DV40" s="64"/>
      <c r="DW40" s="73"/>
      <c r="DX40" s="72">
        <f t="shared" si="278"/>
        <v>0</v>
      </c>
      <c r="DY40" s="64"/>
      <c r="DZ40" s="73"/>
      <c r="EA40" s="72">
        <f t="shared" si="284"/>
        <v>0</v>
      </c>
      <c r="EB40" s="64"/>
      <c r="EC40" s="73"/>
      <c r="ED40" s="72">
        <f t="shared" si="198"/>
        <v>0</v>
      </c>
      <c r="EE40" s="64"/>
      <c r="EF40" s="73"/>
      <c r="EG40" s="72">
        <f t="shared" si="199"/>
        <v>0</v>
      </c>
      <c r="EH40" s="64"/>
      <c r="EI40" s="73"/>
      <c r="EJ40" s="72">
        <f t="shared" si="252"/>
        <v>0</v>
      </c>
      <c r="EK40" s="64"/>
      <c r="EL40" s="73"/>
      <c r="EM40" s="72">
        <f t="shared" si="253"/>
        <v>0</v>
      </c>
      <c r="EN40" s="64"/>
      <c r="EO40" s="73"/>
      <c r="EP40" s="72">
        <f t="shared" si="200"/>
        <v>0</v>
      </c>
      <c r="EQ40" s="64"/>
      <c r="ER40" s="73"/>
      <c r="ES40" s="72">
        <f t="shared" si="201"/>
        <v>0</v>
      </c>
      <c r="ET40" s="64"/>
      <c r="EU40" s="73"/>
      <c r="EV40" s="72">
        <f t="shared" si="202"/>
        <v>0</v>
      </c>
      <c r="EW40" s="64"/>
      <c r="EX40" s="73"/>
      <c r="EY40" s="72">
        <f t="shared" si="254"/>
        <v>0</v>
      </c>
      <c r="EZ40" s="64"/>
      <c r="FA40" s="73"/>
      <c r="FB40" s="72">
        <f t="shared" si="255"/>
        <v>0</v>
      </c>
      <c r="FC40" s="64"/>
      <c r="FD40" s="73"/>
      <c r="FE40" s="72">
        <f t="shared" si="203"/>
        <v>0</v>
      </c>
      <c r="FF40" s="64"/>
      <c r="FG40" s="73"/>
      <c r="FH40" s="72">
        <f t="shared" si="204"/>
        <v>0</v>
      </c>
      <c r="FI40" s="64"/>
      <c r="FJ40" s="73"/>
      <c r="FK40" s="72">
        <f t="shared" si="205"/>
        <v>0</v>
      </c>
      <c r="FL40" s="64"/>
      <c r="FM40" s="73"/>
      <c r="FN40" s="72">
        <f t="shared" si="256"/>
        <v>0</v>
      </c>
      <c r="FO40" s="64"/>
      <c r="FP40" s="73"/>
      <c r="FQ40" s="72">
        <f t="shared" si="257"/>
        <v>0</v>
      </c>
      <c r="FR40" s="64"/>
      <c r="FS40" s="73"/>
      <c r="FT40" s="72">
        <f t="shared" si="206"/>
        <v>0</v>
      </c>
      <c r="FU40" s="64"/>
      <c r="FV40" s="73"/>
      <c r="FW40" s="72">
        <f t="shared" si="207"/>
        <v>0</v>
      </c>
      <c r="FX40" s="64"/>
      <c r="FY40" s="73"/>
      <c r="FZ40" s="72">
        <f t="shared" si="208"/>
        <v>0</v>
      </c>
      <c r="GA40" s="64"/>
      <c r="GB40" s="73"/>
      <c r="GC40" s="72">
        <f t="shared" si="258"/>
        <v>0</v>
      </c>
      <c r="GD40" s="64"/>
      <c r="GE40" s="73"/>
      <c r="GF40" s="72">
        <f t="shared" si="259"/>
        <v>0</v>
      </c>
      <c r="GG40" s="64"/>
      <c r="GH40" s="73"/>
      <c r="GI40" s="72">
        <f t="shared" si="209"/>
        <v>0</v>
      </c>
      <c r="GJ40" s="64"/>
      <c r="GK40" s="73"/>
      <c r="GL40" s="72">
        <f t="shared" si="210"/>
        <v>0</v>
      </c>
      <c r="GM40" s="64"/>
      <c r="GN40" s="73"/>
      <c r="GO40" s="72">
        <f t="shared" si="211"/>
        <v>0</v>
      </c>
      <c r="GP40" s="64"/>
      <c r="GQ40" s="73"/>
      <c r="GR40" s="72">
        <f t="shared" si="260"/>
        <v>0</v>
      </c>
      <c r="GS40" s="64"/>
      <c r="GT40" s="73"/>
      <c r="GU40" s="72">
        <f t="shared" si="261"/>
        <v>0</v>
      </c>
      <c r="GV40" s="64"/>
      <c r="GW40" s="73"/>
      <c r="GX40" s="72">
        <f t="shared" si="212"/>
        <v>0</v>
      </c>
      <c r="GY40" s="64"/>
      <c r="GZ40" s="73"/>
      <c r="HA40" s="72">
        <f t="shared" si="213"/>
        <v>0</v>
      </c>
      <c r="HB40" s="64"/>
      <c r="HC40" s="73"/>
      <c r="HD40" s="72">
        <f t="shared" si="214"/>
        <v>0</v>
      </c>
      <c r="HE40" s="64"/>
      <c r="HF40" s="73"/>
      <c r="HG40" s="72">
        <f t="shared" si="262"/>
        <v>0</v>
      </c>
      <c r="HH40" s="64"/>
      <c r="HI40" s="73"/>
      <c r="HJ40" s="72">
        <f t="shared" si="263"/>
        <v>0</v>
      </c>
      <c r="HK40" s="64"/>
      <c r="HL40" s="73"/>
      <c r="HM40" s="72">
        <f t="shared" si="215"/>
        <v>0</v>
      </c>
      <c r="HN40" s="64"/>
      <c r="HO40" s="73"/>
      <c r="HP40" s="72">
        <f t="shared" si="216"/>
        <v>0</v>
      </c>
      <c r="HQ40" s="64"/>
      <c r="HR40" s="73"/>
      <c r="HS40" s="72">
        <f t="shared" si="217"/>
        <v>0</v>
      </c>
      <c r="HT40" s="64"/>
      <c r="HU40" s="73"/>
      <c r="HV40" s="72">
        <f t="shared" si="264"/>
        <v>0</v>
      </c>
      <c r="HW40" s="64"/>
      <c r="HX40" s="73"/>
      <c r="HY40" s="72">
        <f t="shared" si="265"/>
        <v>0</v>
      </c>
      <c r="HZ40" s="64"/>
      <c r="IA40" s="73"/>
      <c r="IB40" s="72">
        <f t="shared" si="218"/>
        <v>0</v>
      </c>
      <c r="IC40" s="64"/>
      <c r="ID40" s="73"/>
      <c r="IE40" s="72">
        <f t="shared" si="219"/>
        <v>0</v>
      </c>
      <c r="IF40" s="64"/>
      <c r="IG40" s="73"/>
      <c r="IH40" s="72">
        <f t="shared" si="220"/>
        <v>0</v>
      </c>
      <c r="II40" s="64"/>
      <c r="IJ40" s="73"/>
      <c r="IK40" s="72">
        <f t="shared" si="266"/>
        <v>0</v>
      </c>
      <c r="IL40" s="64"/>
      <c r="IM40" s="73"/>
      <c r="IN40" s="72">
        <f t="shared" si="267"/>
        <v>0</v>
      </c>
      <c r="IO40" s="64"/>
      <c r="IP40" s="73"/>
      <c r="IQ40" s="72">
        <f t="shared" si="221"/>
        <v>0</v>
      </c>
      <c r="IR40" s="64"/>
      <c r="IS40" s="73"/>
      <c r="IT40" s="72">
        <f t="shared" si="222"/>
        <v>0</v>
      </c>
      <c r="IU40" s="64"/>
      <c r="IV40" s="73"/>
      <c r="IW40" s="72">
        <f t="shared" si="223"/>
        <v>0</v>
      </c>
      <c r="IX40" s="64"/>
      <c r="IY40" s="73"/>
      <c r="IZ40" s="72">
        <f t="shared" si="268"/>
        <v>0</v>
      </c>
      <c r="JA40" s="64"/>
      <c r="JB40" s="73"/>
      <c r="JC40" s="72">
        <f t="shared" si="269"/>
        <v>0</v>
      </c>
      <c r="JD40" s="64"/>
      <c r="JE40" s="73"/>
      <c r="JF40" s="72">
        <f t="shared" si="224"/>
        <v>0</v>
      </c>
      <c r="JG40" s="64"/>
      <c r="JH40" s="73"/>
      <c r="JI40" s="72">
        <f t="shared" si="225"/>
        <v>0</v>
      </c>
      <c r="JJ40" s="64"/>
      <c r="JK40" s="73"/>
      <c r="JL40" s="72">
        <f t="shared" si="226"/>
        <v>0</v>
      </c>
      <c r="JM40" s="64"/>
      <c r="JN40" s="73"/>
      <c r="JO40" s="72">
        <f t="shared" si="270"/>
        <v>0</v>
      </c>
      <c r="JP40" s="64"/>
      <c r="JQ40" s="73"/>
      <c r="JR40" s="72">
        <f t="shared" si="271"/>
        <v>0</v>
      </c>
      <c r="JS40" s="64"/>
      <c r="JT40" s="73"/>
      <c r="JU40" s="72">
        <f t="shared" si="227"/>
        <v>0</v>
      </c>
      <c r="JV40" s="64"/>
      <c r="JW40" s="73"/>
      <c r="JX40" s="72">
        <f t="shared" si="228"/>
        <v>0</v>
      </c>
      <c r="JY40" s="64"/>
      <c r="JZ40" s="73"/>
      <c r="KA40" s="72">
        <f t="shared" si="229"/>
        <v>0</v>
      </c>
      <c r="KB40" s="64"/>
      <c r="KC40" s="73"/>
      <c r="KD40" s="72">
        <f t="shared" si="272"/>
        <v>0</v>
      </c>
      <c r="KE40" s="64"/>
      <c r="KF40" s="73"/>
      <c r="KG40" s="72">
        <f t="shared" si="273"/>
        <v>0</v>
      </c>
      <c r="KH40" s="64"/>
      <c r="KI40" s="73"/>
      <c r="KJ40" s="72">
        <f t="shared" si="230"/>
        <v>0</v>
      </c>
      <c r="KK40" s="64"/>
      <c r="KL40" s="73"/>
      <c r="KM40" s="72">
        <f t="shared" si="231"/>
        <v>0</v>
      </c>
      <c r="KN40" s="64"/>
      <c r="KO40" s="73"/>
      <c r="KP40" s="72">
        <f t="shared" si="232"/>
        <v>0</v>
      </c>
      <c r="KQ40" s="64"/>
      <c r="KR40" s="73"/>
      <c r="KS40" s="72">
        <f t="shared" si="274"/>
        <v>0</v>
      </c>
      <c r="KT40" s="64"/>
      <c r="KU40" s="73"/>
      <c r="KV40" s="72">
        <f t="shared" si="275"/>
        <v>0</v>
      </c>
      <c r="KW40" s="64"/>
      <c r="KX40" s="73"/>
      <c r="KY40" s="72">
        <f t="shared" si="233"/>
        <v>0</v>
      </c>
      <c r="KZ40" s="64"/>
      <c r="LA40" s="73"/>
      <c r="LB40" s="72">
        <f t="shared" si="234"/>
        <v>0</v>
      </c>
      <c r="LC40" s="64"/>
      <c r="LD40" s="73"/>
      <c r="LE40" s="72">
        <f t="shared" si="235"/>
        <v>0</v>
      </c>
      <c r="LF40" s="64"/>
    </row>
    <row r="41" spans="1:318" s="784" customFormat="1">
      <c r="A41" s="49"/>
      <c r="B41" s="49"/>
      <c r="C41" s="436" t="str">
        <f>Idiomas!D337</f>
        <v>3º puesto</v>
      </c>
      <c r="D41" s="62">
        <v>30</v>
      </c>
      <c r="E41" s="109"/>
      <c r="F41" s="443">
        <f t="shared" si="236"/>
        <v>15</v>
      </c>
      <c r="G41" s="443">
        <f ca="1">VLOOKUP(H41,Equipos!$Q$1:$R$25,2,0)</f>
        <v>10</v>
      </c>
      <c r="H41" s="444">
        <f ca="1">TRUNC(INDEX(WORLDCUP!$X$4:$X$147,MATCH(ADMIN!K41,WORLDCUP!$DT$4:$DT$147,0))+INDEX(Horarios!$R$3:$R$86,MATCH(Horarios!$C$3,Horarios!$P$3:$P$86,0))/24)</f>
        <v>46193</v>
      </c>
      <c r="I41" s="48">
        <v>1</v>
      </c>
      <c r="J41" s="94"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276"/>
        <v>0</v>
      </c>
      <c r="R41" s="49"/>
      <c r="S41" s="796" t="s">
        <v>1951</v>
      </c>
      <c r="T41" s="72">
        <f t="shared" si="237"/>
        <v>0</v>
      </c>
      <c r="U41" s="64"/>
      <c r="V41" s="73" t="s">
        <v>1953</v>
      </c>
      <c r="W41" s="72">
        <f t="shared" si="238"/>
        <v>0</v>
      </c>
      <c r="X41" s="64"/>
      <c r="Y41" s="796" t="s">
        <v>1961</v>
      </c>
      <c r="Z41" s="72">
        <f t="shared" si="176"/>
        <v>0</v>
      </c>
      <c r="AA41" s="64"/>
      <c r="AB41" s="796" t="s">
        <v>1961</v>
      </c>
      <c r="AC41" s="72">
        <f t="shared" si="177"/>
        <v>0</v>
      </c>
      <c r="AD41" s="64"/>
      <c r="AE41" s="796" t="s">
        <v>1962</v>
      </c>
      <c r="AF41" s="72">
        <f t="shared" si="280"/>
        <v>0</v>
      </c>
      <c r="AG41" s="64"/>
      <c r="AH41" s="796" t="s">
        <v>1962</v>
      </c>
      <c r="AI41" s="72">
        <f t="shared" si="240"/>
        <v>0</v>
      </c>
      <c r="AJ41" s="64"/>
      <c r="AK41" s="806" t="s">
        <v>1950</v>
      </c>
      <c r="AL41" s="72">
        <f t="shared" si="241"/>
        <v>0</v>
      </c>
      <c r="AM41" s="64"/>
      <c r="AN41" s="796" t="s">
        <v>1962</v>
      </c>
      <c r="AO41" s="72">
        <f t="shared" si="179"/>
        <v>0</v>
      </c>
      <c r="AP41" s="64"/>
      <c r="AQ41" s="806" t="s">
        <v>1950</v>
      </c>
      <c r="AR41" s="72">
        <f t="shared" si="180"/>
        <v>0</v>
      </c>
      <c r="AS41" s="64"/>
      <c r="AT41" s="796" t="s">
        <v>1949</v>
      </c>
      <c r="AU41" s="72">
        <f t="shared" si="181"/>
        <v>0</v>
      </c>
      <c r="AV41" s="64"/>
      <c r="AW41" s="796" t="s">
        <v>1961</v>
      </c>
      <c r="AX41" s="72">
        <f t="shared" si="242"/>
        <v>0</v>
      </c>
      <c r="AY41" s="64"/>
      <c r="AZ41" s="796" t="s">
        <v>1956</v>
      </c>
      <c r="BA41" s="72">
        <f t="shared" si="243"/>
        <v>0</v>
      </c>
      <c r="BB41" s="64"/>
      <c r="BC41" s="796" t="s">
        <v>1962</v>
      </c>
      <c r="BD41" s="72">
        <f t="shared" si="182"/>
        <v>0</v>
      </c>
      <c r="BE41" s="64"/>
      <c r="BF41" s="796" t="s">
        <v>1953</v>
      </c>
      <c r="BG41" s="72">
        <f t="shared" si="183"/>
        <v>0</v>
      </c>
      <c r="BH41" s="64"/>
      <c r="BI41" s="796" t="s">
        <v>1962</v>
      </c>
      <c r="BJ41" s="72">
        <f t="shared" si="184"/>
        <v>0</v>
      </c>
      <c r="BK41" s="64"/>
      <c r="BL41" s="796" t="s">
        <v>1962</v>
      </c>
      <c r="BM41" s="72">
        <f t="shared" si="244"/>
        <v>0</v>
      </c>
      <c r="BN41" s="64"/>
      <c r="BO41" s="816" t="s">
        <v>1951</v>
      </c>
      <c r="BP41" s="72">
        <f t="shared" si="245"/>
        <v>0</v>
      </c>
      <c r="BQ41" s="64"/>
      <c r="BR41" s="796" t="s">
        <v>1962</v>
      </c>
      <c r="BS41" s="72">
        <f t="shared" si="185"/>
        <v>0</v>
      </c>
      <c r="BT41" s="64"/>
      <c r="BU41" s="796" t="s">
        <v>1949</v>
      </c>
      <c r="BV41" s="72">
        <f t="shared" si="186"/>
        <v>0</v>
      </c>
      <c r="BW41" s="64"/>
      <c r="BX41" s="73" t="s">
        <v>1962</v>
      </c>
      <c r="BY41" s="72">
        <f t="shared" si="187"/>
        <v>0</v>
      </c>
      <c r="BZ41" s="64"/>
      <c r="CA41" s="816" t="s">
        <v>1949</v>
      </c>
      <c r="CB41" s="72">
        <f t="shared" si="246"/>
        <v>0</v>
      </c>
      <c r="CC41" s="64"/>
      <c r="CD41" s="825" t="s">
        <v>1947</v>
      </c>
      <c r="CE41" s="72">
        <f t="shared" si="247"/>
        <v>0</v>
      </c>
      <c r="CF41" s="64"/>
      <c r="CG41" s="796" t="s">
        <v>1951</v>
      </c>
      <c r="CH41" s="72">
        <f t="shared" si="188"/>
        <v>0</v>
      </c>
      <c r="CI41" s="64"/>
      <c r="CJ41" s="796" t="s">
        <v>1949</v>
      </c>
      <c r="CK41" s="72">
        <f t="shared" si="189"/>
        <v>0</v>
      </c>
      <c r="CL41" s="64"/>
      <c r="CM41" s="796" t="s">
        <v>1962</v>
      </c>
      <c r="CN41" s="72">
        <f t="shared" si="190"/>
        <v>0</v>
      </c>
      <c r="CO41" s="64"/>
      <c r="CP41" s="796" t="s">
        <v>1963</v>
      </c>
      <c r="CQ41" s="72">
        <f t="shared" si="248"/>
        <v>0</v>
      </c>
      <c r="CR41" s="64"/>
      <c r="CS41" s="796" t="s">
        <v>1962</v>
      </c>
      <c r="CT41" s="72">
        <f t="shared" si="249"/>
        <v>0</v>
      </c>
      <c r="CU41" s="64"/>
      <c r="CV41" s="796" t="s">
        <v>1963</v>
      </c>
      <c r="CW41" s="72">
        <f t="shared" si="191"/>
        <v>0</v>
      </c>
      <c r="CX41" s="64"/>
      <c r="CY41" s="796" t="s">
        <v>1962</v>
      </c>
      <c r="CZ41" s="72">
        <f t="shared" si="250"/>
        <v>0</v>
      </c>
      <c r="DA41" s="64"/>
      <c r="DB41" s="796" t="s">
        <v>1963</v>
      </c>
      <c r="DC41" s="72">
        <f t="shared" si="192"/>
        <v>0</v>
      </c>
      <c r="DD41" s="64"/>
      <c r="DE41" s="796" t="s">
        <v>2008</v>
      </c>
      <c r="DF41" s="72">
        <f t="shared" si="281"/>
        <v>0</v>
      </c>
      <c r="DG41" s="64"/>
      <c r="DH41" s="796" t="s">
        <v>1962</v>
      </c>
      <c r="DI41" s="72">
        <f t="shared" si="282"/>
        <v>0</v>
      </c>
      <c r="DJ41" s="64"/>
      <c r="DK41" s="796" t="s">
        <v>1949</v>
      </c>
      <c r="DL41" s="72">
        <f t="shared" si="283"/>
        <v>0</v>
      </c>
      <c r="DM41" s="64"/>
      <c r="DN41" s="73"/>
      <c r="DO41" s="72">
        <f t="shared" si="196"/>
        <v>0</v>
      </c>
      <c r="DP41" s="64"/>
      <c r="DQ41" s="796" t="s">
        <v>1961</v>
      </c>
      <c r="DR41" s="72">
        <f t="shared" si="251"/>
        <v>0</v>
      </c>
      <c r="DS41" s="64"/>
      <c r="DT41" s="73" t="s">
        <v>1962</v>
      </c>
      <c r="DU41" s="72">
        <f t="shared" si="277"/>
        <v>0</v>
      </c>
      <c r="DV41" s="64"/>
      <c r="DW41" s="73"/>
      <c r="DX41" s="72">
        <f t="shared" si="278"/>
        <v>0</v>
      </c>
      <c r="DY41" s="64"/>
      <c r="DZ41" s="73"/>
      <c r="EA41" s="72">
        <f t="shared" si="284"/>
        <v>0</v>
      </c>
      <c r="EB41" s="64"/>
      <c r="EC41" s="73"/>
      <c r="ED41" s="72">
        <f t="shared" si="198"/>
        <v>0</v>
      </c>
      <c r="EE41" s="64"/>
      <c r="EF41" s="73"/>
      <c r="EG41" s="72">
        <f t="shared" si="199"/>
        <v>0</v>
      </c>
      <c r="EH41" s="64"/>
      <c r="EI41" s="73"/>
      <c r="EJ41" s="72">
        <f t="shared" si="252"/>
        <v>0</v>
      </c>
      <c r="EK41" s="64"/>
      <c r="EL41" s="73"/>
      <c r="EM41" s="72">
        <f t="shared" si="253"/>
        <v>0</v>
      </c>
      <c r="EN41" s="64"/>
      <c r="EO41" s="73"/>
      <c r="EP41" s="72">
        <f t="shared" si="200"/>
        <v>0</v>
      </c>
      <c r="EQ41" s="64"/>
      <c r="ER41" s="73"/>
      <c r="ES41" s="72">
        <f t="shared" si="201"/>
        <v>0</v>
      </c>
      <c r="ET41" s="64"/>
      <c r="EU41" s="73"/>
      <c r="EV41" s="72">
        <f t="shared" si="202"/>
        <v>0</v>
      </c>
      <c r="EW41" s="64"/>
      <c r="EX41" s="73"/>
      <c r="EY41" s="72">
        <f t="shared" si="254"/>
        <v>0</v>
      </c>
      <c r="EZ41" s="64"/>
      <c r="FA41" s="73"/>
      <c r="FB41" s="72">
        <f t="shared" si="255"/>
        <v>0</v>
      </c>
      <c r="FC41" s="64"/>
      <c r="FD41" s="73"/>
      <c r="FE41" s="72">
        <f t="shared" si="203"/>
        <v>0</v>
      </c>
      <c r="FF41" s="64"/>
      <c r="FG41" s="73"/>
      <c r="FH41" s="72">
        <f t="shared" si="204"/>
        <v>0</v>
      </c>
      <c r="FI41" s="64"/>
      <c r="FJ41" s="73"/>
      <c r="FK41" s="72">
        <f t="shared" si="205"/>
        <v>0</v>
      </c>
      <c r="FL41" s="64"/>
      <c r="FM41" s="73"/>
      <c r="FN41" s="72">
        <f t="shared" si="256"/>
        <v>0</v>
      </c>
      <c r="FO41" s="64"/>
      <c r="FP41" s="73"/>
      <c r="FQ41" s="72">
        <f t="shared" si="257"/>
        <v>0</v>
      </c>
      <c r="FR41" s="64"/>
      <c r="FS41" s="73"/>
      <c r="FT41" s="72">
        <f t="shared" si="206"/>
        <v>0</v>
      </c>
      <c r="FU41" s="64"/>
      <c r="FV41" s="73"/>
      <c r="FW41" s="72">
        <f t="shared" si="207"/>
        <v>0</v>
      </c>
      <c r="FX41" s="64"/>
      <c r="FY41" s="73"/>
      <c r="FZ41" s="72">
        <f t="shared" si="208"/>
        <v>0</v>
      </c>
      <c r="GA41" s="64"/>
      <c r="GB41" s="73"/>
      <c r="GC41" s="72">
        <f t="shared" si="258"/>
        <v>0</v>
      </c>
      <c r="GD41" s="64"/>
      <c r="GE41" s="73"/>
      <c r="GF41" s="72">
        <f t="shared" si="259"/>
        <v>0</v>
      </c>
      <c r="GG41" s="64"/>
      <c r="GH41" s="73"/>
      <c r="GI41" s="72">
        <f t="shared" si="209"/>
        <v>0</v>
      </c>
      <c r="GJ41" s="64"/>
      <c r="GK41" s="73"/>
      <c r="GL41" s="72">
        <f t="shared" si="210"/>
        <v>0</v>
      </c>
      <c r="GM41" s="64"/>
      <c r="GN41" s="73"/>
      <c r="GO41" s="72">
        <f t="shared" si="211"/>
        <v>0</v>
      </c>
      <c r="GP41" s="64"/>
      <c r="GQ41" s="73"/>
      <c r="GR41" s="72">
        <f t="shared" si="260"/>
        <v>0</v>
      </c>
      <c r="GS41" s="64"/>
      <c r="GT41" s="73"/>
      <c r="GU41" s="72">
        <f t="shared" si="261"/>
        <v>0</v>
      </c>
      <c r="GV41" s="64"/>
      <c r="GW41" s="73"/>
      <c r="GX41" s="72">
        <f t="shared" si="212"/>
        <v>0</v>
      </c>
      <c r="GY41" s="64"/>
      <c r="GZ41" s="73"/>
      <c r="HA41" s="72">
        <f t="shared" si="213"/>
        <v>0</v>
      </c>
      <c r="HB41" s="64"/>
      <c r="HC41" s="73"/>
      <c r="HD41" s="72">
        <f t="shared" si="214"/>
        <v>0</v>
      </c>
      <c r="HE41" s="64"/>
      <c r="HF41" s="73"/>
      <c r="HG41" s="72">
        <f t="shared" si="262"/>
        <v>0</v>
      </c>
      <c r="HH41" s="64"/>
      <c r="HI41" s="73"/>
      <c r="HJ41" s="72">
        <f t="shared" si="263"/>
        <v>0</v>
      </c>
      <c r="HK41" s="64"/>
      <c r="HL41" s="73"/>
      <c r="HM41" s="72">
        <f t="shared" si="215"/>
        <v>0</v>
      </c>
      <c r="HN41" s="64"/>
      <c r="HO41" s="73"/>
      <c r="HP41" s="72">
        <f t="shared" si="216"/>
        <v>0</v>
      </c>
      <c r="HQ41" s="64"/>
      <c r="HR41" s="73"/>
      <c r="HS41" s="72">
        <f t="shared" si="217"/>
        <v>0</v>
      </c>
      <c r="HT41" s="64"/>
      <c r="HU41" s="73"/>
      <c r="HV41" s="72">
        <f t="shared" si="264"/>
        <v>0</v>
      </c>
      <c r="HW41" s="64"/>
      <c r="HX41" s="73"/>
      <c r="HY41" s="72">
        <f t="shared" si="265"/>
        <v>0</v>
      </c>
      <c r="HZ41" s="64"/>
      <c r="IA41" s="73"/>
      <c r="IB41" s="72">
        <f t="shared" si="218"/>
        <v>0</v>
      </c>
      <c r="IC41" s="64"/>
      <c r="ID41" s="73"/>
      <c r="IE41" s="72">
        <f t="shared" si="219"/>
        <v>0</v>
      </c>
      <c r="IF41" s="64"/>
      <c r="IG41" s="73"/>
      <c r="IH41" s="72">
        <f t="shared" si="220"/>
        <v>0</v>
      </c>
      <c r="II41" s="64"/>
      <c r="IJ41" s="73"/>
      <c r="IK41" s="72">
        <f t="shared" si="266"/>
        <v>0</v>
      </c>
      <c r="IL41" s="64"/>
      <c r="IM41" s="73"/>
      <c r="IN41" s="72">
        <f t="shared" si="267"/>
        <v>0</v>
      </c>
      <c r="IO41" s="64"/>
      <c r="IP41" s="73"/>
      <c r="IQ41" s="72">
        <f t="shared" si="221"/>
        <v>0</v>
      </c>
      <c r="IR41" s="64"/>
      <c r="IS41" s="73"/>
      <c r="IT41" s="72">
        <f t="shared" si="222"/>
        <v>0</v>
      </c>
      <c r="IU41" s="64"/>
      <c r="IV41" s="73"/>
      <c r="IW41" s="72">
        <f t="shared" si="223"/>
        <v>0</v>
      </c>
      <c r="IX41" s="64"/>
      <c r="IY41" s="73"/>
      <c r="IZ41" s="72">
        <f t="shared" si="268"/>
        <v>0</v>
      </c>
      <c r="JA41" s="64"/>
      <c r="JB41" s="73"/>
      <c r="JC41" s="72">
        <f t="shared" si="269"/>
        <v>0</v>
      </c>
      <c r="JD41" s="64"/>
      <c r="JE41" s="73"/>
      <c r="JF41" s="72">
        <f t="shared" si="224"/>
        <v>0</v>
      </c>
      <c r="JG41" s="64"/>
      <c r="JH41" s="73"/>
      <c r="JI41" s="72">
        <f t="shared" si="225"/>
        <v>0</v>
      </c>
      <c r="JJ41" s="64"/>
      <c r="JK41" s="73"/>
      <c r="JL41" s="72">
        <f t="shared" si="226"/>
        <v>0</v>
      </c>
      <c r="JM41" s="64"/>
      <c r="JN41" s="73"/>
      <c r="JO41" s="72">
        <f t="shared" si="270"/>
        <v>0</v>
      </c>
      <c r="JP41" s="64"/>
      <c r="JQ41" s="73"/>
      <c r="JR41" s="72">
        <f t="shared" si="271"/>
        <v>0</v>
      </c>
      <c r="JS41" s="64"/>
      <c r="JT41" s="73"/>
      <c r="JU41" s="72">
        <f t="shared" si="227"/>
        <v>0</v>
      </c>
      <c r="JV41" s="64"/>
      <c r="JW41" s="73"/>
      <c r="JX41" s="72">
        <f t="shared" si="228"/>
        <v>0</v>
      </c>
      <c r="JY41" s="64"/>
      <c r="JZ41" s="73"/>
      <c r="KA41" s="72">
        <f t="shared" si="229"/>
        <v>0</v>
      </c>
      <c r="KB41" s="64"/>
      <c r="KC41" s="73"/>
      <c r="KD41" s="72">
        <f t="shared" si="272"/>
        <v>0</v>
      </c>
      <c r="KE41" s="64"/>
      <c r="KF41" s="73"/>
      <c r="KG41" s="72">
        <f t="shared" si="273"/>
        <v>0</v>
      </c>
      <c r="KH41" s="64"/>
      <c r="KI41" s="73"/>
      <c r="KJ41" s="72">
        <f t="shared" si="230"/>
        <v>0</v>
      </c>
      <c r="KK41" s="64"/>
      <c r="KL41" s="73"/>
      <c r="KM41" s="72">
        <f t="shared" si="231"/>
        <v>0</v>
      </c>
      <c r="KN41" s="64"/>
      <c r="KO41" s="73"/>
      <c r="KP41" s="72">
        <f t="shared" si="232"/>
        <v>0</v>
      </c>
      <c r="KQ41" s="64"/>
      <c r="KR41" s="73"/>
      <c r="KS41" s="72">
        <f t="shared" si="274"/>
        <v>0</v>
      </c>
      <c r="KT41" s="64"/>
      <c r="KU41" s="73"/>
      <c r="KV41" s="72">
        <f t="shared" si="275"/>
        <v>0</v>
      </c>
      <c r="KW41" s="64"/>
      <c r="KX41" s="73"/>
      <c r="KY41" s="72">
        <f t="shared" si="233"/>
        <v>0</v>
      </c>
      <c r="KZ41" s="64"/>
      <c r="LA41" s="73"/>
      <c r="LB41" s="72">
        <f t="shared" si="234"/>
        <v>0</v>
      </c>
      <c r="LC41" s="64"/>
      <c r="LD41" s="73"/>
      <c r="LE41" s="72">
        <f t="shared" si="235"/>
        <v>0</v>
      </c>
      <c r="LF41" s="64"/>
    </row>
    <row r="42" spans="1:318" s="784" customFormat="1">
      <c r="A42" s="49"/>
      <c r="B42" s="49"/>
      <c r="C42" s="435" t="str">
        <f>Idiomas!D338</f>
        <v>Bota de Oro  (máximo goleador)</v>
      </c>
      <c r="D42" s="62">
        <v>25</v>
      </c>
      <c r="E42" s="109"/>
      <c r="F42" s="443">
        <f t="shared" si="236"/>
        <v>15</v>
      </c>
      <c r="G42" s="443">
        <f ca="1">VLOOKUP(H42,Equipos!$Q$1:$R$25,2,0)</f>
        <v>11</v>
      </c>
      <c r="H42" s="444">
        <f ca="1">TRUNC(INDEX(WORLDCUP!$X$4:$X$147,MATCH(ADMIN!K42,WORLDCUP!$DT$4:$DT$147,0))+INDEX(Horarios!$R$3:$R$86,MATCH(Horarios!$C$3,Horarios!$P$3:$P$86,0))/24)</f>
        <v>46194</v>
      </c>
      <c r="I42" s="48">
        <v>1</v>
      </c>
      <c r="J42" s="93"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276"/>
        <v>0</v>
      </c>
      <c r="R42" s="49"/>
      <c r="S42" s="796" t="s">
        <v>1948</v>
      </c>
      <c r="T42" s="76">
        <f>IFERROR(IF($M42=S42,($D$8+$D$9+$D$10)*$I42,IF($N42=LEFT(S42,1),($D$8+MAX(0,IF($D$50=1,$D$9*(1-(ABS($Q42-ABS(VALUE(MID(S42,FIND("|",S42)+1,FIND("-",S42)-FIND("|",S42)-1))-VALUE(MID(S42,FIND("-",S42)+1,10)))))*$D$50),$D$9*(1-(IF($N42="X",ABS($O42-VALUE(MID(S42,FIND("|",S42)+1,FIND("-",S42)-FIND("|",S42)-1))),ABS($Q42-ABS(VALUE(MID(S42,FIND("|",S42)+1,FIND("-",S42)-FIND("|",S42)-1))-VALUE(MID(S42,FIND("-",S42)+1,10)))))*$D$50)))))*$I42,0)),0)</f>
        <v>0</v>
      </c>
      <c r="U42" s="64"/>
      <c r="V42" s="75" t="s">
        <v>1948</v>
      </c>
      <c r="W42" s="76">
        <f>IFERROR(IF($M42=V42,($D$8+$D$9+$D$10)*$I42,IF($N42=LEFT(V42,1),($D$8+MAX(0,IF($D$50=1,$D$9*(1-(ABS($Q42-ABS(VALUE(MID(V42,FIND("|",V42)+1,FIND("-",V42)-FIND("|",V42)-1))-VALUE(MID(V42,FIND("-",V42)+1,10)))))*$D$50),$D$9*(1-(IF($N42="X",ABS($O42-VALUE(MID(V42,FIND("|",V42)+1,FIND("-",V42)-FIND("|",V42)-1))),ABS($Q42-ABS(VALUE(MID(V42,FIND("|",V42)+1,FIND("-",V42)-FIND("|",V42)-1))-VALUE(MID(V42,FIND("-",V42)+1,10)))))*$D$50)))))*$I42,0)),0)</f>
        <v>0</v>
      </c>
      <c r="X42" s="64"/>
      <c r="Y42" s="796" t="s">
        <v>1956</v>
      </c>
      <c r="Z42" s="76">
        <f t="shared" si="176"/>
        <v>0</v>
      </c>
      <c r="AA42" s="64"/>
      <c r="AB42" s="796" t="s">
        <v>1948</v>
      </c>
      <c r="AC42" s="76">
        <f t="shared" si="177"/>
        <v>0</v>
      </c>
      <c r="AD42" s="64"/>
      <c r="AE42" s="796" t="s">
        <v>1948</v>
      </c>
      <c r="AF42" s="76">
        <f t="shared" si="280"/>
        <v>0</v>
      </c>
      <c r="AG42" s="64"/>
      <c r="AH42" s="796" t="s">
        <v>1958</v>
      </c>
      <c r="AI42" s="76">
        <f>IFERROR(IF($M42=AH42,($D$8+$D$9+$D$10)*$I42,IF($N42=LEFT(AH42,1),($D$8+MAX(0,IF($D$50=1,$D$9*(1-(ABS($Q42-ABS(VALUE(MID(AH42,FIND("|",AH42)+1,FIND("-",AH42)-FIND("|",AH42)-1))-VALUE(MID(AH42,FIND("-",AH42)+1,10)))))*$D$50),$D$9*(1-(IF($N42="X",ABS($O42-VALUE(MID(AH42,FIND("|",AH42)+1,FIND("-",AH42)-FIND("|",AH42)-1))),ABS($Q42-ABS(VALUE(MID(AH42,FIND("|",AH42)+1,FIND("-",AH42)-FIND("|",AH42)-1))-VALUE(MID(AH42,FIND("-",AH42)+1,10)))))*$D$50)))))*$I42,0)),0)</f>
        <v>0</v>
      </c>
      <c r="AJ42" s="64"/>
      <c r="AK42" s="806" t="s">
        <v>1956</v>
      </c>
      <c r="AL42" s="76">
        <f>IFERROR(IF($M42=AK42,($D$8+$D$9+$D$10)*$I42,IF($N42=LEFT(AK42,1),($D$8+MAX(0,IF($D$50=1,$D$9*(1-(ABS($Q42-ABS(VALUE(MID(AK42,FIND("|",AK42)+1,FIND("-",AK42)-FIND("|",AK42)-1))-VALUE(MID(AK42,FIND("-",AK42)+1,10)))))*$D$50),$D$9*(1-(IF($N42="X",ABS($O42-VALUE(MID(AK42,FIND("|",AK42)+1,FIND("-",AK42)-FIND("|",AK42)-1))),ABS($Q42-ABS(VALUE(MID(AK42,FIND("|",AK42)+1,FIND("-",AK42)-FIND("|",AK42)-1))-VALUE(MID(AK42,FIND("-",AK42)+1,10)))))*$D$50)))))*$I42,0)),0)</f>
        <v>0</v>
      </c>
      <c r="AM42" s="64"/>
      <c r="AN42" s="796" t="s">
        <v>1958</v>
      </c>
      <c r="AO42" s="76">
        <f t="shared" si="179"/>
        <v>0</v>
      </c>
      <c r="AP42" s="64"/>
      <c r="AQ42" s="806" t="s">
        <v>1956</v>
      </c>
      <c r="AR42" s="76">
        <f t="shared" si="180"/>
        <v>0</v>
      </c>
      <c r="AS42" s="64"/>
      <c r="AT42" s="796" t="s">
        <v>1960</v>
      </c>
      <c r="AU42" s="76">
        <f t="shared" si="181"/>
        <v>0</v>
      </c>
      <c r="AV42" s="64"/>
      <c r="AW42" s="796" t="s">
        <v>1956</v>
      </c>
      <c r="AX42" s="76">
        <f>IFERROR(IF($M42=AW42,($D$8+$D$9+$D$10)*$I42,IF($N42=LEFT(AW42,1),($D$8+MAX(0,IF($D$50=1,$D$9*(1-(ABS($Q42-ABS(VALUE(MID(AW42,FIND("|",AW42)+1,FIND("-",AW42)-FIND("|",AW42)-1))-VALUE(MID(AW42,FIND("-",AW42)+1,10)))))*$D$50),$D$9*(1-(IF($N42="X",ABS($O42-VALUE(MID(AW42,FIND("|",AW42)+1,FIND("-",AW42)-FIND("|",AW42)-1))),ABS($Q42-ABS(VALUE(MID(AW42,FIND("|",AW42)+1,FIND("-",AW42)-FIND("|",AW42)-1))-VALUE(MID(AW42,FIND("-",AW42)+1,10)))))*$D$50)))))*$I42,0)),0)</f>
        <v>0</v>
      </c>
      <c r="AY42" s="64"/>
      <c r="AZ42" s="796" t="s">
        <v>1963</v>
      </c>
      <c r="BA42" s="76">
        <f>IFERROR(IF($M42=AZ42,($D$8+$D$9+$D$10)*$I42,IF($N42=LEFT(AZ42,1),($D$8+MAX(0,IF($D$50=1,$D$9*(1-(ABS($Q42-ABS(VALUE(MID(AZ42,FIND("|",AZ42)+1,FIND("-",AZ42)-FIND("|",AZ42)-1))-VALUE(MID(AZ42,FIND("-",AZ42)+1,10)))))*$D$50),$D$9*(1-(IF($N42="X",ABS($O42-VALUE(MID(AZ42,FIND("|",AZ42)+1,FIND("-",AZ42)-FIND("|",AZ42)-1))),ABS($Q42-ABS(VALUE(MID(AZ42,FIND("|",AZ42)+1,FIND("-",AZ42)-FIND("|",AZ42)-1))-VALUE(MID(AZ42,FIND("-",AZ42)+1,10)))))*$D$50)))))*$I42,0)),0)</f>
        <v>0</v>
      </c>
      <c r="BB42" s="64"/>
      <c r="BC42" s="796" t="s">
        <v>1955</v>
      </c>
      <c r="BD42" s="76">
        <f t="shared" si="182"/>
        <v>0</v>
      </c>
      <c r="BE42" s="64"/>
      <c r="BF42" s="796" t="s">
        <v>1958</v>
      </c>
      <c r="BG42" s="76">
        <f t="shared" si="183"/>
        <v>0</v>
      </c>
      <c r="BH42" s="64"/>
      <c r="BI42" s="796" t="s">
        <v>1958</v>
      </c>
      <c r="BJ42" s="76">
        <f t="shared" si="184"/>
        <v>0</v>
      </c>
      <c r="BK42" s="64"/>
      <c r="BL42" s="796" t="s">
        <v>1958</v>
      </c>
      <c r="BM42" s="76">
        <f>IFERROR(IF($M42=BL42,($D$8+$D$9+$D$10)*$I42,IF($N42=LEFT(BL42,1),($D$8+MAX(0,IF($D$50=1,$D$9*(1-(ABS($Q42-ABS(VALUE(MID(BL42,FIND("|",BL42)+1,FIND("-",BL42)-FIND("|",BL42)-1))-VALUE(MID(BL42,FIND("-",BL42)+1,10)))))*$D$50),$D$9*(1-(IF($N42="X",ABS($O42-VALUE(MID(BL42,FIND("|",BL42)+1,FIND("-",BL42)-FIND("|",BL42)-1))),ABS($Q42-ABS(VALUE(MID(BL42,FIND("|",BL42)+1,FIND("-",BL42)-FIND("|",BL42)-1))-VALUE(MID(BL42,FIND("-",BL42)+1,10)))))*$D$50)))))*$I42,0)),0)</f>
        <v>0</v>
      </c>
      <c r="BN42" s="64"/>
      <c r="BO42" s="816" t="s">
        <v>1948</v>
      </c>
      <c r="BP42" s="76">
        <f>IFERROR(IF($M42=BO42,($D$8+$D$9+$D$10)*$I42,IF($N42=LEFT(BO42,1),($D$8+MAX(0,IF($D$50=1,$D$9*(1-(ABS($Q42-ABS(VALUE(MID(BO42,FIND("|",BO42)+1,FIND("-",BO42)-FIND("|",BO42)-1))-VALUE(MID(BO42,FIND("-",BO42)+1,10)))))*$D$50),$D$9*(1-(IF($N42="X",ABS($O42-VALUE(MID(BO42,FIND("|",BO42)+1,FIND("-",BO42)-FIND("|",BO42)-1))),ABS($Q42-ABS(VALUE(MID(BO42,FIND("|",BO42)+1,FIND("-",BO42)-FIND("|",BO42)-1))-VALUE(MID(BO42,FIND("-",BO42)+1,10)))))*$D$50)))))*$I42,0)),0)</f>
        <v>0</v>
      </c>
      <c r="BQ42" s="64"/>
      <c r="BR42" s="796" t="s">
        <v>1958</v>
      </c>
      <c r="BS42" s="76">
        <f t="shared" si="185"/>
        <v>0</v>
      </c>
      <c r="BT42" s="64"/>
      <c r="BU42" s="796" t="s">
        <v>1955</v>
      </c>
      <c r="BV42" s="76">
        <f t="shared" si="186"/>
        <v>0</v>
      </c>
      <c r="BW42" s="64"/>
      <c r="BX42" s="75" t="s">
        <v>1948</v>
      </c>
      <c r="BY42" s="76">
        <f t="shared" si="187"/>
        <v>0</v>
      </c>
      <c r="BZ42" s="64"/>
      <c r="CA42" s="816" t="s">
        <v>1955</v>
      </c>
      <c r="CB42" s="76">
        <f>IFERROR(IF($M42=CA42,($D$8+$D$9+$D$10)*$I42,IF($N42=LEFT(CA42,1),($D$8+MAX(0,IF($D$50=1,$D$9*(1-(ABS($Q42-ABS(VALUE(MID(CA42,FIND("|",CA42)+1,FIND("-",CA42)-FIND("|",CA42)-1))-VALUE(MID(CA42,FIND("-",CA42)+1,10)))))*$D$50),$D$9*(1-(IF($N42="X",ABS($O42-VALUE(MID(CA42,FIND("|",CA42)+1,FIND("-",CA42)-FIND("|",CA42)-1))),ABS($Q42-ABS(VALUE(MID(CA42,FIND("|",CA42)+1,FIND("-",CA42)-FIND("|",CA42)-1))-VALUE(MID(CA42,FIND("-",CA42)+1,10)))))*$D$50)))))*$I42,0)),0)</f>
        <v>0</v>
      </c>
      <c r="CC42" s="64"/>
      <c r="CD42" s="825" t="s">
        <v>1956</v>
      </c>
      <c r="CE42" s="76">
        <f>IFERROR(IF($M42=CD42,($D$8+$D$9+$D$10)*$I42,IF($N42=LEFT(CD42,1),($D$8+MAX(0,IF($D$50=1,$D$9*(1-(ABS($Q42-ABS(VALUE(MID(CD42,FIND("|",CD42)+1,FIND("-",CD42)-FIND("|",CD42)-1))-VALUE(MID(CD42,FIND("-",CD42)+1,10)))))*$D$50),$D$9*(1-(IF($N42="X",ABS($O42-VALUE(MID(CD42,FIND("|",CD42)+1,FIND("-",CD42)-FIND("|",CD42)-1))),ABS($Q42-ABS(VALUE(MID(CD42,FIND("|",CD42)+1,FIND("-",CD42)-FIND("|",CD42)-1))-VALUE(MID(CD42,FIND("-",CD42)+1,10)))))*$D$50)))))*$I42,0)),0)</f>
        <v>0</v>
      </c>
      <c r="CF42" s="64"/>
      <c r="CG42" s="796" t="s">
        <v>1948</v>
      </c>
      <c r="CH42" s="76">
        <f t="shared" si="188"/>
        <v>0</v>
      </c>
      <c r="CI42" s="64"/>
      <c r="CJ42" s="796" t="s">
        <v>1958</v>
      </c>
      <c r="CK42" s="76">
        <f t="shared" si="189"/>
        <v>0</v>
      </c>
      <c r="CL42" s="64"/>
      <c r="CM42" s="796" t="s">
        <v>1956</v>
      </c>
      <c r="CN42" s="76">
        <f t="shared" si="190"/>
        <v>0</v>
      </c>
      <c r="CO42" s="64"/>
      <c r="CP42" s="796" t="s">
        <v>1956</v>
      </c>
      <c r="CQ42" s="76">
        <f>IFERROR(IF($M42=CP42,($D$8+$D$9+$D$10)*$I42,IF($N42=LEFT(CP42,1),($D$8+MAX(0,IF($D$50=1,$D$9*(1-(ABS($Q42-ABS(VALUE(MID(CP42,FIND("|",CP42)+1,FIND("-",CP42)-FIND("|",CP42)-1))-VALUE(MID(CP42,FIND("-",CP42)+1,10)))))*$D$50),$D$9*(1-(IF($N42="X",ABS($O42-VALUE(MID(CP42,FIND("|",CP42)+1,FIND("-",CP42)-FIND("|",CP42)-1))),ABS($Q42-ABS(VALUE(MID(CP42,FIND("|",CP42)+1,FIND("-",CP42)-FIND("|",CP42)-1))-VALUE(MID(CP42,FIND("-",CP42)+1,10)))))*$D$50)))))*$I42,0)),0)</f>
        <v>0</v>
      </c>
      <c r="CR42" s="64"/>
      <c r="CS42" s="796" t="s">
        <v>1948</v>
      </c>
      <c r="CT42" s="76">
        <f>IFERROR(IF($M42=CS42,($D$8+$D$9+$D$10)*$I42,IF($N42=LEFT(CS42,1),($D$8+MAX(0,IF($D$50=1,$D$9*(1-(ABS($Q42-ABS(VALUE(MID(CS42,FIND("|",CS42)+1,FIND("-",CS42)-FIND("|",CS42)-1))-VALUE(MID(CS42,FIND("-",CS42)+1,10)))))*$D$50),$D$9*(1-(IF($N42="X",ABS($O42-VALUE(MID(CS42,FIND("|",CS42)+1,FIND("-",CS42)-FIND("|",CS42)-1))),ABS($Q42-ABS(VALUE(MID(CS42,FIND("|",CS42)+1,FIND("-",CS42)-FIND("|",CS42)-1))-VALUE(MID(CS42,FIND("-",CS42)+1,10)))))*$D$50)))))*$I42,0)),0)</f>
        <v>0</v>
      </c>
      <c r="CU42" s="64"/>
      <c r="CV42" s="796" t="s">
        <v>2007</v>
      </c>
      <c r="CW42" s="76">
        <f t="shared" si="191"/>
        <v>0</v>
      </c>
      <c r="CX42" s="64"/>
      <c r="CY42" s="796" t="s">
        <v>1948</v>
      </c>
      <c r="CZ42" s="76">
        <f t="shared" si="250"/>
        <v>0</v>
      </c>
      <c r="DA42" s="64"/>
      <c r="DB42" s="796" t="s">
        <v>1961</v>
      </c>
      <c r="DC42" s="76">
        <f t="shared" si="192"/>
        <v>0</v>
      </c>
      <c r="DD42" s="64"/>
      <c r="DE42" s="796" t="s">
        <v>1960</v>
      </c>
      <c r="DF42" s="76">
        <f t="shared" si="281"/>
        <v>0</v>
      </c>
      <c r="DG42" s="64"/>
      <c r="DH42" s="796" t="s">
        <v>1948</v>
      </c>
      <c r="DI42" s="76">
        <f t="shared" si="282"/>
        <v>0</v>
      </c>
      <c r="DJ42" s="64"/>
      <c r="DK42" s="796" t="s">
        <v>1948</v>
      </c>
      <c r="DL42" s="76">
        <f t="shared" si="283"/>
        <v>0</v>
      </c>
      <c r="DM42" s="64"/>
      <c r="DN42" s="75"/>
      <c r="DO42" s="76">
        <f t="shared" si="196"/>
        <v>0</v>
      </c>
      <c r="DP42" s="64"/>
      <c r="DQ42" s="796" t="s">
        <v>1956</v>
      </c>
      <c r="DR42" s="76">
        <f t="shared" si="251"/>
        <v>0</v>
      </c>
      <c r="DS42" s="64"/>
      <c r="DT42" s="75" t="s">
        <v>1948</v>
      </c>
      <c r="DU42" s="76">
        <f>IFERROR(IF($M42=DT42,($D$8+$D$9+$D$10)*$I42,IF($N42=LEFT(DT42,1),($D$8+MAX(0,IF($D$50=1,$D$9*(1-(ABS($Q42-ABS(VALUE(MID(DT42,FIND("|",DT42)+1,FIND("-",DT42)-FIND("|",DT42)-1))-VALUE(MID(DT42,FIND("-",DT42)+1,10)))))*$D$50),$D$9*(1-(IF($N42="X",ABS($O42-VALUE(MID(DT42,FIND("|",DT42)+1,FIND("-",DT42)-FIND("|",DT42)-1))),ABS($Q42-ABS(VALUE(MID(DT42,FIND("|",DT42)+1,FIND("-",DT42)-FIND("|",DT42)-1))-VALUE(MID(DT42,FIND("-",DT42)+1,10)))))*$D$50)))))*$I42,0)),0)</f>
        <v>0</v>
      </c>
      <c r="DV42" s="64"/>
      <c r="DW42" s="75"/>
      <c r="DX42" s="76">
        <f>IFERROR(IF($M42=DW42,($D$8+$D$9+$D$10)*$I42,IF($N42=LEFT(DW42,1),($D$8+MAX(0,IF($D$50=1,$D$9*(1-(ABS($Q42-ABS(VALUE(MID(DW42,FIND("|",DW42)+1,FIND("-",DW42)-FIND("|",DW42)-1))-VALUE(MID(DW42,FIND("-",DW42)+1,10)))))*$D$50),$D$9*(1-(IF($N42="X",ABS($O42-VALUE(MID(DW42,FIND("|",DW42)+1,FIND("-",DW42)-FIND("|",DW42)-1))),ABS($Q42-ABS(VALUE(MID(DW42,FIND("|",DW42)+1,FIND("-",DW42)-FIND("|",DW42)-1))-VALUE(MID(DW42,FIND("-",DW42)+1,10)))))*$D$50)))))*$I42,0)),0)</f>
        <v>0</v>
      </c>
      <c r="DY42" s="64"/>
      <c r="DZ42" s="75"/>
      <c r="EA42" s="76">
        <f t="shared" si="284"/>
        <v>0</v>
      </c>
      <c r="EB42" s="64"/>
      <c r="EC42" s="75"/>
      <c r="ED42" s="76">
        <f t="shared" si="198"/>
        <v>0</v>
      </c>
      <c r="EE42" s="64"/>
      <c r="EF42" s="75"/>
      <c r="EG42" s="76">
        <f t="shared" si="199"/>
        <v>0</v>
      </c>
      <c r="EH42" s="64"/>
      <c r="EI42" s="75"/>
      <c r="EJ42" s="76">
        <f>IFERROR(IF($M42=EI42,($D$8+$D$9+$D$10)*$I42,IF($N42=LEFT(EI42,1),($D$8+MAX(0,IF($D$50=1,$D$9*(1-(ABS($Q42-ABS(VALUE(MID(EI42,FIND("|",EI42)+1,FIND("-",EI42)-FIND("|",EI42)-1))-VALUE(MID(EI42,FIND("-",EI42)+1,10)))))*$D$50),$D$9*(1-(IF($N42="X",ABS($O42-VALUE(MID(EI42,FIND("|",EI42)+1,FIND("-",EI42)-FIND("|",EI42)-1))),ABS($Q42-ABS(VALUE(MID(EI42,FIND("|",EI42)+1,FIND("-",EI42)-FIND("|",EI42)-1))-VALUE(MID(EI42,FIND("-",EI42)+1,10)))))*$D$50)))))*$I42,0)),0)</f>
        <v>0</v>
      </c>
      <c r="EK42" s="64"/>
      <c r="EL42" s="75"/>
      <c r="EM42" s="76">
        <f>IFERROR(IF($M42=EL42,($D$8+$D$9+$D$10)*$I42,IF($N42=LEFT(EL42,1),($D$8+MAX(0,IF($D$50=1,$D$9*(1-(ABS($Q42-ABS(VALUE(MID(EL42,FIND("|",EL42)+1,FIND("-",EL42)-FIND("|",EL42)-1))-VALUE(MID(EL42,FIND("-",EL42)+1,10)))))*$D$50),$D$9*(1-(IF($N42="X",ABS($O42-VALUE(MID(EL42,FIND("|",EL42)+1,FIND("-",EL42)-FIND("|",EL42)-1))),ABS($Q42-ABS(VALUE(MID(EL42,FIND("|",EL42)+1,FIND("-",EL42)-FIND("|",EL42)-1))-VALUE(MID(EL42,FIND("-",EL42)+1,10)))))*$D$50)))))*$I42,0)),0)</f>
        <v>0</v>
      </c>
      <c r="EN42" s="64"/>
      <c r="EO42" s="75"/>
      <c r="EP42" s="76">
        <f t="shared" si="200"/>
        <v>0</v>
      </c>
      <c r="EQ42" s="64"/>
      <c r="ER42" s="75"/>
      <c r="ES42" s="76">
        <f t="shared" si="201"/>
        <v>0</v>
      </c>
      <c r="ET42" s="64"/>
      <c r="EU42" s="75"/>
      <c r="EV42" s="76">
        <f t="shared" si="202"/>
        <v>0</v>
      </c>
      <c r="EW42" s="64"/>
      <c r="EX42" s="75"/>
      <c r="EY42" s="76">
        <f>IFERROR(IF($M42=EX42,($D$8+$D$9+$D$10)*$I42,IF($N42=LEFT(EX42,1),($D$8+MAX(0,IF($D$50=1,$D$9*(1-(ABS($Q42-ABS(VALUE(MID(EX42,FIND("|",EX42)+1,FIND("-",EX42)-FIND("|",EX42)-1))-VALUE(MID(EX42,FIND("-",EX42)+1,10)))))*$D$50),$D$9*(1-(IF($N42="X",ABS($O42-VALUE(MID(EX42,FIND("|",EX42)+1,FIND("-",EX42)-FIND("|",EX42)-1))),ABS($Q42-ABS(VALUE(MID(EX42,FIND("|",EX42)+1,FIND("-",EX42)-FIND("|",EX42)-1))-VALUE(MID(EX42,FIND("-",EX42)+1,10)))))*$D$50)))))*$I42,0)),0)</f>
        <v>0</v>
      </c>
      <c r="EZ42" s="64"/>
      <c r="FA42" s="75"/>
      <c r="FB42" s="76">
        <f>IFERROR(IF($M42=FA42,($D$8+$D$9+$D$10)*$I42,IF($N42=LEFT(FA42,1),($D$8+MAX(0,IF($D$50=1,$D$9*(1-(ABS($Q42-ABS(VALUE(MID(FA42,FIND("|",FA42)+1,FIND("-",FA42)-FIND("|",FA42)-1))-VALUE(MID(FA42,FIND("-",FA42)+1,10)))))*$D$50),$D$9*(1-(IF($N42="X",ABS($O42-VALUE(MID(FA42,FIND("|",FA42)+1,FIND("-",FA42)-FIND("|",FA42)-1))),ABS($Q42-ABS(VALUE(MID(FA42,FIND("|",FA42)+1,FIND("-",FA42)-FIND("|",FA42)-1))-VALUE(MID(FA42,FIND("-",FA42)+1,10)))))*$D$50)))))*$I42,0)),0)</f>
        <v>0</v>
      </c>
      <c r="FC42" s="64"/>
      <c r="FD42" s="75"/>
      <c r="FE42" s="76">
        <f t="shared" si="203"/>
        <v>0</v>
      </c>
      <c r="FF42" s="64"/>
      <c r="FG42" s="75"/>
      <c r="FH42" s="76">
        <f t="shared" si="204"/>
        <v>0</v>
      </c>
      <c r="FI42" s="64"/>
      <c r="FJ42" s="75"/>
      <c r="FK42" s="76">
        <f t="shared" si="205"/>
        <v>0</v>
      </c>
      <c r="FL42" s="64"/>
      <c r="FM42" s="75"/>
      <c r="FN42" s="76">
        <f>IFERROR(IF($M42=FM42,($D$8+$D$9+$D$10)*$I42,IF($N42=LEFT(FM42,1),($D$8+MAX(0,IF($D$50=1,$D$9*(1-(ABS($Q42-ABS(VALUE(MID(FM42,FIND("|",FM42)+1,FIND("-",FM42)-FIND("|",FM42)-1))-VALUE(MID(FM42,FIND("-",FM42)+1,10)))))*$D$50),$D$9*(1-(IF($N42="X",ABS($O42-VALUE(MID(FM42,FIND("|",FM42)+1,FIND("-",FM42)-FIND("|",FM42)-1))),ABS($Q42-ABS(VALUE(MID(FM42,FIND("|",FM42)+1,FIND("-",FM42)-FIND("|",FM42)-1))-VALUE(MID(FM42,FIND("-",FM42)+1,10)))))*$D$50)))))*$I42,0)),0)</f>
        <v>0</v>
      </c>
      <c r="FO42" s="64"/>
      <c r="FP42" s="75"/>
      <c r="FQ42" s="76">
        <f>IFERROR(IF($M42=FP42,($D$8+$D$9+$D$10)*$I42,IF($N42=LEFT(FP42,1),($D$8+MAX(0,IF($D$50=1,$D$9*(1-(ABS($Q42-ABS(VALUE(MID(FP42,FIND("|",FP42)+1,FIND("-",FP42)-FIND("|",FP42)-1))-VALUE(MID(FP42,FIND("-",FP42)+1,10)))))*$D$50),$D$9*(1-(IF($N42="X",ABS($O42-VALUE(MID(FP42,FIND("|",FP42)+1,FIND("-",FP42)-FIND("|",FP42)-1))),ABS($Q42-ABS(VALUE(MID(FP42,FIND("|",FP42)+1,FIND("-",FP42)-FIND("|",FP42)-1))-VALUE(MID(FP42,FIND("-",FP42)+1,10)))))*$D$50)))))*$I42,0)),0)</f>
        <v>0</v>
      </c>
      <c r="FR42" s="64"/>
      <c r="FS42" s="75"/>
      <c r="FT42" s="76">
        <f t="shared" si="206"/>
        <v>0</v>
      </c>
      <c r="FU42" s="64"/>
      <c r="FV42" s="75"/>
      <c r="FW42" s="76">
        <f t="shared" si="207"/>
        <v>0</v>
      </c>
      <c r="FX42" s="64"/>
      <c r="FY42" s="75"/>
      <c r="FZ42" s="76">
        <f t="shared" si="208"/>
        <v>0</v>
      </c>
      <c r="GA42" s="64"/>
      <c r="GB42" s="75"/>
      <c r="GC42" s="76">
        <f>IFERROR(IF($M42=GB42,($D$8+$D$9+$D$10)*$I42,IF($N42=LEFT(GB42,1),($D$8+MAX(0,IF($D$50=1,$D$9*(1-(ABS($Q42-ABS(VALUE(MID(GB42,FIND("|",GB42)+1,FIND("-",GB42)-FIND("|",GB42)-1))-VALUE(MID(GB42,FIND("-",GB42)+1,10)))))*$D$50),$D$9*(1-(IF($N42="X",ABS($O42-VALUE(MID(GB42,FIND("|",GB42)+1,FIND("-",GB42)-FIND("|",GB42)-1))),ABS($Q42-ABS(VALUE(MID(GB42,FIND("|",GB42)+1,FIND("-",GB42)-FIND("|",GB42)-1))-VALUE(MID(GB42,FIND("-",GB42)+1,10)))))*$D$50)))))*$I42,0)),0)</f>
        <v>0</v>
      </c>
      <c r="GD42" s="64"/>
      <c r="GE42" s="75"/>
      <c r="GF42" s="76">
        <f>IFERROR(IF($M42=GE42,($D$8+$D$9+$D$10)*$I42,IF($N42=LEFT(GE42,1),($D$8+MAX(0,IF($D$50=1,$D$9*(1-(ABS($Q42-ABS(VALUE(MID(GE42,FIND("|",GE42)+1,FIND("-",GE42)-FIND("|",GE42)-1))-VALUE(MID(GE42,FIND("-",GE42)+1,10)))))*$D$50),$D$9*(1-(IF($N42="X",ABS($O42-VALUE(MID(GE42,FIND("|",GE42)+1,FIND("-",GE42)-FIND("|",GE42)-1))),ABS($Q42-ABS(VALUE(MID(GE42,FIND("|",GE42)+1,FIND("-",GE42)-FIND("|",GE42)-1))-VALUE(MID(GE42,FIND("-",GE42)+1,10)))))*$D$50)))))*$I42,0)),0)</f>
        <v>0</v>
      </c>
      <c r="GG42" s="64"/>
      <c r="GH42" s="75"/>
      <c r="GI42" s="76">
        <f t="shared" si="209"/>
        <v>0</v>
      </c>
      <c r="GJ42" s="64"/>
      <c r="GK42" s="75"/>
      <c r="GL42" s="76">
        <f t="shared" si="210"/>
        <v>0</v>
      </c>
      <c r="GM42" s="64"/>
      <c r="GN42" s="75"/>
      <c r="GO42" s="76">
        <f t="shared" si="211"/>
        <v>0</v>
      </c>
      <c r="GP42" s="64"/>
      <c r="GQ42" s="75"/>
      <c r="GR42" s="76">
        <f>IFERROR(IF($M42=GQ42,($D$8+$D$9+$D$10)*$I42,IF($N42=LEFT(GQ42,1),($D$8+MAX(0,IF($D$50=1,$D$9*(1-(ABS($Q42-ABS(VALUE(MID(GQ42,FIND("|",GQ42)+1,FIND("-",GQ42)-FIND("|",GQ42)-1))-VALUE(MID(GQ42,FIND("-",GQ42)+1,10)))))*$D$50),$D$9*(1-(IF($N42="X",ABS($O42-VALUE(MID(GQ42,FIND("|",GQ42)+1,FIND("-",GQ42)-FIND("|",GQ42)-1))),ABS($Q42-ABS(VALUE(MID(GQ42,FIND("|",GQ42)+1,FIND("-",GQ42)-FIND("|",GQ42)-1))-VALUE(MID(GQ42,FIND("-",GQ42)+1,10)))))*$D$50)))))*$I42,0)),0)</f>
        <v>0</v>
      </c>
      <c r="GS42" s="64"/>
      <c r="GT42" s="75"/>
      <c r="GU42" s="76">
        <f>IFERROR(IF($M42=GT42,($D$8+$D$9+$D$10)*$I42,IF($N42=LEFT(GT42,1),($D$8+MAX(0,IF($D$50=1,$D$9*(1-(ABS($Q42-ABS(VALUE(MID(GT42,FIND("|",GT42)+1,FIND("-",GT42)-FIND("|",GT42)-1))-VALUE(MID(GT42,FIND("-",GT42)+1,10)))))*$D$50),$D$9*(1-(IF($N42="X",ABS($O42-VALUE(MID(GT42,FIND("|",GT42)+1,FIND("-",GT42)-FIND("|",GT42)-1))),ABS($Q42-ABS(VALUE(MID(GT42,FIND("|",GT42)+1,FIND("-",GT42)-FIND("|",GT42)-1))-VALUE(MID(GT42,FIND("-",GT42)+1,10)))))*$D$50)))))*$I42,0)),0)</f>
        <v>0</v>
      </c>
      <c r="GV42" s="64"/>
      <c r="GW42" s="75"/>
      <c r="GX42" s="76">
        <f t="shared" si="212"/>
        <v>0</v>
      </c>
      <c r="GY42" s="64"/>
      <c r="GZ42" s="75"/>
      <c r="HA42" s="76">
        <f t="shared" si="213"/>
        <v>0</v>
      </c>
      <c r="HB42" s="64"/>
      <c r="HC42" s="75"/>
      <c r="HD42" s="76">
        <f t="shared" si="214"/>
        <v>0</v>
      </c>
      <c r="HE42" s="64"/>
      <c r="HF42" s="75"/>
      <c r="HG42" s="76">
        <f>IFERROR(IF($M42=HF42,($D$8+$D$9+$D$10)*$I42,IF($N42=LEFT(HF42,1),($D$8+MAX(0,IF($D$50=1,$D$9*(1-(ABS($Q42-ABS(VALUE(MID(HF42,FIND("|",HF42)+1,FIND("-",HF42)-FIND("|",HF42)-1))-VALUE(MID(HF42,FIND("-",HF42)+1,10)))))*$D$50),$D$9*(1-(IF($N42="X",ABS($O42-VALUE(MID(HF42,FIND("|",HF42)+1,FIND("-",HF42)-FIND("|",HF42)-1))),ABS($Q42-ABS(VALUE(MID(HF42,FIND("|",HF42)+1,FIND("-",HF42)-FIND("|",HF42)-1))-VALUE(MID(HF42,FIND("-",HF42)+1,10)))))*$D$50)))))*$I42,0)),0)</f>
        <v>0</v>
      </c>
      <c r="HH42" s="64"/>
      <c r="HI42" s="75"/>
      <c r="HJ42" s="76">
        <f>IFERROR(IF($M42=HI42,($D$8+$D$9+$D$10)*$I42,IF($N42=LEFT(HI42,1),($D$8+MAX(0,IF($D$50=1,$D$9*(1-(ABS($Q42-ABS(VALUE(MID(HI42,FIND("|",HI42)+1,FIND("-",HI42)-FIND("|",HI42)-1))-VALUE(MID(HI42,FIND("-",HI42)+1,10)))))*$D$50),$D$9*(1-(IF($N42="X",ABS($O42-VALUE(MID(HI42,FIND("|",HI42)+1,FIND("-",HI42)-FIND("|",HI42)-1))),ABS($Q42-ABS(VALUE(MID(HI42,FIND("|",HI42)+1,FIND("-",HI42)-FIND("|",HI42)-1))-VALUE(MID(HI42,FIND("-",HI42)+1,10)))))*$D$50)))))*$I42,0)),0)</f>
        <v>0</v>
      </c>
      <c r="HK42" s="64"/>
      <c r="HL42" s="75"/>
      <c r="HM42" s="76">
        <f t="shared" si="215"/>
        <v>0</v>
      </c>
      <c r="HN42" s="64"/>
      <c r="HO42" s="75"/>
      <c r="HP42" s="76">
        <f t="shared" si="216"/>
        <v>0</v>
      </c>
      <c r="HQ42" s="64"/>
      <c r="HR42" s="75"/>
      <c r="HS42" s="76">
        <f t="shared" si="217"/>
        <v>0</v>
      </c>
      <c r="HT42" s="64"/>
      <c r="HU42" s="75"/>
      <c r="HV42" s="76">
        <f>IFERROR(IF($M42=HU42,($D$8+$D$9+$D$10)*$I42,IF($N42=LEFT(HU42,1),($D$8+MAX(0,IF($D$50=1,$D$9*(1-(ABS($Q42-ABS(VALUE(MID(HU42,FIND("|",HU42)+1,FIND("-",HU42)-FIND("|",HU42)-1))-VALUE(MID(HU42,FIND("-",HU42)+1,10)))))*$D$50),$D$9*(1-(IF($N42="X",ABS($O42-VALUE(MID(HU42,FIND("|",HU42)+1,FIND("-",HU42)-FIND("|",HU42)-1))),ABS($Q42-ABS(VALUE(MID(HU42,FIND("|",HU42)+1,FIND("-",HU42)-FIND("|",HU42)-1))-VALUE(MID(HU42,FIND("-",HU42)+1,10)))))*$D$50)))))*$I42,0)),0)</f>
        <v>0</v>
      </c>
      <c r="HW42" s="64"/>
      <c r="HX42" s="75"/>
      <c r="HY42" s="76">
        <f>IFERROR(IF($M42=HX42,($D$8+$D$9+$D$10)*$I42,IF($N42=LEFT(HX42,1),($D$8+MAX(0,IF($D$50=1,$D$9*(1-(ABS($Q42-ABS(VALUE(MID(HX42,FIND("|",HX42)+1,FIND("-",HX42)-FIND("|",HX42)-1))-VALUE(MID(HX42,FIND("-",HX42)+1,10)))))*$D$50),$D$9*(1-(IF($N42="X",ABS($O42-VALUE(MID(HX42,FIND("|",HX42)+1,FIND("-",HX42)-FIND("|",HX42)-1))),ABS($Q42-ABS(VALUE(MID(HX42,FIND("|",HX42)+1,FIND("-",HX42)-FIND("|",HX42)-1))-VALUE(MID(HX42,FIND("-",HX42)+1,10)))))*$D$50)))))*$I42,0)),0)</f>
        <v>0</v>
      </c>
      <c r="HZ42" s="64"/>
      <c r="IA42" s="75"/>
      <c r="IB42" s="76">
        <f t="shared" si="218"/>
        <v>0</v>
      </c>
      <c r="IC42" s="64"/>
      <c r="ID42" s="75"/>
      <c r="IE42" s="76">
        <f t="shared" si="219"/>
        <v>0</v>
      </c>
      <c r="IF42" s="64"/>
      <c r="IG42" s="75"/>
      <c r="IH42" s="76">
        <f t="shared" si="220"/>
        <v>0</v>
      </c>
      <c r="II42" s="64"/>
      <c r="IJ42" s="75"/>
      <c r="IK42" s="76">
        <f>IFERROR(IF($M42=IJ42,($D$8+$D$9+$D$10)*$I42,IF($N42=LEFT(IJ42,1),($D$8+MAX(0,IF($D$50=1,$D$9*(1-(ABS($Q42-ABS(VALUE(MID(IJ42,FIND("|",IJ42)+1,FIND("-",IJ42)-FIND("|",IJ42)-1))-VALUE(MID(IJ42,FIND("-",IJ42)+1,10)))))*$D$50),$D$9*(1-(IF($N42="X",ABS($O42-VALUE(MID(IJ42,FIND("|",IJ42)+1,FIND("-",IJ42)-FIND("|",IJ42)-1))),ABS($Q42-ABS(VALUE(MID(IJ42,FIND("|",IJ42)+1,FIND("-",IJ42)-FIND("|",IJ42)-1))-VALUE(MID(IJ42,FIND("-",IJ42)+1,10)))))*$D$50)))))*$I42,0)),0)</f>
        <v>0</v>
      </c>
      <c r="IL42" s="64"/>
      <c r="IM42" s="75"/>
      <c r="IN42" s="76">
        <f>IFERROR(IF($M42=IM42,($D$8+$D$9+$D$10)*$I42,IF($N42=LEFT(IM42,1),($D$8+MAX(0,IF($D$50=1,$D$9*(1-(ABS($Q42-ABS(VALUE(MID(IM42,FIND("|",IM42)+1,FIND("-",IM42)-FIND("|",IM42)-1))-VALUE(MID(IM42,FIND("-",IM42)+1,10)))))*$D$50),$D$9*(1-(IF($N42="X",ABS($O42-VALUE(MID(IM42,FIND("|",IM42)+1,FIND("-",IM42)-FIND("|",IM42)-1))),ABS($Q42-ABS(VALUE(MID(IM42,FIND("|",IM42)+1,FIND("-",IM42)-FIND("|",IM42)-1))-VALUE(MID(IM42,FIND("-",IM42)+1,10)))))*$D$50)))))*$I42,0)),0)</f>
        <v>0</v>
      </c>
      <c r="IO42" s="64"/>
      <c r="IP42" s="75"/>
      <c r="IQ42" s="76">
        <f t="shared" si="221"/>
        <v>0</v>
      </c>
      <c r="IR42" s="64"/>
      <c r="IS42" s="75"/>
      <c r="IT42" s="76">
        <f t="shared" si="222"/>
        <v>0</v>
      </c>
      <c r="IU42" s="64"/>
      <c r="IV42" s="75"/>
      <c r="IW42" s="76">
        <f t="shared" si="223"/>
        <v>0</v>
      </c>
      <c r="IX42" s="64"/>
      <c r="IY42" s="75"/>
      <c r="IZ42" s="76">
        <f>IFERROR(IF($M42=IY42,($D$8+$D$9+$D$10)*$I42,IF($N42=LEFT(IY42,1),($D$8+MAX(0,IF($D$50=1,$D$9*(1-(ABS($Q42-ABS(VALUE(MID(IY42,FIND("|",IY42)+1,FIND("-",IY42)-FIND("|",IY42)-1))-VALUE(MID(IY42,FIND("-",IY42)+1,10)))))*$D$50),$D$9*(1-(IF($N42="X",ABS($O42-VALUE(MID(IY42,FIND("|",IY42)+1,FIND("-",IY42)-FIND("|",IY42)-1))),ABS($Q42-ABS(VALUE(MID(IY42,FIND("|",IY42)+1,FIND("-",IY42)-FIND("|",IY42)-1))-VALUE(MID(IY42,FIND("-",IY42)+1,10)))))*$D$50)))))*$I42,0)),0)</f>
        <v>0</v>
      </c>
      <c r="JA42" s="64"/>
      <c r="JB42" s="75"/>
      <c r="JC42" s="76">
        <f>IFERROR(IF($M42=JB42,($D$8+$D$9+$D$10)*$I42,IF($N42=LEFT(JB42,1),($D$8+MAX(0,IF($D$50=1,$D$9*(1-(ABS($Q42-ABS(VALUE(MID(JB42,FIND("|",JB42)+1,FIND("-",JB42)-FIND("|",JB42)-1))-VALUE(MID(JB42,FIND("-",JB42)+1,10)))))*$D$50),$D$9*(1-(IF($N42="X",ABS($O42-VALUE(MID(JB42,FIND("|",JB42)+1,FIND("-",JB42)-FIND("|",JB42)-1))),ABS($Q42-ABS(VALUE(MID(JB42,FIND("|",JB42)+1,FIND("-",JB42)-FIND("|",JB42)-1))-VALUE(MID(JB42,FIND("-",JB42)+1,10)))))*$D$50)))))*$I42,0)),0)</f>
        <v>0</v>
      </c>
      <c r="JD42" s="64"/>
      <c r="JE42" s="75"/>
      <c r="JF42" s="76">
        <f t="shared" si="224"/>
        <v>0</v>
      </c>
      <c r="JG42" s="64"/>
      <c r="JH42" s="75"/>
      <c r="JI42" s="76">
        <f t="shared" si="225"/>
        <v>0</v>
      </c>
      <c r="JJ42" s="64"/>
      <c r="JK42" s="75"/>
      <c r="JL42" s="76">
        <f t="shared" si="226"/>
        <v>0</v>
      </c>
      <c r="JM42" s="64"/>
      <c r="JN42" s="75"/>
      <c r="JO42" s="76">
        <f>IFERROR(IF($M42=JN42,($D$8+$D$9+$D$10)*$I42,IF($N42=LEFT(JN42,1),($D$8+MAX(0,IF($D$50=1,$D$9*(1-(ABS($Q42-ABS(VALUE(MID(JN42,FIND("|",JN42)+1,FIND("-",JN42)-FIND("|",JN42)-1))-VALUE(MID(JN42,FIND("-",JN42)+1,10)))))*$D$50),$D$9*(1-(IF($N42="X",ABS($O42-VALUE(MID(JN42,FIND("|",JN42)+1,FIND("-",JN42)-FIND("|",JN42)-1))),ABS($Q42-ABS(VALUE(MID(JN42,FIND("|",JN42)+1,FIND("-",JN42)-FIND("|",JN42)-1))-VALUE(MID(JN42,FIND("-",JN42)+1,10)))))*$D$50)))))*$I42,0)),0)</f>
        <v>0</v>
      </c>
      <c r="JP42" s="64"/>
      <c r="JQ42" s="75"/>
      <c r="JR42" s="76">
        <f>IFERROR(IF($M42=JQ42,($D$8+$D$9+$D$10)*$I42,IF($N42=LEFT(JQ42,1),($D$8+MAX(0,IF($D$50=1,$D$9*(1-(ABS($Q42-ABS(VALUE(MID(JQ42,FIND("|",JQ42)+1,FIND("-",JQ42)-FIND("|",JQ42)-1))-VALUE(MID(JQ42,FIND("-",JQ42)+1,10)))))*$D$50),$D$9*(1-(IF($N42="X",ABS($O42-VALUE(MID(JQ42,FIND("|",JQ42)+1,FIND("-",JQ42)-FIND("|",JQ42)-1))),ABS($Q42-ABS(VALUE(MID(JQ42,FIND("|",JQ42)+1,FIND("-",JQ42)-FIND("|",JQ42)-1))-VALUE(MID(JQ42,FIND("-",JQ42)+1,10)))))*$D$50)))))*$I42,0)),0)</f>
        <v>0</v>
      </c>
      <c r="JS42" s="64"/>
      <c r="JT42" s="75"/>
      <c r="JU42" s="76">
        <f t="shared" si="227"/>
        <v>0</v>
      </c>
      <c r="JV42" s="64"/>
      <c r="JW42" s="75"/>
      <c r="JX42" s="76">
        <f t="shared" si="228"/>
        <v>0</v>
      </c>
      <c r="JY42" s="64"/>
      <c r="JZ42" s="75"/>
      <c r="KA42" s="76">
        <f t="shared" si="229"/>
        <v>0</v>
      </c>
      <c r="KB42" s="64"/>
      <c r="KC42" s="75"/>
      <c r="KD42" s="76">
        <f>IFERROR(IF($M42=KC42,($D$8+$D$9+$D$10)*$I42,IF($N42=LEFT(KC42,1),($D$8+MAX(0,IF($D$50=1,$D$9*(1-(ABS($Q42-ABS(VALUE(MID(KC42,FIND("|",KC42)+1,FIND("-",KC42)-FIND("|",KC42)-1))-VALUE(MID(KC42,FIND("-",KC42)+1,10)))))*$D$50),$D$9*(1-(IF($N42="X",ABS($O42-VALUE(MID(KC42,FIND("|",KC42)+1,FIND("-",KC42)-FIND("|",KC42)-1))),ABS($Q42-ABS(VALUE(MID(KC42,FIND("|",KC42)+1,FIND("-",KC42)-FIND("|",KC42)-1))-VALUE(MID(KC42,FIND("-",KC42)+1,10)))))*$D$50)))))*$I42,0)),0)</f>
        <v>0</v>
      </c>
      <c r="KE42" s="64"/>
      <c r="KF42" s="75"/>
      <c r="KG42" s="76">
        <f>IFERROR(IF($M42=KF42,($D$8+$D$9+$D$10)*$I42,IF($N42=LEFT(KF42,1),($D$8+MAX(0,IF($D$50=1,$D$9*(1-(ABS($Q42-ABS(VALUE(MID(KF42,FIND("|",KF42)+1,FIND("-",KF42)-FIND("|",KF42)-1))-VALUE(MID(KF42,FIND("-",KF42)+1,10)))))*$D$50),$D$9*(1-(IF($N42="X",ABS($O42-VALUE(MID(KF42,FIND("|",KF42)+1,FIND("-",KF42)-FIND("|",KF42)-1))),ABS($Q42-ABS(VALUE(MID(KF42,FIND("|",KF42)+1,FIND("-",KF42)-FIND("|",KF42)-1))-VALUE(MID(KF42,FIND("-",KF42)+1,10)))))*$D$50)))))*$I42,0)),0)</f>
        <v>0</v>
      </c>
      <c r="KH42" s="64"/>
      <c r="KI42" s="75"/>
      <c r="KJ42" s="76">
        <f t="shared" si="230"/>
        <v>0</v>
      </c>
      <c r="KK42" s="64"/>
      <c r="KL42" s="75"/>
      <c r="KM42" s="76">
        <f t="shared" si="231"/>
        <v>0</v>
      </c>
      <c r="KN42" s="64"/>
      <c r="KO42" s="75"/>
      <c r="KP42" s="76">
        <f t="shared" si="232"/>
        <v>0</v>
      </c>
      <c r="KQ42" s="64"/>
      <c r="KR42" s="75"/>
      <c r="KS42" s="76">
        <f>IFERROR(IF($M42=KR42,($D$8+$D$9+$D$10)*$I42,IF($N42=LEFT(KR42,1),($D$8+MAX(0,IF($D$50=1,$D$9*(1-(ABS($Q42-ABS(VALUE(MID(KR42,FIND("|",KR42)+1,FIND("-",KR42)-FIND("|",KR42)-1))-VALUE(MID(KR42,FIND("-",KR42)+1,10)))))*$D$50),$D$9*(1-(IF($N42="X",ABS($O42-VALUE(MID(KR42,FIND("|",KR42)+1,FIND("-",KR42)-FIND("|",KR42)-1))),ABS($Q42-ABS(VALUE(MID(KR42,FIND("|",KR42)+1,FIND("-",KR42)-FIND("|",KR42)-1))-VALUE(MID(KR42,FIND("-",KR42)+1,10)))))*$D$50)))))*$I42,0)),0)</f>
        <v>0</v>
      </c>
      <c r="KT42" s="64"/>
      <c r="KU42" s="75"/>
      <c r="KV42" s="76">
        <f>IFERROR(IF($M42=KU42,($D$8+$D$9+$D$10)*$I42,IF($N42=LEFT(KU42,1),($D$8+MAX(0,IF($D$50=1,$D$9*(1-(ABS($Q42-ABS(VALUE(MID(KU42,FIND("|",KU42)+1,FIND("-",KU42)-FIND("|",KU42)-1))-VALUE(MID(KU42,FIND("-",KU42)+1,10)))))*$D$50),$D$9*(1-(IF($N42="X",ABS($O42-VALUE(MID(KU42,FIND("|",KU42)+1,FIND("-",KU42)-FIND("|",KU42)-1))),ABS($Q42-ABS(VALUE(MID(KU42,FIND("|",KU42)+1,FIND("-",KU42)-FIND("|",KU42)-1))-VALUE(MID(KU42,FIND("-",KU42)+1,10)))))*$D$50)))))*$I42,0)),0)</f>
        <v>0</v>
      </c>
      <c r="KW42" s="64"/>
      <c r="KX42" s="75"/>
      <c r="KY42" s="76">
        <f t="shared" si="233"/>
        <v>0</v>
      </c>
      <c r="KZ42" s="64"/>
      <c r="LA42" s="75"/>
      <c r="LB42" s="76">
        <f t="shared" si="234"/>
        <v>0</v>
      </c>
      <c r="LC42" s="64"/>
      <c r="LD42" s="75"/>
      <c r="LE42" s="76">
        <f t="shared" si="235"/>
        <v>0</v>
      </c>
      <c r="LF42" s="64"/>
    </row>
    <row r="43" spans="1:318" s="784" customFormat="1">
      <c r="A43" s="49"/>
      <c r="B43" s="49"/>
      <c r="C43" s="436" t="str">
        <f>Idiomas!D339</f>
        <v>Bota de Plata (2º máximo goleador)</v>
      </c>
      <c r="D43" s="62">
        <v>15</v>
      </c>
      <c r="E43" s="109"/>
      <c r="F43" s="443">
        <f t="shared" si="236"/>
        <v>15</v>
      </c>
      <c r="G43" s="443">
        <f ca="1">VLOOKUP(H43,Equipos!$Q$1:$R$25,2,0)</f>
        <v>11</v>
      </c>
      <c r="H43" s="444">
        <f ca="1">TRUNC(INDEX(WORLDCUP!$X$4:$X$147,MATCH(ADMIN!K43,WORLDCUP!$DT$4:$DT$147,0))+INDEX(Horarios!$R$3:$R$86,MATCH(Horarios!$C$3,Horarios!$P$3:$P$86,0))/24)</f>
        <v>46194</v>
      </c>
      <c r="I43" s="48">
        <v>1</v>
      </c>
      <c r="J43" s="93"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276"/>
        <v>0</v>
      </c>
      <c r="R43" s="49"/>
      <c r="S43" s="796" t="s">
        <v>1962</v>
      </c>
      <c r="T43" s="72">
        <f t="shared" ref="T43:T73" si="285">IFERROR(IF($M43=S43,($D$8+$D$9+$D$10)*$I43,IF($N43=LEFT(S43,1),($D$8+MAX(0,IF($D$50=1,$D$9*(1-(ABS($Q43-ABS(VALUE(MID(S43,FIND("|",S43)+1,FIND("-",S43)-FIND("|",S43)-1))-VALUE(MID(S43,FIND("-",S43)+1,10)))))*$D$50),$D$9*(1-(IF($N43="X",ABS($O43-VALUE(MID(S43,FIND("|",S43)+1,FIND("-",S43)-FIND("|",S43)-1))),ABS($Q43-ABS(VALUE(MID(S43,FIND("|",S43)+1,FIND("-",S43)-FIND("|",S43)-1))-VALUE(MID(S43,FIND("-",S43)+1,10)))))*$D$50)))))*$I43,0)),0)</f>
        <v>0</v>
      </c>
      <c r="U43" s="64"/>
      <c r="V43" s="73" t="s">
        <v>1953</v>
      </c>
      <c r="W43" s="72">
        <f t="shared" ref="W43:W73" si="286">IFERROR(IF($M43=V43,($D$8+$D$9+$D$10)*$I43,IF($N43=LEFT(V43,1),($D$8+MAX(0,IF($D$50=1,$D$9*(1-(ABS($Q43-ABS(VALUE(MID(V43,FIND("|",V43)+1,FIND("-",V43)-FIND("|",V43)-1))-VALUE(MID(V43,FIND("-",V43)+1,10)))))*$D$50),$D$9*(1-(IF($N43="X",ABS($O43-VALUE(MID(V43,FIND("|",V43)+1,FIND("-",V43)-FIND("|",V43)-1))),ABS($Q43-ABS(VALUE(MID(V43,FIND("|",V43)+1,FIND("-",V43)-FIND("|",V43)-1))-VALUE(MID(V43,FIND("-",V43)+1,10)))))*$D$50)))))*$I43,0)),0)</f>
        <v>0</v>
      </c>
      <c r="X43" s="64"/>
      <c r="Y43" s="796" t="s">
        <v>1955</v>
      </c>
      <c r="Z43" s="72">
        <f t="shared" si="176"/>
        <v>0</v>
      </c>
      <c r="AA43" s="64"/>
      <c r="AB43" s="796" t="s">
        <v>1949</v>
      </c>
      <c r="AC43" s="72">
        <f t="shared" si="177"/>
        <v>0</v>
      </c>
      <c r="AD43" s="64"/>
      <c r="AE43" s="796" t="s">
        <v>1949</v>
      </c>
      <c r="AF43" s="72">
        <f t="shared" ref="AF43:AF54" si="287">IFERROR(IF($M43=AE43,($D$8+$D$9+$D$10)*$I43,IF($N43=LEFT(AE43,1),($D$8+MAX(0,IF($D$50=1,$D$9*(1-(ABS($Q43-ABS(VALUE(MID(AE43,FIND("|",AE43)+1,FIND("-",AE43)-FIND("|",AE43)-1))-VALUE(MID(AE43,FIND("-",AE43)+1,10)))))*$D$50),$D$9*(1-(IF($N43="X",ABS($O43-VALUE(MID(AE43,FIND("|",AE43)+1,FIND("-",AE43)-FIND("|",AE43)-1))),ABS($Q43-ABS(VALUE(MID(AE43,FIND("|",AE43)+1,FIND("-",AE43)-FIND("|",AE43)-1))-VALUE(MID(AE43,FIND("-",AE43)+1,10)))))*$D$50)))))*$I43,0)),0)</f>
        <v>0</v>
      </c>
      <c r="AG43" s="64"/>
      <c r="AH43" s="796" t="s">
        <v>1949</v>
      </c>
      <c r="AI43" s="72">
        <f t="shared" ref="AI43:AI73" si="288">IFERROR(IF($M43=AH43,($D$8+$D$9+$D$10)*$I43,IF($N43=LEFT(AH43,1),($D$8+MAX(0,IF($D$50=1,$D$9*(1-(ABS($Q43-ABS(VALUE(MID(AH43,FIND("|",AH43)+1,FIND("-",AH43)-FIND("|",AH43)-1))-VALUE(MID(AH43,FIND("-",AH43)+1,10)))))*$D$50),$D$9*(1-(IF($N43="X",ABS($O43-VALUE(MID(AH43,FIND("|",AH43)+1,FIND("-",AH43)-FIND("|",AH43)-1))),ABS($Q43-ABS(VALUE(MID(AH43,FIND("|",AH43)+1,FIND("-",AH43)-FIND("|",AH43)-1))-VALUE(MID(AH43,FIND("-",AH43)+1,10)))))*$D$50)))))*$I43,0)),0)</f>
        <v>0</v>
      </c>
      <c r="AJ43" s="64"/>
      <c r="AK43" s="806" t="s">
        <v>1962</v>
      </c>
      <c r="AL43" s="72">
        <f t="shared" ref="AL43:AL73" si="289">IFERROR(IF($M43=AK43,($D$8+$D$9+$D$10)*$I43,IF($N43=LEFT(AK43,1),($D$8+MAX(0,IF($D$50=1,$D$9*(1-(ABS($Q43-ABS(VALUE(MID(AK43,FIND("|",AK43)+1,FIND("-",AK43)-FIND("|",AK43)-1))-VALUE(MID(AK43,FIND("-",AK43)+1,10)))))*$D$50),$D$9*(1-(IF($N43="X",ABS($O43-VALUE(MID(AK43,FIND("|",AK43)+1,FIND("-",AK43)-FIND("|",AK43)-1))),ABS($Q43-ABS(VALUE(MID(AK43,FIND("|",AK43)+1,FIND("-",AK43)-FIND("|",AK43)-1))-VALUE(MID(AK43,FIND("-",AK43)+1,10)))))*$D$50)))))*$I43,0)),0)</f>
        <v>0</v>
      </c>
      <c r="AM43" s="64"/>
      <c r="AN43" s="796" t="s">
        <v>1962</v>
      </c>
      <c r="AO43" s="72">
        <f t="shared" si="179"/>
        <v>0</v>
      </c>
      <c r="AP43" s="64"/>
      <c r="AQ43" s="806" t="s">
        <v>1949</v>
      </c>
      <c r="AR43" s="72">
        <f t="shared" si="180"/>
        <v>0</v>
      </c>
      <c r="AS43" s="64"/>
      <c r="AT43" s="796" t="s">
        <v>1949</v>
      </c>
      <c r="AU43" s="72">
        <f t="shared" si="181"/>
        <v>0</v>
      </c>
      <c r="AV43" s="64"/>
      <c r="AW43" s="796" t="s">
        <v>1961</v>
      </c>
      <c r="AX43" s="72">
        <f t="shared" ref="AX43:AX73" si="290">IFERROR(IF($M43=AW43,($D$8+$D$9+$D$10)*$I43,IF($N43=LEFT(AW43,1),($D$8+MAX(0,IF($D$50=1,$D$9*(1-(ABS($Q43-ABS(VALUE(MID(AW43,FIND("|",AW43)+1,FIND("-",AW43)-FIND("|",AW43)-1))-VALUE(MID(AW43,FIND("-",AW43)+1,10)))))*$D$50),$D$9*(1-(IF($N43="X",ABS($O43-VALUE(MID(AW43,FIND("|",AW43)+1,FIND("-",AW43)-FIND("|",AW43)-1))),ABS($Q43-ABS(VALUE(MID(AW43,FIND("|",AW43)+1,FIND("-",AW43)-FIND("|",AW43)-1))-VALUE(MID(AW43,FIND("-",AW43)+1,10)))))*$D$50)))))*$I43,0)),0)</f>
        <v>0</v>
      </c>
      <c r="AY43" s="64"/>
      <c r="AZ43" s="796" t="s">
        <v>1950</v>
      </c>
      <c r="BA43" s="72">
        <f t="shared" ref="BA43:BA73" si="291">IFERROR(IF($M43=AZ43,($D$8+$D$9+$D$10)*$I43,IF($N43=LEFT(AZ43,1),($D$8+MAX(0,IF($D$50=1,$D$9*(1-(ABS($Q43-ABS(VALUE(MID(AZ43,FIND("|",AZ43)+1,FIND("-",AZ43)-FIND("|",AZ43)-1))-VALUE(MID(AZ43,FIND("-",AZ43)+1,10)))))*$D$50),$D$9*(1-(IF($N43="X",ABS($O43-VALUE(MID(AZ43,FIND("|",AZ43)+1,FIND("-",AZ43)-FIND("|",AZ43)-1))),ABS($Q43-ABS(VALUE(MID(AZ43,FIND("|",AZ43)+1,FIND("-",AZ43)-FIND("|",AZ43)-1))-VALUE(MID(AZ43,FIND("-",AZ43)+1,10)))))*$D$50)))))*$I43,0)),0)</f>
        <v>0</v>
      </c>
      <c r="BB43" s="64"/>
      <c r="BC43" s="796" t="s">
        <v>1963</v>
      </c>
      <c r="BD43" s="72">
        <f t="shared" si="182"/>
        <v>0</v>
      </c>
      <c r="BE43" s="64"/>
      <c r="BF43" s="796" t="s">
        <v>1953</v>
      </c>
      <c r="BG43" s="72">
        <f t="shared" si="183"/>
        <v>0</v>
      </c>
      <c r="BH43" s="64"/>
      <c r="BI43" s="796" t="s">
        <v>1949</v>
      </c>
      <c r="BJ43" s="72">
        <f t="shared" si="184"/>
        <v>0</v>
      </c>
      <c r="BK43" s="64"/>
      <c r="BL43" s="796" t="s">
        <v>1961</v>
      </c>
      <c r="BM43" s="72">
        <f t="shared" ref="BM43:BM73" si="292">IFERROR(IF($M43=BL43,($D$8+$D$9+$D$10)*$I43,IF($N43=LEFT(BL43,1),($D$8+MAX(0,IF($D$50=1,$D$9*(1-(ABS($Q43-ABS(VALUE(MID(BL43,FIND("|",BL43)+1,FIND("-",BL43)-FIND("|",BL43)-1))-VALUE(MID(BL43,FIND("-",BL43)+1,10)))))*$D$50),$D$9*(1-(IF($N43="X",ABS($O43-VALUE(MID(BL43,FIND("|",BL43)+1,FIND("-",BL43)-FIND("|",BL43)-1))),ABS($Q43-ABS(VALUE(MID(BL43,FIND("|",BL43)+1,FIND("-",BL43)-FIND("|",BL43)-1))-VALUE(MID(BL43,FIND("-",BL43)+1,10)))))*$D$50)))))*$I43,0)),0)</f>
        <v>0</v>
      </c>
      <c r="BN43" s="64"/>
      <c r="BO43" s="816" t="s">
        <v>1947</v>
      </c>
      <c r="BP43" s="72">
        <f t="shared" ref="BP43:BP73" si="293">IFERROR(IF($M43=BO43,($D$8+$D$9+$D$10)*$I43,IF($N43=LEFT(BO43,1),($D$8+MAX(0,IF($D$50=1,$D$9*(1-(ABS($Q43-ABS(VALUE(MID(BO43,FIND("|",BO43)+1,FIND("-",BO43)-FIND("|",BO43)-1))-VALUE(MID(BO43,FIND("-",BO43)+1,10)))))*$D$50),$D$9*(1-(IF($N43="X",ABS($O43-VALUE(MID(BO43,FIND("|",BO43)+1,FIND("-",BO43)-FIND("|",BO43)-1))),ABS($Q43-ABS(VALUE(MID(BO43,FIND("|",BO43)+1,FIND("-",BO43)-FIND("|",BO43)-1))-VALUE(MID(BO43,FIND("-",BO43)+1,10)))))*$D$50)))))*$I43,0)),0)</f>
        <v>0</v>
      </c>
      <c r="BQ43" s="64"/>
      <c r="BR43" s="796" t="s">
        <v>1949</v>
      </c>
      <c r="BS43" s="72">
        <f t="shared" si="185"/>
        <v>0</v>
      </c>
      <c r="BT43" s="64"/>
      <c r="BU43" s="796" t="s">
        <v>1947</v>
      </c>
      <c r="BV43" s="72">
        <f t="shared" si="186"/>
        <v>0</v>
      </c>
      <c r="BW43" s="64"/>
      <c r="BX43" s="73" t="s">
        <v>1949</v>
      </c>
      <c r="BY43" s="72">
        <f t="shared" si="187"/>
        <v>0</v>
      </c>
      <c r="BZ43" s="64"/>
      <c r="CA43" s="816" t="s">
        <v>1958</v>
      </c>
      <c r="CB43" s="72">
        <f t="shared" ref="CB43:CB73" si="294">IFERROR(IF($M43=CA43,($D$8+$D$9+$D$10)*$I43,IF($N43=LEFT(CA43,1),($D$8+MAX(0,IF($D$50=1,$D$9*(1-(ABS($Q43-ABS(VALUE(MID(CA43,FIND("|",CA43)+1,FIND("-",CA43)-FIND("|",CA43)-1))-VALUE(MID(CA43,FIND("-",CA43)+1,10)))))*$D$50),$D$9*(1-(IF($N43="X",ABS($O43-VALUE(MID(CA43,FIND("|",CA43)+1,FIND("-",CA43)-FIND("|",CA43)-1))),ABS($Q43-ABS(VALUE(MID(CA43,FIND("|",CA43)+1,FIND("-",CA43)-FIND("|",CA43)-1))-VALUE(MID(CA43,FIND("-",CA43)+1,10)))))*$D$50)))))*$I43,0)),0)</f>
        <v>0</v>
      </c>
      <c r="CC43" s="64"/>
      <c r="CD43" s="825" t="s">
        <v>1949</v>
      </c>
      <c r="CE43" s="72">
        <f t="shared" ref="CE43:CE73" si="295">IFERROR(IF($M43=CD43,($D$8+$D$9+$D$10)*$I43,IF($N43=LEFT(CD43,1),($D$8+MAX(0,IF($D$50=1,$D$9*(1-(ABS($Q43-ABS(VALUE(MID(CD43,FIND("|",CD43)+1,FIND("-",CD43)-FIND("|",CD43)-1))-VALUE(MID(CD43,FIND("-",CD43)+1,10)))))*$D$50),$D$9*(1-(IF($N43="X",ABS($O43-VALUE(MID(CD43,FIND("|",CD43)+1,FIND("-",CD43)-FIND("|",CD43)-1))),ABS($Q43-ABS(VALUE(MID(CD43,FIND("|",CD43)+1,FIND("-",CD43)-FIND("|",CD43)-1))-VALUE(MID(CD43,FIND("-",CD43)+1,10)))))*$D$50)))))*$I43,0)),0)</f>
        <v>0</v>
      </c>
      <c r="CF43" s="64"/>
      <c r="CG43" s="796" t="s">
        <v>1962</v>
      </c>
      <c r="CH43" s="72">
        <f t="shared" si="188"/>
        <v>0</v>
      </c>
      <c r="CI43" s="64"/>
      <c r="CJ43" s="796" t="s">
        <v>1962</v>
      </c>
      <c r="CK43" s="72">
        <f t="shared" si="189"/>
        <v>0</v>
      </c>
      <c r="CL43" s="64"/>
      <c r="CM43" s="796" t="s">
        <v>1955</v>
      </c>
      <c r="CN43" s="72">
        <f t="shared" si="190"/>
        <v>0</v>
      </c>
      <c r="CO43" s="64"/>
      <c r="CP43" s="796" t="s">
        <v>1960</v>
      </c>
      <c r="CQ43" s="72">
        <f t="shared" ref="CQ43:CQ73" si="296">IFERROR(IF($M43=CP43,($D$8+$D$9+$D$10)*$I43,IF($N43=LEFT(CP43,1),($D$8+MAX(0,IF($D$50=1,$D$9*(1-(ABS($Q43-ABS(VALUE(MID(CP43,FIND("|",CP43)+1,FIND("-",CP43)-FIND("|",CP43)-1))-VALUE(MID(CP43,FIND("-",CP43)+1,10)))))*$D$50),$D$9*(1-(IF($N43="X",ABS($O43-VALUE(MID(CP43,FIND("|",CP43)+1,FIND("-",CP43)-FIND("|",CP43)-1))),ABS($Q43-ABS(VALUE(MID(CP43,FIND("|",CP43)+1,FIND("-",CP43)-FIND("|",CP43)-1))-VALUE(MID(CP43,FIND("-",CP43)+1,10)))))*$D$50)))))*$I43,0)),0)</f>
        <v>0</v>
      </c>
      <c r="CR43" s="64"/>
      <c r="CS43" s="796" t="s">
        <v>1958</v>
      </c>
      <c r="CT43" s="72">
        <f t="shared" ref="CT43:CT73" si="297">IFERROR(IF($M43=CS43,($D$8+$D$9+$D$10)*$I43,IF($N43=LEFT(CS43,1),($D$8+MAX(0,IF($D$50=1,$D$9*(1-(ABS($Q43-ABS(VALUE(MID(CS43,FIND("|",CS43)+1,FIND("-",CS43)-FIND("|",CS43)-1))-VALUE(MID(CS43,FIND("-",CS43)+1,10)))))*$D$50),$D$9*(1-(IF($N43="X",ABS($O43-VALUE(MID(CS43,FIND("|",CS43)+1,FIND("-",CS43)-FIND("|",CS43)-1))),ABS($Q43-ABS(VALUE(MID(CS43,FIND("|",CS43)+1,FIND("-",CS43)-FIND("|",CS43)-1))-VALUE(MID(CS43,FIND("-",CS43)+1,10)))))*$D$50)))))*$I43,0)),0)</f>
        <v>0</v>
      </c>
      <c r="CU43" s="64"/>
      <c r="CV43" s="796" t="s">
        <v>1951</v>
      </c>
      <c r="CW43" s="72">
        <f t="shared" si="191"/>
        <v>0</v>
      </c>
      <c r="CX43" s="64"/>
      <c r="CY43" s="796" t="s">
        <v>1947</v>
      </c>
      <c r="CZ43" s="72">
        <f t="shared" si="250"/>
        <v>0</v>
      </c>
      <c r="DA43" s="64"/>
      <c r="DB43" s="796" t="s">
        <v>1955</v>
      </c>
      <c r="DC43" s="72">
        <f t="shared" si="192"/>
        <v>0</v>
      </c>
      <c r="DD43" s="64"/>
      <c r="DE43" s="796" t="s">
        <v>1963</v>
      </c>
      <c r="DF43" s="72">
        <f t="shared" si="281"/>
        <v>0</v>
      </c>
      <c r="DG43" s="64"/>
      <c r="DH43" s="796" t="s">
        <v>1963</v>
      </c>
      <c r="DI43" s="72">
        <f t="shared" si="282"/>
        <v>0</v>
      </c>
      <c r="DJ43" s="64"/>
      <c r="DK43" s="796" t="s">
        <v>1961</v>
      </c>
      <c r="DL43" s="72">
        <f t="shared" si="283"/>
        <v>0</v>
      </c>
      <c r="DM43" s="64"/>
      <c r="DN43" s="73"/>
      <c r="DO43" s="72">
        <f t="shared" si="196"/>
        <v>0</v>
      </c>
      <c r="DP43" s="64"/>
      <c r="DQ43" s="796" t="s">
        <v>2007</v>
      </c>
      <c r="DR43" s="72">
        <f t="shared" si="251"/>
        <v>0</v>
      </c>
      <c r="DS43" s="64"/>
      <c r="DT43" s="73" t="s">
        <v>1949</v>
      </c>
      <c r="DU43" s="72">
        <f t="shared" ref="DU43:DU73" si="298">IFERROR(IF($M43=DT43,($D$8+$D$9+$D$10)*$I43,IF($N43=LEFT(DT43,1),($D$8+MAX(0,IF($D$50=1,$D$9*(1-(ABS($Q43-ABS(VALUE(MID(DT43,FIND("|",DT43)+1,FIND("-",DT43)-FIND("|",DT43)-1))-VALUE(MID(DT43,FIND("-",DT43)+1,10)))))*$D$50),$D$9*(1-(IF($N43="X",ABS($O43-VALUE(MID(DT43,FIND("|",DT43)+1,FIND("-",DT43)-FIND("|",DT43)-1))),ABS($Q43-ABS(VALUE(MID(DT43,FIND("|",DT43)+1,FIND("-",DT43)-FIND("|",DT43)-1))-VALUE(MID(DT43,FIND("-",DT43)+1,10)))))*$D$50)))))*$I43,0)),0)</f>
        <v>0</v>
      </c>
      <c r="DV43" s="64"/>
      <c r="DW43" s="73"/>
      <c r="DX43" s="72">
        <f t="shared" ref="DX43:DX73" si="299">IFERROR(IF($M43=DW43,($D$8+$D$9+$D$10)*$I43,IF($N43=LEFT(DW43,1),($D$8+MAX(0,IF($D$50=1,$D$9*(1-(ABS($Q43-ABS(VALUE(MID(DW43,FIND("|",DW43)+1,FIND("-",DW43)-FIND("|",DW43)-1))-VALUE(MID(DW43,FIND("-",DW43)+1,10)))))*$D$50),$D$9*(1-(IF($N43="X",ABS($O43-VALUE(MID(DW43,FIND("|",DW43)+1,FIND("-",DW43)-FIND("|",DW43)-1))),ABS($Q43-ABS(VALUE(MID(DW43,FIND("|",DW43)+1,FIND("-",DW43)-FIND("|",DW43)-1))-VALUE(MID(DW43,FIND("-",DW43)+1,10)))))*$D$50)))))*$I43,0)),0)</f>
        <v>0</v>
      </c>
      <c r="DY43" s="64"/>
      <c r="DZ43" s="73"/>
      <c r="EA43" s="72">
        <f t="shared" si="284"/>
        <v>0</v>
      </c>
      <c r="EB43" s="64"/>
      <c r="EC43" s="73"/>
      <c r="ED43" s="72">
        <f t="shared" si="198"/>
        <v>0</v>
      </c>
      <c r="EE43" s="64"/>
      <c r="EF43" s="73"/>
      <c r="EG43" s="72">
        <f t="shared" si="199"/>
        <v>0</v>
      </c>
      <c r="EH43" s="64"/>
      <c r="EI43" s="73"/>
      <c r="EJ43" s="72">
        <f t="shared" ref="EJ43:EJ73" si="300">IFERROR(IF($M43=EI43,($D$8+$D$9+$D$10)*$I43,IF($N43=LEFT(EI43,1),($D$8+MAX(0,IF($D$50=1,$D$9*(1-(ABS($Q43-ABS(VALUE(MID(EI43,FIND("|",EI43)+1,FIND("-",EI43)-FIND("|",EI43)-1))-VALUE(MID(EI43,FIND("-",EI43)+1,10)))))*$D$50),$D$9*(1-(IF($N43="X",ABS($O43-VALUE(MID(EI43,FIND("|",EI43)+1,FIND("-",EI43)-FIND("|",EI43)-1))),ABS($Q43-ABS(VALUE(MID(EI43,FIND("|",EI43)+1,FIND("-",EI43)-FIND("|",EI43)-1))-VALUE(MID(EI43,FIND("-",EI43)+1,10)))))*$D$50)))))*$I43,0)),0)</f>
        <v>0</v>
      </c>
      <c r="EK43" s="64"/>
      <c r="EL43" s="73"/>
      <c r="EM43" s="72">
        <f t="shared" ref="EM43:EM73" si="301">IFERROR(IF($M43=EL43,($D$8+$D$9+$D$10)*$I43,IF($N43=LEFT(EL43,1),($D$8+MAX(0,IF($D$50=1,$D$9*(1-(ABS($Q43-ABS(VALUE(MID(EL43,FIND("|",EL43)+1,FIND("-",EL43)-FIND("|",EL43)-1))-VALUE(MID(EL43,FIND("-",EL43)+1,10)))))*$D$50),$D$9*(1-(IF($N43="X",ABS($O43-VALUE(MID(EL43,FIND("|",EL43)+1,FIND("-",EL43)-FIND("|",EL43)-1))),ABS($Q43-ABS(VALUE(MID(EL43,FIND("|",EL43)+1,FIND("-",EL43)-FIND("|",EL43)-1))-VALUE(MID(EL43,FIND("-",EL43)+1,10)))))*$D$50)))))*$I43,0)),0)</f>
        <v>0</v>
      </c>
      <c r="EN43" s="64"/>
      <c r="EO43" s="73"/>
      <c r="EP43" s="72">
        <f t="shared" si="200"/>
        <v>0</v>
      </c>
      <c r="EQ43" s="64"/>
      <c r="ER43" s="73"/>
      <c r="ES43" s="72">
        <f t="shared" si="201"/>
        <v>0</v>
      </c>
      <c r="ET43" s="64"/>
      <c r="EU43" s="73"/>
      <c r="EV43" s="72">
        <f t="shared" si="202"/>
        <v>0</v>
      </c>
      <c r="EW43" s="64"/>
      <c r="EX43" s="73"/>
      <c r="EY43" s="72">
        <f t="shared" ref="EY43:EY73" si="302">IFERROR(IF($M43=EX43,($D$8+$D$9+$D$10)*$I43,IF($N43=LEFT(EX43,1),($D$8+MAX(0,IF($D$50=1,$D$9*(1-(ABS($Q43-ABS(VALUE(MID(EX43,FIND("|",EX43)+1,FIND("-",EX43)-FIND("|",EX43)-1))-VALUE(MID(EX43,FIND("-",EX43)+1,10)))))*$D$50),$D$9*(1-(IF($N43="X",ABS($O43-VALUE(MID(EX43,FIND("|",EX43)+1,FIND("-",EX43)-FIND("|",EX43)-1))),ABS($Q43-ABS(VALUE(MID(EX43,FIND("|",EX43)+1,FIND("-",EX43)-FIND("|",EX43)-1))-VALUE(MID(EX43,FIND("-",EX43)+1,10)))))*$D$50)))))*$I43,0)),0)</f>
        <v>0</v>
      </c>
      <c r="EZ43" s="64"/>
      <c r="FA43" s="73"/>
      <c r="FB43" s="72">
        <f t="shared" ref="FB43:FB73" si="303">IFERROR(IF($M43=FA43,($D$8+$D$9+$D$10)*$I43,IF($N43=LEFT(FA43,1),($D$8+MAX(0,IF($D$50=1,$D$9*(1-(ABS($Q43-ABS(VALUE(MID(FA43,FIND("|",FA43)+1,FIND("-",FA43)-FIND("|",FA43)-1))-VALUE(MID(FA43,FIND("-",FA43)+1,10)))))*$D$50),$D$9*(1-(IF($N43="X",ABS($O43-VALUE(MID(FA43,FIND("|",FA43)+1,FIND("-",FA43)-FIND("|",FA43)-1))),ABS($Q43-ABS(VALUE(MID(FA43,FIND("|",FA43)+1,FIND("-",FA43)-FIND("|",FA43)-1))-VALUE(MID(FA43,FIND("-",FA43)+1,10)))))*$D$50)))))*$I43,0)),0)</f>
        <v>0</v>
      </c>
      <c r="FC43" s="64"/>
      <c r="FD43" s="73"/>
      <c r="FE43" s="72">
        <f t="shared" si="203"/>
        <v>0</v>
      </c>
      <c r="FF43" s="64"/>
      <c r="FG43" s="73"/>
      <c r="FH43" s="72">
        <f t="shared" si="204"/>
        <v>0</v>
      </c>
      <c r="FI43" s="64"/>
      <c r="FJ43" s="73"/>
      <c r="FK43" s="72">
        <f t="shared" si="205"/>
        <v>0</v>
      </c>
      <c r="FL43" s="64"/>
      <c r="FM43" s="73"/>
      <c r="FN43" s="72">
        <f t="shared" ref="FN43:FN73" si="304">IFERROR(IF($M43=FM43,($D$8+$D$9+$D$10)*$I43,IF($N43=LEFT(FM43,1),($D$8+MAX(0,IF($D$50=1,$D$9*(1-(ABS($Q43-ABS(VALUE(MID(FM43,FIND("|",FM43)+1,FIND("-",FM43)-FIND("|",FM43)-1))-VALUE(MID(FM43,FIND("-",FM43)+1,10)))))*$D$50),$D$9*(1-(IF($N43="X",ABS($O43-VALUE(MID(FM43,FIND("|",FM43)+1,FIND("-",FM43)-FIND("|",FM43)-1))),ABS($Q43-ABS(VALUE(MID(FM43,FIND("|",FM43)+1,FIND("-",FM43)-FIND("|",FM43)-1))-VALUE(MID(FM43,FIND("-",FM43)+1,10)))))*$D$50)))))*$I43,0)),0)</f>
        <v>0</v>
      </c>
      <c r="FO43" s="64"/>
      <c r="FP43" s="73"/>
      <c r="FQ43" s="72">
        <f t="shared" ref="FQ43:FQ73" si="305">IFERROR(IF($M43=FP43,($D$8+$D$9+$D$10)*$I43,IF($N43=LEFT(FP43,1),($D$8+MAX(0,IF($D$50=1,$D$9*(1-(ABS($Q43-ABS(VALUE(MID(FP43,FIND("|",FP43)+1,FIND("-",FP43)-FIND("|",FP43)-1))-VALUE(MID(FP43,FIND("-",FP43)+1,10)))))*$D$50),$D$9*(1-(IF($N43="X",ABS($O43-VALUE(MID(FP43,FIND("|",FP43)+1,FIND("-",FP43)-FIND("|",FP43)-1))),ABS($Q43-ABS(VALUE(MID(FP43,FIND("|",FP43)+1,FIND("-",FP43)-FIND("|",FP43)-1))-VALUE(MID(FP43,FIND("-",FP43)+1,10)))))*$D$50)))))*$I43,0)),0)</f>
        <v>0</v>
      </c>
      <c r="FR43" s="64"/>
      <c r="FS43" s="73"/>
      <c r="FT43" s="72">
        <f t="shared" si="206"/>
        <v>0</v>
      </c>
      <c r="FU43" s="64"/>
      <c r="FV43" s="73"/>
      <c r="FW43" s="72">
        <f t="shared" si="207"/>
        <v>0</v>
      </c>
      <c r="FX43" s="64"/>
      <c r="FY43" s="73"/>
      <c r="FZ43" s="72">
        <f t="shared" si="208"/>
        <v>0</v>
      </c>
      <c r="GA43" s="64"/>
      <c r="GB43" s="73"/>
      <c r="GC43" s="72">
        <f t="shared" ref="GC43:GC73" si="306">IFERROR(IF($M43=GB43,($D$8+$D$9+$D$10)*$I43,IF($N43=LEFT(GB43,1),($D$8+MAX(0,IF($D$50=1,$D$9*(1-(ABS($Q43-ABS(VALUE(MID(GB43,FIND("|",GB43)+1,FIND("-",GB43)-FIND("|",GB43)-1))-VALUE(MID(GB43,FIND("-",GB43)+1,10)))))*$D$50),$D$9*(1-(IF($N43="X",ABS($O43-VALUE(MID(GB43,FIND("|",GB43)+1,FIND("-",GB43)-FIND("|",GB43)-1))),ABS($Q43-ABS(VALUE(MID(GB43,FIND("|",GB43)+1,FIND("-",GB43)-FIND("|",GB43)-1))-VALUE(MID(GB43,FIND("-",GB43)+1,10)))))*$D$50)))))*$I43,0)),0)</f>
        <v>0</v>
      </c>
      <c r="GD43" s="64"/>
      <c r="GE43" s="73"/>
      <c r="GF43" s="72">
        <f t="shared" ref="GF43:GF73" si="307">IFERROR(IF($M43=GE43,($D$8+$D$9+$D$10)*$I43,IF($N43=LEFT(GE43,1),($D$8+MAX(0,IF($D$50=1,$D$9*(1-(ABS($Q43-ABS(VALUE(MID(GE43,FIND("|",GE43)+1,FIND("-",GE43)-FIND("|",GE43)-1))-VALUE(MID(GE43,FIND("-",GE43)+1,10)))))*$D$50),$D$9*(1-(IF($N43="X",ABS($O43-VALUE(MID(GE43,FIND("|",GE43)+1,FIND("-",GE43)-FIND("|",GE43)-1))),ABS($Q43-ABS(VALUE(MID(GE43,FIND("|",GE43)+1,FIND("-",GE43)-FIND("|",GE43)-1))-VALUE(MID(GE43,FIND("-",GE43)+1,10)))))*$D$50)))))*$I43,0)),0)</f>
        <v>0</v>
      </c>
      <c r="GG43" s="64"/>
      <c r="GH43" s="73"/>
      <c r="GI43" s="72">
        <f t="shared" si="209"/>
        <v>0</v>
      </c>
      <c r="GJ43" s="64"/>
      <c r="GK43" s="73"/>
      <c r="GL43" s="72">
        <f t="shared" si="210"/>
        <v>0</v>
      </c>
      <c r="GM43" s="64"/>
      <c r="GN43" s="73"/>
      <c r="GO43" s="72">
        <f t="shared" si="211"/>
        <v>0</v>
      </c>
      <c r="GP43" s="64"/>
      <c r="GQ43" s="73"/>
      <c r="GR43" s="72">
        <f t="shared" ref="GR43:GR73" si="308">IFERROR(IF($M43=GQ43,($D$8+$D$9+$D$10)*$I43,IF($N43=LEFT(GQ43,1),($D$8+MAX(0,IF($D$50=1,$D$9*(1-(ABS($Q43-ABS(VALUE(MID(GQ43,FIND("|",GQ43)+1,FIND("-",GQ43)-FIND("|",GQ43)-1))-VALUE(MID(GQ43,FIND("-",GQ43)+1,10)))))*$D$50),$D$9*(1-(IF($N43="X",ABS($O43-VALUE(MID(GQ43,FIND("|",GQ43)+1,FIND("-",GQ43)-FIND("|",GQ43)-1))),ABS($Q43-ABS(VALUE(MID(GQ43,FIND("|",GQ43)+1,FIND("-",GQ43)-FIND("|",GQ43)-1))-VALUE(MID(GQ43,FIND("-",GQ43)+1,10)))))*$D$50)))))*$I43,0)),0)</f>
        <v>0</v>
      </c>
      <c r="GS43" s="64"/>
      <c r="GT43" s="73"/>
      <c r="GU43" s="72">
        <f t="shared" ref="GU43:GU73" si="309">IFERROR(IF($M43=GT43,($D$8+$D$9+$D$10)*$I43,IF($N43=LEFT(GT43,1),($D$8+MAX(0,IF($D$50=1,$D$9*(1-(ABS($Q43-ABS(VALUE(MID(GT43,FIND("|",GT43)+1,FIND("-",GT43)-FIND("|",GT43)-1))-VALUE(MID(GT43,FIND("-",GT43)+1,10)))))*$D$50),$D$9*(1-(IF($N43="X",ABS($O43-VALUE(MID(GT43,FIND("|",GT43)+1,FIND("-",GT43)-FIND("|",GT43)-1))),ABS($Q43-ABS(VALUE(MID(GT43,FIND("|",GT43)+1,FIND("-",GT43)-FIND("|",GT43)-1))-VALUE(MID(GT43,FIND("-",GT43)+1,10)))))*$D$50)))))*$I43,0)),0)</f>
        <v>0</v>
      </c>
      <c r="GV43" s="64"/>
      <c r="GW43" s="73"/>
      <c r="GX43" s="72">
        <f t="shared" si="212"/>
        <v>0</v>
      </c>
      <c r="GY43" s="64"/>
      <c r="GZ43" s="73"/>
      <c r="HA43" s="72">
        <f t="shared" si="213"/>
        <v>0</v>
      </c>
      <c r="HB43" s="64"/>
      <c r="HC43" s="73"/>
      <c r="HD43" s="72">
        <f t="shared" si="214"/>
        <v>0</v>
      </c>
      <c r="HE43" s="64"/>
      <c r="HF43" s="73"/>
      <c r="HG43" s="72">
        <f t="shared" ref="HG43:HG73" si="310">IFERROR(IF($M43=HF43,($D$8+$D$9+$D$10)*$I43,IF($N43=LEFT(HF43,1),($D$8+MAX(0,IF($D$50=1,$D$9*(1-(ABS($Q43-ABS(VALUE(MID(HF43,FIND("|",HF43)+1,FIND("-",HF43)-FIND("|",HF43)-1))-VALUE(MID(HF43,FIND("-",HF43)+1,10)))))*$D$50),$D$9*(1-(IF($N43="X",ABS($O43-VALUE(MID(HF43,FIND("|",HF43)+1,FIND("-",HF43)-FIND("|",HF43)-1))),ABS($Q43-ABS(VALUE(MID(HF43,FIND("|",HF43)+1,FIND("-",HF43)-FIND("|",HF43)-1))-VALUE(MID(HF43,FIND("-",HF43)+1,10)))))*$D$50)))))*$I43,0)),0)</f>
        <v>0</v>
      </c>
      <c r="HH43" s="64"/>
      <c r="HI43" s="73"/>
      <c r="HJ43" s="72">
        <f t="shared" ref="HJ43:HJ73" si="311">IFERROR(IF($M43=HI43,($D$8+$D$9+$D$10)*$I43,IF($N43=LEFT(HI43,1),($D$8+MAX(0,IF($D$50=1,$D$9*(1-(ABS($Q43-ABS(VALUE(MID(HI43,FIND("|",HI43)+1,FIND("-",HI43)-FIND("|",HI43)-1))-VALUE(MID(HI43,FIND("-",HI43)+1,10)))))*$D$50),$D$9*(1-(IF($N43="X",ABS($O43-VALUE(MID(HI43,FIND("|",HI43)+1,FIND("-",HI43)-FIND("|",HI43)-1))),ABS($Q43-ABS(VALUE(MID(HI43,FIND("|",HI43)+1,FIND("-",HI43)-FIND("|",HI43)-1))-VALUE(MID(HI43,FIND("-",HI43)+1,10)))))*$D$50)))))*$I43,0)),0)</f>
        <v>0</v>
      </c>
      <c r="HK43" s="64"/>
      <c r="HL43" s="73"/>
      <c r="HM43" s="72">
        <f t="shared" si="215"/>
        <v>0</v>
      </c>
      <c r="HN43" s="64"/>
      <c r="HO43" s="73"/>
      <c r="HP43" s="72">
        <f t="shared" si="216"/>
        <v>0</v>
      </c>
      <c r="HQ43" s="64"/>
      <c r="HR43" s="73"/>
      <c r="HS43" s="72">
        <f t="shared" si="217"/>
        <v>0</v>
      </c>
      <c r="HT43" s="64"/>
      <c r="HU43" s="73"/>
      <c r="HV43" s="72">
        <f t="shared" ref="HV43:HV73" si="312">IFERROR(IF($M43=HU43,($D$8+$D$9+$D$10)*$I43,IF($N43=LEFT(HU43,1),($D$8+MAX(0,IF($D$50=1,$D$9*(1-(ABS($Q43-ABS(VALUE(MID(HU43,FIND("|",HU43)+1,FIND("-",HU43)-FIND("|",HU43)-1))-VALUE(MID(HU43,FIND("-",HU43)+1,10)))))*$D$50),$D$9*(1-(IF($N43="X",ABS($O43-VALUE(MID(HU43,FIND("|",HU43)+1,FIND("-",HU43)-FIND("|",HU43)-1))),ABS($Q43-ABS(VALUE(MID(HU43,FIND("|",HU43)+1,FIND("-",HU43)-FIND("|",HU43)-1))-VALUE(MID(HU43,FIND("-",HU43)+1,10)))))*$D$50)))))*$I43,0)),0)</f>
        <v>0</v>
      </c>
      <c r="HW43" s="64"/>
      <c r="HX43" s="73"/>
      <c r="HY43" s="72">
        <f t="shared" ref="HY43:HY73" si="313">IFERROR(IF($M43=HX43,($D$8+$D$9+$D$10)*$I43,IF($N43=LEFT(HX43,1),($D$8+MAX(0,IF($D$50=1,$D$9*(1-(ABS($Q43-ABS(VALUE(MID(HX43,FIND("|",HX43)+1,FIND("-",HX43)-FIND("|",HX43)-1))-VALUE(MID(HX43,FIND("-",HX43)+1,10)))))*$D$50),$D$9*(1-(IF($N43="X",ABS($O43-VALUE(MID(HX43,FIND("|",HX43)+1,FIND("-",HX43)-FIND("|",HX43)-1))),ABS($Q43-ABS(VALUE(MID(HX43,FIND("|",HX43)+1,FIND("-",HX43)-FIND("|",HX43)-1))-VALUE(MID(HX43,FIND("-",HX43)+1,10)))))*$D$50)))))*$I43,0)),0)</f>
        <v>0</v>
      </c>
      <c r="HZ43" s="64"/>
      <c r="IA43" s="73"/>
      <c r="IB43" s="72">
        <f t="shared" si="218"/>
        <v>0</v>
      </c>
      <c r="IC43" s="64"/>
      <c r="ID43" s="73"/>
      <c r="IE43" s="72">
        <f t="shared" si="219"/>
        <v>0</v>
      </c>
      <c r="IF43" s="64"/>
      <c r="IG43" s="73"/>
      <c r="IH43" s="72">
        <f t="shared" si="220"/>
        <v>0</v>
      </c>
      <c r="II43" s="64"/>
      <c r="IJ43" s="73"/>
      <c r="IK43" s="72">
        <f t="shared" ref="IK43:IK73" si="314">IFERROR(IF($M43=IJ43,($D$8+$D$9+$D$10)*$I43,IF($N43=LEFT(IJ43,1),($D$8+MAX(0,IF($D$50=1,$D$9*(1-(ABS($Q43-ABS(VALUE(MID(IJ43,FIND("|",IJ43)+1,FIND("-",IJ43)-FIND("|",IJ43)-1))-VALUE(MID(IJ43,FIND("-",IJ43)+1,10)))))*$D$50),$D$9*(1-(IF($N43="X",ABS($O43-VALUE(MID(IJ43,FIND("|",IJ43)+1,FIND("-",IJ43)-FIND("|",IJ43)-1))),ABS($Q43-ABS(VALUE(MID(IJ43,FIND("|",IJ43)+1,FIND("-",IJ43)-FIND("|",IJ43)-1))-VALUE(MID(IJ43,FIND("-",IJ43)+1,10)))))*$D$50)))))*$I43,0)),0)</f>
        <v>0</v>
      </c>
      <c r="IL43" s="64"/>
      <c r="IM43" s="73"/>
      <c r="IN43" s="72">
        <f t="shared" ref="IN43:IN73" si="315">IFERROR(IF($M43=IM43,($D$8+$D$9+$D$10)*$I43,IF($N43=LEFT(IM43,1),($D$8+MAX(0,IF($D$50=1,$D$9*(1-(ABS($Q43-ABS(VALUE(MID(IM43,FIND("|",IM43)+1,FIND("-",IM43)-FIND("|",IM43)-1))-VALUE(MID(IM43,FIND("-",IM43)+1,10)))))*$D$50),$D$9*(1-(IF($N43="X",ABS($O43-VALUE(MID(IM43,FIND("|",IM43)+1,FIND("-",IM43)-FIND("|",IM43)-1))),ABS($Q43-ABS(VALUE(MID(IM43,FIND("|",IM43)+1,FIND("-",IM43)-FIND("|",IM43)-1))-VALUE(MID(IM43,FIND("-",IM43)+1,10)))))*$D$50)))))*$I43,0)),0)</f>
        <v>0</v>
      </c>
      <c r="IO43" s="64"/>
      <c r="IP43" s="73"/>
      <c r="IQ43" s="72">
        <f t="shared" si="221"/>
        <v>0</v>
      </c>
      <c r="IR43" s="64"/>
      <c r="IS43" s="73"/>
      <c r="IT43" s="72">
        <f t="shared" si="222"/>
        <v>0</v>
      </c>
      <c r="IU43" s="64"/>
      <c r="IV43" s="73"/>
      <c r="IW43" s="72">
        <f t="shared" si="223"/>
        <v>0</v>
      </c>
      <c r="IX43" s="64"/>
      <c r="IY43" s="73"/>
      <c r="IZ43" s="72">
        <f t="shared" ref="IZ43:IZ73" si="316">IFERROR(IF($M43=IY43,($D$8+$D$9+$D$10)*$I43,IF($N43=LEFT(IY43,1),($D$8+MAX(0,IF($D$50=1,$D$9*(1-(ABS($Q43-ABS(VALUE(MID(IY43,FIND("|",IY43)+1,FIND("-",IY43)-FIND("|",IY43)-1))-VALUE(MID(IY43,FIND("-",IY43)+1,10)))))*$D$50),$D$9*(1-(IF($N43="X",ABS($O43-VALUE(MID(IY43,FIND("|",IY43)+1,FIND("-",IY43)-FIND("|",IY43)-1))),ABS($Q43-ABS(VALUE(MID(IY43,FIND("|",IY43)+1,FIND("-",IY43)-FIND("|",IY43)-1))-VALUE(MID(IY43,FIND("-",IY43)+1,10)))))*$D$50)))))*$I43,0)),0)</f>
        <v>0</v>
      </c>
      <c r="JA43" s="64"/>
      <c r="JB43" s="73"/>
      <c r="JC43" s="72">
        <f t="shared" ref="JC43:JC73" si="317">IFERROR(IF($M43=JB43,($D$8+$D$9+$D$10)*$I43,IF($N43=LEFT(JB43,1),($D$8+MAX(0,IF($D$50=1,$D$9*(1-(ABS($Q43-ABS(VALUE(MID(JB43,FIND("|",JB43)+1,FIND("-",JB43)-FIND("|",JB43)-1))-VALUE(MID(JB43,FIND("-",JB43)+1,10)))))*$D$50),$D$9*(1-(IF($N43="X",ABS($O43-VALUE(MID(JB43,FIND("|",JB43)+1,FIND("-",JB43)-FIND("|",JB43)-1))),ABS($Q43-ABS(VALUE(MID(JB43,FIND("|",JB43)+1,FIND("-",JB43)-FIND("|",JB43)-1))-VALUE(MID(JB43,FIND("-",JB43)+1,10)))))*$D$50)))))*$I43,0)),0)</f>
        <v>0</v>
      </c>
      <c r="JD43" s="64"/>
      <c r="JE43" s="73"/>
      <c r="JF43" s="72">
        <f t="shared" si="224"/>
        <v>0</v>
      </c>
      <c r="JG43" s="64"/>
      <c r="JH43" s="73"/>
      <c r="JI43" s="72">
        <f t="shared" si="225"/>
        <v>0</v>
      </c>
      <c r="JJ43" s="64"/>
      <c r="JK43" s="73"/>
      <c r="JL43" s="72">
        <f t="shared" si="226"/>
        <v>0</v>
      </c>
      <c r="JM43" s="64"/>
      <c r="JN43" s="73"/>
      <c r="JO43" s="72">
        <f t="shared" ref="JO43:JO73" si="318">IFERROR(IF($M43=JN43,($D$8+$D$9+$D$10)*$I43,IF($N43=LEFT(JN43,1),($D$8+MAX(0,IF($D$50=1,$D$9*(1-(ABS($Q43-ABS(VALUE(MID(JN43,FIND("|",JN43)+1,FIND("-",JN43)-FIND("|",JN43)-1))-VALUE(MID(JN43,FIND("-",JN43)+1,10)))))*$D$50),$D$9*(1-(IF($N43="X",ABS($O43-VALUE(MID(JN43,FIND("|",JN43)+1,FIND("-",JN43)-FIND("|",JN43)-1))),ABS($Q43-ABS(VALUE(MID(JN43,FIND("|",JN43)+1,FIND("-",JN43)-FIND("|",JN43)-1))-VALUE(MID(JN43,FIND("-",JN43)+1,10)))))*$D$50)))))*$I43,0)),0)</f>
        <v>0</v>
      </c>
      <c r="JP43" s="64"/>
      <c r="JQ43" s="73"/>
      <c r="JR43" s="72">
        <f t="shared" ref="JR43:JR73" si="319">IFERROR(IF($M43=JQ43,($D$8+$D$9+$D$10)*$I43,IF($N43=LEFT(JQ43,1),($D$8+MAX(0,IF($D$50=1,$D$9*(1-(ABS($Q43-ABS(VALUE(MID(JQ43,FIND("|",JQ43)+1,FIND("-",JQ43)-FIND("|",JQ43)-1))-VALUE(MID(JQ43,FIND("-",JQ43)+1,10)))))*$D$50),$D$9*(1-(IF($N43="X",ABS($O43-VALUE(MID(JQ43,FIND("|",JQ43)+1,FIND("-",JQ43)-FIND("|",JQ43)-1))),ABS($Q43-ABS(VALUE(MID(JQ43,FIND("|",JQ43)+1,FIND("-",JQ43)-FIND("|",JQ43)-1))-VALUE(MID(JQ43,FIND("-",JQ43)+1,10)))))*$D$50)))))*$I43,0)),0)</f>
        <v>0</v>
      </c>
      <c r="JS43" s="64"/>
      <c r="JT43" s="73"/>
      <c r="JU43" s="72">
        <f t="shared" si="227"/>
        <v>0</v>
      </c>
      <c r="JV43" s="64"/>
      <c r="JW43" s="73"/>
      <c r="JX43" s="72">
        <f t="shared" si="228"/>
        <v>0</v>
      </c>
      <c r="JY43" s="64"/>
      <c r="JZ43" s="73"/>
      <c r="KA43" s="72">
        <f t="shared" si="229"/>
        <v>0</v>
      </c>
      <c r="KB43" s="64"/>
      <c r="KC43" s="73"/>
      <c r="KD43" s="72">
        <f t="shared" ref="KD43:KD73" si="320">IFERROR(IF($M43=KC43,($D$8+$D$9+$D$10)*$I43,IF($N43=LEFT(KC43,1),($D$8+MAX(0,IF($D$50=1,$D$9*(1-(ABS($Q43-ABS(VALUE(MID(KC43,FIND("|",KC43)+1,FIND("-",KC43)-FIND("|",KC43)-1))-VALUE(MID(KC43,FIND("-",KC43)+1,10)))))*$D$50),$D$9*(1-(IF($N43="X",ABS($O43-VALUE(MID(KC43,FIND("|",KC43)+1,FIND("-",KC43)-FIND("|",KC43)-1))),ABS($Q43-ABS(VALUE(MID(KC43,FIND("|",KC43)+1,FIND("-",KC43)-FIND("|",KC43)-1))-VALUE(MID(KC43,FIND("-",KC43)+1,10)))))*$D$50)))))*$I43,0)),0)</f>
        <v>0</v>
      </c>
      <c r="KE43" s="64"/>
      <c r="KF43" s="73"/>
      <c r="KG43" s="72">
        <f t="shared" ref="KG43:KG73" si="321">IFERROR(IF($M43=KF43,($D$8+$D$9+$D$10)*$I43,IF($N43=LEFT(KF43,1),($D$8+MAX(0,IF($D$50=1,$D$9*(1-(ABS($Q43-ABS(VALUE(MID(KF43,FIND("|",KF43)+1,FIND("-",KF43)-FIND("|",KF43)-1))-VALUE(MID(KF43,FIND("-",KF43)+1,10)))))*$D$50),$D$9*(1-(IF($N43="X",ABS($O43-VALUE(MID(KF43,FIND("|",KF43)+1,FIND("-",KF43)-FIND("|",KF43)-1))),ABS($Q43-ABS(VALUE(MID(KF43,FIND("|",KF43)+1,FIND("-",KF43)-FIND("|",KF43)-1))-VALUE(MID(KF43,FIND("-",KF43)+1,10)))))*$D$50)))))*$I43,0)),0)</f>
        <v>0</v>
      </c>
      <c r="KH43" s="64"/>
      <c r="KI43" s="73"/>
      <c r="KJ43" s="72">
        <f t="shared" si="230"/>
        <v>0</v>
      </c>
      <c r="KK43" s="64"/>
      <c r="KL43" s="73"/>
      <c r="KM43" s="72">
        <f t="shared" si="231"/>
        <v>0</v>
      </c>
      <c r="KN43" s="64"/>
      <c r="KO43" s="73"/>
      <c r="KP43" s="72">
        <f t="shared" si="232"/>
        <v>0</v>
      </c>
      <c r="KQ43" s="64"/>
      <c r="KR43" s="73"/>
      <c r="KS43" s="72">
        <f t="shared" ref="KS43:KS73" si="322">IFERROR(IF($M43=KR43,($D$8+$D$9+$D$10)*$I43,IF($N43=LEFT(KR43,1),($D$8+MAX(0,IF($D$50=1,$D$9*(1-(ABS($Q43-ABS(VALUE(MID(KR43,FIND("|",KR43)+1,FIND("-",KR43)-FIND("|",KR43)-1))-VALUE(MID(KR43,FIND("-",KR43)+1,10)))))*$D$50),$D$9*(1-(IF($N43="X",ABS($O43-VALUE(MID(KR43,FIND("|",KR43)+1,FIND("-",KR43)-FIND("|",KR43)-1))),ABS($Q43-ABS(VALUE(MID(KR43,FIND("|",KR43)+1,FIND("-",KR43)-FIND("|",KR43)-1))-VALUE(MID(KR43,FIND("-",KR43)+1,10)))))*$D$50)))))*$I43,0)),0)</f>
        <v>0</v>
      </c>
      <c r="KT43" s="64"/>
      <c r="KU43" s="73"/>
      <c r="KV43" s="72">
        <f t="shared" ref="KV43:KV73" si="323">IFERROR(IF($M43=KU43,($D$8+$D$9+$D$10)*$I43,IF($N43=LEFT(KU43,1),($D$8+MAX(0,IF($D$50=1,$D$9*(1-(ABS($Q43-ABS(VALUE(MID(KU43,FIND("|",KU43)+1,FIND("-",KU43)-FIND("|",KU43)-1))-VALUE(MID(KU43,FIND("-",KU43)+1,10)))))*$D$50),$D$9*(1-(IF($N43="X",ABS($O43-VALUE(MID(KU43,FIND("|",KU43)+1,FIND("-",KU43)-FIND("|",KU43)-1))),ABS($Q43-ABS(VALUE(MID(KU43,FIND("|",KU43)+1,FIND("-",KU43)-FIND("|",KU43)-1))-VALUE(MID(KU43,FIND("-",KU43)+1,10)))))*$D$50)))))*$I43,0)),0)</f>
        <v>0</v>
      </c>
      <c r="KW43" s="64"/>
      <c r="KX43" s="73"/>
      <c r="KY43" s="72">
        <f t="shared" si="233"/>
        <v>0</v>
      </c>
      <c r="KZ43" s="64"/>
      <c r="LA43" s="73"/>
      <c r="LB43" s="72">
        <f t="shared" si="234"/>
        <v>0</v>
      </c>
      <c r="LC43" s="64"/>
      <c r="LD43" s="73"/>
      <c r="LE43" s="72">
        <f t="shared" si="235"/>
        <v>0</v>
      </c>
      <c r="LF43" s="64"/>
    </row>
    <row r="44" spans="1:318" s="784" customFormat="1">
      <c r="A44" s="49"/>
      <c r="B44" s="49"/>
      <c r="C44" s="435" t="str">
        <f>Idiomas!D340</f>
        <v>Bota de Bronce (3º máximo goleador)</v>
      </c>
      <c r="D44" s="62">
        <v>10</v>
      </c>
      <c r="E44" s="109"/>
      <c r="F44" s="443">
        <f t="shared" si="236"/>
        <v>15</v>
      </c>
      <c r="G44" s="443">
        <f ca="1">VLOOKUP(H44,Equipos!$Q$1:$R$25,2,0)</f>
        <v>11</v>
      </c>
      <c r="H44" s="444">
        <f ca="1">TRUNC(INDEX(WORLDCUP!$X$4:$X$147,MATCH(ADMIN!K44,WORLDCUP!$DT$4:$DT$147,0))+INDEX(Horarios!$R$3:$R$86,MATCH(Horarios!$C$3,Horarios!$P$3:$P$86,0))/24)</f>
        <v>46194</v>
      </c>
      <c r="I44" s="48">
        <v>1</v>
      </c>
      <c r="J44" s="94"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276"/>
        <v>0</v>
      </c>
      <c r="R44" s="49"/>
      <c r="S44" s="796" t="s">
        <v>1960</v>
      </c>
      <c r="T44" s="72">
        <f t="shared" si="285"/>
        <v>0</v>
      </c>
      <c r="U44" s="64"/>
      <c r="V44" s="73" t="s">
        <v>1948</v>
      </c>
      <c r="W44" s="72">
        <f t="shared" si="286"/>
        <v>0</v>
      </c>
      <c r="X44" s="64"/>
      <c r="Y44" s="796" t="s">
        <v>1955</v>
      </c>
      <c r="Z44" s="72">
        <f t="shared" si="176"/>
        <v>0</v>
      </c>
      <c r="AA44" s="64"/>
      <c r="AB44" s="796" t="s">
        <v>1960</v>
      </c>
      <c r="AC44" s="72">
        <f t="shared" si="177"/>
        <v>0</v>
      </c>
      <c r="AD44" s="64"/>
      <c r="AE44" s="796" t="s">
        <v>1957</v>
      </c>
      <c r="AF44" s="72">
        <f t="shared" si="287"/>
        <v>0</v>
      </c>
      <c r="AG44" s="64"/>
      <c r="AH44" s="796" t="s">
        <v>1960</v>
      </c>
      <c r="AI44" s="72">
        <f t="shared" si="288"/>
        <v>0</v>
      </c>
      <c r="AJ44" s="64"/>
      <c r="AK44" s="806" t="s">
        <v>2051</v>
      </c>
      <c r="AL44" s="72">
        <f t="shared" si="289"/>
        <v>0</v>
      </c>
      <c r="AM44" s="64"/>
      <c r="AN44" s="796" t="s">
        <v>1956</v>
      </c>
      <c r="AO44" s="72">
        <f t="shared" si="179"/>
        <v>0</v>
      </c>
      <c r="AP44" s="64"/>
      <c r="AQ44" s="806" t="s">
        <v>1956</v>
      </c>
      <c r="AR44" s="72">
        <f t="shared" si="180"/>
        <v>0</v>
      </c>
      <c r="AS44" s="64"/>
      <c r="AT44" s="796" t="s">
        <v>1956</v>
      </c>
      <c r="AU44" s="72">
        <f t="shared" si="181"/>
        <v>0</v>
      </c>
      <c r="AV44" s="64"/>
      <c r="AW44" s="796" t="s">
        <v>1960</v>
      </c>
      <c r="AX44" s="72">
        <f t="shared" si="290"/>
        <v>0</v>
      </c>
      <c r="AY44" s="64"/>
      <c r="AZ44" s="796" t="s">
        <v>1947</v>
      </c>
      <c r="BA44" s="72">
        <f t="shared" si="291"/>
        <v>0</v>
      </c>
      <c r="BB44" s="64"/>
      <c r="BC44" s="796" t="s">
        <v>1954</v>
      </c>
      <c r="BD44" s="72">
        <f t="shared" si="182"/>
        <v>0</v>
      </c>
      <c r="BE44" s="64"/>
      <c r="BF44" s="796" t="s">
        <v>2005</v>
      </c>
      <c r="BG44" s="72">
        <f t="shared" si="183"/>
        <v>0</v>
      </c>
      <c r="BH44" s="64"/>
      <c r="BI44" s="796" t="s">
        <v>1955</v>
      </c>
      <c r="BJ44" s="72">
        <f t="shared" si="184"/>
        <v>0</v>
      </c>
      <c r="BK44" s="64"/>
      <c r="BL44" s="796" t="s">
        <v>1948</v>
      </c>
      <c r="BM44" s="72">
        <f t="shared" si="292"/>
        <v>0</v>
      </c>
      <c r="BN44" s="64"/>
      <c r="BO44" s="816" t="s">
        <v>1960</v>
      </c>
      <c r="BP44" s="72">
        <f t="shared" si="293"/>
        <v>0</v>
      </c>
      <c r="BQ44" s="64"/>
      <c r="BR44" s="796" t="s">
        <v>1960</v>
      </c>
      <c r="BS44" s="72">
        <f t="shared" si="185"/>
        <v>0</v>
      </c>
      <c r="BT44" s="64"/>
      <c r="BU44" s="796" t="s">
        <v>1948</v>
      </c>
      <c r="BV44" s="72">
        <f t="shared" si="186"/>
        <v>0</v>
      </c>
      <c r="BW44" s="64"/>
      <c r="BX44" s="73" t="s">
        <v>1960</v>
      </c>
      <c r="BY44" s="72">
        <f t="shared" si="187"/>
        <v>0</v>
      </c>
      <c r="BZ44" s="64"/>
      <c r="CA44" s="816" t="s">
        <v>1948</v>
      </c>
      <c r="CB44" s="72">
        <f t="shared" si="294"/>
        <v>0</v>
      </c>
      <c r="CC44" s="64"/>
      <c r="CD44" s="825" t="s">
        <v>2051</v>
      </c>
      <c r="CE44" s="72">
        <f t="shared" si="295"/>
        <v>0</v>
      </c>
      <c r="CF44" s="64"/>
      <c r="CG44" s="796" t="s">
        <v>1960</v>
      </c>
      <c r="CH44" s="72">
        <f t="shared" si="188"/>
        <v>0</v>
      </c>
      <c r="CI44" s="64"/>
      <c r="CJ44" s="796" t="s">
        <v>1956</v>
      </c>
      <c r="CK44" s="72">
        <f t="shared" si="189"/>
        <v>0</v>
      </c>
      <c r="CL44" s="64"/>
      <c r="CM44" s="796" t="s">
        <v>1960</v>
      </c>
      <c r="CN44" s="72">
        <f t="shared" si="190"/>
        <v>0</v>
      </c>
      <c r="CO44" s="64"/>
      <c r="CP44" s="796" t="s">
        <v>1960</v>
      </c>
      <c r="CQ44" s="72">
        <f t="shared" si="296"/>
        <v>0</v>
      </c>
      <c r="CR44" s="64"/>
      <c r="CS44" s="796" t="s">
        <v>1957</v>
      </c>
      <c r="CT44" s="72">
        <f t="shared" si="297"/>
        <v>0</v>
      </c>
      <c r="CU44" s="64"/>
      <c r="CV44" s="796" t="s">
        <v>1955</v>
      </c>
      <c r="CW44" s="72">
        <f t="shared" si="191"/>
        <v>0</v>
      </c>
      <c r="CX44" s="64"/>
      <c r="CY44" s="796" t="s">
        <v>1956</v>
      </c>
      <c r="CZ44" s="72">
        <f t="shared" si="250"/>
        <v>0</v>
      </c>
      <c r="DA44" s="64"/>
      <c r="DB44" s="796" t="s">
        <v>1956</v>
      </c>
      <c r="DC44" s="72">
        <f t="shared" si="192"/>
        <v>0</v>
      </c>
      <c r="DD44" s="64"/>
      <c r="DE44" s="796" t="s">
        <v>1956</v>
      </c>
      <c r="DF44" s="72">
        <f t="shared" si="281"/>
        <v>0</v>
      </c>
      <c r="DG44" s="64"/>
      <c r="DH44" s="796" t="s">
        <v>1948</v>
      </c>
      <c r="DI44" s="72">
        <f t="shared" si="282"/>
        <v>0</v>
      </c>
      <c r="DJ44" s="64"/>
      <c r="DK44" s="796" t="s">
        <v>1956</v>
      </c>
      <c r="DL44" s="72">
        <f t="shared" si="283"/>
        <v>0</v>
      </c>
      <c r="DM44" s="64"/>
      <c r="DN44" s="73"/>
      <c r="DO44" s="72">
        <f t="shared" si="196"/>
        <v>0</v>
      </c>
      <c r="DP44" s="64"/>
      <c r="DQ44" s="796" t="s">
        <v>1960</v>
      </c>
      <c r="DR44" s="72">
        <f t="shared" si="251"/>
        <v>0</v>
      </c>
      <c r="DS44" s="64"/>
      <c r="DT44" s="73" t="s">
        <v>1960</v>
      </c>
      <c r="DU44" s="72">
        <f t="shared" si="298"/>
        <v>0</v>
      </c>
      <c r="DV44" s="64"/>
      <c r="DW44" s="73"/>
      <c r="DX44" s="72">
        <f t="shared" si="299"/>
        <v>0</v>
      </c>
      <c r="DY44" s="64"/>
      <c r="DZ44" s="73"/>
      <c r="EA44" s="72">
        <f t="shared" si="284"/>
        <v>0</v>
      </c>
      <c r="EB44" s="64"/>
      <c r="EC44" s="73"/>
      <c r="ED44" s="72">
        <f t="shared" si="198"/>
        <v>0</v>
      </c>
      <c r="EE44" s="64"/>
      <c r="EF44" s="73"/>
      <c r="EG44" s="72">
        <f t="shared" si="199"/>
        <v>0</v>
      </c>
      <c r="EH44" s="64"/>
      <c r="EI44" s="73"/>
      <c r="EJ44" s="72">
        <f t="shared" si="300"/>
        <v>0</v>
      </c>
      <c r="EK44" s="64"/>
      <c r="EL44" s="73"/>
      <c r="EM44" s="72">
        <f t="shared" si="301"/>
        <v>0</v>
      </c>
      <c r="EN44" s="64"/>
      <c r="EO44" s="73"/>
      <c r="EP44" s="72">
        <f t="shared" si="200"/>
        <v>0</v>
      </c>
      <c r="EQ44" s="64"/>
      <c r="ER44" s="73"/>
      <c r="ES44" s="72">
        <f t="shared" si="201"/>
        <v>0</v>
      </c>
      <c r="ET44" s="64"/>
      <c r="EU44" s="73"/>
      <c r="EV44" s="72">
        <f t="shared" si="202"/>
        <v>0</v>
      </c>
      <c r="EW44" s="64"/>
      <c r="EX44" s="73"/>
      <c r="EY44" s="72">
        <f t="shared" si="302"/>
        <v>0</v>
      </c>
      <c r="EZ44" s="64"/>
      <c r="FA44" s="73"/>
      <c r="FB44" s="72">
        <f t="shared" si="303"/>
        <v>0</v>
      </c>
      <c r="FC44" s="64"/>
      <c r="FD44" s="73"/>
      <c r="FE44" s="72">
        <f t="shared" si="203"/>
        <v>0</v>
      </c>
      <c r="FF44" s="64"/>
      <c r="FG44" s="73"/>
      <c r="FH44" s="72">
        <f t="shared" si="204"/>
        <v>0</v>
      </c>
      <c r="FI44" s="64"/>
      <c r="FJ44" s="73"/>
      <c r="FK44" s="72">
        <f t="shared" si="205"/>
        <v>0</v>
      </c>
      <c r="FL44" s="64"/>
      <c r="FM44" s="73"/>
      <c r="FN44" s="72">
        <f t="shared" si="304"/>
        <v>0</v>
      </c>
      <c r="FO44" s="64"/>
      <c r="FP44" s="73"/>
      <c r="FQ44" s="72">
        <f t="shared" si="305"/>
        <v>0</v>
      </c>
      <c r="FR44" s="64"/>
      <c r="FS44" s="73"/>
      <c r="FT44" s="72">
        <f t="shared" si="206"/>
        <v>0</v>
      </c>
      <c r="FU44" s="64"/>
      <c r="FV44" s="73"/>
      <c r="FW44" s="72">
        <f t="shared" si="207"/>
        <v>0</v>
      </c>
      <c r="FX44" s="64"/>
      <c r="FY44" s="73"/>
      <c r="FZ44" s="72">
        <f t="shared" si="208"/>
        <v>0</v>
      </c>
      <c r="GA44" s="64"/>
      <c r="GB44" s="73"/>
      <c r="GC44" s="72">
        <f t="shared" si="306"/>
        <v>0</v>
      </c>
      <c r="GD44" s="64"/>
      <c r="GE44" s="73"/>
      <c r="GF44" s="72">
        <f t="shared" si="307"/>
        <v>0</v>
      </c>
      <c r="GG44" s="64"/>
      <c r="GH44" s="73"/>
      <c r="GI44" s="72">
        <f t="shared" si="209"/>
        <v>0</v>
      </c>
      <c r="GJ44" s="64"/>
      <c r="GK44" s="73"/>
      <c r="GL44" s="72">
        <f t="shared" si="210"/>
        <v>0</v>
      </c>
      <c r="GM44" s="64"/>
      <c r="GN44" s="73"/>
      <c r="GO44" s="72">
        <f t="shared" si="211"/>
        <v>0</v>
      </c>
      <c r="GP44" s="64"/>
      <c r="GQ44" s="73"/>
      <c r="GR44" s="72">
        <f t="shared" si="308"/>
        <v>0</v>
      </c>
      <c r="GS44" s="64"/>
      <c r="GT44" s="73"/>
      <c r="GU44" s="72">
        <f t="shared" si="309"/>
        <v>0</v>
      </c>
      <c r="GV44" s="64"/>
      <c r="GW44" s="73"/>
      <c r="GX44" s="72">
        <f t="shared" si="212"/>
        <v>0</v>
      </c>
      <c r="GY44" s="64"/>
      <c r="GZ44" s="73"/>
      <c r="HA44" s="72">
        <f t="shared" si="213"/>
        <v>0</v>
      </c>
      <c r="HB44" s="64"/>
      <c r="HC44" s="73"/>
      <c r="HD44" s="72">
        <f t="shared" si="214"/>
        <v>0</v>
      </c>
      <c r="HE44" s="64"/>
      <c r="HF44" s="73"/>
      <c r="HG44" s="72">
        <f t="shared" si="310"/>
        <v>0</v>
      </c>
      <c r="HH44" s="64"/>
      <c r="HI44" s="73"/>
      <c r="HJ44" s="72">
        <f t="shared" si="311"/>
        <v>0</v>
      </c>
      <c r="HK44" s="64"/>
      <c r="HL44" s="73"/>
      <c r="HM44" s="72">
        <f t="shared" si="215"/>
        <v>0</v>
      </c>
      <c r="HN44" s="64"/>
      <c r="HO44" s="73"/>
      <c r="HP44" s="72">
        <f t="shared" si="216"/>
        <v>0</v>
      </c>
      <c r="HQ44" s="64"/>
      <c r="HR44" s="73"/>
      <c r="HS44" s="72">
        <f t="shared" si="217"/>
        <v>0</v>
      </c>
      <c r="HT44" s="64"/>
      <c r="HU44" s="73"/>
      <c r="HV44" s="72">
        <f t="shared" si="312"/>
        <v>0</v>
      </c>
      <c r="HW44" s="64"/>
      <c r="HX44" s="73"/>
      <c r="HY44" s="72">
        <f t="shared" si="313"/>
        <v>0</v>
      </c>
      <c r="HZ44" s="64"/>
      <c r="IA44" s="73"/>
      <c r="IB44" s="72">
        <f t="shared" si="218"/>
        <v>0</v>
      </c>
      <c r="IC44" s="64"/>
      <c r="ID44" s="73"/>
      <c r="IE44" s="72">
        <f t="shared" si="219"/>
        <v>0</v>
      </c>
      <c r="IF44" s="64"/>
      <c r="IG44" s="73"/>
      <c r="IH44" s="72">
        <f t="shared" si="220"/>
        <v>0</v>
      </c>
      <c r="II44" s="64"/>
      <c r="IJ44" s="73"/>
      <c r="IK44" s="72">
        <f t="shared" si="314"/>
        <v>0</v>
      </c>
      <c r="IL44" s="64"/>
      <c r="IM44" s="73"/>
      <c r="IN44" s="72">
        <f t="shared" si="315"/>
        <v>0</v>
      </c>
      <c r="IO44" s="64"/>
      <c r="IP44" s="73"/>
      <c r="IQ44" s="72">
        <f t="shared" si="221"/>
        <v>0</v>
      </c>
      <c r="IR44" s="64"/>
      <c r="IS44" s="73"/>
      <c r="IT44" s="72">
        <f t="shared" si="222"/>
        <v>0</v>
      </c>
      <c r="IU44" s="64"/>
      <c r="IV44" s="73"/>
      <c r="IW44" s="72">
        <f t="shared" si="223"/>
        <v>0</v>
      </c>
      <c r="IX44" s="64"/>
      <c r="IY44" s="73"/>
      <c r="IZ44" s="72">
        <f t="shared" si="316"/>
        <v>0</v>
      </c>
      <c r="JA44" s="64"/>
      <c r="JB44" s="73"/>
      <c r="JC44" s="72">
        <f t="shared" si="317"/>
        <v>0</v>
      </c>
      <c r="JD44" s="64"/>
      <c r="JE44" s="73"/>
      <c r="JF44" s="72">
        <f t="shared" si="224"/>
        <v>0</v>
      </c>
      <c r="JG44" s="64"/>
      <c r="JH44" s="73"/>
      <c r="JI44" s="72">
        <f t="shared" si="225"/>
        <v>0</v>
      </c>
      <c r="JJ44" s="64"/>
      <c r="JK44" s="73"/>
      <c r="JL44" s="72">
        <f t="shared" si="226"/>
        <v>0</v>
      </c>
      <c r="JM44" s="64"/>
      <c r="JN44" s="73"/>
      <c r="JO44" s="72">
        <f t="shared" si="318"/>
        <v>0</v>
      </c>
      <c r="JP44" s="64"/>
      <c r="JQ44" s="73"/>
      <c r="JR44" s="72">
        <f t="shared" si="319"/>
        <v>0</v>
      </c>
      <c r="JS44" s="64"/>
      <c r="JT44" s="73"/>
      <c r="JU44" s="72">
        <f t="shared" si="227"/>
        <v>0</v>
      </c>
      <c r="JV44" s="64"/>
      <c r="JW44" s="73"/>
      <c r="JX44" s="72">
        <f t="shared" si="228"/>
        <v>0</v>
      </c>
      <c r="JY44" s="64"/>
      <c r="JZ44" s="73"/>
      <c r="KA44" s="72">
        <f t="shared" si="229"/>
        <v>0</v>
      </c>
      <c r="KB44" s="64"/>
      <c r="KC44" s="73"/>
      <c r="KD44" s="72">
        <f t="shared" si="320"/>
        <v>0</v>
      </c>
      <c r="KE44" s="64"/>
      <c r="KF44" s="73"/>
      <c r="KG44" s="72">
        <f t="shared" si="321"/>
        <v>0</v>
      </c>
      <c r="KH44" s="64"/>
      <c r="KI44" s="73"/>
      <c r="KJ44" s="72">
        <f t="shared" si="230"/>
        <v>0</v>
      </c>
      <c r="KK44" s="64"/>
      <c r="KL44" s="73"/>
      <c r="KM44" s="72">
        <f t="shared" si="231"/>
        <v>0</v>
      </c>
      <c r="KN44" s="64"/>
      <c r="KO44" s="73"/>
      <c r="KP44" s="72">
        <f t="shared" si="232"/>
        <v>0</v>
      </c>
      <c r="KQ44" s="64"/>
      <c r="KR44" s="73"/>
      <c r="KS44" s="72">
        <f t="shared" si="322"/>
        <v>0</v>
      </c>
      <c r="KT44" s="64"/>
      <c r="KU44" s="73"/>
      <c r="KV44" s="72">
        <f t="shared" si="323"/>
        <v>0</v>
      </c>
      <c r="KW44" s="64"/>
      <c r="KX44" s="73"/>
      <c r="KY44" s="72">
        <f t="shared" si="233"/>
        <v>0</v>
      </c>
      <c r="KZ44" s="64"/>
      <c r="LA44" s="73"/>
      <c r="LB44" s="72">
        <f t="shared" si="234"/>
        <v>0</v>
      </c>
      <c r="LC44" s="64"/>
      <c r="LD44" s="73"/>
      <c r="LE44" s="72">
        <f t="shared" si="235"/>
        <v>0</v>
      </c>
      <c r="LF44" s="64"/>
    </row>
    <row r="45" spans="1:318" s="784" customFormat="1">
      <c r="A45" s="49"/>
      <c r="B45" s="49"/>
      <c r="C45" s="436" t="str">
        <f>Idiomas!D341</f>
        <v>Balón de Oro  (mejor jugador)</v>
      </c>
      <c r="D45" s="62">
        <v>25</v>
      </c>
      <c r="E45" s="109"/>
      <c r="F45" s="443">
        <f t="shared" si="236"/>
        <v>15</v>
      </c>
      <c r="G45" s="443">
        <f ca="1">VLOOKUP(H45,Equipos!$Q$1:$R$25,2,0)</f>
        <v>11</v>
      </c>
      <c r="H45" s="444">
        <f ca="1">TRUNC(INDEX(WORLDCUP!$X$4:$X$147,MATCH(ADMIN!K45,WORLDCUP!$DT$4:$DT$147,0))+INDEX(Horarios!$R$3:$R$86,MATCH(Horarios!$C$3,Horarios!$P$3:$P$86,0))/24)</f>
        <v>46194</v>
      </c>
      <c r="I45" s="48">
        <v>1</v>
      </c>
      <c r="J45" s="94"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276"/>
        <v>0</v>
      </c>
      <c r="R45" s="49"/>
      <c r="S45" s="796" t="s">
        <v>1956</v>
      </c>
      <c r="T45" s="72">
        <f t="shared" si="285"/>
        <v>0</v>
      </c>
      <c r="U45" s="64"/>
      <c r="V45" s="73" t="s">
        <v>1958</v>
      </c>
      <c r="W45" s="72">
        <f t="shared" si="286"/>
        <v>0</v>
      </c>
      <c r="X45" s="64"/>
      <c r="Y45" s="796" t="s">
        <v>1956</v>
      </c>
      <c r="Z45" s="72">
        <f t="shared" si="176"/>
        <v>0</v>
      </c>
      <c r="AA45" s="64"/>
      <c r="AB45" s="796" t="s">
        <v>1948</v>
      </c>
      <c r="AC45" s="72">
        <f t="shared" si="177"/>
        <v>0</v>
      </c>
      <c r="AD45" s="64"/>
      <c r="AE45" s="796" t="s">
        <v>1948</v>
      </c>
      <c r="AF45" s="72">
        <f t="shared" si="287"/>
        <v>0</v>
      </c>
      <c r="AG45" s="64"/>
      <c r="AH45" s="796" t="s">
        <v>1948</v>
      </c>
      <c r="AI45" s="72">
        <f t="shared" si="288"/>
        <v>0</v>
      </c>
      <c r="AJ45" s="64"/>
      <c r="AK45" s="806" t="s">
        <v>1957</v>
      </c>
      <c r="AL45" s="72">
        <f t="shared" si="289"/>
        <v>0</v>
      </c>
      <c r="AM45" s="64"/>
      <c r="AN45" s="796" t="s">
        <v>1956</v>
      </c>
      <c r="AO45" s="72">
        <f t="shared" si="179"/>
        <v>0</v>
      </c>
      <c r="AP45" s="64"/>
      <c r="AQ45" s="806" t="s">
        <v>1956</v>
      </c>
      <c r="AR45" s="72">
        <f t="shared" si="180"/>
        <v>0</v>
      </c>
      <c r="AS45" s="64"/>
      <c r="AT45" s="796" t="s">
        <v>1957</v>
      </c>
      <c r="AU45" s="72">
        <f t="shared" si="181"/>
        <v>0</v>
      </c>
      <c r="AV45" s="64"/>
      <c r="AW45" s="796" t="s">
        <v>1956</v>
      </c>
      <c r="AX45" s="72">
        <f t="shared" si="290"/>
        <v>0</v>
      </c>
      <c r="AY45" s="64"/>
      <c r="AZ45" s="796" t="s">
        <v>1953</v>
      </c>
      <c r="BA45" s="72">
        <f t="shared" si="291"/>
        <v>0</v>
      </c>
      <c r="BB45" s="64"/>
      <c r="BC45" s="796" t="s">
        <v>2051</v>
      </c>
      <c r="BD45" s="72">
        <f t="shared" si="182"/>
        <v>0</v>
      </c>
      <c r="BE45" s="64"/>
      <c r="BF45" s="796" t="s">
        <v>1948</v>
      </c>
      <c r="BG45" s="72">
        <f t="shared" si="183"/>
        <v>0</v>
      </c>
      <c r="BH45" s="64"/>
      <c r="BI45" s="796" t="s">
        <v>1948</v>
      </c>
      <c r="BJ45" s="72">
        <f t="shared" si="184"/>
        <v>0</v>
      </c>
      <c r="BK45" s="64"/>
      <c r="BL45" s="796" t="s">
        <v>1958</v>
      </c>
      <c r="BM45" s="72">
        <f t="shared" si="292"/>
        <v>0</v>
      </c>
      <c r="BN45" s="64"/>
      <c r="BO45" s="816" t="s">
        <v>1948</v>
      </c>
      <c r="BP45" s="72">
        <f t="shared" si="293"/>
        <v>0</v>
      </c>
      <c r="BQ45" s="64"/>
      <c r="BR45" s="796" t="s">
        <v>1948</v>
      </c>
      <c r="BS45" s="72">
        <f t="shared" si="185"/>
        <v>0</v>
      </c>
      <c r="BT45" s="64"/>
      <c r="BU45" s="796" t="s">
        <v>1956</v>
      </c>
      <c r="BV45" s="72">
        <f t="shared" si="186"/>
        <v>0</v>
      </c>
      <c r="BW45" s="64"/>
      <c r="BX45" s="73" t="s">
        <v>1956</v>
      </c>
      <c r="BY45" s="72">
        <f t="shared" si="187"/>
        <v>0</v>
      </c>
      <c r="BZ45" s="64"/>
      <c r="CA45" s="816" t="s">
        <v>1960</v>
      </c>
      <c r="CB45" s="72">
        <f t="shared" si="294"/>
        <v>0</v>
      </c>
      <c r="CC45" s="64"/>
      <c r="CD45" s="825" t="s">
        <v>1948</v>
      </c>
      <c r="CE45" s="72">
        <f t="shared" si="295"/>
        <v>0</v>
      </c>
      <c r="CF45" s="64"/>
      <c r="CG45" s="796" t="s">
        <v>1958</v>
      </c>
      <c r="CH45" s="72">
        <f t="shared" si="188"/>
        <v>0</v>
      </c>
      <c r="CI45" s="64"/>
      <c r="CJ45" s="796" t="s">
        <v>1958</v>
      </c>
      <c r="CK45" s="72">
        <f t="shared" si="189"/>
        <v>0</v>
      </c>
      <c r="CL45" s="64"/>
      <c r="CM45" s="796" t="s">
        <v>1956</v>
      </c>
      <c r="CN45" s="72">
        <f t="shared" si="190"/>
        <v>0</v>
      </c>
      <c r="CO45" s="64"/>
      <c r="CP45" s="796" t="s">
        <v>1957</v>
      </c>
      <c r="CQ45" s="72">
        <f t="shared" si="296"/>
        <v>0</v>
      </c>
      <c r="CR45" s="64"/>
      <c r="CS45" s="796" t="s">
        <v>1948</v>
      </c>
      <c r="CT45" s="72">
        <f t="shared" si="297"/>
        <v>0</v>
      </c>
      <c r="CU45" s="64"/>
      <c r="CV45" s="796" t="s">
        <v>1956</v>
      </c>
      <c r="CW45" s="72">
        <f t="shared" si="191"/>
        <v>0</v>
      </c>
      <c r="CX45" s="64"/>
      <c r="CY45" s="796" t="s">
        <v>1948</v>
      </c>
      <c r="CZ45" s="72">
        <f t="shared" si="250"/>
        <v>0</v>
      </c>
      <c r="DA45" s="64"/>
      <c r="DB45" s="796" t="s">
        <v>1956</v>
      </c>
      <c r="DC45" s="72">
        <f t="shared" si="192"/>
        <v>0</v>
      </c>
      <c r="DD45" s="64"/>
      <c r="DE45" s="796" t="s">
        <v>1961</v>
      </c>
      <c r="DF45" s="72">
        <f t="shared" si="281"/>
        <v>0</v>
      </c>
      <c r="DG45" s="64"/>
      <c r="DH45" s="796" t="s">
        <v>1956</v>
      </c>
      <c r="DI45" s="72">
        <f t="shared" si="282"/>
        <v>0</v>
      </c>
      <c r="DJ45" s="64"/>
      <c r="DK45" s="796" t="s">
        <v>1948</v>
      </c>
      <c r="DL45" s="72">
        <f t="shared" si="283"/>
        <v>0</v>
      </c>
      <c r="DM45" s="64"/>
      <c r="DN45" s="73"/>
      <c r="DO45" s="72">
        <f t="shared" si="196"/>
        <v>0</v>
      </c>
      <c r="DP45" s="64"/>
      <c r="DQ45" s="796" t="s">
        <v>1956</v>
      </c>
      <c r="DR45" s="72">
        <f t="shared" si="251"/>
        <v>0</v>
      </c>
      <c r="DS45" s="64"/>
      <c r="DT45" s="73" t="s">
        <v>1956</v>
      </c>
      <c r="DU45" s="72">
        <f t="shared" si="298"/>
        <v>0</v>
      </c>
      <c r="DV45" s="64"/>
      <c r="DW45" s="73"/>
      <c r="DX45" s="72">
        <f t="shared" si="299"/>
        <v>0</v>
      </c>
      <c r="DY45" s="64"/>
      <c r="DZ45" s="73"/>
      <c r="EA45" s="72">
        <f t="shared" si="284"/>
        <v>0</v>
      </c>
      <c r="EB45" s="64"/>
      <c r="EC45" s="73"/>
      <c r="ED45" s="72">
        <f t="shared" si="198"/>
        <v>0</v>
      </c>
      <c r="EE45" s="64"/>
      <c r="EF45" s="73"/>
      <c r="EG45" s="72">
        <f t="shared" si="199"/>
        <v>0</v>
      </c>
      <c r="EH45" s="64"/>
      <c r="EI45" s="73"/>
      <c r="EJ45" s="72">
        <f t="shared" si="300"/>
        <v>0</v>
      </c>
      <c r="EK45" s="64"/>
      <c r="EL45" s="73"/>
      <c r="EM45" s="72">
        <f t="shared" si="301"/>
        <v>0</v>
      </c>
      <c r="EN45" s="64"/>
      <c r="EO45" s="73"/>
      <c r="EP45" s="72">
        <f t="shared" si="200"/>
        <v>0</v>
      </c>
      <c r="EQ45" s="64"/>
      <c r="ER45" s="73"/>
      <c r="ES45" s="72">
        <f t="shared" si="201"/>
        <v>0</v>
      </c>
      <c r="ET45" s="64"/>
      <c r="EU45" s="73"/>
      <c r="EV45" s="72">
        <f t="shared" si="202"/>
        <v>0</v>
      </c>
      <c r="EW45" s="64"/>
      <c r="EX45" s="73"/>
      <c r="EY45" s="72">
        <f t="shared" si="302"/>
        <v>0</v>
      </c>
      <c r="EZ45" s="64"/>
      <c r="FA45" s="73"/>
      <c r="FB45" s="72">
        <f t="shared" si="303"/>
        <v>0</v>
      </c>
      <c r="FC45" s="64"/>
      <c r="FD45" s="73"/>
      <c r="FE45" s="72">
        <f t="shared" si="203"/>
        <v>0</v>
      </c>
      <c r="FF45" s="64"/>
      <c r="FG45" s="73"/>
      <c r="FH45" s="72">
        <f t="shared" si="204"/>
        <v>0</v>
      </c>
      <c r="FI45" s="64"/>
      <c r="FJ45" s="73"/>
      <c r="FK45" s="72">
        <f t="shared" si="205"/>
        <v>0</v>
      </c>
      <c r="FL45" s="64"/>
      <c r="FM45" s="73"/>
      <c r="FN45" s="72">
        <f t="shared" si="304"/>
        <v>0</v>
      </c>
      <c r="FO45" s="64"/>
      <c r="FP45" s="73"/>
      <c r="FQ45" s="72">
        <f t="shared" si="305"/>
        <v>0</v>
      </c>
      <c r="FR45" s="64"/>
      <c r="FS45" s="73"/>
      <c r="FT45" s="72">
        <f t="shared" si="206"/>
        <v>0</v>
      </c>
      <c r="FU45" s="64"/>
      <c r="FV45" s="73"/>
      <c r="FW45" s="72">
        <f t="shared" si="207"/>
        <v>0</v>
      </c>
      <c r="FX45" s="64"/>
      <c r="FY45" s="73"/>
      <c r="FZ45" s="72">
        <f t="shared" si="208"/>
        <v>0</v>
      </c>
      <c r="GA45" s="64"/>
      <c r="GB45" s="73"/>
      <c r="GC45" s="72">
        <f t="shared" si="306"/>
        <v>0</v>
      </c>
      <c r="GD45" s="64"/>
      <c r="GE45" s="73"/>
      <c r="GF45" s="72">
        <f t="shared" si="307"/>
        <v>0</v>
      </c>
      <c r="GG45" s="64"/>
      <c r="GH45" s="73"/>
      <c r="GI45" s="72">
        <f t="shared" si="209"/>
        <v>0</v>
      </c>
      <c r="GJ45" s="64"/>
      <c r="GK45" s="73"/>
      <c r="GL45" s="72">
        <f t="shared" si="210"/>
        <v>0</v>
      </c>
      <c r="GM45" s="64"/>
      <c r="GN45" s="73"/>
      <c r="GO45" s="72">
        <f t="shared" si="211"/>
        <v>0</v>
      </c>
      <c r="GP45" s="64"/>
      <c r="GQ45" s="73"/>
      <c r="GR45" s="72">
        <f t="shared" si="308"/>
        <v>0</v>
      </c>
      <c r="GS45" s="64"/>
      <c r="GT45" s="73"/>
      <c r="GU45" s="72">
        <f t="shared" si="309"/>
        <v>0</v>
      </c>
      <c r="GV45" s="64"/>
      <c r="GW45" s="73"/>
      <c r="GX45" s="72">
        <f t="shared" si="212"/>
        <v>0</v>
      </c>
      <c r="GY45" s="64"/>
      <c r="GZ45" s="73"/>
      <c r="HA45" s="72">
        <f t="shared" si="213"/>
        <v>0</v>
      </c>
      <c r="HB45" s="64"/>
      <c r="HC45" s="73"/>
      <c r="HD45" s="72">
        <f t="shared" si="214"/>
        <v>0</v>
      </c>
      <c r="HE45" s="64"/>
      <c r="HF45" s="73"/>
      <c r="HG45" s="72">
        <f t="shared" si="310"/>
        <v>0</v>
      </c>
      <c r="HH45" s="64"/>
      <c r="HI45" s="73"/>
      <c r="HJ45" s="72">
        <f t="shared" si="311"/>
        <v>0</v>
      </c>
      <c r="HK45" s="64"/>
      <c r="HL45" s="73"/>
      <c r="HM45" s="72">
        <f t="shared" si="215"/>
        <v>0</v>
      </c>
      <c r="HN45" s="64"/>
      <c r="HO45" s="73"/>
      <c r="HP45" s="72">
        <f t="shared" si="216"/>
        <v>0</v>
      </c>
      <c r="HQ45" s="64"/>
      <c r="HR45" s="73"/>
      <c r="HS45" s="72">
        <f t="shared" si="217"/>
        <v>0</v>
      </c>
      <c r="HT45" s="64"/>
      <c r="HU45" s="73"/>
      <c r="HV45" s="72">
        <f t="shared" si="312"/>
        <v>0</v>
      </c>
      <c r="HW45" s="64"/>
      <c r="HX45" s="73"/>
      <c r="HY45" s="72">
        <f t="shared" si="313"/>
        <v>0</v>
      </c>
      <c r="HZ45" s="64"/>
      <c r="IA45" s="73"/>
      <c r="IB45" s="72">
        <f t="shared" si="218"/>
        <v>0</v>
      </c>
      <c r="IC45" s="64"/>
      <c r="ID45" s="73"/>
      <c r="IE45" s="72">
        <f t="shared" si="219"/>
        <v>0</v>
      </c>
      <c r="IF45" s="64"/>
      <c r="IG45" s="73"/>
      <c r="IH45" s="72">
        <f t="shared" si="220"/>
        <v>0</v>
      </c>
      <c r="II45" s="64"/>
      <c r="IJ45" s="73"/>
      <c r="IK45" s="72">
        <f t="shared" si="314"/>
        <v>0</v>
      </c>
      <c r="IL45" s="64"/>
      <c r="IM45" s="73"/>
      <c r="IN45" s="72">
        <f t="shared" si="315"/>
        <v>0</v>
      </c>
      <c r="IO45" s="64"/>
      <c r="IP45" s="73"/>
      <c r="IQ45" s="72">
        <f t="shared" si="221"/>
        <v>0</v>
      </c>
      <c r="IR45" s="64"/>
      <c r="IS45" s="73"/>
      <c r="IT45" s="72">
        <f t="shared" si="222"/>
        <v>0</v>
      </c>
      <c r="IU45" s="64"/>
      <c r="IV45" s="73"/>
      <c r="IW45" s="72">
        <f t="shared" si="223"/>
        <v>0</v>
      </c>
      <c r="IX45" s="64"/>
      <c r="IY45" s="73"/>
      <c r="IZ45" s="72">
        <f t="shared" si="316"/>
        <v>0</v>
      </c>
      <c r="JA45" s="64"/>
      <c r="JB45" s="73"/>
      <c r="JC45" s="72">
        <f t="shared" si="317"/>
        <v>0</v>
      </c>
      <c r="JD45" s="64"/>
      <c r="JE45" s="73"/>
      <c r="JF45" s="72">
        <f t="shared" si="224"/>
        <v>0</v>
      </c>
      <c r="JG45" s="64"/>
      <c r="JH45" s="73"/>
      <c r="JI45" s="72">
        <f t="shared" si="225"/>
        <v>0</v>
      </c>
      <c r="JJ45" s="64"/>
      <c r="JK45" s="73"/>
      <c r="JL45" s="72">
        <f t="shared" si="226"/>
        <v>0</v>
      </c>
      <c r="JM45" s="64"/>
      <c r="JN45" s="73"/>
      <c r="JO45" s="72">
        <f t="shared" si="318"/>
        <v>0</v>
      </c>
      <c r="JP45" s="64"/>
      <c r="JQ45" s="73"/>
      <c r="JR45" s="72">
        <f t="shared" si="319"/>
        <v>0</v>
      </c>
      <c r="JS45" s="64"/>
      <c r="JT45" s="73"/>
      <c r="JU45" s="72">
        <f t="shared" si="227"/>
        <v>0</v>
      </c>
      <c r="JV45" s="64"/>
      <c r="JW45" s="73"/>
      <c r="JX45" s="72">
        <f t="shared" si="228"/>
        <v>0</v>
      </c>
      <c r="JY45" s="64"/>
      <c r="JZ45" s="73"/>
      <c r="KA45" s="72">
        <f t="shared" si="229"/>
        <v>0</v>
      </c>
      <c r="KB45" s="64"/>
      <c r="KC45" s="73"/>
      <c r="KD45" s="72">
        <f t="shared" si="320"/>
        <v>0</v>
      </c>
      <c r="KE45" s="64"/>
      <c r="KF45" s="73"/>
      <c r="KG45" s="72">
        <f t="shared" si="321"/>
        <v>0</v>
      </c>
      <c r="KH45" s="64"/>
      <c r="KI45" s="73"/>
      <c r="KJ45" s="72">
        <f t="shared" si="230"/>
        <v>0</v>
      </c>
      <c r="KK45" s="64"/>
      <c r="KL45" s="73"/>
      <c r="KM45" s="72">
        <f t="shared" si="231"/>
        <v>0</v>
      </c>
      <c r="KN45" s="64"/>
      <c r="KO45" s="73"/>
      <c r="KP45" s="72">
        <f t="shared" si="232"/>
        <v>0</v>
      </c>
      <c r="KQ45" s="64"/>
      <c r="KR45" s="73"/>
      <c r="KS45" s="72">
        <f t="shared" si="322"/>
        <v>0</v>
      </c>
      <c r="KT45" s="64"/>
      <c r="KU45" s="73"/>
      <c r="KV45" s="72">
        <f t="shared" si="323"/>
        <v>0</v>
      </c>
      <c r="KW45" s="64"/>
      <c r="KX45" s="73"/>
      <c r="KY45" s="72">
        <f t="shared" si="233"/>
        <v>0</v>
      </c>
      <c r="KZ45" s="64"/>
      <c r="LA45" s="73"/>
      <c r="LB45" s="72">
        <f t="shared" si="234"/>
        <v>0</v>
      </c>
      <c r="LC45" s="64"/>
      <c r="LD45" s="73"/>
      <c r="LE45" s="72">
        <f t="shared" si="235"/>
        <v>0</v>
      </c>
      <c r="LF45" s="64"/>
    </row>
    <row r="46" spans="1:318" s="784" customFormat="1">
      <c r="A46" s="49"/>
      <c r="B46" s="49"/>
      <c r="C46" s="435" t="str">
        <f>Idiomas!D342</f>
        <v>Balón de Plata (2º mejor jugador)</v>
      </c>
      <c r="D46" s="62">
        <v>15</v>
      </c>
      <c r="E46" s="109"/>
      <c r="F46" s="443">
        <f t="shared" si="236"/>
        <v>15</v>
      </c>
      <c r="G46" s="443">
        <f ca="1">VLOOKUP(H46,Equipos!$Q$1:$R$25,2,0)</f>
        <v>12</v>
      </c>
      <c r="H46" s="444">
        <f ca="1">TRUNC(INDEX(WORLDCUP!$X$4:$X$147,MATCH(ADMIN!K46,WORLDCUP!$DT$4:$DT$147,0))+INDEX(Horarios!$R$3:$R$86,MATCH(Horarios!$C$3,Horarios!$P$3:$P$86,0))/24)</f>
        <v>46195</v>
      </c>
      <c r="I46" s="48">
        <v>1</v>
      </c>
      <c r="J46" s="93"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276"/>
        <v>0</v>
      </c>
      <c r="R46" s="49"/>
      <c r="S46" s="796" t="s">
        <v>1952</v>
      </c>
      <c r="T46" s="72">
        <f t="shared" si="285"/>
        <v>0</v>
      </c>
      <c r="U46" s="64"/>
      <c r="V46" s="73" t="s">
        <v>1956</v>
      </c>
      <c r="W46" s="72">
        <f t="shared" si="286"/>
        <v>0</v>
      </c>
      <c r="X46" s="64"/>
      <c r="Y46" s="796" t="s">
        <v>1960</v>
      </c>
      <c r="Z46" s="72">
        <f t="shared" si="176"/>
        <v>0</v>
      </c>
      <c r="AA46" s="64"/>
      <c r="AB46" s="796" t="s">
        <v>1957</v>
      </c>
      <c r="AC46" s="72">
        <f t="shared" si="177"/>
        <v>0</v>
      </c>
      <c r="AD46" s="64"/>
      <c r="AE46" s="796" t="s">
        <v>1956</v>
      </c>
      <c r="AF46" s="72">
        <f t="shared" si="287"/>
        <v>0</v>
      </c>
      <c r="AG46" s="64"/>
      <c r="AH46" s="796" t="s">
        <v>1960</v>
      </c>
      <c r="AI46" s="72">
        <f t="shared" si="288"/>
        <v>0</v>
      </c>
      <c r="AJ46" s="64"/>
      <c r="AK46" s="806" t="s">
        <v>1957</v>
      </c>
      <c r="AL46" s="72">
        <f t="shared" si="289"/>
        <v>0</v>
      </c>
      <c r="AM46" s="64"/>
      <c r="AN46" s="796" t="s">
        <v>1957</v>
      </c>
      <c r="AO46" s="72">
        <f t="shared" si="179"/>
        <v>0</v>
      </c>
      <c r="AP46" s="64"/>
      <c r="AQ46" s="806" t="s">
        <v>2088</v>
      </c>
      <c r="AR46" s="72">
        <f t="shared" si="180"/>
        <v>0</v>
      </c>
      <c r="AS46" s="64"/>
      <c r="AT46" s="796" t="s">
        <v>2051</v>
      </c>
      <c r="AU46" s="72">
        <f t="shared" si="181"/>
        <v>0</v>
      </c>
      <c r="AV46" s="64"/>
      <c r="AW46" s="796" t="s">
        <v>1957</v>
      </c>
      <c r="AX46" s="72">
        <f t="shared" si="290"/>
        <v>0</v>
      </c>
      <c r="AY46" s="64"/>
      <c r="AZ46" s="796" t="s">
        <v>2345</v>
      </c>
      <c r="BA46" s="72">
        <f t="shared" si="291"/>
        <v>0</v>
      </c>
      <c r="BB46" s="64"/>
      <c r="BC46" s="796" t="s">
        <v>1957</v>
      </c>
      <c r="BD46" s="72">
        <f t="shared" si="182"/>
        <v>0</v>
      </c>
      <c r="BE46" s="64"/>
      <c r="BF46" s="796" t="s">
        <v>1956</v>
      </c>
      <c r="BG46" s="72">
        <f t="shared" si="183"/>
        <v>0</v>
      </c>
      <c r="BH46" s="64"/>
      <c r="BI46" s="796" t="s">
        <v>1956</v>
      </c>
      <c r="BJ46" s="72">
        <f t="shared" si="184"/>
        <v>0</v>
      </c>
      <c r="BK46" s="64"/>
      <c r="BL46" s="796" t="s">
        <v>1956</v>
      </c>
      <c r="BM46" s="72">
        <f t="shared" si="292"/>
        <v>0</v>
      </c>
      <c r="BN46" s="64"/>
      <c r="BO46" s="816" t="s">
        <v>1957</v>
      </c>
      <c r="BP46" s="72">
        <f t="shared" si="293"/>
        <v>0</v>
      </c>
      <c r="BQ46" s="64"/>
      <c r="BR46" s="796" t="s">
        <v>1957</v>
      </c>
      <c r="BS46" s="72">
        <f t="shared" si="185"/>
        <v>0</v>
      </c>
      <c r="BT46" s="64"/>
      <c r="BU46" s="796" t="s">
        <v>2088</v>
      </c>
      <c r="BV46" s="72">
        <f t="shared" si="186"/>
        <v>0</v>
      </c>
      <c r="BW46" s="64"/>
      <c r="BX46" s="73" t="s">
        <v>1960</v>
      </c>
      <c r="BY46" s="72">
        <f t="shared" si="187"/>
        <v>0</v>
      </c>
      <c r="BZ46" s="64"/>
      <c r="CA46" s="816" t="s">
        <v>1955</v>
      </c>
      <c r="CB46" s="72">
        <f t="shared" si="294"/>
        <v>0</v>
      </c>
      <c r="CC46" s="64"/>
      <c r="CD46" s="825" t="s">
        <v>1956</v>
      </c>
      <c r="CE46" s="72">
        <f t="shared" si="295"/>
        <v>0</v>
      </c>
      <c r="CF46" s="64"/>
      <c r="CG46" s="796" t="s">
        <v>1956</v>
      </c>
      <c r="CH46" s="72">
        <f t="shared" si="188"/>
        <v>0</v>
      </c>
      <c r="CI46" s="64"/>
      <c r="CJ46" s="796" t="s">
        <v>1960</v>
      </c>
      <c r="CK46" s="72">
        <f t="shared" si="189"/>
        <v>0</v>
      </c>
      <c r="CL46" s="64"/>
      <c r="CM46" s="796" t="s">
        <v>1956</v>
      </c>
      <c r="CN46" s="72">
        <f t="shared" si="190"/>
        <v>0</v>
      </c>
      <c r="CO46" s="64"/>
      <c r="CP46" s="796" t="s">
        <v>2088</v>
      </c>
      <c r="CQ46" s="72">
        <f t="shared" si="296"/>
        <v>0</v>
      </c>
      <c r="CR46" s="64"/>
      <c r="CS46" s="796" t="s">
        <v>1957</v>
      </c>
      <c r="CT46" s="72">
        <f t="shared" si="297"/>
        <v>0</v>
      </c>
      <c r="CU46" s="64"/>
      <c r="CV46" s="796" t="s">
        <v>1960</v>
      </c>
      <c r="CW46" s="72">
        <f t="shared" si="191"/>
        <v>0</v>
      </c>
      <c r="CX46" s="64"/>
      <c r="CY46" s="796" t="s">
        <v>1948</v>
      </c>
      <c r="CZ46" s="72">
        <f t="shared" si="250"/>
        <v>0</v>
      </c>
      <c r="DA46" s="64"/>
      <c r="DB46" s="796" t="s">
        <v>1960</v>
      </c>
      <c r="DC46" s="72">
        <f t="shared" si="192"/>
        <v>0</v>
      </c>
      <c r="DD46" s="64"/>
      <c r="DE46" s="796" t="s">
        <v>2088</v>
      </c>
      <c r="DF46" s="72">
        <f t="shared" si="281"/>
        <v>0</v>
      </c>
      <c r="DG46" s="64"/>
      <c r="DH46" s="796" t="s">
        <v>1957</v>
      </c>
      <c r="DI46" s="72">
        <f t="shared" si="282"/>
        <v>0</v>
      </c>
      <c r="DJ46" s="64"/>
      <c r="DK46" s="796" t="s">
        <v>1957</v>
      </c>
      <c r="DL46" s="72">
        <f t="shared" si="283"/>
        <v>0</v>
      </c>
      <c r="DM46" s="64"/>
      <c r="DN46" s="73"/>
      <c r="DO46" s="72">
        <f t="shared" si="196"/>
        <v>0</v>
      </c>
      <c r="DP46" s="64"/>
      <c r="DQ46" s="796" t="s">
        <v>1957</v>
      </c>
      <c r="DR46" s="72">
        <f t="shared" si="251"/>
        <v>0</v>
      </c>
      <c r="DS46" s="64"/>
      <c r="DT46" s="73" t="s">
        <v>1957</v>
      </c>
      <c r="DU46" s="72">
        <f t="shared" si="298"/>
        <v>0</v>
      </c>
      <c r="DV46" s="64"/>
      <c r="DW46" s="73"/>
      <c r="DX46" s="72">
        <f t="shared" si="299"/>
        <v>0</v>
      </c>
      <c r="DY46" s="64"/>
      <c r="DZ46" s="73"/>
      <c r="EA46" s="72">
        <f t="shared" si="284"/>
        <v>0</v>
      </c>
      <c r="EB46" s="64"/>
      <c r="EC46" s="73"/>
      <c r="ED46" s="72">
        <f t="shared" si="198"/>
        <v>0</v>
      </c>
      <c r="EE46" s="64"/>
      <c r="EF46" s="73"/>
      <c r="EG46" s="72">
        <f t="shared" si="199"/>
        <v>0</v>
      </c>
      <c r="EH46" s="64"/>
      <c r="EI46" s="73"/>
      <c r="EJ46" s="72">
        <f t="shared" si="300"/>
        <v>0</v>
      </c>
      <c r="EK46" s="64"/>
      <c r="EL46" s="73"/>
      <c r="EM46" s="72">
        <f t="shared" si="301"/>
        <v>0</v>
      </c>
      <c r="EN46" s="64"/>
      <c r="EO46" s="73"/>
      <c r="EP46" s="72">
        <f t="shared" si="200"/>
        <v>0</v>
      </c>
      <c r="EQ46" s="64"/>
      <c r="ER46" s="73"/>
      <c r="ES46" s="72">
        <f t="shared" si="201"/>
        <v>0</v>
      </c>
      <c r="ET46" s="64"/>
      <c r="EU46" s="73"/>
      <c r="EV46" s="72">
        <f t="shared" si="202"/>
        <v>0</v>
      </c>
      <c r="EW46" s="64"/>
      <c r="EX46" s="73"/>
      <c r="EY46" s="72">
        <f t="shared" si="302"/>
        <v>0</v>
      </c>
      <c r="EZ46" s="64"/>
      <c r="FA46" s="73"/>
      <c r="FB46" s="72">
        <f t="shared" si="303"/>
        <v>0</v>
      </c>
      <c r="FC46" s="64"/>
      <c r="FD46" s="73"/>
      <c r="FE46" s="72">
        <f t="shared" si="203"/>
        <v>0</v>
      </c>
      <c r="FF46" s="64"/>
      <c r="FG46" s="73"/>
      <c r="FH46" s="72">
        <f t="shared" si="204"/>
        <v>0</v>
      </c>
      <c r="FI46" s="64"/>
      <c r="FJ46" s="73"/>
      <c r="FK46" s="72">
        <f t="shared" si="205"/>
        <v>0</v>
      </c>
      <c r="FL46" s="64"/>
      <c r="FM46" s="73"/>
      <c r="FN46" s="72">
        <f t="shared" si="304"/>
        <v>0</v>
      </c>
      <c r="FO46" s="64"/>
      <c r="FP46" s="73"/>
      <c r="FQ46" s="72">
        <f t="shared" si="305"/>
        <v>0</v>
      </c>
      <c r="FR46" s="64"/>
      <c r="FS46" s="73"/>
      <c r="FT46" s="72">
        <f t="shared" si="206"/>
        <v>0</v>
      </c>
      <c r="FU46" s="64"/>
      <c r="FV46" s="73"/>
      <c r="FW46" s="72">
        <f t="shared" si="207"/>
        <v>0</v>
      </c>
      <c r="FX46" s="64"/>
      <c r="FY46" s="73"/>
      <c r="FZ46" s="72">
        <f t="shared" si="208"/>
        <v>0</v>
      </c>
      <c r="GA46" s="64"/>
      <c r="GB46" s="73"/>
      <c r="GC46" s="72">
        <f t="shared" si="306"/>
        <v>0</v>
      </c>
      <c r="GD46" s="64"/>
      <c r="GE46" s="73"/>
      <c r="GF46" s="72">
        <f t="shared" si="307"/>
        <v>0</v>
      </c>
      <c r="GG46" s="64"/>
      <c r="GH46" s="73"/>
      <c r="GI46" s="72">
        <f t="shared" si="209"/>
        <v>0</v>
      </c>
      <c r="GJ46" s="64"/>
      <c r="GK46" s="73"/>
      <c r="GL46" s="72">
        <f t="shared" si="210"/>
        <v>0</v>
      </c>
      <c r="GM46" s="64"/>
      <c r="GN46" s="73"/>
      <c r="GO46" s="72">
        <f t="shared" si="211"/>
        <v>0</v>
      </c>
      <c r="GP46" s="64"/>
      <c r="GQ46" s="73"/>
      <c r="GR46" s="72">
        <f t="shared" si="308"/>
        <v>0</v>
      </c>
      <c r="GS46" s="64"/>
      <c r="GT46" s="73"/>
      <c r="GU46" s="72">
        <f t="shared" si="309"/>
        <v>0</v>
      </c>
      <c r="GV46" s="64"/>
      <c r="GW46" s="73"/>
      <c r="GX46" s="72">
        <f t="shared" si="212"/>
        <v>0</v>
      </c>
      <c r="GY46" s="64"/>
      <c r="GZ46" s="73"/>
      <c r="HA46" s="72">
        <f t="shared" si="213"/>
        <v>0</v>
      </c>
      <c r="HB46" s="64"/>
      <c r="HC46" s="73"/>
      <c r="HD46" s="72">
        <f t="shared" si="214"/>
        <v>0</v>
      </c>
      <c r="HE46" s="64"/>
      <c r="HF46" s="73"/>
      <c r="HG46" s="72">
        <f t="shared" si="310"/>
        <v>0</v>
      </c>
      <c r="HH46" s="64"/>
      <c r="HI46" s="73"/>
      <c r="HJ46" s="72">
        <f t="shared" si="311"/>
        <v>0</v>
      </c>
      <c r="HK46" s="64"/>
      <c r="HL46" s="73"/>
      <c r="HM46" s="72">
        <f t="shared" si="215"/>
        <v>0</v>
      </c>
      <c r="HN46" s="64"/>
      <c r="HO46" s="73"/>
      <c r="HP46" s="72">
        <f t="shared" si="216"/>
        <v>0</v>
      </c>
      <c r="HQ46" s="64"/>
      <c r="HR46" s="73"/>
      <c r="HS46" s="72">
        <f t="shared" si="217"/>
        <v>0</v>
      </c>
      <c r="HT46" s="64"/>
      <c r="HU46" s="73"/>
      <c r="HV46" s="72">
        <f t="shared" si="312"/>
        <v>0</v>
      </c>
      <c r="HW46" s="64"/>
      <c r="HX46" s="73"/>
      <c r="HY46" s="72">
        <f t="shared" si="313"/>
        <v>0</v>
      </c>
      <c r="HZ46" s="64"/>
      <c r="IA46" s="73"/>
      <c r="IB46" s="72">
        <f t="shared" si="218"/>
        <v>0</v>
      </c>
      <c r="IC46" s="64"/>
      <c r="ID46" s="73"/>
      <c r="IE46" s="72">
        <f t="shared" si="219"/>
        <v>0</v>
      </c>
      <c r="IF46" s="64"/>
      <c r="IG46" s="73"/>
      <c r="IH46" s="72">
        <f t="shared" si="220"/>
        <v>0</v>
      </c>
      <c r="II46" s="64"/>
      <c r="IJ46" s="73"/>
      <c r="IK46" s="72">
        <f t="shared" si="314"/>
        <v>0</v>
      </c>
      <c r="IL46" s="64"/>
      <c r="IM46" s="73"/>
      <c r="IN46" s="72">
        <f t="shared" si="315"/>
        <v>0</v>
      </c>
      <c r="IO46" s="64"/>
      <c r="IP46" s="73"/>
      <c r="IQ46" s="72">
        <f t="shared" si="221"/>
        <v>0</v>
      </c>
      <c r="IR46" s="64"/>
      <c r="IS46" s="73"/>
      <c r="IT46" s="72">
        <f t="shared" si="222"/>
        <v>0</v>
      </c>
      <c r="IU46" s="64"/>
      <c r="IV46" s="73"/>
      <c r="IW46" s="72">
        <f t="shared" si="223"/>
        <v>0</v>
      </c>
      <c r="IX46" s="64"/>
      <c r="IY46" s="73"/>
      <c r="IZ46" s="72">
        <f t="shared" si="316"/>
        <v>0</v>
      </c>
      <c r="JA46" s="64"/>
      <c r="JB46" s="73"/>
      <c r="JC46" s="72">
        <f t="shared" si="317"/>
        <v>0</v>
      </c>
      <c r="JD46" s="64"/>
      <c r="JE46" s="73"/>
      <c r="JF46" s="72">
        <f t="shared" si="224"/>
        <v>0</v>
      </c>
      <c r="JG46" s="64"/>
      <c r="JH46" s="73"/>
      <c r="JI46" s="72">
        <f t="shared" si="225"/>
        <v>0</v>
      </c>
      <c r="JJ46" s="64"/>
      <c r="JK46" s="73"/>
      <c r="JL46" s="72">
        <f t="shared" si="226"/>
        <v>0</v>
      </c>
      <c r="JM46" s="64"/>
      <c r="JN46" s="73"/>
      <c r="JO46" s="72">
        <f t="shared" si="318"/>
        <v>0</v>
      </c>
      <c r="JP46" s="64"/>
      <c r="JQ46" s="73"/>
      <c r="JR46" s="72">
        <f t="shared" si="319"/>
        <v>0</v>
      </c>
      <c r="JS46" s="64"/>
      <c r="JT46" s="73"/>
      <c r="JU46" s="72">
        <f t="shared" si="227"/>
        <v>0</v>
      </c>
      <c r="JV46" s="64"/>
      <c r="JW46" s="73"/>
      <c r="JX46" s="72">
        <f t="shared" si="228"/>
        <v>0</v>
      </c>
      <c r="JY46" s="64"/>
      <c r="JZ46" s="73"/>
      <c r="KA46" s="72">
        <f t="shared" si="229"/>
        <v>0</v>
      </c>
      <c r="KB46" s="64"/>
      <c r="KC46" s="73"/>
      <c r="KD46" s="72">
        <f t="shared" si="320"/>
        <v>0</v>
      </c>
      <c r="KE46" s="64"/>
      <c r="KF46" s="73"/>
      <c r="KG46" s="72">
        <f t="shared" si="321"/>
        <v>0</v>
      </c>
      <c r="KH46" s="64"/>
      <c r="KI46" s="73"/>
      <c r="KJ46" s="72">
        <f t="shared" si="230"/>
        <v>0</v>
      </c>
      <c r="KK46" s="64"/>
      <c r="KL46" s="73"/>
      <c r="KM46" s="72">
        <f t="shared" si="231"/>
        <v>0</v>
      </c>
      <c r="KN46" s="64"/>
      <c r="KO46" s="73"/>
      <c r="KP46" s="72">
        <f t="shared" si="232"/>
        <v>0</v>
      </c>
      <c r="KQ46" s="64"/>
      <c r="KR46" s="73"/>
      <c r="KS46" s="72">
        <f t="shared" si="322"/>
        <v>0</v>
      </c>
      <c r="KT46" s="64"/>
      <c r="KU46" s="73"/>
      <c r="KV46" s="72">
        <f t="shared" si="323"/>
        <v>0</v>
      </c>
      <c r="KW46" s="64"/>
      <c r="KX46" s="73"/>
      <c r="KY46" s="72">
        <f t="shared" si="233"/>
        <v>0</v>
      </c>
      <c r="KZ46" s="64"/>
      <c r="LA46" s="73"/>
      <c r="LB46" s="72">
        <f t="shared" si="234"/>
        <v>0</v>
      </c>
      <c r="LC46" s="64"/>
      <c r="LD46" s="73"/>
      <c r="LE46" s="72">
        <f t="shared" si="235"/>
        <v>0</v>
      </c>
      <c r="LF46" s="64"/>
    </row>
    <row r="47" spans="1:318" s="784" customFormat="1">
      <c r="A47" s="49"/>
      <c r="B47" s="49"/>
      <c r="C47" s="437" t="str">
        <f>Idiomas!D343</f>
        <v>Balón de Bronce (3º mejor jugador)</v>
      </c>
      <c r="D47" s="62">
        <v>10</v>
      </c>
      <c r="E47" s="109"/>
      <c r="F47" s="443">
        <f t="shared" si="236"/>
        <v>15</v>
      </c>
      <c r="G47" s="443">
        <f ca="1">VLOOKUP(H47,Equipos!$Q$1:$R$25,2,0)</f>
        <v>12</v>
      </c>
      <c r="H47" s="444">
        <f ca="1">TRUNC(INDEX(WORLDCUP!$X$4:$X$147,MATCH(ADMIN!K47,WORLDCUP!$DT$4:$DT$147,0))+INDEX(Horarios!$R$3:$R$86,MATCH(Horarios!$C$3,Horarios!$P$3:$P$86,0))/24)</f>
        <v>46195</v>
      </c>
      <c r="I47" s="48">
        <v>1</v>
      </c>
      <c r="J47" s="93"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276"/>
        <v>0</v>
      </c>
      <c r="R47" s="49"/>
      <c r="S47" s="796" t="s">
        <v>1955</v>
      </c>
      <c r="T47" s="72">
        <f t="shared" si="285"/>
        <v>0</v>
      </c>
      <c r="U47" s="64"/>
      <c r="V47" s="73" t="s">
        <v>1961</v>
      </c>
      <c r="W47" s="72">
        <f t="shared" si="286"/>
        <v>0</v>
      </c>
      <c r="X47" s="64"/>
      <c r="Y47" s="796" t="s">
        <v>2007</v>
      </c>
      <c r="Z47" s="72">
        <f t="shared" si="176"/>
        <v>0</v>
      </c>
      <c r="AA47" s="64"/>
      <c r="AB47" s="796" t="s">
        <v>2007</v>
      </c>
      <c r="AC47" s="72">
        <f t="shared" si="177"/>
        <v>0</v>
      </c>
      <c r="AD47" s="64"/>
      <c r="AE47" s="796" t="s">
        <v>1948</v>
      </c>
      <c r="AF47" s="72">
        <f t="shared" si="287"/>
        <v>0</v>
      </c>
      <c r="AG47" s="64"/>
      <c r="AH47" s="796" t="s">
        <v>1960</v>
      </c>
      <c r="AI47" s="72">
        <f t="shared" si="288"/>
        <v>0</v>
      </c>
      <c r="AJ47" s="64"/>
      <c r="AK47" s="806" t="s">
        <v>1961</v>
      </c>
      <c r="AL47" s="72">
        <f t="shared" si="289"/>
        <v>0</v>
      </c>
      <c r="AM47" s="64"/>
      <c r="AN47" s="796" t="s">
        <v>1955</v>
      </c>
      <c r="AO47" s="72">
        <f t="shared" si="179"/>
        <v>0</v>
      </c>
      <c r="AP47" s="64"/>
      <c r="AQ47" s="806" t="s">
        <v>1955</v>
      </c>
      <c r="AR47" s="72">
        <f t="shared" si="180"/>
        <v>0</v>
      </c>
      <c r="AS47" s="64"/>
      <c r="AT47" s="796" t="s">
        <v>2007</v>
      </c>
      <c r="AU47" s="72">
        <f t="shared" si="181"/>
        <v>0</v>
      </c>
      <c r="AV47" s="64"/>
      <c r="AW47" s="796" t="s">
        <v>1955</v>
      </c>
      <c r="AX47" s="72">
        <f t="shared" si="290"/>
        <v>0</v>
      </c>
      <c r="AY47" s="64"/>
      <c r="AZ47" s="796" t="s">
        <v>2194</v>
      </c>
      <c r="BA47" s="72">
        <f t="shared" si="291"/>
        <v>0</v>
      </c>
      <c r="BB47" s="64"/>
      <c r="BC47" s="796" t="s">
        <v>1961</v>
      </c>
      <c r="BD47" s="72">
        <f t="shared" si="182"/>
        <v>0</v>
      </c>
      <c r="BE47" s="64"/>
      <c r="BF47" s="796" t="s">
        <v>2007</v>
      </c>
      <c r="BG47" s="72">
        <f t="shared" si="183"/>
        <v>0</v>
      </c>
      <c r="BH47" s="64"/>
      <c r="BI47" s="796" t="s">
        <v>1961</v>
      </c>
      <c r="BJ47" s="72">
        <f t="shared" si="184"/>
        <v>0</v>
      </c>
      <c r="BK47" s="64"/>
      <c r="BL47" s="796" t="s">
        <v>1955</v>
      </c>
      <c r="BM47" s="72">
        <f t="shared" si="292"/>
        <v>0</v>
      </c>
      <c r="BN47" s="64"/>
      <c r="BO47" s="816" t="s">
        <v>2007</v>
      </c>
      <c r="BP47" s="72">
        <f t="shared" si="293"/>
        <v>0</v>
      </c>
      <c r="BQ47" s="64"/>
      <c r="BR47" s="796" t="s">
        <v>1960</v>
      </c>
      <c r="BS47" s="72">
        <f t="shared" si="185"/>
        <v>0</v>
      </c>
      <c r="BT47" s="64"/>
      <c r="BU47" s="796" t="s">
        <v>1948</v>
      </c>
      <c r="BV47" s="72">
        <f t="shared" si="186"/>
        <v>0</v>
      </c>
      <c r="BW47" s="64"/>
      <c r="BX47" s="73" t="s">
        <v>1955</v>
      </c>
      <c r="BY47" s="72">
        <f t="shared" si="187"/>
        <v>0</v>
      </c>
      <c r="BZ47" s="64"/>
      <c r="CA47" s="816" t="s">
        <v>2007</v>
      </c>
      <c r="CB47" s="72">
        <f t="shared" si="294"/>
        <v>0</v>
      </c>
      <c r="CC47" s="64"/>
      <c r="CD47" s="825" t="s">
        <v>1957</v>
      </c>
      <c r="CE47" s="72">
        <f t="shared" si="295"/>
        <v>0</v>
      </c>
      <c r="CF47" s="64"/>
      <c r="CG47" s="796" t="s">
        <v>1954</v>
      </c>
      <c r="CH47" s="72">
        <f t="shared" si="188"/>
        <v>0</v>
      </c>
      <c r="CI47" s="64"/>
      <c r="CJ47" s="796" t="s">
        <v>1955</v>
      </c>
      <c r="CK47" s="72">
        <f t="shared" si="189"/>
        <v>0</v>
      </c>
      <c r="CL47" s="64"/>
      <c r="CM47" s="796" t="s">
        <v>1955</v>
      </c>
      <c r="CN47" s="72">
        <f t="shared" si="190"/>
        <v>0</v>
      </c>
      <c r="CO47" s="64"/>
      <c r="CP47" s="796" t="s">
        <v>1954</v>
      </c>
      <c r="CQ47" s="72">
        <f t="shared" si="296"/>
        <v>0</v>
      </c>
      <c r="CR47" s="64"/>
      <c r="CS47" s="796" t="s">
        <v>1961</v>
      </c>
      <c r="CT47" s="72">
        <f t="shared" si="297"/>
        <v>0</v>
      </c>
      <c r="CU47" s="64"/>
      <c r="CV47" s="796" t="s">
        <v>1954</v>
      </c>
      <c r="CW47" s="72">
        <f t="shared" si="191"/>
        <v>0</v>
      </c>
      <c r="CX47" s="64"/>
      <c r="CY47" s="796" t="s">
        <v>1961</v>
      </c>
      <c r="CZ47" s="72">
        <f t="shared" si="250"/>
        <v>0</v>
      </c>
      <c r="DA47" s="64"/>
      <c r="DB47" s="796" t="s">
        <v>1950</v>
      </c>
      <c r="DC47" s="72">
        <f t="shared" si="192"/>
        <v>0</v>
      </c>
      <c r="DD47" s="64"/>
      <c r="DE47" s="796" t="s">
        <v>1954</v>
      </c>
      <c r="DF47" s="72">
        <f t="shared" si="281"/>
        <v>0</v>
      </c>
      <c r="DG47" s="64"/>
      <c r="DH47" s="796" t="s">
        <v>1961</v>
      </c>
      <c r="DI47" s="72">
        <f t="shared" si="282"/>
        <v>0</v>
      </c>
      <c r="DJ47" s="64"/>
      <c r="DK47" s="796" t="s">
        <v>2007</v>
      </c>
      <c r="DL47" s="72">
        <f t="shared" si="283"/>
        <v>0</v>
      </c>
      <c r="DM47" s="64"/>
      <c r="DN47" s="73"/>
      <c r="DO47" s="72">
        <f t="shared" si="196"/>
        <v>0</v>
      </c>
      <c r="DP47" s="64"/>
      <c r="DQ47" s="796" t="s">
        <v>2007</v>
      </c>
      <c r="DR47" s="72">
        <f t="shared" si="251"/>
        <v>0</v>
      </c>
      <c r="DS47" s="64"/>
      <c r="DT47" s="73" t="s">
        <v>2007</v>
      </c>
      <c r="DU47" s="72">
        <f t="shared" si="298"/>
        <v>0</v>
      </c>
      <c r="DV47" s="64"/>
      <c r="DW47" s="73"/>
      <c r="DX47" s="72">
        <f t="shared" si="299"/>
        <v>0</v>
      </c>
      <c r="DY47" s="64"/>
      <c r="DZ47" s="73"/>
      <c r="EA47" s="72">
        <f t="shared" si="284"/>
        <v>0</v>
      </c>
      <c r="EB47" s="64"/>
      <c r="EC47" s="73"/>
      <c r="ED47" s="72">
        <f t="shared" si="198"/>
        <v>0</v>
      </c>
      <c r="EE47" s="64"/>
      <c r="EF47" s="73"/>
      <c r="EG47" s="72">
        <f t="shared" si="199"/>
        <v>0</v>
      </c>
      <c r="EH47" s="64"/>
      <c r="EI47" s="73"/>
      <c r="EJ47" s="72">
        <f t="shared" si="300"/>
        <v>0</v>
      </c>
      <c r="EK47" s="64"/>
      <c r="EL47" s="73"/>
      <c r="EM47" s="72">
        <f t="shared" si="301"/>
        <v>0</v>
      </c>
      <c r="EN47" s="64"/>
      <c r="EO47" s="73"/>
      <c r="EP47" s="72">
        <f t="shared" si="200"/>
        <v>0</v>
      </c>
      <c r="EQ47" s="64"/>
      <c r="ER47" s="73"/>
      <c r="ES47" s="72">
        <f t="shared" si="201"/>
        <v>0</v>
      </c>
      <c r="ET47" s="64"/>
      <c r="EU47" s="73"/>
      <c r="EV47" s="72">
        <f t="shared" si="202"/>
        <v>0</v>
      </c>
      <c r="EW47" s="64"/>
      <c r="EX47" s="73"/>
      <c r="EY47" s="72">
        <f t="shared" si="302"/>
        <v>0</v>
      </c>
      <c r="EZ47" s="64"/>
      <c r="FA47" s="73"/>
      <c r="FB47" s="72">
        <f t="shared" si="303"/>
        <v>0</v>
      </c>
      <c r="FC47" s="64"/>
      <c r="FD47" s="73"/>
      <c r="FE47" s="72">
        <f t="shared" si="203"/>
        <v>0</v>
      </c>
      <c r="FF47" s="64"/>
      <c r="FG47" s="73"/>
      <c r="FH47" s="72">
        <f t="shared" si="204"/>
        <v>0</v>
      </c>
      <c r="FI47" s="64"/>
      <c r="FJ47" s="73"/>
      <c r="FK47" s="72">
        <f t="shared" si="205"/>
        <v>0</v>
      </c>
      <c r="FL47" s="64"/>
      <c r="FM47" s="73"/>
      <c r="FN47" s="72">
        <f t="shared" si="304"/>
        <v>0</v>
      </c>
      <c r="FO47" s="64"/>
      <c r="FP47" s="73"/>
      <c r="FQ47" s="72">
        <f t="shared" si="305"/>
        <v>0</v>
      </c>
      <c r="FR47" s="64"/>
      <c r="FS47" s="73"/>
      <c r="FT47" s="72">
        <f t="shared" si="206"/>
        <v>0</v>
      </c>
      <c r="FU47" s="64"/>
      <c r="FV47" s="73"/>
      <c r="FW47" s="72">
        <f t="shared" si="207"/>
        <v>0</v>
      </c>
      <c r="FX47" s="64"/>
      <c r="FY47" s="73"/>
      <c r="FZ47" s="72">
        <f t="shared" si="208"/>
        <v>0</v>
      </c>
      <c r="GA47" s="64"/>
      <c r="GB47" s="73"/>
      <c r="GC47" s="72">
        <f t="shared" si="306"/>
        <v>0</v>
      </c>
      <c r="GD47" s="64"/>
      <c r="GE47" s="73"/>
      <c r="GF47" s="72">
        <f t="shared" si="307"/>
        <v>0</v>
      </c>
      <c r="GG47" s="64"/>
      <c r="GH47" s="73"/>
      <c r="GI47" s="72">
        <f t="shared" si="209"/>
        <v>0</v>
      </c>
      <c r="GJ47" s="64"/>
      <c r="GK47" s="73"/>
      <c r="GL47" s="72">
        <f t="shared" si="210"/>
        <v>0</v>
      </c>
      <c r="GM47" s="64"/>
      <c r="GN47" s="73"/>
      <c r="GO47" s="72">
        <f t="shared" si="211"/>
        <v>0</v>
      </c>
      <c r="GP47" s="64"/>
      <c r="GQ47" s="73"/>
      <c r="GR47" s="72">
        <f t="shared" si="308"/>
        <v>0</v>
      </c>
      <c r="GS47" s="64"/>
      <c r="GT47" s="73"/>
      <c r="GU47" s="72">
        <f t="shared" si="309"/>
        <v>0</v>
      </c>
      <c r="GV47" s="64"/>
      <c r="GW47" s="73"/>
      <c r="GX47" s="72">
        <f t="shared" si="212"/>
        <v>0</v>
      </c>
      <c r="GY47" s="64"/>
      <c r="GZ47" s="73"/>
      <c r="HA47" s="72">
        <f t="shared" si="213"/>
        <v>0</v>
      </c>
      <c r="HB47" s="64"/>
      <c r="HC47" s="73"/>
      <c r="HD47" s="72">
        <f t="shared" si="214"/>
        <v>0</v>
      </c>
      <c r="HE47" s="64"/>
      <c r="HF47" s="73"/>
      <c r="HG47" s="72">
        <f t="shared" si="310"/>
        <v>0</v>
      </c>
      <c r="HH47" s="64"/>
      <c r="HI47" s="73"/>
      <c r="HJ47" s="72">
        <f t="shared" si="311"/>
        <v>0</v>
      </c>
      <c r="HK47" s="64"/>
      <c r="HL47" s="73"/>
      <c r="HM47" s="72">
        <f t="shared" si="215"/>
        <v>0</v>
      </c>
      <c r="HN47" s="64"/>
      <c r="HO47" s="73"/>
      <c r="HP47" s="72">
        <f t="shared" si="216"/>
        <v>0</v>
      </c>
      <c r="HQ47" s="64"/>
      <c r="HR47" s="73"/>
      <c r="HS47" s="72">
        <f t="shared" si="217"/>
        <v>0</v>
      </c>
      <c r="HT47" s="64"/>
      <c r="HU47" s="73"/>
      <c r="HV47" s="72">
        <f t="shared" si="312"/>
        <v>0</v>
      </c>
      <c r="HW47" s="64"/>
      <c r="HX47" s="73"/>
      <c r="HY47" s="72">
        <f t="shared" si="313"/>
        <v>0</v>
      </c>
      <c r="HZ47" s="64"/>
      <c r="IA47" s="73"/>
      <c r="IB47" s="72">
        <f t="shared" si="218"/>
        <v>0</v>
      </c>
      <c r="IC47" s="64"/>
      <c r="ID47" s="73"/>
      <c r="IE47" s="72">
        <f t="shared" si="219"/>
        <v>0</v>
      </c>
      <c r="IF47" s="64"/>
      <c r="IG47" s="73"/>
      <c r="IH47" s="72">
        <f t="shared" si="220"/>
        <v>0</v>
      </c>
      <c r="II47" s="64"/>
      <c r="IJ47" s="73"/>
      <c r="IK47" s="72">
        <f t="shared" si="314"/>
        <v>0</v>
      </c>
      <c r="IL47" s="64"/>
      <c r="IM47" s="73"/>
      <c r="IN47" s="72">
        <f t="shared" si="315"/>
        <v>0</v>
      </c>
      <c r="IO47" s="64"/>
      <c r="IP47" s="73"/>
      <c r="IQ47" s="72">
        <f t="shared" si="221"/>
        <v>0</v>
      </c>
      <c r="IR47" s="64"/>
      <c r="IS47" s="73"/>
      <c r="IT47" s="72">
        <f t="shared" si="222"/>
        <v>0</v>
      </c>
      <c r="IU47" s="64"/>
      <c r="IV47" s="73"/>
      <c r="IW47" s="72">
        <f t="shared" si="223"/>
        <v>0</v>
      </c>
      <c r="IX47" s="64"/>
      <c r="IY47" s="73"/>
      <c r="IZ47" s="72">
        <f t="shared" si="316"/>
        <v>0</v>
      </c>
      <c r="JA47" s="64"/>
      <c r="JB47" s="73"/>
      <c r="JC47" s="72">
        <f t="shared" si="317"/>
        <v>0</v>
      </c>
      <c r="JD47" s="64"/>
      <c r="JE47" s="73"/>
      <c r="JF47" s="72">
        <f t="shared" si="224"/>
        <v>0</v>
      </c>
      <c r="JG47" s="64"/>
      <c r="JH47" s="73"/>
      <c r="JI47" s="72">
        <f t="shared" si="225"/>
        <v>0</v>
      </c>
      <c r="JJ47" s="64"/>
      <c r="JK47" s="73"/>
      <c r="JL47" s="72">
        <f t="shared" si="226"/>
        <v>0</v>
      </c>
      <c r="JM47" s="64"/>
      <c r="JN47" s="73"/>
      <c r="JO47" s="72">
        <f t="shared" si="318"/>
        <v>0</v>
      </c>
      <c r="JP47" s="64"/>
      <c r="JQ47" s="73"/>
      <c r="JR47" s="72">
        <f t="shared" si="319"/>
        <v>0</v>
      </c>
      <c r="JS47" s="64"/>
      <c r="JT47" s="73"/>
      <c r="JU47" s="72">
        <f t="shared" si="227"/>
        <v>0</v>
      </c>
      <c r="JV47" s="64"/>
      <c r="JW47" s="73"/>
      <c r="JX47" s="72">
        <f t="shared" si="228"/>
        <v>0</v>
      </c>
      <c r="JY47" s="64"/>
      <c r="JZ47" s="73"/>
      <c r="KA47" s="72">
        <f t="shared" si="229"/>
        <v>0</v>
      </c>
      <c r="KB47" s="64"/>
      <c r="KC47" s="73"/>
      <c r="KD47" s="72">
        <f t="shared" si="320"/>
        <v>0</v>
      </c>
      <c r="KE47" s="64"/>
      <c r="KF47" s="73"/>
      <c r="KG47" s="72">
        <f t="shared" si="321"/>
        <v>0</v>
      </c>
      <c r="KH47" s="64"/>
      <c r="KI47" s="73"/>
      <c r="KJ47" s="72">
        <f t="shared" si="230"/>
        <v>0</v>
      </c>
      <c r="KK47" s="64"/>
      <c r="KL47" s="73"/>
      <c r="KM47" s="72">
        <f t="shared" si="231"/>
        <v>0</v>
      </c>
      <c r="KN47" s="64"/>
      <c r="KO47" s="73"/>
      <c r="KP47" s="72">
        <f t="shared" si="232"/>
        <v>0</v>
      </c>
      <c r="KQ47" s="64"/>
      <c r="KR47" s="73"/>
      <c r="KS47" s="72">
        <f t="shared" si="322"/>
        <v>0</v>
      </c>
      <c r="KT47" s="64"/>
      <c r="KU47" s="73"/>
      <c r="KV47" s="72">
        <f t="shared" si="323"/>
        <v>0</v>
      </c>
      <c r="KW47" s="64"/>
      <c r="KX47" s="73"/>
      <c r="KY47" s="72">
        <f t="shared" si="233"/>
        <v>0</v>
      </c>
      <c r="KZ47" s="64"/>
      <c r="LA47" s="73"/>
      <c r="LB47" s="72">
        <f t="shared" si="234"/>
        <v>0</v>
      </c>
      <c r="LC47" s="64"/>
      <c r="LD47" s="73"/>
      <c r="LE47" s="72">
        <f t="shared" si="235"/>
        <v>0</v>
      </c>
      <c r="LF47" s="64"/>
    </row>
    <row r="48" spans="1:318" s="784" customFormat="1">
      <c r="A48" s="49"/>
      <c r="B48" s="49"/>
      <c r="C48" s="17"/>
      <c r="D48" s="17"/>
      <c r="E48" s="88"/>
      <c r="F48" s="443">
        <f t="shared" si="236"/>
        <v>15</v>
      </c>
      <c r="G48" s="443">
        <f ca="1">VLOOKUP(H48,Equipos!$Q$1:$R$25,2,0)</f>
        <v>12</v>
      </c>
      <c r="H48" s="444">
        <f ca="1">TRUNC(INDEX(WORLDCUP!$X$4:$X$147,MATCH(ADMIN!K48,WORLDCUP!$DT$4:$DT$147,0))+INDEX(Horarios!$R$3:$R$86,MATCH(Horarios!$C$3,Horarios!$P$3:$P$86,0))/24)</f>
        <v>46195</v>
      </c>
      <c r="I48" s="48">
        <v>1</v>
      </c>
      <c r="J48" s="94"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276"/>
        <v>0</v>
      </c>
      <c r="R48" s="49"/>
      <c r="S48" s="796" t="s">
        <v>1948</v>
      </c>
      <c r="T48" s="72">
        <f t="shared" si="285"/>
        <v>0</v>
      </c>
      <c r="U48" s="64"/>
      <c r="V48" s="73" t="s">
        <v>1955</v>
      </c>
      <c r="W48" s="72">
        <f t="shared" si="286"/>
        <v>0</v>
      </c>
      <c r="X48" s="64"/>
      <c r="Y48" s="796" t="s">
        <v>1956</v>
      </c>
      <c r="Z48" s="72">
        <f t="shared" si="176"/>
        <v>0</v>
      </c>
      <c r="AA48" s="64"/>
      <c r="AB48" s="796" t="s">
        <v>1955</v>
      </c>
      <c r="AC48" s="72">
        <f t="shared" si="177"/>
        <v>0</v>
      </c>
      <c r="AD48" s="64"/>
      <c r="AE48" s="796" t="s">
        <v>1960</v>
      </c>
      <c r="AF48" s="72">
        <f t="shared" si="287"/>
        <v>0</v>
      </c>
      <c r="AG48" s="64"/>
      <c r="AH48" s="796" t="s">
        <v>1961</v>
      </c>
      <c r="AI48" s="72">
        <f t="shared" si="288"/>
        <v>0</v>
      </c>
      <c r="AJ48" s="64"/>
      <c r="AK48" s="806" t="s">
        <v>1960</v>
      </c>
      <c r="AL48" s="72">
        <f t="shared" si="289"/>
        <v>0</v>
      </c>
      <c r="AM48" s="64"/>
      <c r="AN48" s="796" t="s">
        <v>1955</v>
      </c>
      <c r="AO48" s="72">
        <f t="shared" si="179"/>
        <v>0</v>
      </c>
      <c r="AP48" s="64"/>
      <c r="AQ48" s="806" t="s">
        <v>1955</v>
      </c>
      <c r="AR48" s="72">
        <f t="shared" si="180"/>
        <v>0</v>
      </c>
      <c r="AS48" s="64"/>
      <c r="AT48" s="796" t="s">
        <v>1955</v>
      </c>
      <c r="AU48" s="72">
        <f t="shared" si="181"/>
        <v>0</v>
      </c>
      <c r="AV48" s="64"/>
      <c r="AW48" s="796" t="s">
        <v>1955</v>
      </c>
      <c r="AX48" s="72">
        <f t="shared" si="290"/>
        <v>0</v>
      </c>
      <c r="AY48" s="64"/>
      <c r="AZ48" s="796" t="s">
        <v>1953</v>
      </c>
      <c r="BA48" s="72">
        <f t="shared" si="291"/>
        <v>0</v>
      </c>
      <c r="BB48" s="64"/>
      <c r="BC48" s="796" t="s">
        <v>1960</v>
      </c>
      <c r="BD48" s="72">
        <f t="shared" si="182"/>
        <v>0</v>
      </c>
      <c r="BE48" s="64"/>
      <c r="BF48" s="796" t="s">
        <v>1960</v>
      </c>
      <c r="BG48" s="72">
        <f t="shared" si="183"/>
        <v>0</v>
      </c>
      <c r="BH48" s="64"/>
      <c r="BI48" s="796" t="s">
        <v>1955</v>
      </c>
      <c r="BJ48" s="72">
        <f t="shared" si="184"/>
        <v>0</v>
      </c>
      <c r="BK48" s="64"/>
      <c r="BL48" s="796" t="s">
        <v>1958</v>
      </c>
      <c r="BM48" s="72">
        <f t="shared" si="292"/>
        <v>0</v>
      </c>
      <c r="BN48" s="64"/>
      <c r="BO48" s="816" t="s">
        <v>1955</v>
      </c>
      <c r="BP48" s="72">
        <f t="shared" si="293"/>
        <v>0</v>
      </c>
      <c r="BQ48" s="64"/>
      <c r="BR48" s="796" t="s">
        <v>1948</v>
      </c>
      <c r="BS48" s="72">
        <f t="shared" si="185"/>
        <v>0</v>
      </c>
      <c r="BT48" s="64"/>
      <c r="BU48" s="796" t="s">
        <v>1956</v>
      </c>
      <c r="BV48" s="72">
        <f t="shared" si="186"/>
        <v>0</v>
      </c>
      <c r="BW48" s="64"/>
      <c r="BX48" s="73" t="s">
        <v>1955</v>
      </c>
      <c r="BY48" s="72">
        <f t="shared" si="187"/>
        <v>0</v>
      </c>
      <c r="BZ48" s="64"/>
      <c r="CA48" s="816" t="s">
        <v>1955</v>
      </c>
      <c r="CB48" s="72">
        <f t="shared" si="294"/>
        <v>0</v>
      </c>
      <c r="CC48" s="64"/>
      <c r="CD48" s="825" t="s">
        <v>1956</v>
      </c>
      <c r="CE48" s="72">
        <f t="shared" si="295"/>
        <v>0</v>
      </c>
      <c r="CF48" s="64"/>
      <c r="CG48" s="796" t="s">
        <v>1954</v>
      </c>
      <c r="CH48" s="72">
        <f t="shared" si="188"/>
        <v>0</v>
      </c>
      <c r="CI48" s="64"/>
      <c r="CJ48" s="796" t="s">
        <v>1948</v>
      </c>
      <c r="CK48" s="72">
        <f t="shared" si="189"/>
        <v>0</v>
      </c>
      <c r="CL48" s="64"/>
      <c r="CM48" s="796" t="s">
        <v>1955</v>
      </c>
      <c r="CN48" s="72">
        <f t="shared" si="190"/>
        <v>0</v>
      </c>
      <c r="CO48" s="64"/>
      <c r="CP48" s="796" t="s">
        <v>1955</v>
      </c>
      <c r="CQ48" s="72">
        <f t="shared" si="296"/>
        <v>0</v>
      </c>
      <c r="CR48" s="64"/>
      <c r="CS48" s="796" t="s">
        <v>1960</v>
      </c>
      <c r="CT48" s="72">
        <f t="shared" si="297"/>
        <v>0</v>
      </c>
      <c r="CU48" s="64"/>
      <c r="CV48" s="796" t="s">
        <v>1948</v>
      </c>
      <c r="CW48" s="72">
        <f t="shared" si="191"/>
        <v>0</v>
      </c>
      <c r="CX48" s="64"/>
      <c r="CY48" s="796" t="s">
        <v>1948</v>
      </c>
      <c r="CZ48" s="72">
        <f t="shared" si="250"/>
        <v>0</v>
      </c>
      <c r="DA48" s="64"/>
      <c r="DB48" s="796" t="s">
        <v>1954</v>
      </c>
      <c r="DC48" s="72">
        <f t="shared" si="192"/>
        <v>0</v>
      </c>
      <c r="DD48" s="64"/>
      <c r="DE48" s="796" t="s">
        <v>1955</v>
      </c>
      <c r="DF48" s="72">
        <f t="shared" si="281"/>
        <v>0</v>
      </c>
      <c r="DG48" s="64"/>
      <c r="DH48" s="796" t="s">
        <v>1955</v>
      </c>
      <c r="DI48" s="72">
        <f t="shared" si="282"/>
        <v>0</v>
      </c>
      <c r="DJ48" s="64"/>
      <c r="DK48" s="796" t="s">
        <v>1960</v>
      </c>
      <c r="DL48" s="72">
        <f t="shared" si="283"/>
        <v>0</v>
      </c>
      <c r="DM48" s="64"/>
      <c r="DN48" s="73"/>
      <c r="DO48" s="72">
        <f t="shared" si="196"/>
        <v>0</v>
      </c>
      <c r="DP48" s="64"/>
      <c r="DQ48" s="796" t="s">
        <v>1955</v>
      </c>
      <c r="DR48" s="72">
        <f t="shared" si="251"/>
        <v>0</v>
      </c>
      <c r="DS48" s="64"/>
      <c r="DT48" s="73" t="s">
        <v>1948</v>
      </c>
      <c r="DU48" s="72">
        <f t="shared" si="298"/>
        <v>0</v>
      </c>
      <c r="DV48" s="64"/>
      <c r="DW48" s="73"/>
      <c r="DX48" s="72">
        <f t="shared" si="299"/>
        <v>0</v>
      </c>
      <c r="DY48" s="64"/>
      <c r="DZ48" s="73"/>
      <c r="EA48" s="72">
        <f t="shared" si="284"/>
        <v>0</v>
      </c>
      <c r="EB48" s="64"/>
      <c r="EC48" s="73"/>
      <c r="ED48" s="72">
        <f t="shared" si="198"/>
        <v>0</v>
      </c>
      <c r="EE48" s="64"/>
      <c r="EF48" s="73"/>
      <c r="EG48" s="72">
        <f t="shared" si="199"/>
        <v>0</v>
      </c>
      <c r="EH48" s="64"/>
      <c r="EI48" s="73"/>
      <c r="EJ48" s="72">
        <f t="shared" si="300"/>
        <v>0</v>
      </c>
      <c r="EK48" s="64"/>
      <c r="EL48" s="73"/>
      <c r="EM48" s="72">
        <f t="shared" si="301"/>
        <v>0</v>
      </c>
      <c r="EN48" s="64"/>
      <c r="EO48" s="73"/>
      <c r="EP48" s="72">
        <f t="shared" si="200"/>
        <v>0</v>
      </c>
      <c r="EQ48" s="64"/>
      <c r="ER48" s="73"/>
      <c r="ES48" s="72">
        <f t="shared" si="201"/>
        <v>0</v>
      </c>
      <c r="ET48" s="64"/>
      <c r="EU48" s="73"/>
      <c r="EV48" s="72">
        <f t="shared" si="202"/>
        <v>0</v>
      </c>
      <c r="EW48" s="64"/>
      <c r="EX48" s="73"/>
      <c r="EY48" s="72">
        <f t="shared" si="302"/>
        <v>0</v>
      </c>
      <c r="EZ48" s="64"/>
      <c r="FA48" s="73"/>
      <c r="FB48" s="72">
        <f t="shared" si="303"/>
        <v>0</v>
      </c>
      <c r="FC48" s="64"/>
      <c r="FD48" s="73"/>
      <c r="FE48" s="72">
        <f t="shared" si="203"/>
        <v>0</v>
      </c>
      <c r="FF48" s="64"/>
      <c r="FG48" s="73"/>
      <c r="FH48" s="72">
        <f t="shared" si="204"/>
        <v>0</v>
      </c>
      <c r="FI48" s="64"/>
      <c r="FJ48" s="73"/>
      <c r="FK48" s="72">
        <f t="shared" si="205"/>
        <v>0</v>
      </c>
      <c r="FL48" s="64"/>
      <c r="FM48" s="73"/>
      <c r="FN48" s="72">
        <f t="shared" si="304"/>
        <v>0</v>
      </c>
      <c r="FO48" s="64"/>
      <c r="FP48" s="73"/>
      <c r="FQ48" s="72">
        <f t="shared" si="305"/>
        <v>0</v>
      </c>
      <c r="FR48" s="64"/>
      <c r="FS48" s="73"/>
      <c r="FT48" s="72">
        <f t="shared" si="206"/>
        <v>0</v>
      </c>
      <c r="FU48" s="64"/>
      <c r="FV48" s="73"/>
      <c r="FW48" s="72">
        <f t="shared" si="207"/>
        <v>0</v>
      </c>
      <c r="FX48" s="64"/>
      <c r="FY48" s="73"/>
      <c r="FZ48" s="72">
        <f t="shared" si="208"/>
        <v>0</v>
      </c>
      <c r="GA48" s="64"/>
      <c r="GB48" s="73"/>
      <c r="GC48" s="72">
        <f t="shared" si="306"/>
        <v>0</v>
      </c>
      <c r="GD48" s="64"/>
      <c r="GE48" s="73"/>
      <c r="GF48" s="72">
        <f t="shared" si="307"/>
        <v>0</v>
      </c>
      <c r="GG48" s="64"/>
      <c r="GH48" s="73"/>
      <c r="GI48" s="72">
        <f t="shared" si="209"/>
        <v>0</v>
      </c>
      <c r="GJ48" s="64"/>
      <c r="GK48" s="73"/>
      <c r="GL48" s="72">
        <f t="shared" si="210"/>
        <v>0</v>
      </c>
      <c r="GM48" s="64"/>
      <c r="GN48" s="73"/>
      <c r="GO48" s="72">
        <f t="shared" si="211"/>
        <v>0</v>
      </c>
      <c r="GP48" s="64"/>
      <c r="GQ48" s="73"/>
      <c r="GR48" s="72">
        <f t="shared" si="308"/>
        <v>0</v>
      </c>
      <c r="GS48" s="64"/>
      <c r="GT48" s="73"/>
      <c r="GU48" s="72">
        <f t="shared" si="309"/>
        <v>0</v>
      </c>
      <c r="GV48" s="64"/>
      <c r="GW48" s="73"/>
      <c r="GX48" s="72">
        <f t="shared" si="212"/>
        <v>0</v>
      </c>
      <c r="GY48" s="64"/>
      <c r="GZ48" s="73"/>
      <c r="HA48" s="72">
        <f t="shared" si="213"/>
        <v>0</v>
      </c>
      <c r="HB48" s="64"/>
      <c r="HC48" s="73"/>
      <c r="HD48" s="72">
        <f t="shared" si="214"/>
        <v>0</v>
      </c>
      <c r="HE48" s="64"/>
      <c r="HF48" s="73"/>
      <c r="HG48" s="72">
        <f t="shared" si="310"/>
        <v>0</v>
      </c>
      <c r="HH48" s="64"/>
      <c r="HI48" s="73"/>
      <c r="HJ48" s="72">
        <f t="shared" si="311"/>
        <v>0</v>
      </c>
      <c r="HK48" s="64"/>
      <c r="HL48" s="73"/>
      <c r="HM48" s="72">
        <f t="shared" si="215"/>
        <v>0</v>
      </c>
      <c r="HN48" s="64"/>
      <c r="HO48" s="73"/>
      <c r="HP48" s="72">
        <f t="shared" si="216"/>
        <v>0</v>
      </c>
      <c r="HQ48" s="64"/>
      <c r="HR48" s="73"/>
      <c r="HS48" s="72">
        <f t="shared" si="217"/>
        <v>0</v>
      </c>
      <c r="HT48" s="64"/>
      <c r="HU48" s="73"/>
      <c r="HV48" s="72">
        <f t="shared" si="312"/>
        <v>0</v>
      </c>
      <c r="HW48" s="64"/>
      <c r="HX48" s="73"/>
      <c r="HY48" s="72">
        <f t="shared" si="313"/>
        <v>0</v>
      </c>
      <c r="HZ48" s="64"/>
      <c r="IA48" s="73"/>
      <c r="IB48" s="72">
        <f t="shared" si="218"/>
        <v>0</v>
      </c>
      <c r="IC48" s="64"/>
      <c r="ID48" s="73"/>
      <c r="IE48" s="72">
        <f t="shared" si="219"/>
        <v>0</v>
      </c>
      <c r="IF48" s="64"/>
      <c r="IG48" s="73"/>
      <c r="IH48" s="72">
        <f t="shared" si="220"/>
        <v>0</v>
      </c>
      <c r="II48" s="64"/>
      <c r="IJ48" s="73"/>
      <c r="IK48" s="72">
        <f t="shared" si="314"/>
        <v>0</v>
      </c>
      <c r="IL48" s="64"/>
      <c r="IM48" s="73"/>
      <c r="IN48" s="72">
        <f t="shared" si="315"/>
        <v>0</v>
      </c>
      <c r="IO48" s="64"/>
      <c r="IP48" s="73"/>
      <c r="IQ48" s="72">
        <f t="shared" si="221"/>
        <v>0</v>
      </c>
      <c r="IR48" s="64"/>
      <c r="IS48" s="73"/>
      <c r="IT48" s="72">
        <f t="shared" si="222"/>
        <v>0</v>
      </c>
      <c r="IU48" s="64"/>
      <c r="IV48" s="73"/>
      <c r="IW48" s="72">
        <f t="shared" si="223"/>
        <v>0</v>
      </c>
      <c r="IX48" s="64"/>
      <c r="IY48" s="73"/>
      <c r="IZ48" s="72">
        <f t="shared" si="316"/>
        <v>0</v>
      </c>
      <c r="JA48" s="64"/>
      <c r="JB48" s="73"/>
      <c r="JC48" s="72">
        <f t="shared" si="317"/>
        <v>0</v>
      </c>
      <c r="JD48" s="64"/>
      <c r="JE48" s="73"/>
      <c r="JF48" s="72">
        <f t="shared" si="224"/>
        <v>0</v>
      </c>
      <c r="JG48" s="64"/>
      <c r="JH48" s="73"/>
      <c r="JI48" s="72">
        <f t="shared" si="225"/>
        <v>0</v>
      </c>
      <c r="JJ48" s="64"/>
      <c r="JK48" s="73"/>
      <c r="JL48" s="72">
        <f t="shared" si="226"/>
        <v>0</v>
      </c>
      <c r="JM48" s="64"/>
      <c r="JN48" s="73"/>
      <c r="JO48" s="72">
        <f t="shared" si="318"/>
        <v>0</v>
      </c>
      <c r="JP48" s="64"/>
      <c r="JQ48" s="73"/>
      <c r="JR48" s="72">
        <f t="shared" si="319"/>
        <v>0</v>
      </c>
      <c r="JS48" s="64"/>
      <c r="JT48" s="73"/>
      <c r="JU48" s="72">
        <f t="shared" si="227"/>
        <v>0</v>
      </c>
      <c r="JV48" s="64"/>
      <c r="JW48" s="73"/>
      <c r="JX48" s="72">
        <f t="shared" si="228"/>
        <v>0</v>
      </c>
      <c r="JY48" s="64"/>
      <c r="JZ48" s="73"/>
      <c r="KA48" s="72">
        <f t="shared" si="229"/>
        <v>0</v>
      </c>
      <c r="KB48" s="64"/>
      <c r="KC48" s="73"/>
      <c r="KD48" s="72">
        <f t="shared" si="320"/>
        <v>0</v>
      </c>
      <c r="KE48" s="64"/>
      <c r="KF48" s="73"/>
      <c r="KG48" s="72">
        <f t="shared" si="321"/>
        <v>0</v>
      </c>
      <c r="KH48" s="64"/>
      <c r="KI48" s="73"/>
      <c r="KJ48" s="72">
        <f t="shared" si="230"/>
        <v>0</v>
      </c>
      <c r="KK48" s="64"/>
      <c r="KL48" s="73"/>
      <c r="KM48" s="72">
        <f t="shared" si="231"/>
        <v>0</v>
      </c>
      <c r="KN48" s="64"/>
      <c r="KO48" s="73"/>
      <c r="KP48" s="72">
        <f t="shared" si="232"/>
        <v>0</v>
      </c>
      <c r="KQ48" s="64"/>
      <c r="KR48" s="73"/>
      <c r="KS48" s="72">
        <f t="shared" si="322"/>
        <v>0</v>
      </c>
      <c r="KT48" s="64"/>
      <c r="KU48" s="73"/>
      <c r="KV48" s="72">
        <f t="shared" si="323"/>
        <v>0</v>
      </c>
      <c r="KW48" s="64"/>
      <c r="KX48" s="73"/>
      <c r="KY48" s="72">
        <f t="shared" si="233"/>
        <v>0</v>
      </c>
      <c r="KZ48" s="64"/>
      <c r="LA48" s="73"/>
      <c r="LB48" s="72">
        <f t="shared" si="234"/>
        <v>0</v>
      </c>
      <c r="LC48" s="64"/>
      <c r="LD48" s="73"/>
      <c r="LE48" s="72">
        <f t="shared" si="235"/>
        <v>0</v>
      </c>
      <c r="LF48" s="64"/>
    </row>
    <row r="49" spans="1:318" s="784" customFormat="1" ht="15" thickBot="1">
      <c r="A49" s="49"/>
      <c r="B49" s="434"/>
      <c r="C49" s="664" t="str">
        <f>"**"&amp;Idiomas!D441&amp;": -&gt;"</f>
        <v>**% Ajuste por desvío en Diferencia/Distancia de goles: -&gt;</v>
      </c>
      <c r="D49" s="665" t="s">
        <v>1927</v>
      </c>
      <c r="E49" s="88"/>
      <c r="F49" s="443">
        <f t="shared" si="236"/>
        <v>15</v>
      </c>
      <c r="G49" s="443">
        <f ca="1">VLOOKUP(H49,Equipos!$Q$1:$R$25,2,0)</f>
        <v>12</v>
      </c>
      <c r="H49" s="444">
        <f ca="1">TRUNC(INDEX(WORLDCUP!$X$4:$X$147,MATCH(ADMIN!K49,WORLDCUP!$DT$4:$DT$147,0))+INDEX(Horarios!$R$3:$R$86,MATCH(Horarios!$C$3,Horarios!$P$3:$P$86,0))/24)</f>
        <v>46195</v>
      </c>
      <c r="I49" s="48">
        <v>1</v>
      </c>
      <c r="J49" s="94"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276"/>
        <v>0</v>
      </c>
      <c r="R49" s="49"/>
      <c r="S49" s="796" t="s">
        <v>1962</v>
      </c>
      <c r="T49" s="72">
        <f t="shared" si="285"/>
        <v>0</v>
      </c>
      <c r="U49" s="64"/>
      <c r="V49" s="73" t="s">
        <v>1963</v>
      </c>
      <c r="W49" s="72">
        <f t="shared" si="286"/>
        <v>0</v>
      </c>
      <c r="X49" s="64"/>
      <c r="Y49" s="796" t="s">
        <v>1963</v>
      </c>
      <c r="Z49" s="72">
        <f t="shared" si="176"/>
        <v>0</v>
      </c>
      <c r="AA49" s="64"/>
      <c r="AB49" s="796" t="s">
        <v>1949</v>
      </c>
      <c r="AC49" s="72">
        <f t="shared" si="177"/>
        <v>0</v>
      </c>
      <c r="AD49" s="64"/>
      <c r="AE49" s="796" t="s">
        <v>1947</v>
      </c>
      <c r="AF49" s="72">
        <f t="shared" si="287"/>
        <v>0</v>
      </c>
      <c r="AG49" s="64"/>
      <c r="AH49" s="796" t="s">
        <v>1949</v>
      </c>
      <c r="AI49" s="72">
        <f t="shared" si="288"/>
        <v>0</v>
      </c>
      <c r="AJ49" s="64"/>
      <c r="AK49" s="806" t="s">
        <v>1949</v>
      </c>
      <c r="AL49" s="72">
        <f t="shared" si="289"/>
        <v>0</v>
      </c>
      <c r="AM49" s="64"/>
      <c r="AN49" s="796" t="s">
        <v>1950</v>
      </c>
      <c r="AO49" s="72">
        <f t="shared" si="179"/>
        <v>0</v>
      </c>
      <c r="AP49" s="64"/>
      <c r="AQ49" s="806" t="s">
        <v>1947</v>
      </c>
      <c r="AR49" s="72">
        <f t="shared" si="180"/>
        <v>0</v>
      </c>
      <c r="AS49" s="64"/>
      <c r="AT49" s="796" t="s">
        <v>1951</v>
      </c>
      <c r="AU49" s="72">
        <f t="shared" si="181"/>
        <v>0</v>
      </c>
      <c r="AV49" s="64"/>
      <c r="AW49" s="796" t="s">
        <v>1962</v>
      </c>
      <c r="AX49" s="72">
        <f t="shared" si="290"/>
        <v>0</v>
      </c>
      <c r="AY49" s="64"/>
      <c r="AZ49" s="796" t="s">
        <v>1958</v>
      </c>
      <c r="BA49" s="72">
        <f t="shared" si="291"/>
        <v>0</v>
      </c>
      <c r="BB49" s="64"/>
      <c r="BC49" s="796" t="s">
        <v>1961</v>
      </c>
      <c r="BD49" s="72">
        <f t="shared" si="182"/>
        <v>0</v>
      </c>
      <c r="BE49" s="64"/>
      <c r="BF49" s="796" t="s">
        <v>1949</v>
      </c>
      <c r="BG49" s="72">
        <f t="shared" si="183"/>
        <v>0</v>
      </c>
      <c r="BH49" s="64"/>
      <c r="BI49" s="796" t="s">
        <v>1947</v>
      </c>
      <c r="BJ49" s="72">
        <f t="shared" si="184"/>
        <v>0</v>
      </c>
      <c r="BK49" s="64"/>
      <c r="BL49" s="796" t="s">
        <v>1951</v>
      </c>
      <c r="BM49" s="72">
        <f t="shared" si="292"/>
        <v>0</v>
      </c>
      <c r="BN49" s="64"/>
      <c r="BO49" s="816" t="s">
        <v>1950</v>
      </c>
      <c r="BP49" s="72">
        <f t="shared" si="293"/>
        <v>0</v>
      </c>
      <c r="BQ49" s="64"/>
      <c r="BR49" s="796" t="s">
        <v>1962</v>
      </c>
      <c r="BS49" s="72">
        <f t="shared" si="185"/>
        <v>0</v>
      </c>
      <c r="BT49" s="64"/>
      <c r="BU49" s="796" t="s">
        <v>1950</v>
      </c>
      <c r="BV49" s="72">
        <f t="shared" si="186"/>
        <v>0</v>
      </c>
      <c r="BW49" s="64"/>
      <c r="BX49" s="73" t="s">
        <v>1962</v>
      </c>
      <c r="BY49" s="72">
        <f t="shared" si="187"/>
        <v>0</v>
      </c>
      <c r="BZ49" s="64"/>
      <c r="CA49" s="816" t="s">
        <v>1962</v>
      </c>
      <c r="CB49" s="72">
        <f t="shared" si="294"/>
        <v>0</v>
      </c>
      <c r="CC49" s="64"/>
      <c r="CD49" s="825" t="s">
        <v>1950</v>
      </c>
      <c r="CE49" s="72">
        <f t="shared" si="295"/>
        <v>0</v>
      </c>
      <c r="CF49" s="64"/>
      <c r="CG49" s="796" t="s">
        <v>1950</v>
      </c>
      <c r="CH49" s="72">
        <f t="shared" si="188"/>
        <v>0</v>
      </c>
      <c r="CI49" s="64"/>
      <c r="CJ49" s="796" t="s">
        <v>1947</v>
      </c>
      <c r="CK49" s="72">
        <f t="shared" si="189"/>
        <v>0</v>
      </c>
      <c r="CL49" s="64"/>
      <c r="CM49" s="796" t="s">
        <v>1963</v>
      </c>
      <c r="CN49" s="72">
        <f t="shared" si="190"/>
        <v>0</v>
      </c>
      <c r="CO49" s="64"/>
      <c r="CP49" s="796" t="s">
        <v>1959</v>
      </c>
      <c r="CQ49" s="72">
        <f t="shared" si="296"/>
        <v>0</v>
      </c>
      <c r="CR49" s="64"/>
      <c r="CS49" s="796" t="s">
        <v>1961</v>
      </c>
      <c r="CT49" s="72">
        <f t="shared" si="297"/>
        <v>0</v>
      </c>
      <c r="CU49" s="64"/>
      <c r="CV49" s="796" t="s">
        <v>1962</v>
      </c>
      <c r="CW49" s="72">
        <f t="shared" si="191"/>
        <v>0</v>
      </c>
      <c r="CX49" s="64"/>
      <c r="CY49" s="796" t="s">
        <v>1947</v>
      </c>
      <c r="CZ49" s="72">
        <f t="shared" si="250"/>
        <v>0</v>
      </c>
      <c r="DA49" s="64"/>
      <c r="DB49" s="796" t="s">
        <v>1950</v>
      </c>
      <c r="DC49" s="72">
        <f t="shared" si="192"/>
        <v>0</v>
      </c>
      <c r="DD49" s="64"/>
      <c r="DE49" s="796" t="s">
        <v>1962</v>
      </c>
      <c r="DF49" s="72">
        <f t="shared" si="281"/>
        <v>0</v>
      </c>
      <c r="DG49" s="64"/>
      <c r="DH49" s="796" t="s">
        <v>1947</v>
      </c>
      <c r="DI49" s="72">
        <f t="shared" si="282"/>
        <v>0</v>
      </c>
      <c r="DJ49" s="64"/>
      <c r="DK49" s="796" t="s">
        <v>1949</v>
      </c>
      <c r="DL49" s="72">
        <f t="shared" si="283"/>
        <v>0</v>
      </c>
      <c r="DM49" s="64"/>
      <c r="DN49" s="73"/>
      <c r="DO49" s="72">
        <f t="shared" si="196"/>
        <v>0</v>
      </c>
      <c r="DP49" s="64"/>
      <c r="DQ49" s="796" t="s">
        <v>1950</v>
      </c>
      <c r="DR49" s="72">
        <f t="shared" si="251"/>
        <v>0</v>
      </c>
      <c r="DS49" s="64"/>
      <c r="DT49" s="73" t="s">
        <v>1947</v>
      </c>
      <c r="DU49" s="72">
        <f t="shared" si="298"/>
        <v>0</v>
      </c>
      <c r="DV49" s="64"/>
      <c r="DW49" s="73"/>
      <c r="DX49" s="72">
        <f t="shared" si="299"/>
        <v>0</v>
      </c>
      <c r="DY49" s="64"/>
      <c r="DZ49" s="73"/>
      <c r="EA49" s="72">
        <f t="shared" si="284"/>
        <v>0</v>
      </c>
      <c r="EB49" s="64"/>
      <c r="EC49" s="73"/>
      <c r="ED49" s="72">
        <f t="shared" si="198"/>
        <v>0</v>
      </c>
      <c r="EE49" s="64"/>
      <c r="EF49" s="73"/>
      <c r="EG49" s="72">
        <f t="shared" si="199"/>
        <v>0</v>
      </c>
      <c r="EH49" s="64"/>
      <c r="EI49" s="73"/>
      <c r="EJ49" s="72">
        <f t="shared" si="300"/>
        <v>0</v>
      </c>
      <c r="EK49" s="64"/>
      <c r="EL49" s="73"/>
      <c r="EM49" s="72">
        <f t="shared" si="301"/>
        <v>0</v>
      </c>
      <c r="EN49" s="64"/>
      <c r="EO49" s="73"/>
      <c r="EP49" s="72">
        <f t="shared" si="200"/>
        <v>0</v>
      </c>
      <c r="EQ49" s="64"/>
      <c r="ER49" s="73"/>
      <c r="ES49" s="72">
        <f t="shared" si="201"/>
        <v>0</v>
      </c>
      <c r="ET49" s="64"/>
      <c r="EU49" s="73"/>
      <c r="EV49" s="72">
        <f t="shared" si="202"/>
        <v>0</v>
      </c>
      <c r="EW49" s="64"/>
      <c r="EX49" s="73"/>
      <c r="EY49" s="72">
        <f t="shared" si="302"/>
        <v>0</v>
      </c>
      <c r="EZ49" s="64"/>
      <c r="FA49" s="73"/>
      <c r="FB49" s="72">
        <f t="shared" si="303"/>
        <v>0</v>
      </c>
      <c r="FC49" s="64"/>
      <c r="FD49" s="73"/>
      <c r="FE49" s="72">
        <f t="shared" si="203"/>
        <v>0</v>
      </c>
      <c r="FF49" s="64"/>
      <c r="FG49" s="73"/>
      <c r="FH49" s="72">
        <f t="shared" si="204"/>
        <v>0</v>
      </c>
      <c r="FI49" s="64"/>
      <c r="FJ49" s="73"/>
      <c r="FK49" s="72">
        <f t="shared" si="205"/>
        <v>0</v>
      </c>
      <c r="FL49" s="64"/>
      <c r="FM49" s="73"/>
      <c r="FN49" s="72">
        <f t="shared" si="304"/>
        <v>0</v>
      </c>
      <c r="FO49" s="64"/>
      <c r="FP49" s="73"/>
      <c r="FQ49" s="72">
        <f t="shared" si="305"/>
        <v>0</v>
      </c>
      <c r="FR49" s="64"/>
      <c r="FS49" s="73"/>
      <c r="FT49" s="72">
        <f t="shared" si="206"/>
        <v>0</v>
      </c>
      <c r="FU49" s="64"/>
      <c r="FV49" s="73"/>
      <c r="FW49" s="72">
        <f t="shared" si="207"/>
        <v>0</v>
      </c>
      <c r="FX49" s="64"/>
      <c r="FY49" s="73"/>
      <c r="FZ49" s="72">
        <f t="shared" si="208"/>
        <v>0</v>
      </c>
      <c r="GA49" s="64"/>
      <c r="GB49" s="73"/>
      <c r="GC49" s="72">
        <f t="shared" si="306"/>
        <v>0</v>
      </c>
      <c r="GD49" s="64"/>
      <c r="GE49" s="73"/>
      <c r="GF49" s="72">
        <f t="shared" si="307"/>
        <v>0</v>
      </c>
      <c r="GG49" s="64"/>
      <c r="GH49" s="73"/>
      <c r="GI49" s="72">
        <f t="shared" si="209"/>
        <v>0</v>
      </c>
      <c r="GJ49" s="64"/>
      <c r="GK49" s="73"/>
      <c r="GL49" s="72">
        <f t="shared" si="210"/>
        <v>0</v>
      </c>
      <c r="GM49" s="64"/>
      <c r="GN49" s="73"/>
      <c r="GO49" s="72">
        <f t="shared" si="211"/>
        <v>0</v>
      </c>
      <c r="GP49" s="64"/>
      <c r="GQ49" s="73"/>
      <c r="GR49" s="72">
        <f t="shared" si="308"/>
        <v>0</v>
      </c>
      <c r="GS49" s="64"/>
      <c r="GT49" s="73"/>
      <c r="GU49" s="72">
        <f t="shared" si="309"/>
        <v>0</v>
      </c>
      <c r="GV49" s="64"/>
      <c r="GW49" s="73"/>
      <c r="GX49" s="72">
        <f t="shared" si="212"/>
        <v>0</v>
      </c>
      <c r="GY49" s="64"/>
      <c r="GZ49" s="73"/>
      <c r="HA49" s="72">
        <f t="shared" si="213"/>
        <v>0</v>
      </c>
      <c r="HB49" s="64"/>
      <c r="HC49" s="73"/>
      <c r="HD49" s="72">
        <f t="shared" si="214"/>
        <v>0</v>
      </c>
      <c r="HE49" s="64"/>
      <c r="HF49" s="73"/>
      <c r="HG49" s="72">
        <f t="shared" si="310"/>
        <v>0</v>
      </c>
      <c r="HH49" s="64"/>
      <c r="HI49" s="73"/>
      <c r="HJ49" s="72">
        <f t="shared" si="311"/>
        <v>0</v>
      </c>
      <c r="HK49" s="64"/>
      <c r="HL49" s="73"/>
      <c r="HM49" s="72">
        <f t="shared" si="215"/>
        <v>0</v>
      </c>
      <c r="HN49" s="64"/>
      <c r="HO49" s="73"/>
      <c r="HP49" s="72">
        <f t="shared" si="216"/>
        <v>0</v>
      </c>
      <c r="HQ49" s="64"/>
      <c r="HR49" s="73"/>
      <c r="HS49" s="72">
        <f t="shared" si="217"/>
        <v>0</v>
      </c>
      <c r="HT49" s="64"/>
      <c r="HU49" s="73"/>
      <c r="HV49" s="72">
        <f t="shared" si="312"/>
        <v>0</v>
      </c>
      <c r="HW49" s="64"/>
      <c r="HX49" s="73"/>
      <c r="HY49" s="72">
        <f t="shared" si="313"/>
        <v>0</v>
      </c>
      <c r="HZ49" s="64"/>
      <c r="IA49" s="73"/>
      <c r="IB49" s="72">
        <f t="shared" si="218"/>
        <v>0</v>
      </c>
      <c r="IC49" s="64"/>
      <c r="ID49" s="73"/>
      <c r="IE49" s="72">
        <f t="shared" si="219"/>
        <v>0</v>
      </c>
      <c r="IF49" s="64"/>
      <c r="IG49" s="73"/>
      <c r="IH49" s="72">
        <f t="shared" si="220"/>
        <v>0</v>
      </c>
      <c r="II49" s="64"/>
      <c r="IJ49" s="73"/>
      <c r="IK49" s="72">
        <f t="shared" si="314"/>
        <v>0</v>
      </c>
      <c r="IL49" s="64"/>
      <c r="IM49" s="73"/>
      <c r="IN49" s="72">
        <f t="shared" si="315"/>
        <v>0</v>
      </c>
      <c r="IO49" s="64"/>
      <c r="IP49" s="73"/>
      <c r="IQ49" s="72">
        <f t="shared" si="221"/>
        <v>0</v>
      </c>
      <c r="IR49" s="64"/>
      <c r="IS49" s="73"/>
      <c r="IT49" s="72">
        <f t="shared" si="222"/>
        <v>0</v>
      </c>
      <c r="IU49" s="64"/>
      <c r="IV49" s="73"/>
      <c r="IW49" s="72">
        <f t="shared" si="223"/>
        <v>0</v>
      </c>
      <c r="IX49" s="64"/>
      <c r="IY49" s="73"/>
      <c r="IZ49" s="72">
        <f t="shared" si="316"/>
        <v>0</v>
      </c>
      <c r="JA49" s="64"/>
      <c r="JB49" s="73"/>
      <c r="JC49" s="72">
        <f t="shared" si="317"/>
        <v>0</v>
      </c>
      <c r="JD49" s="64"/>
      <c r="JE49" s="73"/>
      <c r="JF49" s="72">
        <f t="shared" si="224"/>
        <v>0</v>
      </c>
      <c r="JG49" s="64"/>
      <c r="JH49" s="73"/>
      <c r="JI49" s="72">
        <f t="shared" si="225"/>
        <v>0</v>
      </c>
      <c r="JJ49" s="64"/>
      <c r="JK49" s="73"/>
      <c r="JL49" s="72">
        <f t="shared" si="226"/>
        <v>0</v>
      </c>
      <c r="JM49" s="64"/>
      <c r="JN49" s="73"/>
      <c r="JO49" s="72">
        <f t="shared" si="318"/>
        <v>0</v>
      </c>
      <c r="JP49" s="64"/>
      <c r="JQ49" s="73"/>
      <c r="JR49" s="72">
        <f t="shared" si="319"/>
        <v>0</v>
      </c>
      <c r="JS49" s="64"/>
      <c r="JT49" s="73"/>
      <c r="JU49" s="72">
        <f t="shared" si="227"/>
        <v>0</v>
      </c>
      <c r="JV49" s="64"/>
      <c r="JW49" s="73"/>
      <c r="JX49" s="72">
        <f t="shared" si="228"/>
        <v>0</v>
      </c>
      <c r="JY49" s="64"/>
      <c r="JZ49" s="73"/>
      <c r="KA49" s="72">
        <f t="shared" si="229"/>
        <v>0</v>
      </c>
      <c r="KB49" s="64"/>
      <c r="KC49" s="73"/>
      <c r="KD49" s="72">
        <f t="shared" si="320"/>
        <v>0</v>
      </c>
      <c r="KE49" s="64"/>
      <c r="KF49" s="73"/>
      <c r="KG49" s="72">
        <f t="shared" si="321"/>
        <v>0</v>
      </c>
      <c r="KH49" s="64"/>
      <c r="KI49" s="73"/>
      <c r="KJ49" s="72">
        <f t="shared" si="230"/>
        <v>0</v>
      </c>
      <c r="KK49" s="64"/>
      <c r="KL49" s="73"/>
      <c r="KM49" s="72">
        <f t="shared" si="231"/>
        <v>0</v>
      </c>
      <c r="KN49" s="64"/>
      <c r="KO49" s="73"/>
      <c r="KP49" s="72">
        <f t="shared" si="232"/>
        <v>0</v>
      </c>
      <c r="KQ49" s="64"/>
      <c r="KR49" s="73"/>
      <c r="KS49" s="72">
        <f t="shared" si="322"/>
        <v>0</v>
      </c>
      <c r="KT49" s="64"/>
      <c r="KU49" s="73"/>
      <c r="KV49" s="72">
        <f t="shared" si="323"/>
        <v>0</v>
      </c>
      <c r="KW49" s="64"/>
      <c r="KX49" s="73"/>
      <c r="KY49" s="72">
        <f t="shared" si="233"/>
        <v>0</v>
      </c>
      <c r="KZ49" s="64"/>
      <c r="LA49" s="73"/>
      <c r="LB49" s="72">
        <f t="shared" si="234"/>
        <v>0</v>
      </c>
      <c r="LC49" s="64"/>
      <c r="LD49" s="73"/>
      <c r="LE49" s="72">
        <f t="shared" si="235"/>
        <v>0</v>
      </c>
      <c r="LF49" s="64"/>
    </row>
    <row r="50" spans="1:318" s="784" customFormat="1" ht="15" thickBot="1">
      <c r="A50" s="49"/>
      <c r="B50" s="49"/>
      <c r="C50" s="667" t="str">
        <f>HYPERLINK(Idiomas!D444,Idiomas!D443)</f>
        <v>**¿Qué es esto y cómo funciona?</v>
      </c>
      <c r="D50" s="427">
        <f>IF(D49=Idiomas!$D$442,1,D49)</f>
        <v>1</v>
      </c>
      <c r="E50" s="88"/>
      <c r="F50" s="443">
        <f t="shared" si="236"/>
        <v>15</v>
      </c>
      <c r="G50" s="443">
        <f ca="1">VLOOKUP(H50,Equipos!$Q$1:$R$25,2,0)</f>
        <v>13</v>
      </c>
      <c r="H50" s="444">
        <f ca="1">TRUNC(INDEX(WORLDCUP!$X$4:$X$147,MATCH(ADMIN!K50,WORLDCUP!$DT$4:$DT$147,0))+INDEX(Horarios!$R$3:$R$86,MATCH(Horarios!$C$3,Horarios!$P$3:$P$86,0))/24)</f>
        <v>46196</v>
      </c>
      <c r="I50" s="48">
        <v>1</v>
      </c>
      <c r="J50" s="93"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276"/>
        <v>0</v>
      </c>
      <c r="R50" s="49"/>
      <c r="S50" s="796" t="s">
        <v>1956</v>
      </c>
      <c r="T50" s="72">
        <f t="shared" si="285"/>
        <v>0</v>
      </c>
      <c r="U50" s="64"/>
      <c r="V50" s="73" t="s">
        <v>1957</v>
      </c>
      <c r="W50" s="72">
        <f t="shared" si="286"/>
        <v>0</v>
      </c>
      <c r="X50" s="64"/>
      <c r="Y50" s="796" t="s">
        <v>1956</v>
      </c>
      <c r="Z50" s="72">
        <f t="shared" si="176"/>
        <v>0</v>
      </c>
      <c r="AA50" s="64"/>
      <c r="AB50" s="796" t="s">
        <v>1956</v>
      </c>
      <c r="AC50" s="72">
        <f t="shared" si="177"/>
        <v>0</v>
      </c>
      <c r="AD50" s="64"/>
      <c r="AE50" s="796" t="s">
        <v>1956</v>
      </c>
      <c r="AF50" s="72">
        <f t="shared" si="287"/>
        <v>0</v>
      </c>
      <c r="AG50" s="64"/>
      <c r="AH50" s="796" t="s">
        <v>1955</v>
      </c>
      <c r="AI50" s="72">
        <f t="shared" si="288"/>
        <v>0</v>
      </c>
      <c r="AJ50" s="64"/>
      <c r="AK50" s="806" t="s">
        <v>2196</v>
      </c>
      <c r="AL50" s="72">
        <f t="shared" si="289"/>
        <v>0</v>
      </c>
      <c r="AM50" s="64"/>
      <c r="AN50" s="796" t="s">
        <v>1952</v>
      </c>
      <c r="AO50" s="72">
        <f t="shared" si="179"/>
        <v>0</v>
      </c>
      <c r="AP50" s="64"/>
      <c r="AQ50" s="806" t="s">
        <v>2195</v>
      </c>
      <c r="AR50" s="72">
        <f t="shared" si="180"/>
        <v>0</v>
      </c>
      <c r="AS50" s="64"/>
      <c r="AT50" s="796" t="s">
        <v>2051</v>
      </c>
      <c r="AU50" s="72">
        <f t="shared" si="181"/>
        <v>0</v>
      </c>
      <c r="AV50" s="64"/>
      <c r="AW50" s="796" t="s">
        <v>1956</v>
      </c>
      <c r="AX50" s="72">
        <f t="shared" si="290"/>
        <v>0</v>
      </c>
      <c r="AY50" s="64"/>
      <c r="AZ50" s="796" t="s">
        <v>2346</v>
      </c>
      <c r="BA50" s="72">
        <f t="shared" si="291"/>
        <v>0</v>
      </c>
      <c r="BB50" s="64"/>
      <c r="BC50" s="796" t="s">
        <v>1955</v>
      </c>
      <c r="BD50" s="72">
        <f t="shared" si="182"/>
        <v>0</v>
      </c>
      <c r="BE50" s="64"/>
      <c r="BF50" s="796" t="s">
        <v>1957</v>
      </c>
      <c r="BG50" s="72">
        <f t="shared" si="183"/>
        <v>0</v>
      </c>
      <c r="BH50" s="64"/>
      <c r="BI50" s="796" t="s">
        <v>1956</v>
      </c>
      <c r="BJ50" s="72">
        <f t="shared" si="184"/>
        <v>0</v>
      </c>
      <c r="BK50" s="64"/>
      <c r="BL50" s="796" t="s">
        <v>1958</v>
      </c>
      <c r="BM50" s="72">
        <f t="shared" si="292"/>
        <v>0</v>
      </c>
      <c r="BN50" s="64"/>
      <c r="BO50" s="816" t="s">
        <v>1957</v>
      </c>
      <c r="BP50" s="72">
        <f t="shared" si="293"/>
        <v>0</v>
      </c>
      <c r="BQ50" s="64"/>
      <c r="BR50" s="796" t="s">
        <v>1960</v>
      </c>
      <c r="BS50" s="72">
        <f t="shared" si="185"/>
        <v>0</v>
      </c>
      <c r="BT50" s="64"/>
      <c r="BU50" s="796" t="s">
        <v>1957</v>
      </c>
      <c r="BV50" s="72">
        <f t="shared" si="186"/>
        <v>0</v>
      </c>
      <c r="BW50" s="64"/>
      <c r="BX50" s="73" t="s">
        <v>1957</v>
      </c>
      <c r="BY50" s="72">
        <f t="shared" si="187"/>
        <v>0</v>
      </c>
      <c r="BZ50" s="64"/>
      <c r="CA50" s="816" t="s">
        <v>1955</v>
      </c>
      <c r="CB50" s="72">
        <f t="shared" si="294"/>
        <v>0</v>
      </c>
      <c r="CC50" s="64"/>
      <c r="CD50" s="825" t="s">
        <v>2088</v>
      </c>
      <c r="CE50" s="72">
        <f t="shared" si="295"/>
        <v>0</v>
      </c>
      <c r="CF50" s="64"/>
      <c r="CG50" s="796" t="s">
        <v>1948</v>
      </c>
      <c r="CH50" s="72">
        <f t="shared" si="188"/>
        <v>0</v>
      </c>
      <c r="CI50" s="64"/>
      <c r="CJ50" s="796" t="s">
        <v>1948</v>
      </c>
      <c r="CK50" s="72">
        <f t="shared" si="189"/>
        <v>0</v>
      </c>
      <c r="CL50" s="64"/>
      <c r="CM50" s="796" t="s">
        <v>1956</v>
      </c>
      <c r="CN50" s="72">
        <f t="shared" si="190"/>
        <v>0</v>
      </c>
      <c r="CO50" s="64"/>
      <c r="CP50" s="796" t="s">
        <v>2051</v>
      </c>
      <c r="CQ50" s="72">
        <f t="shared" si="296"/>
        <v>0</v>
      </c>
      <c r="CR50" s="64"/>
      <c r="CS50" s="796" t="s">
        <v>1948</v>
      </c>
      <c r="CT50" s="72">
        <f t="shared" si="297"/>
        <v>0</v>
      </c>
      <c r="CU50" s="64"/>
      <c r="CV50" s="796" t="s">
        <v>1948</v>
      </c>
      <c r="CW50" s="72">
        <f t="shared" si="191"/>
        <v>0</v>
      </c>
      <c r="CX50" s="64"/>
      <c r="CY50" s="796" t="s">
        <v>1948</v>
      </c>
      <c r="CZ50" s="72">
        <f t="shared" si="250"/>
        <v>0</v>
      </c>
      <c r="DA50" s="64"/>
      <c r="DB50" s="796" t="s">
        <v>1960</v>
      </c>
      <c r="DC50" s="72">
        <f t="shared" si="192"/>
        <v>0</v>
      </c>
      <c r="DD50" s="64"/>
      <c r="DE50" s="796" t="s">
        <v>1956</v>
      </c>
      <c r="DF50" s="72">
        <f t="shared" si="281"/>
        <v>0</v>
      </c>
      <c r="DG50" s="64"/>
      <c r="DH50" s="796" t="s">
        <v>1948</v>
      </c>
      <c r="DI50" s="72">
        <f t="shared" si="282"/>
        <v>0</v>
      </c>
      <c r="DJ50" s="64"/>
      <c r="DK50" s="796" t="s">
        <v>1948</v>
      </c>
      <c r="DL50" s="72">
        <f t="shared" si="283"/>
        <v>0</v>
      </c>
      <c r="DM50" s="64"/>
      <c r="DN50" s="73"/>
      <c r="DO50" s="72">
        <f t="shared" si="196"/>
        <v>0</v>
      </c>
      <c r="DP50" s="64"/>
      <c r="DQ50" s="796" t="s">
        <v>1960</v>
      </c>
      <c r="DR50" s="72">
        <f t="shared" si="251"/>
        <v>0</v>
      </c>
      <c r="DS50" s="64"/>
      <c r="DT50" s="73" t="s">
        <v>1956</v>
      </c>
      <c r="DU50" s="72">
        <f t="shared" si="298"/>
        <v>0</v>
      </c>
      <c r="DV50" s="64"/>
      <c r="DW50" s="73"/>
      <c r="DX50" s="72">
        <f t="shared" si="299"/>
        <v>0</v>
      </c>
      <c r="DY50" s="64"/>
      <c r="DZ50" s="73"/>
      <c r="EA50" s="72">
        <f t="shared" si="284"/>
        <v>0</v>
      </c>
      <c r="EB50" s="64"/>
      <c r="EC50" s="73"/>
      <c r="ED50" s="72">
        <f t="shared" si="198"/>
        <v>0</v>
      </c>
      <c r="EE50" s="64"/>
      <c r="EF50" s="73"/>
      <c r="EG50" s="72">
        <f t="shared" si="199"/>
        <v>0</v>
      </c>
      <c r="EH50" s="64"/>
      <c r="EI50" s="73"/>
      <c r="EJ50" s="72">
        <f t="shared" si="300"/>
        <v>0</v>
      </c>
      <c r="EK50" s="64"/>
      <c r="EL50" s="73"/>
      <c r="EM50" s="72">
        <f t="shared" si="301"/>
        <v>0</v>
      </c>
      <c r="EN50" s="64"/>
      <c r="EO50" s="73"/>
      <c r="EP50" s="72">
        <f t="shared" si="200"/>
        <v>0</v>
      </c>
      <c r="EQ50" s="64"/>
      <c r="ER50" s="73"/>
      <c r="ES50" s="72">
        <f t="shared" si="201"/>
        <v>0</v>
      </c>
      <c r="ET50" s="64"/>
      <c r="EU50" s="73"/>
      <c r="EV50" s="72">
        <f t="shared" si="202"/>
        <v>0</v>
      </c>
      <c r="EW50" s="64"/>
      <c r="EX50" s="73"/>
      <c r="EY50" s="72">
        <f t="shared" si="302"/>
        <v>0</v>
      </c>
      <c r="EZ50" s="64"/>
      <c r="FA50" s="73"/>
      <c r="FB50" s="72">
        <f t="shared" si="303"/>
        <v>0</v>
      </c>
      <c r="FC50" s="64"/>
      <c r="FD50" s="73"/>
      <c r="FE50" s="72">
        <f t="shared" si="203"/>
        <v>0</v>
      </c>
      <c r="FF50" s="64"/>
      <c r="FG50" s="73"/>
      <c r="FH50" s="72">
        <f t="shared" si="204"/>
        <v>0</v>
      </c>
      <c r="FI50" s="64"/>
      <c r="FJ50" s="73"/>
      <c r="FK50" s="72">
        <f t="shared" si="205"/>
        <v>0</v>
      </c>
      <c r="FL50" s="64"/>
      <c r="FM50" s="73"/>
      <c r="FN50" s="72">
        <f t="shared" si="304"/>
        <v>0</v>
      </c>
      <c r="FO50" s="64"/>
      <c r="FP50" s="73"/>
      <c r="FQ50" s="72">
        <f t="shared" si="305"/>
        <v>0</v>
      </c>
      <c r="FR50" s="64"/>
      <c r="FS50" s="73"/>
      <c r="FT50" s="72">
        <f t="shared" si="206"/>
        <v>0</v>
      </c>
      <c r="FU50" s="64"/>
      <c r="FV50" s="73"/>
      <c r="FW50" s="72">
        <f t="shared" si="207"/>
        <v>0</v>
      </c>
      <c r="FX50" s="64"/>
      <c r="FY50" s="73"/>
      <c r="FZ50" s="72">
        <f t="shared" si="208"/>
        <v>0</v>
      </c>
      <c r="GA50" s="64"/>
      <c r="GB50" s="73"/>
      <c r="GC50" s="72">
        <f t="shared" si="306"/>
        <v>0</v>
      </c>
      <c r="GD50" s="64"/>
      <c r="GE50" s="73"/>
      <c r="GF50" s="72">
        <f t="shared" si="307"/>
        <v>0</v>
      </c>
      <c r="GG50" s="64"/>
      <c r="GH50" s="73"/>
      <c r="GI50" s="72">
        <f t="shared" si="209"/>
        <v>0</v>
      </c>
      <c r="GJ50" s="64"/>
      <c r="GK50" s="73"/>
      <c r="GL50" s="72">
        <f t="shared" si="210"/>
        <v>0</v>
      </c>
      <c r="GM50" s="64"/>
      <c r="GN50" s="73"/>
      <c r="GO50" s="72">
        <f t="shared" si="211"/>
        <v>0</v>
      </c>
      <c r="GP50" s="64"/>
      <c r="GQ50" s="73"/>
      <c r="GR50" s="72">
        <f t="shared" si="308"/>
        <v>0</v>
      </c>
      <c r="GS50" s="64"/>
      <c r="GT50" s="73"/>
      <c r="GU50" s="72">
        <f t="shared" si="309"/>
        <v>0</v>
      </c>
      <c r="GV50" s="64"/>
      <c r="GW50" s="73"/>
      <c r="GX50" s="72">
        <f t="shared" si="212"/>
        <v>0</v>
      </c>
      <c r="GY50" s="64"/>
      <c r="GZ50" s="73"/>
      <c r="HA50" s="72">
        <f t="shared" si="213"/>
        <v>0</v>
      </c>
      <c r="HB50" s="64"/>
      <c r="HC50" s="73"/>
      <c r="HD50" s="72">
        <f t="shared" si="214"/>
        <v>0</v>
      </c>
      <c r="HE50" s="64"/>
      <c r="HF50" s="73"/>
      <c r="HG50" s="72">
        <f t="shared" si="310"/>
        <v>0</v>
      </c>
      <c r="HH50" s="64"/>
      <c r="HI50" s="73"/>
      <c r="HJ50" s="72">
        <f t="shared" si="311"/>
        <v>0</v>
      </c>
      <c r="HK50" s="64"/>
      <c r="HL50" s="73"/>
      <c r="HM50" s="72">
        <f t="shared" si="215"/>
        <v>0</v>
      </c>
      <c r="HN50" s="64"/>
      <c r="HO50" s="73"/>
      <c r="HP50" s="72">
        <f t="shared" si="216"/>
        <v>0</v>
      </c>
      <c r="HQ50" s="64"/>
      <c r="HR50" s="73"/>
      <c r="HS50" s="72">
        <f t="shared" si="217"/>
        <v>0</v>
      </c>
      <c r="HT50" s="64"/>
      <c r="HU50" s="73"/>
      <c r="HV50" s="72">
        <f t="shared" si="312"/>
        <v>0</v>
      </c>
      <c r="HW50" s="64"/>
      <c r="HX50" s="73"/>
      <c r="HY50" s="72">
        <f t="shared" si="313"/>
        <v>0</v>
      </c>
      <c r="HZ50" s="64"/>
      <c r="IA50" s="73"/>
      <c r="IB50" s="72">
        <f t="shared" si="218"/>
        <v>0</v>
      </c>
      <c r="IC50" s="64"/>
      <c r="ID50" s="73"/>
      <c r="IE50" s="72">
        <f t="shared" si="219"/>
        <v>0</v>
      </c>
      <c r="IF50" s="64"/>
      <c r="IG50" s="73"/>
      <c r="IH50" s="72">
        <f t="shared" si="220"/>
        <v>0</v>
      </c>
      <c r="II50" s="64"/>
      <c r="IJ50" s="73"/>
      <c r="IK50" s="72">
        <f t="shared" si="314"/>
        <v>0</v>
      </c>
      <c r="IL50" s="64"/>
      <c r="IM50" s="73"/>
      <c r="IN50" s="72">
        <f t="shared" si="315"/>
        <v>0</v>
      </c>
      <c r="IO50" s="64"/>
      <c r="IP50" s="73"/>
      <c r="IQ50" s="72">
        <f t="shared" si="221"/>
        <v>0</v>
      </c>
      <c r="IR50" s="64"/>
      <c r="IS50" s="73"/>
      <c r="IT50" s="72">
        <f t="shared" si="222"/>
        <v>0</v>
      </c>
      <c r="IU50" s="64"/>
      <c r="IV50" s="73"/>
      <c r="IW50" s="72">
        <f t="shared" si="223"/>
        <v>0</v>
      </c>
      <c r="IX50" s="64"/>
      <c r="IY50" s="73"/>
      <c r="IZ50" s="72">
        <f t="shared" si="316"/>
        <v>0</v>
      </c>
      <c r="JA50" s="64"/>
      <c r="JB50" s="73"/>
      <c r="JC50" s="72">
        <f t="shared" si="317"/>
        <v>0</v>
      </c>
      <c r="JD50" s="64"/>
      <c r="JE50" s="73"/>
      <c r="JF50" s="72">
        <f t="shared" si="224"/>
        <v>0</v>
      </c>
      <c r="JG50" s="64"/>
      <c r="JH50" s="73"/>
      <c r="JI50" s="72">
        <f t="shared" si="225"/>
        <v>0</v>
      </c>
      <c r="JJ50" s="64"/>
      <c r="JK50" s="73"/>
      <c r="JL50" s="72">
        <f t="shared" si="226"/>
        <v>0</v>
      </c>
      <c r="JM50" s="64"/>
      <c r="JN50" s="73"/>
      <c r="JO50" s="72">
        <f t="shared" si="318"/>
        <v>0</v>
      </c>
      <c r="JP50" s="64"/>
      <c r="JQ50" s="73"/>
      <c r="JR50" s="72">
        <f t="shared" si="319"/>
        <v>0</v>
      </c>
      <c r="JS50" s="64"/>
      <c r="JT50" s="73"/>
      <c r="JU50" s="72">
        <f t="shared" si="227"/>
        <v>0</v>
      </c>
      <c r="JV50" s="64"/>
      <c r="JW50" s="73"/>
      <c r="JX50" s="72">
        <f t="shared" si="228"/>
        <v>0</v>
      </c>
      <c r="JY50" s="64"/>
      <c r="JZ50" s="73"/>
      <c r="KA50" s="72">
        <f t="shared" si="229"/>
        <v>0</v>
      </c>
      <c r="KB50" s="64"/>
      <c r="KC50" s="73"/>
      <c r="KD50" s="72">
        <f t="shared" si="320"/>
        <v>0</v>
      </c>
      <c r="KE50" s="64"/>
      <c r="KF50" s="73"/>
      <c r="KG50" s="72">
        <f t="shared" si="321"/>
        <v>0</v>
      </c>
      <c r="KH50" s="64"/>
      <c r="KI50" s="73"/>
      <c r="KJ50" s="72">
        <f t="shared" si="230"/>
        <v>0</v>
      </c>
      <c r="KK50" s="64"/>
      <c r="KL50" s="73"/>
      <c r="KM50" s="72">
        <f t="shared" si="231"/>
        <v>0</v>
      </c>
      <c r="KN50" s="64"/>
      <c r="KO50" s="73"/>
      <c r="KP50" s="72">
        <f t="shared" si="232"/>
        <v>0</v>
      </c>
      <c r="KQ50" s="64"/>
      <c r="KR50" s="73"/>
      <c r="KS50" s="72">
        <f t="shared" si="322"/>
        <v>0</v>
      </c>
      <c r="KT50" s="64"/>
      <c r="KU50" s="73"/>
      <c r="KV50" s="72">
        <f t="shared" si="323"/>
        <v>0</v>
      </c>
      <c r="KW50" s="64"/>
      <c r="KX50" s="73"/>
      <c r="KY50" s="72">
        <f t="shared" si="233"/>
        <v>0</v>
      </c>
      <c r="KZ50" s="64"/>
      <c r="LA50" s="73"/>
      <c r="LB50" s="72">
        <f t="shared" si="234"/>
        <v>0</v>
      </c>
      <c r="LC50" s="64"/>
      <c r="LD50" s="73"/>
      <c r="LE50" s="72">
        <f t="shared" si="235"/>
        <v>0</v>
      </c>
      <c r="LF50" s="64"/>
    </row>
    <row r="51" spans="1:318" s="784" customFormat="1">
      <c r="A51" s="49"/>
      <c r="B51" s="49"/>
      <c r="C51" s="17"/>
      <c r="D51" s="17"/>
      <c r="E51" s="88"/>
      <c r="F51" s="443">
        <f t="shared" si="236"/>
        <v>15</v>
      </c>
      <c r="G51" s="443">
        <f ca="1">VLOOKUP(H51,Equipos!$Q$1:$R$25,2,0)</f>
        <v>13</v>
      </c>
      <c r="H51" s="444">
        <f ca="1">TRUNC(INDEX(WORLDCUP!$X$4:$X$147,MATCH(ADMIN!K51,WORLDCUP!$DT$4:$DT$147,0))+INDEX(Horarios!$R$3:$R$86,MATCH(Horarios!$C$3,Horarios!$P$3:$P$86,0))/24)</f>
        <v>46196</v>
      </c>
      <c r="I51" s="48">
        <v>1</v>
      </c>
      <c r="J51" s="93"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276"/>
        <v>0</v>
      </c>
      <c r="R51" s="49"/>
      <c r="S51" s="796" t="s">
        <v>1956</v>
      </c>
      <c r="T51" s="72">
        <f t="shared" si="285"/>
        <v>0</v>
      </c>
      <c r="U51" s="64"/>
      <c r="V51" s="73" t="s">
        <v>1948</v>
      </c>
      <c r="W51" s="72">
        <f t="shared" si="286"/>
        <v>0</v>
      </c>
      <c r="X51" s="64"/>
      <c r="Y51" s="796" t="s">
        <v>1960</v>
      </c>
      <c r="Z51" s="72">
        <f t="shared" si="176"/>
        <v>0</v>
      </c>
      <c r="AA51" s="64"/>
      <c r="AB51" s="796" t="s">
        <v>1957</v>
      </c>
      <c r="AC51" s="72">
        <f t="shared" si="177"/>
        <v>0</v>
      </c>
      <c r="AD51" s="64"/>
      <c r="AE51" s="796" t="s">
        <v>1961</v>
      </c>
      <c r="AF51" s="72">
        <f t="shared" si="287"/>
        <v>0</v>
      </c>
      <c r="AG51" s="64"/>
      <c r="AH51" s="796" t="s">
        <v>1948</v>
      </c>
      <c r="AI51" s="72">
        <f t="shared" si="288"/>
        <v>0</v>
      </c>
      <c r="AJ51" s="64"/>
      <c r="AK51" s="806" t="s">
        <v>1956</v>
      </c>
      <c r="AL51" s="72">
        <f t="shared" si="289"/>
        <v>0</v>
      </c>
      <c r="AM51" s="64"/>
      <c r="AN51" s="796" t="s">
        <v>1956</v>
      </c>
      <c r="AO51" s="72">
        <f t="shared" si="179"/>
        <v>0</v>
      </c>
      <c r="AP51" s="64"/>
      <c r="AQ51" s="806" t="s">
        <v>1960</v>
      </c>
      <c r="AR51" s="72">
        <f t="shared" si="180"/>
        <v>0</v>
      </c>
      <c r="AS51" s="64"/>
      <c r="AT51" s="796" t="s">
        <v>1960</v>
      </c>
      <c r="AU51" s="72">
        <f t="shared" si="181"/>
        <v>0</v>
      </c>
      <c r="AV51" s="64"/>
      <c r="AW51" s="796" t="s">
        <v>1957</v>
      </c>
      <c r="AX51" s="72">
        <f t="shared" si="290"/>
        <v>0</v>
      </c>
      <c r="AY51" s="64"/>
      <c r="AZ51" s="796" t="s">
        <v>2347</v>
      </c>
      <c r="BA51" s="72">
        <f t="shared" si="291"/>
        <v>0</v>
      </c>
      <c r="BB51" s="64"/>
      <c r="BC51" s="796" t="s">
        <v>1956</v>
      </c>
      <c r="BD51" s="72">
        <f t="shared" si="182"/>
        <v>0</v>
      </c>
      <c r="BE51" s="64"/>
      <c r="BF51" s="796" t="s">
        <v>1956</v>
      </c>
      <c r="BG51" s="72">
        <f t="shared" si="183"/>
        <v>0</v>
      </c>
      <c r="BH51" s="64"/>
      <c r="BI51" s="796" t="s">
        <v>1955</v>
      </c>
      <c r="BJ51" s="72">
        <f t="shared" si="184"/>
        <v>0</v>
      </c>
      <c r="BK51" s="64"/>
      <c r="BL51" s="796" t="s">
        <v>1956</v>
      </c>
      <c r="BM51" s="72">
        <f t="shared" si="292"/>
        <v>0</v>
      </c>
      <c r="BN51" s="64"/>
      <c r="BO51" s="816" t="s">
        <v>1948</v>
      </c>
      <c r="BP51" s="72">
        <f t="shared" si="293"/>
        <v>0</v>
      </c>
      <c r="BQ51" s="64"/>
      <c r="BR51" s="796" t="s">
        <v>1948</v>
      </c>
      <c r="BS51" s="72">
        <f t="shared" si="185"/>
        <v>0</v>
      </c>
      <c r="BT51" s="64"/>
      <c r="BU51" s="796" t="s">
        <v>1956</v>
      </c>
      <c r="BV51" s="72">
        <f t="shared" si="186"/>
        <v>0</v>
      </c>
      <c r="BW51" s="64"/>
      <c r="BX51" s="73" t="s">
        <v>1956</v>
      </c>
      <c r="BY51" s="72">
        <f t="shared" si="187"/>
        <v>0</v>
      </c>
      <c r="BZ51" s="64"/>
      <c r="CA51" s="816" t="s">
        <v>1955</v>
      </c>
      <c r="CB51" s="72">
        <f t="shared" si="294"/>
        <v>0</v>
      </c>
      <c r="CC51" s="64"/>
      <c r="CD51" s="825" t="s">
        <v>1948</v>
      </c>
      <c r="CE51" s="72">
        <f t="shared" si="295"/>
        <v>0</v>
      </c>
      <c r="CF51" s="64"/>
      <c r="CG51" s="796" t="s">
        <v>1948</v>
      </c>
      <c r="CH51" s="72">
        <f t="shared" si="188"/>
        <v>0</v>
      </c>
      <c r="CI51" s="64"/>
      <c r="CJ51" s="796" t="s">
        <v>1955</v>
      </c>
      <c r="CK51" s="72">
        <f t="shared" si="189"/>
        <v>0</v>
      </c>
      <c r="CL51" s="64"/>
      <c r="CM51" s="796" t="s">
        <v>1956</v>
      </c>
      <c r="CN51" s="72">
        <f t="shared" si="190"/>
        <v>0</v>
      </c>
      <c r="CO51" s="64"/>
      <c r="CP51" s="796" t="s">
        <v>1957</v>
      </c>
      <c r="CQ51" s="72">
        <f t="shared" si="296"/>
        <v>0</v>
      </c>
      <c r="CR51" s="64"/>
      <c r="CS51" s="796" t="s">
        <v>1954</v>
      </c>
      <c r="CT51" s="72">
        <f t="shared" si="297"/>
        <v>0</v>
      </c>
      <c r="CU51" s="64"/>
      <c r="CV51" s="796" t="s">
        <v>1948</v>
      </c>
      <c r="CW51" s="72">
        <f t="shared" si="191"/>
        <v>0</v>
      </c>
      <c r="CX51" s="64"/>
      <c r="CY51" s="796" t="s">
        <v>1948</v>
      </c>
      <c r="CZ51" s="72">
        <f t="shared" si="250"/>
        <v>0</v>
      </c>
      <c r="DA51" s="64"/>
      <c r="DB51" s="796" t="s">
        <v>1948</v>
      </c>
      <c r="DC51" s="72">
        <f t="shared" si="192"/>
        <v>0</v>
      </c>
      <c r="DD51" s="64"/>
      <c r="DE51" s="796" t="s">
        <v>1960</v>
      </c>
      <c r="DF51" s="72">
        <f t="shared" si="281"/>
        <v>0</v>
      </c>
      <c r="DG51" s="64"/>
      <c r="DH51" s="796" t="s">
        <v>1961</v>
      </c>
      <c r="DI51" s="72">
        <f t="shared" si="282"/>
        <v>0</v>
      </c>
      <c r="DJ51" s="64"/>
      <c r="DK51" s="796" t="s">
        <v>1948</v>
      </c>
      <c r="DL51" s="72">
        <f t="shared" si="283"/>
        <v>0</v>
      </c>
      <c r="DM51" s="64"/>
      <c r="DN51" s="73"/>
      <c r="DO51" s="72">
        <f t="shared" si="196"/>
        <v>0</v>
      </c>
      <c r="DP51" s="64"/>
      <c r="DQ51" s="796" t="s">
        <v>1956</v>
      </c>
      <c r="DR51" s="72">
        <f t="shared" si="251"/>
        <v>0</v>
      </c>
      <c r="DS51" s="64"/>
      <c r="DT51" s="73" t="s">
        <v>1948</v>
      </c>
      <c r="DU51" s="72">
        <f t="shared" si="298"/>
        <v>0</v>
      </c>
      <c r="DV51" s="64"/>
      <c r="DW51" s="73"/>
      <c r="DX51" s="72">
        <f t="shared" si="299"/>
        <v>0</v>
      </c>
      <c r="DY51" s="64"/>
      <c r="DZ51" s="73"/>
      <c r="EA51" s="72">
        <f t="shared" si="284"/>
        <v>0</v>
      </c>
      <c r="EB51" s="64"/>
      <c r="EC51" s="73"/>
      <c r="ED51" s="72">
        <f t="shared" si="198"/>
        <v>0</v>
      </c>
      <c r="EE51" s="64"/>
      <c r="EF51" s="73"/>
      <c r="EG51" s="72">
        <f t="shared" si="199"/>
        <v>0</v>
      </c>
      <c r="EH51" s="64"/>
      <c r="EI51" s="73"/>
      <c r="EJ51" s="72">
        <f t="shared" si="300"/>
        <v>0</v>
      </c>
      <c r="EK51" s="64"/>
      <c r="EL51" s="73"/>
      <c r="EM51" s="72">
        <f t="shared" si="301"/>
        <v>0</v>
      </c>
      <c r="EN51" s="64"/>
      <c r="EO51" s="73"/>
      <c r="EP51" s="72">
        <f t="shared" si="200"/>
        <v>0</v>
      </c>
      <c r="EQ51" s="64"/>
      <c r="ER51" s="73"/>
      <c r="ES51" s="72">
        <f t="shared" si="201"/>
        <v>0</v>
      </c>
      <c r="ET51" s="64"/>
      <c r="EU51" s="73"/>
      <c r="EV51" s="72">
        <f t="shared" si="202"/>
        <v>0</v>
      </c>
      <c r="EW51" s="64"/>
      <c r="EX51" s="73"/>
      <c r="EY51" s="72">
        <f t="shared" si="302"/>
        <v>0</v>
      </c>
      <c r="EZ51" s="64"/>
      <c r="FA51" s="73"/>
      <c r="FB51" s="72">
        <f t="shared" si="303"/>
        <v>0</v>
      </c>
      <c r="FC51" s="64"/>
      <c r="FD51" s="73"/>
      <c r="FE51" s="72">
        <f t="shared" si="203"/>
        <v>0</v>
      </c>
      <c r="FF51" s="64"/>
      <c r="FG51" s="73"/>
      <c r="FH51" s="72">
        <f t="shared" si="204"/>
        <v>0</v>
      </c>
      <c r="FI51" s="64"/>
      <c r="FJ51" s="73"/>
      <c r="FK51" s="72">
        <f t="shared" si="205"/>
        <v>0</v>
      </c>
      <c r="FL51" s="64"/>
      <c r="FM51" s="73"/>
      <c r="FN51" s="72">
        <f t="shared" si="304"/>
        <v>0</v>
      </c>
      <c r="FO51" s="64"/>
      <c r="FP51" s="73"/>
      <c r="FQ51" s="72">
        <f t="shared" si="305"/>
        <v>0</v>
      </c>
      <c r="FR51" s="64"/>
      <c r="FS51" s="73"/>
      <c r="FT51" s="72">
        <f t="shared" si="206"/>
        <v>0</v>
      </c>
      <c r="FU51" s="64"/>
      <c r="FV51" s="73"/>
      <c r="FW51" s="72">
        <f t="shared" si="207"/>
        <v>0</v>
      </c>
      <c r="FX51" s="64"/>
      <c r="FY51" s="73"/>
      <c r="FZ51" s="72">
        <f t="shared" si="208"/>
        <v>0</v>
      </c>
      <c r="GA51" s="64"/>
      <c r="GB51" s="73"/>
      <c r="GC51" s="72">
        <f t="shared" si="306"/>
        <v>0</v>
      </c>
      <c r="GD51" s="64"/>
      <c r="GE51" s="73"/>
      <c r="GF51" s="72">
        <f t="shared" si="307"/>
        <v>0</v>
      </c>
      <c r="GG51" s="64"/>
      <c r="GH51" s="73"/>
      <c r="GI51" s="72">
        <f t="shared" si="209"/>
        <v>0</v>
      </c>
      <c r="GJ51" s="64"/>
      <c r="GK51" s="73"/>
      <c r="GL51" s="72">
        <f t="shared" si="210"/>
        <v>0</v>
      </c>
      <c r="GM51" s="64"/>
      <c r="GN51" s="73"/>
      <c r="GO51" s="72">
        <f t="shared" si="211"/>
        <v>0</v>
      </c>
      <c r="GP51" s="64"/>
      <c r="GQ51" s="73"/>
      <c r="GR51" s="72">
        <f t="shared" si="308"/>
        <v>0</v>
      </c>
      <c r="GS51" s="64"/>
      <c r="GT51" s="73"/>
      <c r="GU51" s="72">
        <f t="shared" si="309"/>
        <v>0</v>
      </c>
      <c r="GV51" s="64"/>
      <c r="GW51" s="73"/>
      <c r="GX51" s="72">
        <f t="shared" si="212"/>
        <v>0</v>
      </c>
      <c r="GY51" s="64"/>
      <c r="GZ51" s="73"/>
      <c r="HA51" s="72">
        <f t="shared" si="213"/>
        <v>0</v>
      </c>
      <c r="HB51" s="64"/>
      <c r="HC51" s="73"/>
      <c r="HD51" s="72">
        <f t="shared" si="214"/>
        <v>0</v>
      </c>
      <c r="HE51" s="64"/>
      <c r="HF51" s="73"/>
      <c r="HG51" s="72">
        <f t="shared" si="310"/>
        <v>0</v>
      </c>
      <c r="HH51" s="64"/>
      <c r="HI51" s="73"/>
      <c r="HJ51" s="72">
        <f t="shared" si="311"/>
        <v>0</v>
      </c>
      <c r="HK51" s="64"/>
      <c r="HL51" s="73"/>
      <c r="HM51" s="72">
        <f t="shared" si="215"/>
        <v>0</v>
      </c>
      <c r="HN51" s="64"/>
      <c r="HO51" s="73"/>
      <c r="HP51" s="72">
        <f t="shared" si="216"/>
        <v>0</v>
      </c>
      <c r="HQ51" s="64"/>
      <c r="HR51" s="73"/>
      <c r="HS51" s="72">
        <f t="shared" si="217"/>
        <v>0</v>
      </c>
      <c r="HT51" s="64"/>
      <c r="HU51" s="73"/>
      <c r="HV51" s="72">
        <f t="shared" si="312"/>
        <v>0</v>
      </c>
      <c r="HW51" s="64"/>
      <c r="HX51" s="73"/>
      <c r="HY51" s="72">
        <f t="shared" si="313"/>
        <v>0</v>
      </c>
      <c r="HZ51" s="64"/>
      <c r="IA51" s="73"/>
      <c r="IB51" s="72">
        <f t="shared" si="218"/>
        <v>0</v>
      </c>
      <c r="IC51" s="64"/>
      <c r="ID51" s="73"/>
      <c r="IE51" s="72">
        <f t="shared" si="219"/>
        <v>0</v>
      </c>
      <c r="IF51" s="64"/>
      <c r="IG51" s="73"/>
      <c r="IH51" s="72">
        <f t="shared" si="220"/>
        <v>0</v>
      </c>
      <c r="II51" s="64"/>
      <c r="IJ51" s="73"/>
      <c r="IK51" s="72">
        <f t="shared" si="314"/>
        <v>0</v>
      </c>
      <c r="IL51" s="64"/>
      <c r="IM51" s="73"/>
      <c r="IN51" s="72">
        <f t="shared" si="315"/>
        <v>0</v>
      </c>
      <c r="IO51" s="64"/>
      <c r="IP51" s="73"/>
      <c r="IQ51" s="72">
        <f t="shared" si="221"/>
        <v>0</v>
      </c>
      <c r="IR51" s="64"/>
      <c r="IS51" s="73"/>
      <c r="IT51" s="72">
        <f t="shared" si="222"/>
        <v>0</v>
      </c>
      <c r="IU51" s="64"/>
      <c r="IV51" s="73"/>
      <c r="IW51" s="72">
        <f t="shared" si="223"/>
        <v>0</v>
      </c>
      <c r="IX51" s="64"/>
      <c r="IY51" s="73"/>
      <c r="IZ51" s="72">
        <f t="shared" si="316"/>
        <v>0</v>
      </c>
      <c r="JA51" s="64"/>
      <c r="JB51" s="73"/>
      <c r="JC51" s="72">
        <f t="shared" si="317"/>
        <v>0</v>
      </c>
      <c r="JD51" s="64"/>
      <c r="JE51" s="73"/>
      <c r="JF51" s="72">
        <f t="shared" si="224"/>
        <v>0</v>
      </c>
      <c r="JG51" s="64"/>
      <c r="JH51" s="73"/>
      <c r="JI51" s="72">
        <f t="shared" si="225"/>
        <v>0</v>
      </c>
      <c r="JJ51" s="64"/>
      <c r="JK51" s="73"/>
      <c r="JL51" s="72">
        <f t="shared" si="226"/>
        <v>0</v>
      </c>
      <c r="JM51" s="64"/>
      <c r="JN51" s="73"/>
      <c r="JO51" s="72">
        <f t="shared" si="318"/>
        <v>0</v>
      </c>
      <c r="JP51" s="64"/>
      <c r="JQ51" s="73"/>
      <c r="JR51" s="72">
        <f t="shared" si="319"/>
        <v>0</v>
      </c>
      <c r="JS51" s="64"/>
      <c r="JT51" s="73"/>
      <c r="JU51" s="72">
        <f t="shared" si="227"/>
        <v>0</v>
      </c>
      <c r="JV51" s="64"/>
      <c r="JW51" s="73"/>
      <c r="JX51" s="72">
        <f t="shared" si="228"/>
        <v>0</v>
      </c>
      <c r="JY51" s="64"/>
      <c r="JZ51" s="73"/>
      <c r="KA51" s="72">
        <f t="shared" si="229"/>
        <v>0</v>
      </c>
      <c r="KB51" s="64"/>
      <c r="KC51" s="73"/>
      <c r="KD51" s="72">
        <f t="shared" si="320"/>
        <v>0</v>
      </c>
      <c r="KE51" s="64"/>
      <c r="KF51" s="73"/>
      <c r="KG51" s="72">
        <f t="shared" si="321"/>
        <v>0</v>
      </c>
      <c r="KH51" s="64"/>
      <c r="KI51" s="73"/>
      <c r="KJ51" s="72">
        <f t="shared" si="230"/>
        <v>0</v>
      </c>
      <c r="KK51" s="64"/>
      <c r="KL51" s="73"/>
      <c r="KM51" s="72">
        <f t="shared" si="231"/>
        <v>0</v>
      </c>
      <c r="KN51" s="64"/>
      <c r="KO51" s="73"/>
      <c r="KP51" s="72">
        <f t="shared" si="232"/>
        <v>0</v>
      </c>
      <c r="KQ51" s="64"/>
      <c r="KR51" s="73"/>
      <c r="KS51" s="72">
        <f t="shared" si="322"/>
        <v>0</v>
      </c>
      <c r="KT51" s="64"/>
      <c r="KU51" s="73"/>
      <c r="KV51" s="72">
        <f t="shared" si="323"/>
        <v>0</v>
      </c>
      <c r="KW51" s="64"/>
      <c r="KX51" s="73"/>
      <c r="KY51" s="72">
        <f t="shared" si="233"/>
        <v>0</v>
      </c>
      <c r="KZ51" s="64"/>
      <c r="LA51" s="73"/>
      <c r="LB51" s="72">
        <f t="shared" si="234"/>
        <v>0</v>
      </c>
      <c r="LC51" s="64"/>
      <c r="LD51" s="73"/>
      <c r="LE51" s="72">
        <f t="shared" si="235"/>
        <v>0</v>
      </c>
      <c r="LF51" s="64"/>
    </row>
    <row r="52" spans="1:318" s="784" customFormat="1">
      <c r="A52" s="49"/>
      <c r="B52" s="49"/>
      <c r="C52" s="17"/>
      <c r="D52" s="17"/>
      <c r="E52" s="88"/>
      <c r="F52" s="443">
        <f t="shared" si="236"/>
        <v>15</v>
      </c>
      <c r="G52" s="443">
        <f ca="1">VLOOKUP(H52,Equipos!$Q$1:$R$25,2,0)</f>
        <v>13</v>
      </c>
      <c r="H52" s="444">
        <f ca="1">TRUNC(INDEX(WORLDCUP!$X$4:$X$147,MATCH(ADMIN!K52,WORLDCUP!$DT$4:$DT$147,0))+INDEX(Horarios!$R$3:$R$86,MATCH(Horarios!$C$3,Horarios!$P$3:$P$86,0))/24)</f>
        <v>46196</v>
      </c>
      <c r="I52" s="48">
        <v>1</v>
      </c>
      <c r="J52" s="94"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276"/>
        <v>0</v>
      </c>
      <c r="R52" s="49"/>
      <c r="S52" s="796" t="s">
        <v>1948</v>
      </c>
      <c r="T52" s="72">
        <f t="shared" si="285"/>
        <v>0</v>
      </c>
      <c r="U52" s="64"/>
      <c r="V52" s="73" t="s">
        <v>1956</v>
      </c>
      <c r="W52" s="72">
        <f t="shared" si="286"/>
        <v>0</v>
      </c>
      <c r="X52" s="64"/>
      <c r="Y52" s="796" t="s">
        <v>1954</v>
      </c>
      <c r="Z52" s="72">
        <f t="shared" si="176"/>
        <v>0</v>
      </c>
      <c r="AA52" s="64"/>
      <c r="AB52" s="796" t="s">
        <v>1948</v>
      </c>
      <c r="AC52" s="72">
        <f t="shared" si="177"/>
        <v>0</v>
      </c>
      <c r="AD52" s="64"/>
      <c r="AE52" s="796" t="s">
        <v>1956</v>
      </c>
      <c r="AF52" s="72">
        <f t="shared" si="287"/>
        <v>0</v>
      </c>
      <c r="AG52" s="64"/>
      <c r="AH52" s="796" t="s">
        <v>1948</v>
      </c>
      <c r="AI52" s="72">
        <f t="shared" si="288"/>
        <v>0</v>
      </c>
      <c r="AJ52" s="64"/>
      <c r="AK52" s="806" t="s">
        <v>2051</v>
      </c>
      <c r="AL52" s="72">
        <f t="shared" si="289"/>
        <v>0</v>
      </c>
      <c r="AM52" s="64"/>
      <c r="AN52" s="796" t="s">
        <v>1955</v>
      </c>
      <c r="AO52" s="72">
        <f t="shared" si="179"/>
        <v>0</v>
      </c>
      <c r="AP52" s="64"/>
      <c r="AQ52" s="806" t="s">
        <v>1955</v>
      </c>
      <c r="AR52" s="72">
        <f t="shared" si="180"/>
        <v>0</v>
      </c>
      <c r="AS52" s="64"/>
      <c r="AT52" s="796" t="s">
        <v>1960</v>
      </c>
      <c r="AU52" s="72">
        <f t="shared" si="181"/>
        <v>0</v>
      </c>
      <c r="AV52" s="64"/>
      <c r="AW52" s="796" t="s">
        <v>1948</v>
      </c>
      <c r="AX52" s="72">
        <f t="shared" si="290"/>
        <v>0</v>
      </c>
      <c r="AY52" s="64"/>
      <c r="AZ52" s="796" t="s">
        <v>1963</v>
      </c>
      <c r="BA52" s="72">
        <f t="shared" si="291"/>
        <v>0</v>
      </c>
      <c r="BB52" s="64"/>
      <c r="BC52" s="796" t="s">
        <v>1960</v>
      </c>
      <c r="BD52" s="72">
        <f t="shared" si="182"/>
        <v>0</v>
      </c>
      <c r="BE52" s="64"/>
      <c r="BF52" s="796" t="s">
        <v>1948</v>
      </c>
      <c r="BG52" s="72">
        <f t="shared" si="183"/>
        <v>0</v>
      </c>
      <c r="BH52" s="64"/>
      <c r="BI52" s="796" t="s">
        <v>1955</v>
      </c>
      <c r="BJ52" s="72">
        <f t="shared" si="184"/>
        <v>0</v>
      </c>
      <c r="BK52" s="64"/>
      <c r="BL52" s="796" t="s">
        <v>1958</v>
      </c>
      <c r="BM52" s="72">
        <f t="shared" si="292"/>
        <v>0</v>
      </c>
      <c r="BN52" s="64"/>
      <c r="BO52" s="816" t="s">
        <v>1960</v>
      </c>
      <c r="BP52" s="72">
        <f t="shared" si="293"/>
        <v>0</v>
      </c>
      <c r="BQ52" s="64"/>
      <c r="BR52" s="796" t="s">
        <v>2007</v>
      </c>
      <c r="BS52" s="72">
        <f t="shared" si="185"/>
        <v>0</v>
      </c>
      <c r="BT52" s="64"/>
      <c r="BU52" s="796" t="s">
        <v>1960</v>
      </c>
      <c r="BV52" s="72">
        <f t="shared" si="186"/>
        <v>0</v>
      </c>
      <c r="BW52" s="64"/>
      <c r="BX52" s="73" t="s">
        <v>1960</v>
      </c>
      <c r="BY52" s="72">
        <f t="shared" si="187"/>
        <v>0</v>
      </c>
      <c r="BZ52" s="64"/>
      <c r="CA52" s="816" t="s">
        <v>1955</v>
      </c>
      <c r="CB52" s="72">
        <f t="shared" si="294"/>
        <v>0</v>
      </c>
      <c r="CC52" s="64"/>
      <c r="CD52" s="825" t="s">
        <v>1957</v>
      </c>
      <c r="CE52" s="72">
        <f t="shared" si="295"/>
        <v>0</v>
      </c>
      <c r="CF52" s="64"/>
      <c r="CG52" s="796" t="s">
        <v>1948</v>
      </c>
      <c r="CH52" s="72">
        <f t="shared" si="188"/>
        <v>0</v>
      </c>
      <c r="CI52" s="64"/>
      <c r="CJ52" s="796" t="s">
        <v>1956</v>
      </c>
      <c r="CK52" s="72">
        <f t="shared" si="189"/>
        <v>0</v>
      </c>
      <c r="CL52" s="64"/>
      <c r="CM52" s="796" t="s">
        <v>1955</v>
      </c>
      <c r="CN52" s="72">
        <f t="shared" si="190"/>
        <v>0</v>
      </c>
      <c r="CO52" s="64"/>
      <c r="CP52" s="796" t="s">
        <v>1956</v>
      </c>
      <c r="CQ52" s="72">
        <f t="shared" si="296"/>
        <v>0</v>
      </c>
      <c r="CR52" s="64"/>
      <c r="CS52" s="796" t="s">
        <v>1948</v>
      </c>
      <c r="CT52" s="72">
        <f t="shared" si="297"/>
        <v>0</v>
      </c>
      <c r="CU52" s="64"/>
      <c r="CV52" s="796" t="s">
        <v>1960</v>
      </c>
      <c r="CW52" s="72">
        <f t="shared" si="191"/>
        <v>0</v>
      </c>
      <c r="CX52" s="64"/>
      <c r="CY52" s="796" t="s">
        <v>1961</v>
      </c>
      <c r="CZ52" s="72">
        <f t="shared" si="250"/>
        <v>0</v>
      </c>
      <c r="DA52" s="64"/>
      <c r="DB52" s="796" t="s">
        <v>1955</v>
      </c>
      <c r="DC52" s="72">
        <f t="shared" si="192"/>
        <v>0</v>
      </c>
      <c r="DD52" s="64"/>
      <c r="DE52" s="796" t="s">
        <v>1960</v>
      </c>
      <c r="DF52" s="72">
        <f t="shared" si="281"/>
        <v>0</v>
      </c>
      <c r="DG52" s="64"/>
      <c r="DH52" s="796" t="s">
        <v>1960</v>
      </c>
      <c r="DI52" s="72">
        <f t="shared" si="282"/>
        <v>0</v>
      </c>
      <c r="DJ52" s="64"/>
      <c r="DK52" s="796" t="s">
        <v>1958</v>
      </c>
      <c r="DL52" s="72">
        <f t="shared" si="283"/>
        <v>0</v>
      </c>
      <c r="DM52" s="64"/>
      <c r="DN52" s="73"/>
      <c r="DO52" s="72">
        <f t="shared" si="196"/>
        <v>0</v>
      </c>
      <c r="DP52" s="64"/>
      <c r="DQ52" s="796" t="s">
        <v>1948</v>
      </c>
      <c r="DR52" s="72">
        <f t="shared" si="251"/>
        <v>0</v>
      </c>
      <c r="DS52" s="64"/>
      <c r="DT52" s="73" t="s">
        <v>1960</v>
      </c>
      <c r="DU52" s="72">
        <f t="shared" si="298"/>
        <v>0</v>
      </c>
      <c r="DV52" s="64"/>
      <c r="DW52" s="73"/>
      <c r="DX52" s="72">
        <f t="shared" si="299"/>
        <v>0</v>
      </c>
      <c r="DY52" s="64"/>
      <c r="DZ52" s="73"/>
      <c r="EA52" s="72">
        <f t="shared" si="284"/>
        <v>0</v>
      </c>
      <c r="EB52" s="64"/>
      <c r="EC52" s="73"/>
      <c r="ED52" s="72">
        <f t="shared" si="198"/>
        <v>0</v>
      </c>
      <c r="EE52" s="64"/>
      <c r="EF52" s="73"/>
      <c r="EG52" s="72">
        <f t="shared" si="199"/>
        <v>0</v>
      </c>
      <c r="EH52" s="64"/>
      <c r="EI52" s="73"/>
      <c r="EJ52" s="72">
        <f t="shared" si="300"/>
        <v>0</v>
      </c>
      <c r="EK52" s="64"/>
      <c r="EL52" s="73"/>
      <c r="EM52" s="72">
        <f t="shared" si="301"/>
        <v>0</v>
      </c>
      <c r="EN52" s="64"/>
      <c r="EO52" s="73"/>
      <c r="EP52" s="72">
        <f t="shared" si="200"/>
        <v>0</v>
      </c>
      <c r="EQ52" s="64"/>
      <c r="ER52" s="73"/>
      <c r="ES52" s="72">
        <f t="shared" si="201"/>
        <v>0</v>
      </c>
      <c r="ET52" s="64"/>
      <c r="EU52" s="73"/>
      <c r="EV52" s="72">
        <f t="shared" si="202"/>
        <v>0</v>
      </c>
      <c r="EW52" s="64"/>
      <c r="EX52" s="73"/>
      <c r="EY52" s="72">
        <f t="shared" si="302"/>
        <v>0</v>
      </c>
      <c r="EZ52" s="64"/>
      <c r="FA52" s="73"/>
      <c r="FB52" s="72">
        <f t="shared" si="303"/>
        <v>0</v>
      </c>
      <c r="FC52" s="64"/>
      <c r="FD52" s="73"/>
      <c r="FE52" s="72">
        <f t="shared" si="203"/>
        <v>0</v>
      </c>
      <c r="FF52" s="64"/>
      <c r="FG52" s="73"/>
      <c r="FH52" s="72">
        <f t="shared" si="204"/>
        <v>0</v>
      </c>
      <c r="FI52" s="64"/>
      <c r="FJ52" s="73"/>
      <c r="FK52" s="72">
        <f t="shared" si="205"/>
        <v>0</v>
      </c>
      <c r="FL52" s="64"/>
      <c r="FM52" s="73"/>
      <c r="FN52" s="72">
        <f t="shared" si="304"/>
        <v>0</v>
      </c>
      <c r="FO52" s="64"/>
      <c r="FP52" s="73"/>
      <c r="FQ52" s="72">
        <f t="shared" si="305"/>
        <v>0</v>
      </c>
      <c r="FR52" s="64"/>
      <c r="FS52" s="73"/>
      <c r="FT52" s="72">
        <f t="shared" si="206"/>
        <v>0</v>
      </c>
      <c r="FU52" s="64"/>
      <c r="FV52" s="73"/>
      <c r="FW52" s="72">
        <f t="shared" si="207"/>
        <v>0</v>
      </c>
      <c r="FX52" s="64"/>
      <c r="FY52" s="73"/>
      <c r="FZ52" s="72">
        <f t="shared" si="208"/>
        <v>0</v>
      </c>
      <c r="GA52" s="64"/>
      <c r="GB52" s="73"/>
      <c r="GC52" s="72">
        <f t="shared" si="306"/>
        <v>0</v>
      </c>
      <c r="GD52" s="64"/>
      <c r="GE52" s="73"/>
      <c r="GF52" s="72">
        <f t="shared" si="307"/>
        <v>0</v>
      </c>
      <c r="GG52" s="64"/>
      <c r="GH52" s="73"/>
      <c r="GI52" s="72">
        <f t="shared" si="209"/>
        <v>0</v>
      </c>
      <c r="GJ52" s="64"/>
      <c r="GK52" s="73"/>
      <c r="GL52" s="72">
        <f t="shared" si="210"/>
        <v>0</v>
      </c>
      <c r="GM52" s="64"/>
      <c r="GN52" s="73"/>
      <c r="GO52" s="72">
        <f t="shared" si="211"/>
        <v>0</v>
      </c>
      <c r="GP52" s="64"/>
      <c r="GQ52" s="73"/>
      <c r="GR52" s="72">
        <f t="shared" si="308"/>
        <v>0</v>
      </c>
      <c r="GS52" s="64"/>
      <c r="GT52" s="73"/>
      <c r="GU52" s="72">
        <f t="shared" si="309"/>
        <v>0</v>
      </c>
      <c r="GV52" s="64"/>
      <c r="GW52" s="73"/>
      <c r="GX52" s="72">
        <f t="shared" si="212"/>
        <v>0</v>
      </c>
      <c r="GY52" s="64"/>
      <c r="GZ52" s="73"/>
      <c r="HA52" s="72">
        <f t="shared" si="213"/>
        <v>0</v>
      </c>
      <c r="HB52" s="64"/>
      <c r="HC52" s="73"/>
      <c r="HD52" s="72">
        <f t="shared" si="214"/>
        <v>0</v>
      </c>
      <c r="HE52" s="64"/>
      <c r="HF52" s="73"/>
      <c r="HG52" s="72">
        <f t="shared" si="310"/>
        <v>0</v>
      </c>
      <c r="HH52" s="64"/>
      <c r="HI52" s="73"/>
      <c r="HJ52" s="72">
        <f t="shared" si="311"/>
        <v>0</v>
      </c>
      <c r="HK52" s="64"/>
      <c r="HL52" s="73"/>
      <c r="HM52" s="72">
        <f t="shared" si="215"/>
        <v>0</v>
      </c>
      <c r="HN52" s="64"/>
      <c r="HO52" s="73"/>
      <c r="HP52" s="72">
        <f t="shared" si="216"/>
        <v>0</v>
      </c>
      <c r="HQ52" s="64"/>
      <c r="HR52" s="73"/>
      <c r="HS52" s="72">
        <f t="shared" si="217"/>
        <v>0</v>
      </c>
      <c r="HT52" s="64"/>
      <c r="HU52" s="73"/>
      <c r="HV52" s="72">
        <f t="shared" si="312"/>
        <v>0</v>
      </c>
      <c r="HW52" s="64"/>
      <c r="HX52" s="73"/>
      <c r="HY52" s="72">
        <f t="shared" si="313"/>
        <v>0</v>
      </c>
      <c r="HZ52" s="64"/>
      <c r="IA52" s="73"/>
      <c r="IB52" s="72">
        <f t="shared" si="218"/>
        <v>0</v>
      </c>
      <c r="IC52" s="64"/>
      <c r="ID52" s="73"/>
      <c r="IE52" s="72">
        <f t="shared" si="219"/>
        <v>0</v>
      </c>
      <c r="IF52" s="64"/>
      <c r="IG52" s="73"/>
      <c r="IH52" s="72">
        <f t="shared" si="220"/>
        <v>0</v>
      </c>
      <c r="II52" s="64"/>
      <c r="IJ52" s="73"/>
      <c r="IK52" s="72">
        <f t="shared" si="314"/>
        <v>0</v>
      </c>
      <c r="IL52" s="64"/>
      <c r="IM52" s="73"/>
      <c r="IN52" s="72">
        <f t="shared" si="315"/>
        <v>0</v>
      </c>
      <c r="IO52" s="64"/>
      <c r="IP52" s="73"/>
      <c r="IQ52" s="72">
        <f t="shared" si="221"/>
        <v>0</v>
      </c>
      <c r="IR52" s="64"/>
      <c r="IS52" s="73"/>
      <c r="IT52" s="72">
        <f t="shared" si="222"/>
        <v>0</v>
      </c>
      <c r="IU52" s="64"/>
      <c r="IV52" s="73"/>
      <c r="IW52" s="72">
        <f t="shared" si="223"/>
        <v>0</v>
      </c>
      <c r="IX52" s="64"/>
      <c r="IY52" s="73"/>
      <c r="IZ52" s="72">
        <f t="shared" si="316"/>
        <v>0</v>
      </c>
      <c r="JA52" s="64"/>
      <c r="JB52" s="73"/>
      <c r="JC52" s="72">
        <f t="shared" si="317"/>
        <v>0</v>
      </c>
      <c r="JD52" s="64"/>
      <c r="JE52" s="73"/>
      <c r="JF52" s="72">
        <f t="shared" si="224"/>
        <v>0</v>
      </c>
      <c r="JG52" s="64"/>
      <c r="JH52" s="73"/>
      <c r="JI52" s="72">
        <f t="shared" si="225"/>
        <v>0</v>
      </c>
      <c r="JJ52" s="64"/>
      <c r="JK52" s="73"/>
      <c r="JL52" s="72">
        <f t="shared" si="226"/>
        <v>0</v>
      </c>
      <c r="JM52" s="64"/>
      <c r="JN52" s="73"/>
      <c r="JO52" s="72">
        <f t="shared" si="318"/>
        <v>0</v>
      </c>
      <c r="JP52" s="64"/>
      <c r="JQ52" s="73"/>
      <c r="JR52" s="72">
        <f t="shared" si="319"/>
        <v>0</v>
      </c>
      <c r="JS52" s="64"/>
      <c r="JT52" s="73"/>
      <c r="JU52" s="72">
        <f t="shared" si="227"/>
        <v>0</v>
      </c>
      <c r="JV52" s="64"/>
      <c r="JW52" s="73"/>
      <c r="JX52" s="72">
        <f t="shared" si="228"/>
        <v>0</v>
      </c>
      <c r="JY52" s="64"/>
      <c r="JZ52" s="73"/>
      <c r="KA52" s="72">
        <f t="shared" si="229"/>
        <v>0</v>
      </c>
      <c r="KB52" s="64"/>
      <c r="KC52" s="73"/>
      <c r="KD52" s="72">
        <f t="shared" si="320"/>
        <v>0</v>
      </c>
      <c r="KE52" s="64"/>
      <c r="KF52" s="73"/>
      <c r="KG52" s="72">
        <f t="shared" si="321"/>
        <v>0</v>
      </c>
      <c r="KH52" s="64"/>
      <c r="KI52" s="73"/>
      <c r="KJ52" s="72">
        <f t="shared" si="230"/>
        <v>0</v>
      </c>
      <c r="KK52" s="64"/>
      <c r="KL52" s="73"/>
      <c r="KM52" s="72">
        <f t="shared" si="231"/>
        <v>0</v>
      </c>
      <c r="KN52" s="64"/>
      <c r="KO52" s="73"/>
      <c r="KP52" s="72">
        <f t="shared" si="232"/>
        <v>0</v>
      </c>
      <c r="KQ52" s="64"/>
      <c r="KR52" s="73"/>
      <c r="KS52" s="72">
        <f t="shared" si="322"/>
        <v>0</v>
      </c>
      <c r="KT52" s="64"/>
      <c r="KU52" s="73"/>
      <c r="KV52" s="72">
        <f t="shared" si="323"/>
        <v>0</v>
      </c>
      <c r="KW52" s="64"/>
      <c r="KX52" s="73"/>
      <c r="KY52" s="72">
        <f t="shared" si="233"/>
        <v>0</v>
      </c>
      <c r="KZ52" s="64"/>
      <c r="LA52" s="73"/>
      <c r="LB52" s="72">
        <f t="shared" si="234"/>
        <v>0</v>
      </c>
      <c r="LC52" s="64"/>
      <c r="LD52" s="73"/>
      <c r="LE52" s="72">
        <f t="shared" si="235"/>
        <v>0</v>
      </c>
      <c r="LF52" s="64"/>
    </row>
    <row r="53" spans="1:318" s="784" customFormat="1">
      <c r="A53" s="49"/>
      <c r="B53" s="49"/>
      <c r="C53" s="17"/>
      <c r="D53" s="201"/>
      <c r="E53" s="88"/>
      <c r="F53" s="443">
        <f t="shared" si="236"/>
        <v>15</v>
      </c>
      <c r="G53" s="443">
        <f ca="1">VLOOKUP(H53,Equipos!$Q$1:$R$25,2,0)</f>
        <v>13</v>
      </c>
      <c r="H53" s="444">
        <f ca="1">TRUNC(INDEX(WORLDCUP!$X$4:$X$147,MATCH(ADMIN!K53,WORLDCUP!$DT$4:$DT$147,0))+INDEX(Horarios!$R$3:$R$86,MATCH(Horarios!$C$3,Horarios!$P$3:$P$86,0))/24)</f>
        <v>46196</v>
      </c>
      <c r="I53" s="48">
        <v>1</v>
      </c>
      <c r="J53" s="94"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276"/>
        <v>0</v>
      </c>
      <c r="R53" s="49"/>
      <c r="S53" s="796" t="s">
        <v>1962</v>
      </c>
      <c r="T53" s="78">
        <f t="shared" si="285"/>
        <v>0</v>
      </c>
      <c r="U53" s="64"/>
      <c r="V53" s="77" t="s">
        <v>1951</v>
      </c>
      <c r="W53" s="78">
        <f t="shared" si="286"/>
        <v>0</v>
      </c>
      <c r="X53" s="64"/>
      <c r="Y53" s="796" t="s">
        <v>1963</v>
      </c>
      <c r="Z53" s="78">
        <f t="shared" si="176"/>
        <v>0</v>
      </c>
      <c r="AA53" s="64"/>
      <c r="AB53" s="796" t="s">
        <v>1949</v>
      </c>
      <c r="AC53" s="78">
        <f t="shared" si="177"/>
        <v>0</v>
      </c>
      <c r="AD53" s="64"/>
      <c r="AE53" s="796" t="s">
        <v>1962</v>
      </c>
      <c r="AF53" s="78">
        <f t="shared" si="287"/>
        <v>0</v>
      </c>
      <c r="AG53" s="64"/>
      <c r="AH53" s="796" t="s">
        <v>1949</v>
      </c>
      <c r="AI53" s="78">
        <f t="shared" si="288"/>
        <v>0</v>
      </c>
      <c r="AJ53" s="64"/>
      <c r="AK53" s="806" t="s">
        <v>1950</v>
      </c>
      <c r="AL53" s="78">
        <f t="shared" si="289"/>
        <v>0</v>
      </c>
      <c r="AM53" s="64"/>
      <c r="AN53" s="796" t="s">
        <v>1947</v>
      </c>
      <c r="AO53" s="78">
        <f t="shared" si="179"/>
        <v>0</v>
      </c>
      <c r="AP53" s="64"/>
      <c r="AQ53" s="806" t="s">
        <v>1963</v>
      </c>
      <c r="AR53" s="78">
        <f t="shared" si="180"/>
        <v>0</v>
      </c>
      <c r="AS53" s="64"/>
      <c r="AT53" s="796" t="s">
        <v>2006</v>
      </c>
      <c r="AU53" s="78">
        <f t="shared" si="181"/>
        <v>0</v>
      </c>
      <c r="AV53" s="64"/>
      <c r="AW53" s="796" t="s">
        <v>1949</v>
      </c>
      <c r="AX53" s="78">
        <f t="shared" si="290"/>
        <v>0</v>
      </c>
      <c r="AY53" s="64"/>
      <c r="AZ53" s="796" t="s">
        <v>2343</v>
      </c>
      <c r="BA53" s="78">
        <f t="shared" si="291"/>
        <v>0</v>
      </c>
      <c r="BB53" s="64"/>
      <c r="BC53" s="796" t="s">
        <v>1949</v>
      </c>
      <c r="BD53" s="78">
        <f t="shared" si="182"/>
        <v>0</v>
      </c>
      <c r="BE53" s="64"/>
      <c r="BF53" s="796" t="s">
        <v>1947</v>
      </c>
      <c r="BG53" s="78">
        <f t="shared" si="183"/>
        <v>0</v>
      </c>
      <c r="BH53" s="64"/>
      <c r="BI53" s="796" t="s">
        <v>1963</v>
      </c>
      <c r="BJ53" s="78">
        <f t="shared" si="184"/>
        <v>0</v>
      </c>
      <c r="BK53" s="64"/>
      <c r="BL53" s="796" t="s">
        <v>1951</v>
      </c>
      <c r="BM53" s="78">
        <f t="shared" si="292"/>
        <v>0</v>
      </c>
      <c r="BN53" s="64"/>
      <c r="BO53" s="816" t="s">
        <v>2006</v>
      </c>
      <c r="BP53" s="78">
        <f t="shared" si="293"/>
        <v>0</v>
      </c>
      <c r="BQ53" s="64"/>
      <c r="BR53" s="796" t="s">
        <v>1963</v>
      </c>
      <c r="BS53" s="78">
        <f t="shared" si="185"/>
        <v>0</v>
      </c>
      <c r="BT53" s="64"/>
      <c r="BU53" s="796" t="s">
        <v>1962</v>
      </c>
      <c r="BV53" s="78">
        <f t="shared" si="186"/>
        <v>0</v>
      </c>
      <c r="BW53" s="64"/>
      <c r="BX53" s="77" t="s">
        <v>1951</v>
      </c>
      <c r="BY53" s="78">
        <f t="shared" si="187"/>
        <v>0</v>
      </c>
      <c r="BZ53" s="64"/>
      <c r="CA53" s="816" t="s">
        <v>1962</v>
      </c>
      <c r="CB53" s="78">
        <f t="shared" si="294"/>
        <v>0</v>
      </c>
      <c r="CC53" s="64"/>
      <c r="CD53" s="825" t="s">
        <v>1951</v>
      </c>
      <c r="CE53" s="78">
        <f t="shared" si="295"/>
        <v>0</v>
      </c>
      <c r="CF53" s="64"/>
      <c r="CG53" s="796" t="s">
        <v>1963</v>
      </c>
      <c r="CH53" s="78">
        <f t="shared" si="188"/>
        <v>0</v>
      </c>
      <c r="CI53" s="64"/>
      <c r="CJ53" s="796" t="s">
        <v>1963</v>
      </c>
      <c r="CK53" s="78">
        <f t="shared" si="189"/>
        <v>0</v>
      </c>
      <c r="CL53" s="64"/>
      <c r="CM53" s="796" t="s">
        <v>1961</v>
      </c>
      <c r="CN53" s="78">
        <f t="shared" si="190"/>
        <v>0</v>
      </c>
      <c r="CO53" s="64"/>
      <c r="CP53" s="796" t="s">
        <v>1963</v>
      </c>
      <c r="CQ53" s="78">
        <f t="shared" si="296"/>
        <v>0</v>
      </c>
      <c r="CR53" s="64"/>
      <c r="CS53" s="796" t="s">
        <v>1962</v>
      </c>
      <c r="CT53" s="78">
        <f t="shared" si="297"/>
        <v>0</v>
      </c>
      <c r="CU53" s="64"/>
      <c r="CV53" s="796" t="s">
        <v>1951</v>
      </c>
      <c r="CW53" s="78">
        <f t="shared" si="191"/>
        <v>0</v>
      </c>
      <c r="CX53" s="64"/>
      <c r="CY53" s="796" t="s">
        <v>1962</v>
      </c>
      <c r="CZ53" s="78">
        <f t="shared" si="250"/>
        <v>0</v>
      </c>
      <c r="DA53" s="64"/>
      <c r="DB53" s="796" t="s">
        <v>1947</v>
      </c>
      <c r="DC53" s="78">
        <f t="shared" si="192"/>
        <v>0</v>
      </c>
      <c r="DD53" s="64"/>
      <c r="DE53" s="796" t="s">
        <v>1951</v>
      </c>
      <c r="DF53" s="78">
        <f t="shared" si="281"/>
        <v>0</v>
      </c>
      <c r="DG53" s="64"/>
      <c r="DH53" s="796" t="s">
        <v>1963</v>
      </c>
      <c r="DI53" s="78">
        <f t="shared" si="282"/>
        <v>0</v>
      </c>
      <c r="DJ53" s="64"/>
      <c r="DK53" s="796" t="s">
        <v>1962</v>
      </c>
      <c r="DL53" s="78">
        <f t="shared" si="283"/>
        <v>0</v>
      </c>
      <c r="DM53" s="64"/>
      <c r="DN53" s="77"/>
      <c r="DO53" s="78">
        <f t="shared" si="196"/>
        <v>0</v>
      </c>
      <c r="DP53" s="64"/>
      <c r="DQ53" s="796" t="s">
        <v>1962</v>
      </c>
      <c r="DR53" s="78">
        <f t="shared" si="251"/>
        <v>0</v>
      </c>
      <c r="DS53" s="64"/>
      <c r="DT53" s="77" t="s">
        <v>1962</v>
      </c>
      <c r="DU53" s="78">
        <f t="shared" si="298"/>
        <v>0</v>
      </c>
      <c r="DV53" s="64"/>
      <c r="DW53" s="77"/>
      <c r="DX53" s="78">
        <f t="shared" si="299"/>
        <v>0</v>
      </c>
      <c r="DY53" s="64"/>
      <c r="DZ53" s="77"/>
      <c r="EA53" s="78">
        <f t="shared" si="284"/>
        <v>0</v>
      </c>
      <c r="EB53" s="64"/>
      <c r="EC53" s="77"/>
      <c r="ED53" s="78">
        <f t="shared" si="198"/>
        <v>0</v>
      </c>
      <c r="EE53" s="64"/>
      <c r="EF53" s="77"/>
      <c r="EG53" s="78">
        <f t="shared" si="199"/>
        <v>0</v>
      </c>
      <c r="EH53" s="64"/>
      <c r="EI53" s="77"/>
      <c r="EJ53" s="78">
        <f t="shared" si="300"/>
        <v>0</v>
      </c>
      <c r="EK53" s="64"/>
      <c r="EL53" s="77"/>
      <c r="EM53" s="78">
        <f t="shared" si="301"/>
        <v>0</v>
      </c>
      <c r="EN53" s="64"/>
      <c r="EO53" s="77"/>
      <c r="EP53" s="78">
        <f t="shared" si="200"/>
        <v>0</v>
      </c>
      <c r="EQ53" s="64"/>
      <c r="ER53" s="77"/>
      <c r="ES53" s="78">
        <f t="shared" si="201"/>
        <v>0</v>
      </c>
      <c r="ET53" s="64"/>
      <c r="EU53" s="77"/>
      <c r="EV53" s="78">
        <f t="shared" si="202"/>
        <v>0</v>
      </c>
      <c r="EW53" s="64"/>
      <c r="EX53" s="77"/>
      <c r="EY53" s="78">
        <f t="shared" si="302"/>
        <v>0</v>
      </c>
      <c r="EZ53" s="64"/>
      <c r="FA53" s="77"/>
      <c r="FB53" s="78">
        <f t="shared" si="303"/>
        <v>0</v>
      </c>
      <c r="FC53" s="64"/>
      <c r="FD53" s="77"/>
      <c r="FE53" s="78">
        <f t="shared" si="203"/>
        <v>0</v>
      </c>
      <c r="FF53" s="64"/>
      <c r="FG53" s="77"/>
      <c r="FH53" s="78">
        <f t="shared" si="204"/>
        <v>0</v>
      </c>
      <c r="FI53" s="64"/>
      <c r="FJ53" s="77"/>
      <c r="FK53" s="78">
        <f t="shared" si="205"/>
        <v>0</v>
      </c>
      <c r="FL53" s="64"/>
      <c r="FM53" s="77"/>
      <c r="FN53" s="78">
        <f t="shared" si="304"/>
        <v>0</v>
      </c>
      <c r="FO53" s="64"/>
      <c r="FP53" s="77"/>
      <c r="FQ53" s="78">
        <f t="shared" si="305"/>
        <v>0</v>
      </c>
      <c r="FR53" s="64"/>
      <c r="FS53" s="77"/>
      <c r="FT53" s="78">
        <f t="shared" si="206"/>
        <v>0</v>
      </c>
      <c r="FU53" s="64"/>
      <c r="FV53" s="77"/>
      <c r="FW53" s="78">
        <f t="shared" si="207"/>
        <v>0</v>
      </c>
      <c r="FX53" s="64"/>
      <c r="FY53" s="77"/>
      <c r="FZ53" s="78">
        <f t="shared" si="208"/>
        <v>0</v>
      </c>
      <c r="GA53" s="64"/>
      <c r="GB53" s="77"/>
      <c r="GC53" s="78">
        <f t="shared" si="306"/>
        <v>0</v>
      </c>
      <c r="GD53" s="64"/>
      <c r="GE53" s="77"/>
      <c r="GF53" s="78">
        <f t="shared" si="307"/>
        <v>0</v>
      </c>
      <c r="GG53" s="64"/>
      <c r="GH53" s="77"/>
      <c r="GI53" s="78">
        <f t="shared" si="209"/>
        <v>0</v>
      </c>
      <c r="GJ53" s="64"/>
      <c r="GK53" s="77"/>
      <c r="GL53" s="78">
        <f t="shared" si="210"/>
        <v>0</v>
      </c>
      <c r="GM53" s="64"/>
      <c r="GN53" s="77"/>
      <c r="GO53" s="78">
        <f t="shared" si="211"/>
        <v>0</v>
      </c>
      <c r="GP53" s="64"/>
      <c r="GQ53" s="77"/>
      <c r="GR53" s="78">
        <f t="shared" si="308"/>
        <v>0</v>
      </c>
      <c r="GS53" s="64"/>
      <c r="GT53" s="77"/>
      <c r="GU53" s="78">
        <f t="shared" si="309"/>
        <v>0</v>
      </c>
      <c r="GV53" s="64"/>
      <c r="GW53" s="77"/>
      <c r="GX53" s="78">
        <f t="shared" si="212"/>
        <v>0</v>
      </c>
      <c r="GY53" s="64"/>
      <c r="GZ53" s="77"/>
      <c r="HA53" s="78">
        <f t="shared" si="213"/>
        <v>0</v>
      </c>
      <c r="HB53" s="64"/>
      <c r="HC53" s="77"/>
      <c r="HD53" s="78">
        <f t="shared" si="214"/>
        <v>0</v>
      </c>
      <c r="HE53" s="64"/>
      <c r="HF53" s="77"/>
      <c r="HG53" s="78">
        <f t="shared" si="310"/>
        <v>0</v>
      </c>
      <c r="HH53" s="64"/>
      <c r="HI53" s="77"/>
      <c r="HJ53" s="78">
        <f t="shared" si="311"/>
        <v>0</v>
      </c>
      <c r="HK53" s="64"/>
      <c r="HL53" s="77"/>
      <c r="HM53" s="78">
        <f t="shared" si="215"/>
        <v>0</v>
      </c>
      <c r="HN53" s="64"/>
      <c r="HO53" s="77"/>
      <c r="HP53" s="78">
        <f t="shared" si="216"/>
        <v>0</v>
      </c>
      <c r="HQ53" s="64"/>
      <c r="HR53" s="77"/>
      <c r="HS53" s="78">
        <f t="shared" si="217"/>
        <v>0</v>
      </c>
      <c r="HT53" s="64"/>
      <c r="HU53" s="77"/>
      <c r="HV53" s="78">
        <f t="shared" si="312"/>
        <v>0</v>
      </c>
      <c r="HW53" s="64"/>
      <c r="HX53" s="77"/>
      <c r="HY53" s="78">
        <f t="shared" si="313"/>
        <v>0</v>
      </c>
      <c r="HZ53" s="64"/>
      <c r="IA53" s="77"/>
      <c r="IB53" s="78">
        <f t="shared" si="218"/>
        <v>0</v>
      </c>
      <c r="IC53" s="64"/>
      <c r="ID53" s="77"/>
      <c r="IE53" s="78">
        <f t="shared" si="219"/>
        <v>0</v>
      </c>
      <c r="IF53" s="64"/>
      <c r="IG53" s="77"/>
      <c r="IH53" s="78">
        <f t="shared" si="220"/>
        <v>0</v>
      </c>
      <c r="II53" s="64"/>
      <c r="IJ53" s="77"/>
      <c r="IK53" s="78">
        <f t="shared" si="314"/>
        <v>0</v>
      </c>
      <c r="IL53" s="64"/>
      <c r="IM53" s="77"/>
      <c r="IN53" s="78">
        <f t="shared" si="315"/>
        <v>0</v>
      </c>
      <c r="IO53" s="64"/>
      <c r="IP53" s="77"/>
      <c r="IQ53" s="78">
        <f t="shared" si="221"/>
        <v>0</v>
      </c>
      <c r="IR53" s="64"/>
      <c r="IS53" s="77"/>
      <c r="IT53" s="78">
        <f t="shared" si="222"/>
        <v>0</v>
      </c>
      <c r="IU53" s="64"/>
      <c r="IV53" s="77"/>
      <c r="IW53" s="78">
        <f t="shared" si="223"/>
        <v>0</v>
      </c>
      <c r="IX53" s="64"/>
      <c r="IY53" s="77"/>
      <c r="IZ53" s="78">
        <f t="shared" si="316"/>
        <v>0</v>
      </c>
      <c r="JA53" s="64"/>
      <c r="JB53" s="77"/>
      <c r="JC53" s="78">
        <f t="shared" si="317"/>
        <v>0</v>
      </c>
      <c r="JD53" s="64"/>
      <c r="JE53" s="77"/>
      <c r="JF53" s="78">
        <f t="shared" si="224"/>
        <v>0</v>
      </c>
      <c r="JG53" s="64"/>
      <c r="JH53" s="77"/>
      <c r="JI53" s="78">
        <f t="shared" si="225"/>
        <v>0</v>
      </c>
      <c r="JJ53" s="64"/>
      <c r="JK53" s="77"/>
      <c r="JL53" s="78">
        <f t="shared" si="226"/>
        <v>0</v>
      </c>
      <c r="JM53" s="64"/>
      <c r="JN53" s="77"/>
      <c r="JO53" s="78">
        <f t="shared" si="318"/>
        <v>0</v>
      </c>
      <c r="JP53" s="64"/>
      <c r="JQ53" s="77"/>
      <c r="JR53" s="78">
        <f t="shared" si="319"/>
        <v>0</v>
      </c>
      <c r="JS53" s="64"/>
      <c r="JT53" s="77"/>
      <c r="JU53" s="78">
        <f t="shared" si="227"/>
        <v>0</v>
      </c>
      <c r="JV53" s="64"/>
      <c r="JW53" s="77"/>
      <c r="JX53" s="78">
        <f t="shared" si="228"/>
        <v>0</v>
      </c>
      <c r="JY53" s="64"/>
      <c r="JZ53" s="77"/>
      <c r="KA53" s="78">
        <f t="shared" si="229"/>
        <v>0</v>
      </c>
      <c r="KB53" s="64"/>
      <c r="KC53" s="77"/>
      <c r="KD53" s="78">
        <f t="shared" si="320"/>
        <v>0</v>
      </c>
      <c r="KE53" s="64"/>
      <c r="KF53" s="77"/>
      <c r="KG53" s="78">
        <f t="shared" si="321"/>
        <v>0</v>
      </c>
      <c r="KH53" s="64"/>
      <c r="KI53" s="77"/>
      <c r="KJ53" s="78">
        <f t="shared" si="230"/>
        <v>0</v>
      </c>
      <c r="KK53" s="64"/>
      <c r="KL53" s="77"/>
      <c r="KM53" s="78">
        <f t="shared" si="231"/>
        <v>0</v>
      </c>
      <c r="KN53" s="64"/>
      <c r="KO53" s="77"/>
      <c r="KP53" s="78">
        <f t="shared" si="232"/>
        <v>0</v>
      </c>
      <c r="KQ53" s="64"/>
      <c r="KR53" s="77"/>
      <c r="KS53" s="78">
        <f t="shared" si="322"/>
        <v>0</v>
      </c>
      <c r="KT53" s="64"/>
      <c r="KU53" s="77"/>
      <c r="KV53" s="78">
        <f t="shared" si="323"/>
        <v>0</v>
      </c>
      <c r="KW53" s="64"/>
      <c r="KX53" s="77"/>
      <c r="KY53" s="78">
        <f t="shared" si="233"/>
        <v>0</v>
      </c>
      <c r="KZ53" s="64"/>
      <c r="LA53" s="77"/>
      <c r="LB53" s="78">
        <f t="shared" si="234"/>
        <v>0</v>
      </c>
      <c r="LC53" s="64"/>
      <c r="LD53" s="77"/>
      <c r="LE53" s="78">
        <f t="shared" si="235"/>
        <v>0</v>
      </c>
      <c r="LF53" s="64"/>
    </row>
    <row r="54" spans="1:318" s="784" customFormat="1">
      <c r="A54" s="49"/>
      <c r="B54" s="49"/>
      <c r="C54" s="17"/>
      <c r="D54" s="201"/>
      <c r="E54" s="88"/>
      <c r="F54" s="443">
        <f t="shared" si="236"/>
        <v>15</v>
      </c>
      <c r="G54" s="443">
        <f ca="1">VLOOKUP(H54,Equipos!$Q$1:$R$25,2,0)</f>
        <v>14</v>
      </c>
      <c r="H54" s="444">
        <f ca="1">TRUNC(INDEX(WORLDCUP!$X$4:$X$147,MATCH(ADMIN!K54,WORLDCUP!$DT$4:$DT$147,0))+INDEX(Horarios!$R$3:$R$86,MATCH(Horarios!$C$3,Horarios!$P$3:$P$86,0))/24)</f>
        <v>46197</v>
      </c>
      <c r="I54" s="48">
        <v>1</v>
      </c>
      <c r="J54" s="93"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276"/>
        <v>0</v>
      </c>
      <c r="R54" s="49"/>
      <c r="S54" s="796" t="s">
        <v>1962</v>
      </c>
      <c r="T54" s="76">
        <f t="shared" si="285"/>
        <v>0</v>
      </c>
      <c r="U54" s="64"/>
      <c r="V54" s="75" t="s">
        <v>1961</v>
      </c>
      <c r="W54" s="76">
        <f t="shared" si="286"/>
        <v>0</v>
      </c>
      <c r="X54" s="64"/>
      <c r="Y54" s="796" t="s">
        <v>1949</v>
      </c>
      <c r="Z54" s="76">
        <f t="shared" si="176"/>
        <v>0</v>
      </c>
      <c r="AA54" s="64"/>
      <c r="AB54" s="796" t="s">
        <v>1961</v>
      </c>
      <c r="AC54" s="76">
        <f t="shared" si="177"/>
        <v>0</v>
      </c>
      <c r="AD54" s="64"/>
      <c r="AE54" s="796" t="s">
        <v>1949</v>
      </c>
      <c r="AF54" s="76">
        <f t="shared" si="287"/>
        <v>0</v>
      </c>
      <c r="AG54" s="64"/>
      <c r="AH54" s="796" t="s">
        <v>1950</v>
      </c>
      <c r="AI54" s="76">
        <f t="shared" si="288"/>
        <v>0</v>
      </c>
      <c r="AJ54" s="64"/>
      <c r="AK54" s="806" t="s">
        <v>1951</v>
      </c>
      <c r="AL54" s="76">
        <f t="shared" si="289"/>
        <v>0</v>
      </c>
      <c r="AM54" s="64"/>
      <c r="AN54" s="796" t="s">
        <v>1963</v>
      </c>
      <c r="AO54" s="76">
        <f t="shared" si="179"/>
        <v>0</v>
      </c>
      <c r="AP54" s="64"/>
      <c r="AQ54" s="806" t="s">
        <v>1955</v>
      </c>
      <c r="AR54" s="76">
        <f t="shared" si="180"/>
        <v>0</v>
      </c>
      <c r="AS54" s="64"/>
      <c r="AT54" s="796" t="s">
        <v>1949</v>
      </c>
      <c r="AU54" s="76">
        <f t="shared" si="181"/>
        <v>0</v>
      </c>
      <c r="AV54" s="64"/>
      <c r="AW54" s="796" t="s">
        <v>2007</v>
      </c>
      <c r="AX54" s="76">
        <f t="shared" si="290"/>
        <v>0</v>
      </c>
      <c r="AY54" s="64"/>
      <c r="AZ54" s="796" t="s">
        <v>1956</v>
      </c>
      <c r="BA54" s="76">
        <f t="shared" si="291"/>
        <v>0</v>
      </c>
      <c r="BB54" s="64"/>
      <c r="BC54" s="796" t="s">
        <v>2007</v>
      </c>
      <c r="BD54" s="76">
        <f t="shared" si="182"/>
        <v>0</v>
      </c>
      <c r="BE54" s="64"/>
      <c r="BF54" s="796" t="s">
        <v>1949</v>
      </c>
      <c r="BG54" s="76">
        <f t="shared" si="183"/>
        <v>0</v>
      </c>
      <c r="BH54" s="64"/>
      <c r="BI54" s="796" t="s">
        <v>1961</v>
      </c>
      <c r="BJ54" s="76">
        <f t="shared" si="184"/>
        <v>0</v>
      </c>
      <c r="BK54" s="64"/>
      <c r="BL54" s="796" t="s">
        <v>1949</v>
      </c>
      <c r="BM54" s="76">
        <f t="shared" si="292"/>
        <v>0</v>
      </c>
      <c r="BN54" s="64"/>
      <c r="BO54" s="816" t="s">
        <v>2007</v>
      </c>
      <c r="BP54" s="76">
        <f t="shared" si="293"/>
        <v>0</v>
      </c>
      <c r="BQ54" s="64"/>
      <c r="BR54" s="796" t="s">
        <v>1961</v>
      </c>
      <c r="BS54" s="76">
        <f t="shared" si="185"/>
        <v>0</v>
      </c>
      <c r="BT54" s="64"/>
      <c r="BU54" s="796" t="s">
        <v>1962</v>
      </c>
      <c r="BV54" s="76">
        <f t="shared" si="186"/>
        <v>0</v>
      </c>
      <c r="BW54" s="64"/>
      <c r="BX54" s="75" t="s">
        <v>1947</v>
      </c>
      <c r="BY54" s="76">
        <f t="shared" si="187"/>
        <v>0</v>
      </c>
      <c r="BZ54" s="64"/>
      <c r="CA54" s="816" t="s">
        <v>1963</v>
      </c>
      <c r="CB54" s="76">
        <f t="shared" si="294"/>
        <v>0</v>
      </c>
      <c r="CC54" s="64"/>
      <c r="CD54" s="825" t="s">
        <v>1956</v>
      </c>
      <c r="CE54" s="76">
        <f t="shared" si="295"/>
        <v>0</v>
      </c>
      <c r="CF54" s="64"/>
      <c r="CG54" s="796" t="s">
        <v>1950</v>
      </c>
      <c r="CH54" s="76">
        <f t="shared" si="188"/>
        <v>0</v>
      </c>
      <c r="CI54" s="64"/>
      <c r="CJ54" s="796" t="s">
        <v>1961</v>
      </c>
      <c r="CK54" s="76">
        <f t="shared" si="189"/>
        <v>0</v>
      </c>
      <c r="CL54" s="64"/>
      <c r="CM54" s="796" t="s">
        <v>1963</v>
      </c>
      <c r="CN54" s="76">
        <f t="shared" si="190"/>
        <v>0</v>
      </c>
      <c r="CO54" s="64"/>
      <c r="CP54" s="796" t="s">
        <v>1955</v>
      </c>
      <c r="CQ54" s="76">
        <f t="shared" si="296"/>
        <v>0</v>
      </c>
      <c r="CR54" s="64"/>
      <c r="CS54" s="796" t="s">
        <v>1963</v>
      </c>
      <c r="CT54" s="76">
        <f t="shared" si="297"/>
        <v>0</v>
      </c>
      <c r="CU54" s="64"/>
      <c r="CV54" s="796" t="s">
        <v>1962</v>
      </c>
      <c r="CW54" s="76">
        <f t="shared" si="191"/>
        <v>0</v>
      </c>
      <c r="CX54" s="64"/>
      <c r="CY54" s="796" t="s">
        <v>1962</v>
      </c>
      <c r="CZ54" s="76">
        <f t="shared" si="250"/>
        <v>0</v>
      </c>
      <c r="DA54" s="64"/>
      <c r="DB54" s="796" t="s">
        <v>1949</v>
      </c>
      <c r="DC54" s="76">
        <f t="shared" si="192"/>
        <v>0</v>
      </c>
      <c r="DD54" s="64"/>
      <c r="DE54" s="796" t="s">
        <v>2007</v>
      </c>
      <c r="DF54" s="76">
        <f t="shared" si="281"/>
        <v>0</v>
      </c>
      <c r="DG54" s="64"/>
      <c r="DH54" s="796" t="s">
        <v>1955</v>
      </c>
      <c r="DI54" s="76">
        <f t="shared" si="282"/>
        <v>0</v>
      </c>
      <c r="DJ54" s="64"/>
      <c r="DK54" s="796" t="s">
        <v>1949</v>
      </c>
      <c r="DL54" s="76">
        <f t="shared" si="283"/>
        <v>0</v>
      </c>
      <c r="DM54" s="64"/>
      <c r="DN54" s="75" t="str">
        <f>Idiomas!$D$366</f>
        <v>Pegar Valores (J3)</v>
      </c>
      <c r="DO54" s="76">
        <f t="shared" si="196"/>
        <v>0</v>
      </c>
      <c r="DP54" s="64"/>
      <c r="DQ54" s="796" t="s">
        <v>1961</v>
      </c>
      <c r="DR54" s="76">
        <f t="shared" si="251"/>
        <v>0</v>
      </c>
      <c r="DS54" s="64"/>
      <c r="DT54" s="75" t="s">
        <v>1961</v>
      </c>
      <c r="DU54" s="76">
        <f t="shared" si="298"/>
        <v>0</v>
      </c>
      <c r="DV54" s="64"/>
      <c r="DW54" s="75" t="str">
        <f>Idiomas!$D$366</f>
        <v>Pegar Valores (J3)</v>
      </c>
      <c r="DX54" s="76">
        <f t="shared" si="299"/>
        <v>0</v>
      </c>
      <c r="DY54" s="64"/>
      <c r="DZ54" s="75" t="str">
        <f>Idiomas!$D$366</f>
        <v>Pegar Valores (J3)</v>
      </c>
      <c r="EA54" s="76">
        <f t="shared" si="284"/>
        <v>0</v>
      </c>
      <c r="EB54" s="64"/>
      <c r="EC54" s="75" t="str">
        <f>Idiomas!$D$366</f>
        <v>Pegar Valores (J3)</v>
      </c>
      <c r="ED54" s="76">
        <f t="shared" si="198"/>
        <v>0</v>
      </c>
      <c r="EE54" s="64"/>
      <c r="EF54" s="75" t="str">
        <f>Idiomas!$D$366</f>
        <v>Pegar Valores (J3)</v>
      </c>
      <c r="EG54" s="76">
        <f t="shared" si="199"/>
        <v>0</v>
      </c>
      <c r="EH54" s="64"/>
      <c r="EI54" s="75" t="str">
        <f>Idiomas!$D$366</f>
        <v>Pegar Valores (J3)</v>
      </c>
      <c r="EJ54" s="76">
        <f t="shared" si="300"/>
        <v>0</v>
      </c>
      <c r="EK54" s="64"/>
      <c r="EL54" s="75" t="str">
        <f>Idiomas!$D$366</f>
        <v>Pegar Valores (J3)</v>
      </c>
      <c r="EM54" s="76">
        <f t="shared" si="301"/>
        <v>0</v>
      </c>
      <c r="EN54" s="64"/>
      <c r="EO54" s="75" t="str">
        <f>Idiomas!$D$366</f>
        <v>Pegar Valores (J3)</v>
      </c>
      <c r="EP54" s="76">
        <f t="shared" si="200"/>
        <v>0</v>
      </c>
      <c r="EQ54" s="64"/>
      <c r="ER54" s="75" t="str">
        <f>Idiomas!$D$366</f>
        <v>Pegar Valores (J3)</v>
      </c>
      <c r="ES54" s="76">
        <f t="shared" si="201"/>
        <v>0</v>
      </c>
      <c r="ET54" s="64"/>
      <c r="EU54" s="75" t="str">
        <f>Idiomas!$D$366</f>
        <v>Pegar Valores (J3)</v>
      </c>
      <c r="EV54" s="76">
        <f t="shared" si="202"/>
        <v>0</v>
      </c>
      <c r="EW54" s="64"/>
      <c r="EX54" s="75" t="str">
        <f>Idiomas!$D$366</f>
        <v>Pegar Valores (J3)</v>
      </c>
      <c r="EY54" s="76">
        <f t="shared" si="302"/>
        <v>0</v>
      </c>
      <c r="EZ54" s="64"/>
      <c r="FA54" s="75" t="str">
        <f>Idiomas!$D$366</f>
        <v>Pegar Valores (J3)</v>
      </c>
      <c r="FB54" s="76">
        <f t="shared" si="303"/>
        <v>0</v>
      </c>
      <c r="FC54" s="64"/>
      <c r="FD54" s="75" t="str">
        <f>Idiomas!$D$366</f>
        <v>Pegar Valores (J3)</v>
      </c>
      <c r="FE54" s="76">
        <f t="shared" si="203"/>
        <v>0</v>
      </c>
      <c r="FF54" s="64"/>
      <c r="FG54" s="75" t="str">
        <f>Idiomas!$D$366</f>
        <v>Pegar Valores (J3)</v>
      </c>
      <c r="FH54" s="76">
        <f t="shared" si="204"/>
        <v>0</v>
      </c>
      <c r="FI54" s="64"/>
      <c r="FJ54" s="75" t="str">
        <f>Idiomas!$D$366</f>
        <v>Pegar Valores (J3)</v>
      </c>
      <c r="FK54" s="76">
        <f t="shared" si="205"/>
        <v>0</v>
      </c>
      <c r="FL54" s="64"/>
      <c r="FM54" s="75" t="str">
        <f>Idiomas!$D$366</f>
        <v>Pegar Valores (J3)</v>
      </c>
      <c r="FN54" s="76">
        <f t="shared" si="304"/>
        <v>0</v>
      </c>
      <c r="FO54" s="64"/>
      <c r="FP54" s="75" t="str">
        <f>Idiomas!$D$366</f>
        <v>Pegar Valores (J3)</v>
      </c>
      <c r="FQ54" s="76">
        <f t="shared" si="305"/>
        <v>0</v>
      </c>
      <c r="FR54" s="64"/>
      <c r="FS54" s="75" t="str">
        <f>Idiomas!$D$366</f>
        <v>Pegar Valores (J3)</v>
      </c>
      <c r="FT54" s="76">
        <f t="shared" si="206"/>
        <v>0</v>
      </c>
      <c r="FU54" s="64"/>
      <c r="FV54" s="75" t="str">
        <f>Idiomas!$D$366</f>
        <v>Pegar Valores (J3)</v>
      </c>
      <c r="FW54" s="76">
        <f t="shared" si="207"/>
        <v>0</v>
      </c>
      <c r="FX54" s="64"/>
      <c r="FY54" s="75" t="str">
        <f>Idiomas!$D$366</f>
        <v>Pegar Valores (J3)</v>
      </c>
      <c r="FZ54" s="76">
        <f t="shared" si="208"/>
        <v>0</v>
      </c>
      <c r="GA54" s="64"/>
      <c r="GB54" s="75" t="str">
        <f>Idiomas!$D$366</f>
        <v>Pegar Valores (J3)</v>
      </c>
      <c r="GC54" s="76">
        <f t="shared" si="306"/>
        <v>0</v>
      </c>
      <c r="GD54" s="64"/>
      <c r="GE54" s="75" t="str">
        <f>Idiomas!$D$366</f>
        <v>Pegar Valores (J3)</v>
      </c>
      <c r="GF54" s="76">
        <f t="shared" si="307"/>
        <v>0</v>
      </c>
      <c r="GG54" s="64"/>
      <c r="GH54" s="75" t="str">
        <f>Idiomas!$D$366</f>
        <v>Pegar Valores (J3)</v>
      </c>
      <c r="GI54" s="76">
        <f t="shared" si="209"/>
        <v>0</v>
      </c>
      <c r="GJ54" s="64"/>
      <c r="GK54" s="75" t="str">
        <f>Idiomas!$D$366</f>
        <v>Pegar Valores (J3)</v>
      </c>
      <c r="GL54" s="76">
        <f t="shared" si="210"/>
        <v>0</v>
      </c>
      <c r="GM54" s="64"/>
      <c r="GN54" s="75" t="str">
        <f>Idiomas!$D$366</f>
        <v>Pegar Valores (J3)</v>
      </c>
      <c r="GO54" s="76">
        <f t="shared" si="211"/>
        <v>0</v>
      </c>
      <c r="GP54" s="64"/>
      <c r="GQ54" s="75" t="str">
        <f>Idiomas!$D$366</f>
        <v>Pegar Valores (J3)</v>
      </c>
      <c r="GR54" s="76">
        <f t="shared" si="308"/>
        <v>0</v>
      </c>
      <c r="GS54" s="64"/>
      <c r="GT54" s="75" t="str">
        <f>Idiomas!$D$366</f>
        <v>Pegar Valores (J3)</v>
      </c>
      <c r="GU54" s="76">
        <f t="shared" si="309"/>
        <v>0</v>
      </c>
      <c r="GV54" s="64"/>
      <c r="GW54" s="75" t="str">
        <f>Idiomas!$D$366</f>
        <v>Pegar Valores (J3)</v>
      </c>
      <c r="GX54" s="76">
        <f t="shared" si="212"/>
        <v>0</v>
      </c>
      <c r="GY54" s="64"/>
      <c r="GZ54" s="75" t="str">
        <f>Idiomas!$D$366</f>
        <v>Pegar Valores (J3)</v>
      </c>
      <c r="HA54" s="76">
        <f t="shared" si="213"/>
        <v>0</v>
      </c>
      <c r="HB54" s="64"/>
      <c r="HC54" s="75" t="str">
        <f>Idiomas!$D$366</f>
        <v>Pegar Valores (J3)</v>
      </c>
      <c r="HD54" s="76">
        <f t="shared" si="214"/>
        <v>0</v>
      </c>
      <c r="HE54" s="64"/>
      <c r="HF54" s="75" t="str">
        <f>Idiomas!$D$366</f>
        <v>Pegar Valores (J3)</v>
      </c>
      <c r="HG54" s="76">
        <f t="shared" si="310"/>
        <v>0</v>
      </c>
      <c r="HH54" s="64"/>
      <c r="HI54" s="75" t="str">
        <f>Idiomas!$D$366</f>
        <v>Pegar Valores (J3)</v>
      </c>
      <c r="HJ54" s="76">
        <f t="shared" si="311"/>
        <v>0</v>
      </c>
      <c r="HK54" s="64"/>
      <c r="HL54" s="75" t="str">
        <f>Idiomas!$D$366</f>
        <v>Pegar Valores (J3)</v>
      </c>
      <c r="HM54" s="76">
        <f t="shared" si="215"/>
        <v>0</v>
      </c>
      <c r="HN54" s="64"/>
      <c r="HO54" s="75" t="str">
        <f>Idiomas!$D$366</f>
        <v>Pegar Valores (J3)</v>
      </c>
      <c r="HP54" s="76">
        <f t="shared" si="216"/>
        <v>0</v>
      </c>
      <c r="HQ54" s="64"/>
      <c r="HR54" s="75" t="str">
        <f>Idiomas!$D$366</f>
        <v>Pegar Valores (J3)</v>
      </c>
      <c r="HS54" s="76">
        <f t="shared" si="217"/>
        <v>0</v>
      </c>
      <c r="HT54" s="64"/>
      <c r="HU54" s="75" t="str">
        <f>Idiomas!$D$366</f>
        <v>Pegar Valores (J3)</v>
      </c>
      <c r="HV54" s="76">
        <f t="shared" si="312"/>
        <v>0</v>
      </c>
      <c r="HW54" s="64"/>
      <c r="HX54" s="75" t="str">
        <f>Idiomas!$D$366</f>
        <v>Pegar Valores (J3)</v>
      </c>
      <c r="HY54" s="76">
        <f t="shared" si="313"/>
        <v>0</v>
      </c>
      <c r="HZ54" s="64"/>
      <c r="IA54" s="75" t="str">
        <f>Idiomas!$D$366</f>
        <v>Pegar Valores (J3)</v>
      </c>
      <c r="IB54" s="76">
        <f t="shared" si="218"/>
        <v>0</v>
      </c>
      <c r="IC54" s="64"/>
      <c r="ID54" s="75" t="str">
        <f>Idiomas!$D$366</f>
        <v>Pegar Valores (J3)</v>
      </c>
      <c r="IE54" s="76">
        <f t="shared" si="219"/>
        <v>0</v>
      </c>
      <c r="IF54" s="64"/>
      <c r="IG54" s="75" t="str">
        <f>Idiomas!$D$366</f>
        <v>Pegar Valores (J3)</v>
      </c>
      <c r="IH54" s="76">
        <f t="shared" si="220"/>
        <v>0</v>
      </c>
      <c r="II54" s="64"/>
      <c r="IJ54" s="75" t="str">
        <f>Idiomas!$D$366</f>
        <v>Pegar Valores (J3)</v>
      </c>
      <c r="IK54" s="76">
        <f t="shared" si="314"/>
        <v>0</v>
      </c>
      <c r="IL54" s="64"/>
      <c r="IM54" s="75" t="str">
        <f>Idiomas!$D$366</f>
        <v>Pegar Valores (J3)</v>
      </c>
      <c r="IN54" s="76">
        <f t="shared" si="315"/>
        <v>0</v>
      </c>
      <c r="IO54" s="64"/>
      <c r="IP54" s="75" t="str">
        <f>Idiomas!$D$366</f>
        <v>Pegar Valores (J3)</v>
      </c>
      <c r="IQ54" s="76">
        <f t="shared" si="221"/>
        <v>0</v>
      </c>
      <c r="IR54" s="64"/>
      <c r="IS54" s="75" t="str">
        <f>Idiomas!$D$366</f>
        <v>Pegar Valores (J3)</v>
      </c>
      <c r="IT54" s="76">
        <f t="shared" si="222"/>
        <v>0</v>
      </c>
      <c r="IU54" s="64"/>
      <c r="IV54" s="75" t="str">
        <f>Idiomas!$D$366</f>
        <v>Pegar Valores (J3)</v>
      </c>
      <c r="IW54" s="76">
        <f t="shared" si="223"/>
        <v>0</v>
      </c>
      <c r="IX54" s="64"/>
      <c r="IY54" s="75" t="str">
        <f>Idiomas!$D$366</f>
        <v>Pegar Valores (J3)</v>
      </c>
      <c r="IZ54" s="76">
        <f t="shared" si="316"/>
        <v>0</v>
      </c>
      <c r="JA54" s="64"/>
      <c r="JB54" s="75" t="str">
        <f>Idiomas!$D$366</f>
        <v>Pegar Valores (J3)</v>
      </c>
      <c r="JC54" s="76">
        <f t="shared" si="317"/>
        <v>0</v>
      </c>
      <c r="JD54" s="64"/>
      <c r="JE54" s="75" t="str">
        <f>Idiomas!$D$366</f>
        <v>Pegar Valores (J3)</v>
      </c>
      <c r="JF54" s="76">
        <f t="shared" si="224"/>
        <v>0</v>
      </c>
      <c r="JG54" s="64"/>
      <c r="JH54" s="75" t="str">
        <f>Idiomas!$D$366</f>
        <v>Pegar Valores (J3)</v>
      </c>
      <c r="JI54" s="76">
        <f t="shared" si="225"/>
        <v>0</v>
      </c>
      <c r="JJ54" s="64"/>
      <c r="JK54" s="75" t="str">
        <f>Idiomas!$D$366</f>
        <v>Pegar Valores (J3)</v>
      </c>
      <c r="JL54" s="76">
        <f t="shared" si="226"/>
        <v>0</v>
      </c>
      <c r="JM54" s="64"/>
      <c r="JN54" s="75" t="str">
        <f>Idiomas!$D$366</f>
        <v>Pegar Valores (J3)</v>
      </c>
      <c r="JO54" s="76">
        <f t="shared" si="318"/>
        <v>0</v>
      </c>
      <c r="JP54" s="64"/>
      <c r="JQ54" s="75" t="str">
        <f>Idiomas!$D$366</f>
        <v>Pegar Valores (J3)</v>
      </c>
      <c r="JR54" s="76">
        <f t="shared" si="319"/>
        <v>0</v>
      </c>
      <c r="JS54" s="64"/>
      <c r="JT54" s="75" t="str">
        <f>Idiomas!$D$366</f>
        <v>Pegar Valores (J3)</v>
      </c>
      <c r="JU54" s="76">
        <f t="shared" si="227"/>
        <v>0</v>
      </c>
      <c r="JV54" s="64"/>
      <c r="JW54" s="75" t="str">
        <f>Idiomas!$D$366</f>
        <v>Pegar Valores (J3)</v>
      </c>
      <c r="JX54" s="76">
        <f t="shared" si="228"/>
        <v>0</v>
      </c>
      <c r="JY54" s="64"/>
      <c r="JZ54" s="75" t="str">
        <f>Idiomas!$D$366</f>
        <v>Pegar Valores (J3)</v>
      </c>
      <c r="KA54" s="76">
        <f t="shared" si="229"/>
        <v>0</v>
      </c>
      <c r="KB54" s="64"/>
      <c r="KC54" s="75" t="str">
        <f>Idiomas!$D$366</f>
        <v>Pegar Valores (J3)</v>
      </c>
      <c r="KD54" s="76">
        <f t="shared" si="320"/>
        <v>0</v>
      </c>
      <c r="KE54" s="64"/>
      <c r="KF54" s="75" t="str">
        <f>Idiomas!$D$366</f>
        <v>Pegar Valores (J3)</v>
      </c>
      <c r="KG54" s="76">
        <f t="shared" si="321"/>
        <v>0</v>
      </c>
      <c r="KH54" s="64"/>
      <c r="KI54" s="75" t="str">
        <f>Idiomas!$D$366</f>
        <v>Pegar Valores (J3)</v>
      </c>
      <c r="KJ54" s="76">
        <f t="shared" si="230"/>
        <v>0</v>
      </c>
      <c r="KK54" s="64"/>
      <c r="KL54" s="75" t="str">
        <f>Idiomas!$D$366</f>
        <v>Pegar Valores (J3)</v>
      </c>
      <c r="KM54" s="76">
        <f t="shared" si="231"/>
        <v>0</v>
      </c>
      <c r="KN54" s="64"/>
      <c r="KO54" s="75" t="str">
        <f>Idiomas!$D$366</f>
        <v>Pegar Valores (J3)</v>
      </c>
      <c r="KP54" s="76">
        <f t="shared" si="232"/>
        <v>0</v>
      </c>
      <c r="KQ54" s="64"/>
      <c r="KR54" s="75" t="str">
        <f>Idiomas!$D$366</f>
        <v>Pegar Valores (J3)</v>
      </c>
      <c r="KS54" s="76">
        <f t="shared" si="322"/>
        <v>0</v>
      </c>
      <c r="KT54" s="64"/>
      <c r="KU54" s="75" t="str">
        <f>Idiomas!$D$366</f>
        <v>Pegar Valores (J3)</v>
      </c>
      <c r="KV54" s="76">
        <f t="shared" si="323"/>
        <v>0</v>
      </c>
      <c r="KW54" s="64"/>
      <c r="KX54" s="75" t="str">
        <f>Idiomas!$D$366</f>
        <v>Pegar Valores (J3)</v>
      </c>
      <c r="KY54" s="76">
        <f t="shared" si="233"/>
        <v>0</v>
      </c>
      <c r="KZ54" s="64"/>
      <c r="LA54" s="75" t="str">
        <f>Idiomas!$D$366</f>
        <v>Pegar Valores (J3)</v>
      </c>
      <c r="LB54" s="76">
        <f t="shared" si="234"/>
        <v>0</v>
      </c>
      <c r="LC54" s="64"/>
      <c r="LD54" s="75" t="str">
        <f>Idiomas!$D$366</f>
        <v>Pegar Valores (J3)</v>
      </c>
      <c r="LE54" s="76">
        <f t="shared" si="235"/>
        <v>0</v>
      </c>
      <c r="LF54" s="64"/>
    </row>
    <row r="55" spans="1:318" s="784" customFormat="1">
      <c r="A55" s="49"/>
      <c r="B55" s="49"/>
      <c r="C55" s="17"/>
      <c r="D55" s="17"/>
      <c r="E55" s="88"/>
      <c r="F55" s="443">
        <f t="shared" si="236"/>
        <v>15</v>
      </c>
      <c r="G55" s="443">
        <f ca="1">VLOOKUP(H55,Equipos!$Q$1:$R$25,2,0)</f>
        <v>14</v>
      </c>
      <c r="H55" s="444">
        <f ca="1">TRUNC(INDEX(WORLDCUP!$X$4:$X$147,MATCH(ADMIN!K55,WORLDCUP!$DT$4:$DT$147,0))+INDEX(Horarios!$R$3:$R$86,MATCH(Horarios!$C$3,Horarios!$P$3:$P$86,0))/24)</f>
        <v>46197</v>
      </c>
      <c r="I55" s="48">
        <v>1</v>
      </c>
      <c r="J55" s="93"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276"/>
        <v>0</v>
      </c>
      <c r="R55" s="49"/>
      <c r="S55" s="796" t="s">
        <v>1951</v>
      </c>
      <c r="T55" s="72">
        <f t="shared" si="285"/>
        <v>0</v>
      </c>
      <c r="U55" s="64"/>
      <c r="V55" s="73" t="s">
        <v>1963</v>
      </c>
      <c r="W55" s="72">
        <f t="shared" si="286"/>
        <v>0</v>
      </c>
      <c r="X55" s="64"/>
      <c r="Y55" s="796" t="s">
        <v>1958</v>
      </c>
      <c r="Z55" s="72">
        <f t="shared" si="176"/>
        <v>0</v>
      </c>
      <c r="AA55" s="64"/>
      <c r="AB55" s="796" t="s">
        <v>1962</v>
      </c>
      <c r="AC55" s="72">
        <f t="shared" si="177"/>
        <v>0</v>
      </c>
      <c r="AD55" s="64"/>
      <c r="AE55" s="796" t="s">
        <v>1962</v>
      </c>
      <c r="AF55" s="72">
        <f t="shared" ref="AF55:AF66" si="324">IFERROR(IF($M55=AE55,($D$8+$D$9+$D$10)*$I55,IF($N55=LEFT(AE55,1),($D$8+MAX(0,IF($D$50=1,$D$9*(1-(ABS($Q55-ABS(VALUE(MID(AE55,FIND("|",AE55)+1,FIND("-",AE55)-FIND("|",AE55)-1))-VALUE(MID(AE55,FIND("-",AE55)+1,10)))))*$D$50),$D$9*(1-(IF($N55="X",ABS($O55-VALUE(MID(AE55,FIND("|",AE55)+1,FIND("-",AE55)-FIND("|",AE55)-1))),ABS($Q55-ABS(VALUE(MID(AE55,FIND("|",AE55)+1,FIND("-",AE55)-FIND("|",AE55)-1))-VALUE(MID(AE55,FIND("-",AE55)+1,10)))))*$D$50)))))*$I55,0)),0)</f>
        <v>0</v>
      </c>
      <c r="AG55" s="64"/>
      <c r="AH55" s="796" t="s">
        <v>1947</v>
      </c>
      <c r="AI55" s="72">
        <f t="shared" si="288"/>
        <v>0</v>
      </c>
      <c r="AJ55" s="64"/>
      <c r="AK55" s="806" t="s">
        <v>2006</v>
      </c>
      <c r="AL55" s="72">
        <f t="shared" si="289"/>
        <v>0</v>
      </c>
      <c r="AM55" s="64"/>
      <c r="AN55" s="796" t="s">
        <v>1961</v>
      </c>
      <c r="AO55" s="72">
        <f t="shared" si="179"/>
        <v>0</v>
      </c>
      <c r="AP55" s="64"/>
      <c r="AQ55" s="806" t="s">
        <v>1963</v>
      </c>
      <c r="AR55" s="72">
        <f t="shared" si="180"/>
        <v>0</v>
      </c>
      <c r="AS55" s="64"/>
      <c r="AT55" s="796" t="s">
        <v>1962</v>
      </c>
      <c r="AU55" s="72">
        <f t="shared" si="181"/>
        <v>0</v>
      </c>
      <c r="AV55" s="64"/>
      <c r="AW55" s="796" t="s">
        <v>1963</v>
      </c>
      <c r="AX55" s="72">
        <f t="shared" si="290"/>
        <v>0</v>
      </c>
      <c r="AY55" s="64"/>
      <c r="AZ55" s="796" t="s">
        <v>2007</v>
      </c>
      <c r="BA55" s="72">
        <f t="shared" si="291"/>
        <v>0</v>
      </c>
      <c r="BB55" s="64"/>
      <c r="BC55" s="796" t="s">
        <v>1960</v>
      </c>
      <c r="BD55" s="72">
        <f t="shared" si="182"/>
        <v>0</v>
      </c>
      <c r="BE55" s="64"/>
      <c r="BF55" s="796" t="s">
        <v>2007</v>
      </c>
      <c r="BG55" s="72">
        <f t="shared" si="183"/>
        <v>0</v>
      </c>
      <c r="BH55" s="64"/>
      <c r="BI55" s="796" t="s">
        <v>1963</v>
      </c>
      <c r="BJ55" s="72">
        <f t="shared" si="184"/>
        <v>0</v>
      </c>
      <c r="BK55" s="64"/>
      <c r="BL55" s="796" t="s">
        <v>1947</v>
      </c>
      <c r="BM55" s="72">
        <f t="shared" si="292"/>
        <v>0</v>
      </c>
      <c r="BN55" s="64"/>
      <c r="BO55" s="816" t="s">
        <v>2006</v>
      </c>
      <c r="BP55" s="72">
        <f t="shared" si="293"/>
        <v>0</v>
      </c>
      <c r="BQ55" s="64"/>
      <c r="BR55" s="796" t="s">
        <v>1962</v>
      </c>
      <c r="BS55" s="72">
        <f t="shared" si="185"/>
        <v>0</v>
      </c>
      <c r="BT55" s="64"/>
      <c r="BU55" s="796" t="s">
        <v>1963</v>
      </c>
      <c r="BV55" s="72">
        <f t="shared" si="186"/>
        <v>0</v>
      </c>
      <c r="BW55" s="64"/>
      <c r="BX55" s="73" t="s">
        <v>1963</v>
      </c>
      <c r="BY55" s="72">
        <f t="shared" si="187"/>
        <v>0</v>
      </c>
      <c r="BZ55" s="64"/>
      <c r="CA55" s="816" t="s">
        <v>1949</v>
      </c>
      <c r="CB55" s="72">
        <f t="shared" si="294"/>
        <v>0</v>
      </c>
      <c r="CC55" s="64"/>
      <c r="CD55" s="825" t="s">
        <v>1949</v>
      </c>
      <c r="CE55" s="72">
        <f t="shared" si="295"/>
        <v>0</v>
      </c>
      <c r="CF55" s="64"/>
      <c r="CG55" s="796" t="s">
        <v>1962</v>
      </c>
      <c r="CH55" s="72">
        <f t="shared" si="188"/>
        <v>0</v>
      </c>
      <c r="CI55" s="64"/>
      <c r="CJ55" s="796" t="s">
        <v>1949</v>
      </c>
      <c r="CK55" s="72">
        <f t="shared" si="189"/>
        <v>0</v>
      </c>
      <c r="CL55" s="64"/>
      <c r="CM55" s="796" t="s">
        <v>1947</v>
      </c>
      <c r="CN55" s="72">
        <f t="shared" si="190"/>
        <v>0</v>
      </c>
      <c r="CO55" s="64"/>
      <c r="CP55" s="796" t="s">
        <v>1951</v>
      </c>
      <c r="CQ55" s="72">
        <f t="shared" si="296"/>
        <v>0</v>
      </c>
      <c r="CR55" s="64"/>
      <c r="CS55" s="796" t="s">
        <v>1949</v>
      </c>
      <c r="CT55" s="72">
        <f t="shared" si="297"/>
        <v>0</v>
      </c>
      <c r="CU55" s="64"/>
      <c r="CV55" s="796" t="s">
        <v>1947</v>
      </c>
      <c r="CW55" s="72">
        <f t="shared" si="191"/>
        <v>0</v>
      </c>
      <c r="CX55" s="64"/>
      <c r="CY55" s="796" t="s">
        <v>1951</v>
      </c>
      <c r="CZ55" s="72">
        <f t="shared" si="250"/>
        <v>0</v>
      </c>
      <c r="DA55" s="64"/>
      <c r="DB55" s="796" t="s">
        <v>1962</v>
      </c>
      <c r="DC55" s="72">
        <f t="shared" si="192"/>
        <v>0</v>
      </c>
      <c r="DD55" s="64"/>
      <c r="DE55" s="796" t="s">
        <v>1962</v>
      </c>
      <c r="DF55" s="72">
        <f t="shared" si="281"/>
        <v>0</v>
      </c>
      <c r="DG55" s="64"/>
      <c r="DH55" s="796" t="s">
        <v>1963</v>
      </c>
      <c r="DI55" s="72">
        <f t="shared" si="282"/>
        <v>0</v>
      </c>
      <c r="DJ55" s="64"/>
      <c r="DK55" s="796" t="s">
        <v>1949</v>
      </c>
      <c r="DL55" s="72">
        <f t="shared" si="283"/>
        <v>0</v>
      </c>
      <c r="DM55" s="64"/>
      <c r="DN55" s="73"/>
      <c r="DO55" s="72">
        <f t="shared" si="196"/>
        <v>0</v>
      </c>
      <c r="DP55" s="64"/>
      <c r="DQ55" s="796" t="s">
        <v>1951</v>
      </c>
      <c r="DR55" s="72">
        <f t="shared" si="251"/>
        <v>0</v>
      </c>
      <c r="DS55" s="64"/>
      <c r="DT55" s="73" t="s">
        <v>1949</v>
      </c>
      <c r="DU55" s="72">
        <f t="shared" si="298"/>
        <v>0</v>
      </c>
      <c r="DV55" s="64"/>
      <c r="DW55" s="73"/>
      <c r="DX55" s="72">
        <f t="shared" si="299"/>
        <v>0</v>
      </c>
      <c r="DY55" s="64"/>
      <c r="DZ55" s="73"/>
      <c r="EA55" s="72">
        <f t="shared" si="284"/>
        <v>0</v>
      </c>
      <c r="EB55" s="64"/>
      <c r="EC55" s="73"/>
      <c r="ED55" s="72">
        <f t="shared" si="198"/>
        <v>0</v>
      </c>
      <c r="EE55" s="64"/>
      <c r="EF55" s="73"/>
      <c r="EG55" s="72">
        <f t="shared" si="199"/>
        <v>0</v>
      </c>
      <c r="EH55" s="64"/>
      <c r="EI55" s="73"/>
      <c r="EJ55" s="72">
        <f t="shared" si="300"/>
        <v>0</v>
      </c>
      <c r="EK55" s="64"/>
      <c r="EL55" s="73"/>
      <c r="EM55" s="72">
        <f t="shared" si="301"/>
        <v>0</v>
      </c>
      <c r="EN55" s="64"/>
      <c r="EO55" s="73"/>
      <c r="EP55" s="72">
        <f t="shared" si="200"/>
        <v>0</v>
      </c>
      <c r="EQ55" s="64"/>
      <c r="ER55" s="73"/>
      <c r="ES55" s="72">
        <f t="shared" si="201"/>
        <v>0</v>
      </c>
      <c r="ET55" s="64"/>
      <c r="EU55" s="73"/>
      <c r="EV55" s="72">
        <f t="shared" si="202"/>
        <v>0</v>
      </c>
      <c r="EW55" s="64"/>
      <c r="EX55" s="73"/>
      <c r="EY55" s="72">
        <f t="shared" si="302"/>
        <v>0</v>
      </c>
      <c r="EZ55" s="64"/>
      <c r="FA55" s="73"/>
      <c r="FB55" s="72">
        <f t="shared" si="303"/>
        <v>0</v>
      </c>
      <c r="FC55" s="64"/>
      <c r="FD55" s="73"/>
      <c r="FE55" s="72">
        <f t="shared" si="203"/>
        <v>0</v>
      </c>
      <c r="FF55" s="64"/>
      <c r="FG55" s="73"/>
      <c r="FH55" s="72">
        <f t="shared" si="204"/>
        <v>0</v>
      </c>
      <c r="FI55" s="64"/>
      <c r="FJ55" s="73"/>
      <c r="FK55" s="72">
        <f t="shared" si="205"/>
        <v>0</v>
      </c>
      <c r="FL55" s="64"/>
      <c r="FM55" s="73"/>
      <c r="FN55" s="72">
        <f t="shared" si="304"/>
        <v>0</v>
      </c>
      <c r="FO55" s="64"/>
      <c r="FP55" s="73"/>
      <c r="FQ55" s="72">
        <f t="shared" si="305"/>
        <v>0</v>
      </c>
      <c r="FR55" s="64"/>
      <c r="FS55" s="73"/>
      <c r="FT55" s="72">
        <f t="shared" si="206"/>
        <v>0</v>
      </c>
      <c r="FU55" s="64"/>
      <c r="FV55" s="73"/>
      <c r="FW55" s="72">
        <f t="shared" si="207"/>
        <v>0</v>
      </c>
      <c r="FX55" s="64"/>
      <c r="FY55" s="73"/>
      <c r="FZ55" s="72">
        <f t="shared" si="208"/>
        <v>0</v>
      </c>
      <c r="GA55" s="64"/>
      <c r="GB55" s="73"/>
      <c r="GC55" s="72">
        <f t="shared" si="306"/>
        <v>0</v>
      </c>
      <c r="GD55" s="64"/>
      <c r="GE55" s="73"/>
      <c r="GF55" s="72">
        <f t="shared" si="307"/>
        <v>0</v>
      </c>
      <c r="GG55" s="64"/>
      <c r="GH55" s="73"/>
      <c r="GI55" s="72">
        <f t="shared" si="209"/>
        <v>0</v>
      </c>
      <c r="GJ55" s="64"/>
      <c r="GK55" s="73"/>
      <c r="GL55" s="72">
        <f t="shared" si="210"/>
        <v>0</v>
      </c>
      <c r="GM55" s="64"/>
      <c r="GN55" s="73"/>
      <c r="GO55" s="72">
        <f t="shared" si="211"/>
        <v>0</v>
      </c>
      <c r="GP55" s="64"/>
      <c r="GQ55" s="73"/>
      <c r="GR55" s="72">
        <f t="shared" si="308"/>
        <v>0</v>
      </c>
      <c r="GS55" s="64"/>
      <c r="GT55" s="73"/>
      <c r="GU55" s="72">
        <f t="shared" si="309"/>
        <v>0</v>
      </c>
      <c r="GV55" s="64"/>
      <c r="GW55" s="73"/>
      <c r="GX55" s="72">
        <f t="shared" si="212"/>
        <v>0</v>
      </c>
      <c r="GY55" s="64"/>
      <c r="GZ55" s="73"/>
      <c r="HA55" s="72">
        <f t="shared" si="213"/>
        <v>0</v>
      </c>
      <c r="HB55" s="64"/>
      <c r="HC55" s="73"/>
      <c r="HD55" s="72">
        <f t="shared" si="214"/>
        <v>0</v>
      </c>
      <c r="HE55" s="64"/>
      <c r="HF55" s="73"/>
      <c r="HG55" s="72">
        <f t="shared" si="310"/>
        <v>0</v>
      </c>
      <c r="HH55" s="64"/>
      <c r="HI55" s="73"/>
      <c r="HJ55" s="72">
        <f t="shared" si="311"/>
        <v>0</v>
      </c>
      <c r="HK55" s="64"/>
      <c r="HL55" s="73"/>
      <c r="HM55" s="72">
        <f t="shared" si="215"/>
        <v>0</v>
      </c>
      <c r="HN55" s="64"/>
      <c r="HO55" s="73"/>
      <c r="HP55" s="72">
        <f t="shared" si="216"/>
        <v>0</v>
      </c>
      <c r="HQ55" s="64"/>
      <c r="HR55" s="73"/>
      <c r="HS55" s="72">
        <f t="shared" si="217"/>
        <v>0</v>
      </c>
      <c r="HT55" s="64"/>
      <c r="HU55" s="73"/>
      <c r="HV55" s="72">
        <f t="shared" si="312"/>
        <v>0</v>
      </c>
      <c r="HW55" s="64"/>
      <c r="HX55" s="73"/>
      <c r="HY55" s="72">
        <f t="shared" si="313"/>
        <v>0</v>
      </c>
      <c r="HZ55" s="64"/>
      <c r="IA55" s="73"/>
      <c r="IB55" s="72">
        <f t="shared" si="218"/>
        <v>0</v>
      </c>
      <c r="IC55" s="64"/>
      <c r="ID55" s="73"/>
      <c r="IE55" s="72">
        <f t="shared" si="219"/>
        <v>0</v>
      </c>
      <c r="IF55" s="64"/>
      <c r="IG55" s="73"/>
      <c r="IH55" s="72">
        <f t="shared" si="220"/>
        <v>0</v>
      </c>
      <c r="II55" s="64"/>
      <c r="IJ55" s="73"/>
      <c r="IK55" s="72">
        <f t="shared" si="314"/>
        <v>0</v>
      </c>
      <c r="IL55" s="64"/>
      <c r="IM55" s="73"/>
      <c r="IN55" s="72">
        <f t="shared" si="315"/>
        <v>0</v>
      </c>
      <c r="IO55" s="64"/>
      <c r="IP55" s="73"/>
      <c r="IQ55" s="72">
        <f t="shared" si="221"/>
        <v>0</v>
      </c>
      <c r="IR55" s="64"/>
      <c r="IS55" s="73"/>
      <c r="IT55" s="72">
        <f t="shared" si="222"/>
        <v>0</v>
      </c>
      <c r="IU55" s="64"/>
      <c r="IV55" s="73"/>
      <c r="IW55" s="72">
        <f t="shared" si="223"/>
        <v>0</v>
      </c>
      <c r="IX55" s="64"/>
      <c r="IY55" s="73"/>
      <c r="IZ55" s="72">
        <f t="shared" si="316"/>
        <v>0</v>
      </c>
      <c r="JA55" s="64"/>
      <c r="JB55" s="73"/>
      <c r="JC55" s="72">
        <f t="shared" si="317"/>
        <v>0</v>
      </c>
      <c r="JD55" s="64"/>
      <c r="JE55" s="73"/>
      <c r="JF55" s="72">
        <f t="shared" si="224"/>
        <v>0</v>
      </c>
      <c r="JG55" s="64"/>
      <c r="JH55" s="73"/>
      <c r="JI55" s="72">
        <f t="shared" si="225"/>
        <v>0</v>
      </c>
      <c r="JJ55" s="64"/>
      <c r="JK55" s="73"/>
      <c r="JL55" s="72">
        <f t="shared" si="226"/>
        <v>0</v>
      </c>
      <c r="JM55" s="64"/>
      <c r="JN55" s="73"/>
      <c r="JO55" s="72">
        <f t="shared" si="318"/>
        <v>0</v>
      </c>
      <c r="JP55" s="64"/>
      <c r="JQ55" s="73"/>
      <c r="JR55" s="72">
        <f t="shared" si="319"/>
        <v>0</v>
      </c>
      <c r="JS55" s="64"/>
      <c r="JT55" s="73"/>
      <c r="JU55" s="72">
        <f t="shared" si="227"/>
        <v>0</v>
      </c>
      <c r="JV55" s="64"/>
      <c r="JW55" s="73"/>
      <c r="JX55" s="72">
        <f t="shared" si="228"/>
        <v>0</v>
      </c>
      <c r="JY55" s="64"/>
      <c r="JZ55" s="73"/>
      <c r="KA55" s="72">
        <f t="shared" si="229"/>
        <v>0</v>
      </c>
      <c r="KB55" s="64"/>
      <c r="KC55" s="73"/>
      <c r="KD55" s="72">
        <f t="shared" si="320"/>
        <v>0</v>
      </c>
      <c r="KE55" s="64"/>
      <c r="KF55" s="73"/>
      <c r="KG55" s="72">
        <f t="shared" si="321"/>
        <v>0</v>
      </c>
      <c r="KH55" s="64"/>
      <c r="KI55" s="73"/>
      <c r="KJ55" s="72">
        <f t="shared" si="230"/>
        <v>0</v>
      </c>
      <c r="KK55" s="64"/>
      <c r="KL55" s="73"/>
      <c r="KM55" s="72">
        <f t="shared" si="231"/>
        <v>0</v>
      </c>
      <c r="KN55" s="64"/>
      <c r="KO55" s="73"/>
      <c r="KP55" s="72">
        <f t="shared" si="232"/>
        <v>0</v>
      </c>
      <c r="KQ55" s="64"/>
      <c r="KR55" s="73"/>
      <c r="KS55" s="72">
        <f t="shared" si="322"/>
        <v>0</v>
      </c>
      <c r="KT55" s="64"/>
      <c r="KU55" s="73"/>
      <c r="KV55" s="72">
        <f t="shared" si="323"/>
        <v>0</v>
      </c>
      <c r="KW55" s="64"/>
      <c r="KX55" s="73"/>
      <c r="KY55" s="72">
        <f t="shared" si="233"/>
        <v>0</v>
      </c>
      <c r="KZ55" s="64"/>
      <c r="LA55" s="73"/>
      <c r="LB55" s="72">
        <f t="shared" si="234"/>
        <v>0</v>
      </c>
      <c r="LC55" s="64"/>
      <c r="LD55" s="73"/>
      <c r="LE55" s="72">
        <f t="shared" si="235"/>
        <v>0</v>
      </c>
      <c r="LF55" s="64"/>
    </row>
    <row r="56" spans="1:318" s="784" customFormat="1">
      <c r="A56" s="49"/>
      <c r="B56" s="49"/>
      <c r="C56" s="117" t="str">
        <f>"MAX. "&amp;K5</f>
        <v>MAX. FASE DE GRUPOS</v>
      </c>
      <c r="D56" s="120">
        <f>SUM($D$8:$D$10)*SUM($I$6:$I$77)+SUM($D$11:$D$14)*12+$D$15*32</f>
        <v>2520</v>
      </c>
      <c r="E56" s="109"/>
      <c r="F56" s="443">
        <f t="shared" si="236"/>
        <v>15</v>
      </c>
      <c r="G56" s="443">
        <f ca="1">VLOOKUP(H56,Equipos!$Q$1:$R$25,2,0)</f>
        <v>14</v>
      </c>
      <c r="H56" s="444">
        <f ca="1">TRUNC(INDEX(WORLDCUP!$X$4:$X$147,MATCH(ADMIN!K56,WORLDCUP!$DT$4:$DT$147,0))+INDEX(Horarios!$R$3:$R$86,MATCH(Horarios!$C$3,Horarios!$P$3:$P$86,0))/24)</f>
        <v>46197</v>
      </c>
      <c r="I56" s="48">
        <v>1</v>
      </c>
      <c r="J56" s="94"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276"/>
        <v>0</v>
      </c>
      <c r="R56" s="49"/>
      <c r="S56" s="796" t="s">
        <v>1948</v>
      </c>
      <c r="T56" s="72">
        <f t="shared" si="285"/>
        <v>0</v>
      </c>
      <c r="U56" s="64"/>
      <c r="V56" s="73" t="s">
        <v>1961</v>
      </c>
      <c r="W56" s="72">
        <f t="shared" si="286"/>
        <v>0</v>
      </c>
      <c r="X56" s="64"/>
      <c r="Y56" s="796" t="s">
        <v>1948</v>
      </c>
      <c r="Z56" s="72">
        <f t="shared" si="176"/>
        <v>0</v>
      </c>
      <c r="AA56" s="64"/>
      <c r="AB56" s="796" t="s">
        <v>1948</v>
      </c>
      <c r="AC56" s="72">
        <f t="shared" si="177"/>
        <v>0</v>
      </c>
      <c r="AD56" s="64"/>
      <c r="AE56" s="796" t="s">
        <v>1955</v>
      </c>
      <c r="AF56" s="72">
        <f t="shared" si="324"/>
        <v>0</v>
      </c>
      <c r="AG56" s="64"/>
      <c r="AH56" s="796" t="s">
        <v>1948</v>
      </c>
      <c r="AI56" s="72">
        <f t="shared" si="288"/>
        <v>0</v>
      </c>
      <c r="AJ56" s="64"/>
      <c r="AK56" s="806" t="s">
        <v>1948</v>
      </c>
      <c r="AL56" s="72">
        <f t="shared" si="289"/>
        <v>0</v>
      </c>
      <c r="AM56" s="64"/>
      <c r="AN56" s="796" t="s">
        <v>1955</v>
      </c>
      <c r="AO56" s="72">
        <f t="shared" si="179"/>
        <v>0</v>
      </c>
      <c r="AP56" s="64"/>
      <c r="AQ56" s="806" t="s">
        <v>1955</v>
      </c>
      <c r="AR56" s="72">
        <f t="shared" si="180"/>
        <v>0</v>
      </c>
      <c r="AS56" s="64"/>
      <c r="AT56" s="796" t="s">
        <v>2007</v>
      </c>
      <c r="AU56" s="72">
        <f t="shared" si="181"/>
        <v>0</v>
      </c>
      <c r="AV56" s="64"/>
      <c r="AW56" s="796" t="s">
        <v>1948</v>
      </c>
      <c r="AX56" s="72">
        <f t="shared" si="290"/>
        <v>0</v>
      </c>
      <c r="AY56" s="64"/>
      <c r="AZ56" s="796" t="s">
        <v>1949</v>
      </c>
      <c r="BA56" s="72">
        <f t="shared" si="291"/>
        <v>0</v>
      </c>
      <c r="BB56" s="64"/>
      <c r="BC56" s="796" t="s">
        <v>1949</v>
      </c>
      <c r="BD56" s="72">
        <f t="shared" si="182"/>
        <v>0</v>
      </c>
      <c r="BE56" s="64"/>
      <c r="BF56" s="796" t="s">
        <v>2007</v>
      </c>
      <c r="BG56" s="72">
        <f t="shared" si="183"/>
        <v>0</v>
      </c>
      <c r="BH56" s="64"/>
      <c r="BI56" s="796" t="s">
        <v>1961</v>
      </c>
      <c r="BJ56" s="72">
        <f t="shared" si="184"/>
        <v>0</v>
      </c>
      <c r="BK56" s="64"/>
      <c r="BL56" s="796" t="s">
        <v>1958</v>
      </c>
      <c r="BM56" s="72">
        <f t="shared" si="292"/>
        <v>0</v>
      </c>
      <c r="BN56" s="64"/>
      <c r="BO56" s="816" t="s">
        <v>1960</v>
      </c>
      <c r="BP56" s="72">
        <f t="shared" si="293"/>
        <v>0</v>
      </c>
      <c r="BQ56" s="64"/>
      <c r="BR56" s="796" t="s">
        <v>1955</v>
      </c>
      <c r="BS56" s="72">
        <f t="shared" si="185"/>
        <v>0</v>
      </c>
      <c r="BT56" s="64"/>
      <c r="BU56" s="796" t="s">
        <v>1955</v>
      </c>
      <c r="BV56" s="72">
        <f t="shared" si="186"/>
        <v>0</v>
      </c>
      <c r="BW56" s="64"/>
      <c r="BX56" s="73" t="s">
        <v>1950</v>
      </c>
      <c r="BY56" s="72">
        <f t="shared" si="187"/>
        <v>0</v>
      </c>
      <c r="BZ56" s="64"/>
      <c r="CA56" s="816" t="s">
        <v>1963</v>
      </c>
      <c r="CB56" s="72">
        <f t="shared" si="294"/>
        <v>0</v>
      </c>
      <c r="CC56" s="64"/>
      <c r="CD56" s="825" t="s">
        <v>1955</v>
      </c>
      <c r="CE56" s="72">
        <f t="shared" si="295"/>
        <v>0</v>
      </c>
      <c r="CF56" s="64"/>
      <c r="CG56" s="796" t="s">
        <v>1955</v>
      </c>
      <c r="CH56" s="72">
        <f t="shared" si="188"/>
        <v>0</v>
      </c>
      <c r="CI56" s="64"/>
      <c r="CJ56" s="796" t="s">
        <v>1961</v>
      </c>
      <c r="CK56" s="72">
        <f t="shared" si="189"/>
        <v>0</v>
      </c>
      <c r="CL56" s="64"/>
      <c r="CM56" s="796" t="s">
        <v>2007</v>
      </c>
      <c r="CN56" s="72">
        <f t="shared" si="190"/>
        <v>0</v>
      </c>
      <c r="CO56" s="64"/>
      <c r="CP56" s="796" t="s">
        <v>2007</v>
      </c>
      <c r="CQ56" s="72">
        <f t="shared" si="296"/>
        <v>0</v>
      </c>
      <c r="CR56" s="64"/>
      <c r="CS56" s="796" t="s">
        <v>1955</v>
      </c>
      <c r="CT56" s="72">
        <f t="shared" si="297"/>
        <v>0</v>
      </c>
      <c r="CU56" s="64"/>
      <c r="CV56" s="796" t="s">
        <v>1953</v>
      </c>
      <c r="CW56" s="72">
        <f t="shared" si="191"/>
        <v>0</v>
      </c>
      <c r="CX56" s="64"/>
      <c r="CY56" s="796" t="s">
        <v>1949</v>
      </c>
      <c r="CZ56" s="72">
        <f t="shared" si="250"/>
        <v>0</v>
      </c>
      <c r="DA56" s="64"/>
      <c r="DB56" s="796" t="s">
        <v>1961</v>
      </c>
      <c r="DC56" s="72">
        <f t="shared" si="192"/>
        <v>0</v>
      </c>
      <c r="DD56" s="64"/>
      <c r="DE56" s="796" t="s">
        <v>2007</v>
      </c>
      <c r="DF56" s="72">
        <f t="shared" si="281"/>
        <v>0</v>
      </c>
      <c r="DG56" s="64"/>
      <c r="DH56" s="796" t="s">
        <v>1954</v>
      </c>
      <c r="DI56" s="72">
        <f t="shared" si="282"/>
        <v>0</v>
      </c>
      <c r="DJ56" s="64"/>
      <c r="DK56" s="796" t="s">
        <v>1955</v>
      </c>
      <c r="DL56" s="72">
        <f t="shared" si="283"/>
        <v>0</v>
      </c>
      <c r="DM56" s="64"/>
      <c r="DN56" s="73"/>
      <c r="DO56" s="72">
        <f t="shared" si="196"/>
        <v>0</v>
      </c>
      <c r="DP56" s="64"/>
      <c r="DQ56" s="796" t="s">
        <v>2194</v>
      </c>
      <c r="DR56" s="72">
        <f t="shared" si="251"/>
        <v>0</v>
      </c>
      <c r="DS56" s="64"/>
      <c r="DT56" s="73" t="s">
        <v>1961</v>
      </c>
      <c r="DU56" s="72">
        <f t="shared" si="298"/>
        <v>0</v>
      </c>
      <c r="DV56" s="64"/>
      <c r="DW56" s="73"/>
      <c r="DX56" s="72">
        <f t="shared" si="299"/>
        <v>0</v>
      </c>
      <c r="DY56" s="64"/>
      <c r="DZ56" s="73"/>
      <c r="EA56" s="72">
        <f t="shared" si="284"/>
        <v>0</v>
      </c>
      <c r="EB56" s="64"/>
      <c r="EC56" s="73"/>
      <c r="ED56" s="72">
        <f t="shared" si="198"/>
        <v>0</v>
      </c>
      <c r="EE56" s="64"/>
      <c r="EF56" s="73"/>
      <c r="EG56" s="72">
        <f t="shared" si="199"/>
        <v>0</v>
      </c>
      <c r="EH56" s="64"/>
      <c r="EI56" s="73"/>
      <c r="EJ56" s="72">
        <f t="shared" si="300"/>
        <v>0</v>
      </c>
      <c r="EK56" s="64"/>
      <c r="EL56" s="73"/>
      <c r="EM56" s="72">
        <f t="shared" si="301"/>
        <v>0</v>
      </c>
      <c r="EN56" s="64"/>
      <c r="EO56" s="73"/>
      <c r="EP56" s="72">
        <f t="shared" si="200"/>
        <v>0</v>
      </c>
      <c r="EQ56" s="64"/>
      <c r="ER56" s="73"/>
      <c r="ES56" s="72">
        <f t="shared" si="201"/>
        <v>0</v>
      </c>
      <c r="ET56" s="64"/>
      <c r="EU56" s="73"/>
      <c r="EV56" s="72">
        <f t="shared" si="202"/>
        <v>0</v>
      </c>
      <c r="EW56" s="64"/>
      <c r="EX56" s="73"/>
      <c r="EY56" s="72">
        <f t="shared" si="302"/>
        <v>0</v>
      </c>
      <c r="EZ56" s="64"/>
      <c r="FA56" s="73"/>
      <c r="FB56" s="72">
        <f t="shared" si="303"/>
        <v>0</v>
      </c>
      <c r="FC56" s="64"/>
      <c r="FD56" s="73"/>
      <c r="FE56" s="72">
        <f t="shared" si="203"/>
        <v>0</v>
      </c>
      <c r="FF56" s="64"/>
      <c r="FG56" s="73"/>
      <c r="FH56" s="72">
        <f t="shared" si="204"/>
        <v>0</v>
      </c>
      <c r="FI56" s="64"/>
      <c r="FJ56" s="73"/>
      <c r="FK56" s="72">
        <f t="shared" si="205"/>
        <v>0</v>
      </c>
      <c r="FL56" s="64"/>
      <c r="FM56" s="73"/>
      <c r="FN56" s="72">
        <f t="shared" si="304"/>
        <v>0</v>
      </c>
      <c r="FO56" s="64"/>
      <c r="FP56" s="73"/>
      <c r="FQ56" s="72">
        <f t="shared" si="305"/>
        <v>0</v>
      </c>
      <c r="FR56" s="64"/>
      <c r="FS56" s="73"/>
      <c r="FT56" s="72">
        <f t="shared" si="206"/>
        <v>0</v>
      </c>
      <c r="FU56" s="64"/>
      <c r="FV56" s="73"/>
      <c r="FW56" s="72">
        <f t="shared" si="207"/>
        <v>0</v>
      </c>
      <c r="FX56" s="64"/>
      <c r="FY56" s="73"/>
      <c r="FZ56" s="72">
        <f t="shared" si="208"/>
        <v>0</v>
      </c>
      <c r="GA56" s="64"/>
      <c r="GB56" s="73"/>
      <c r="GC56" s="72">
        <f t="shared" si="306"/>
        <v>0</v>
      </c>
      <c r="GD56" s="64"/>
      <c r="GE56" s="73"/>
      <c r="GF56" s="72">
        <f t="shared" si="307"/>
        <v>0</v>
      </c>
      <c r="GG56" s="64"/>
      <c r="GH56" s="73"/>
      <c r="GI56" s="72">
        <f t="shared" si="209"/>
        <v>0</v>
      </c>
      <c r="GJ56" s="64"/>
      <c r="GK56" s="73"/>
      <c r="GL56" s="72">
        <f t="shared" si="210"/>
        <v>0</v>
      </c>
      <c r="GM56" s="64"/>
      <c r="GN56" s="73"/>
      <c r="GO56" s="72">
        <f t="shared" si="211"/>
        <v>0</v>
      </c>
      <c r="GP56" s="64"/>
      <c r="GQ56" s="73"/>
      <c r="GR56" s="72">
        <f t="shared" si="308"/>
        <v>0</v>
      </c>
      <c r="GS56" s="64"/>
      <c r="GT56" s="73"/>
      <c r="GU56" s="72">
        <f t="shared" si="309"/>
        <v>0</v>
      </c>
      <c r="GV56" s="64"/>
      <c r="GW56" s="73"/>
      <c r="GX56" s="72">
        <f t="shared" si="212"/>
        <v>0</v>
      </c>
      <c r="GY56" s="64"/>
      <c r="GZ56" s="73"/>
      <c r="HA56" s="72">
        <f t="shared" si="213"/>
        <v>0</v>
      </c>
      <c r="HB56" s="64"/>
      <c r="HC56" s="73"/>
      <c r="HD56" s="72">
        <f t="shared" si="214"/>
        <v>0</v>
      </c>
      <c r="HE56" s="64"/>
      <c r="HF56" s="73"/>
      <c r="HG56" s="72">
        <f t="shared" si="310"/>
        <v>0</v>
      </c>
      <c r="HH56" s="64"/>
      <c r="HI56" s="73"/>
      <c r="HJ56" s="72">
        <f t="shared" si="311"/>
        <v>0</v>
      </c>
      <c r="HK56" s="64"/>
      <c r="HL56" s="73"/>
      <c r="HM56" s="72">
        <f t="shared" si="215"/>
        <v>0</v>
      </c>
      <c r="HN56" s="64"/>
      <c r="HO56" s="73"/>
      <c r="HP56" s="72">
        <f t="shared" si="216"/>
        <v>0</v>
      </c>
      <c r="HQ56" s="64"/>
      <c r="HR56" s="73"/>
      <c r="HS56" s="72">
        <f t="shared" si="217"/>
        <v>0</v>
      </c>
      <c r="HT56" s="64"/>
      <c r="HU56" s="73"/>
      <c r="HV56" s="72">
        <f t="shared" si="312"/>
        <v>0</v>
      </c>
      <c r="HW56" s="64"/>
      <c r="HX56" s="73"/>
      <c r="HY56" s="72">
        <f t="shared" si="313"/>
        <v>0</v>
      </c>
      <c r="HZ56" s="64"/>
      <c r="IA56" s="73"/>
      <c r="IB56" s="72">
        <f t="shared" si="218"/>
        <v>0</v>
      </c>
      <c r="IC56" s="64"/>
      <c r="ID56" s="73"/>
      <c r="IE56" s="72">
        <f t="shared" si="219"/>
        <v>0</v>
      </c>
      <c r="IF56" s="64"/>
      <c r="IG56" s="73"/>
      <c r="IH56" s="72">
        <f t="shared" si="220"/>
        <v>0</v>
      </c>
      <c r="II56" s="64"/>
      <c r="IJ56" s="73"/>
      <c r="IK56" s="72">
        <f t="shared" si="314"/>
        <v>0</v>
      </c>
      <c r="IL56" s="64"/>
      <c r="IM56" s="73"/>
      <c r="IN56" s="72">
        <f t="shared" si="315"/>
        <v>0</v>
      </c>
      <c r="IO56" s="64"/>
      <c r="IP56" s="73"/>
      <c r="IQ56" s="72">
        <f t="shared" si="221"/>
        <v>0</v>
      </c>
      <c r="IR56" s="64"/>
      <c r="IS56" s="73"/>
      <c r="IT56" s="72">
        <f t="shared" si="222"/>
        <v>0</v>
      </c>
      <c r="IU56" s="64"/>
      <c r="IV56" s="73"/>
      <c r="IW56" s="72">
        <f t="shared" si="223"/>
        <v>0</v>
      </c>
      <c r="IX56" s="64"/>
      <c r="IY56" s="73"/>
      <c r="IZ56" s="72">
        <f t="shared" si="316"/>
        <v>0</v>
      </c>
      <c r="JA56" s="64"/>
      <c r="JB56" s="73"/>
      <c r="JC56" s="72">
        <f t="shared" si="317"/>
        <v>0</v>
      </c>
      <c r="JD56" s="64"/>
      <c r="JE56" s="73"/>
      <c r="JF56" s="72">
        <f t="shared" si="224"/>
        <v>0</v>
      </c>
      <c r="JG56" s="64"/>
      <c r="JH56" s="73"/>
      <c r="JI56" s="72">
        <f t="shared" si="225"/>
        <v>0</v>
      </c>
      <c r="JJ56" s="64"/>
      <c r="JK56" s="73"/>
      <c r="JL56" s="72">
        <f t="shared" si="226"/>
        <v>0</v>
      </c>
      <c r="JM56" s="64"/>
      <c r="JN56" s="73"/>
      <c r="JO56" s="72">
        <f t="shared" si="318"/>
        <v>0</v>
      </c>
      <c r="JP56" s="64"/>
      <c r="JQ56" s="73"/>
      <c r="JR56" s="72">
        <f t="shared" si="319"/>
        <v>0</v>
      </c>
      <c r="JS56" s="64"/>
      <c r="JT56" s="73"/>
      <c r="JU56" s="72">
        <f t="shared" si="227"/>
        <v>0</v>
      </c>
      <c r="JV56" s="64"/>
      <c r="JW56" s="73"/>
      <c r="JX56" s="72">
        <f t="shared" si="228"/>
        <v>0</v>
      </c>
      <c r="JY56" s="64"/>
      <c r="JZ56" s="73"/>
      <c r="KA56" s="72">
        <f t="shared" si="229"/>
        <v>0</v>
      </c>
      <c r="KB56" s="64"/>
      <c r="KC56" s="73"/>
      <c r="KD56" s="72">
        <f t="shared" si="320"/>
        <v>0</v>
      </c>
      <c r="KE56" s="64"/>
      <c r="KF56" s="73"/>
      <c r="KG56" s="72">
        <f t="shared" si="321"/>
        <v>0</v>
      </c>
      <c r="KH56" s="64"/>
      <c r="KI56" s="73"/>
      <c r="KJ56" s="72">
        <f t="shared" si="230"/>
        <v>0</v>
      </c>
      <c r="KK56" s="64"/>
      <c r="KL56" s="73"/>
      <c r="KM56" s="72">
        <f t="shared" si="231"/>
        <v>0</v>
      </c>
      <c r="KN56" s="64"/>
      <c r="KO56" s="73"/>
      <c r="KP56" s="72">
        <f t="shared" si="232"/>
        <v>0</v>
      </c>
      <c r="KQ56" s="64"/>
      <c r="KR56" s="73"/>
      <c r="KS56" s="72">
        <f t="shared" si="322"/>
        <v>0</v>
      </c>
      <c r="KT56" s="64"/>
      <c r="KU56" s="73"/>
      <c r="KV56" s="72">
        <f t="shared" si="323"/>
        <v>0</v>
      </c>
      <c r="KW56" s="64"/>
      <c r="KX56" s="73"/>
      <c r="KY56" s="72">
        <f t="shared" si="233"/>
        <v>0</v>
      </c>
      <c r="KZ56" s="64"/>
      <c r="LA56" s="73"/>
      <c r="LB56" s="72">
        <f t="shared" si="234"/>
        <v>0</v>
      </c>
      <c r="LC56" s="64"/>
      <c r="LD56" s="73"/>
      <c r="LE56" s="72">
        <f t="shared" si="235"/>
        <v>0</v>
      </c>
      <c r="LF56" s="64"/>
    </row>
    <row r="57" spans="1:318" s="784" customFormat="1">
      <c r="A57" s="49"/>
      <c r="B57" s="49"/>
      <c r="C57" s="118" t="str">
        <f>"MAX. "&amp;UPPER(Idiomas!D260)</f>
        <v>MAX. DIECISEISAVOS DE FINAL</v>
      </c>
      <c r="D57" s="121">
        <f>SUM($D$16:$D$18)*SUM($I$164:$I$179)+$D$19*16</f>
        <v>960</v>
      </c>
      <c r="E57" s="109"/>
      <c r="F57" s="443">
        <f t="shared" si="236"/>
        <v>15</v>
      </c>
      <c r="G57" s="443">
        <f ca="1">VLOOKUP(H57,Equipos!$Q$1:$R$25,2,0)</f>
        <v>14</v>
      </c>
      <c r="H57" s="444">
        <f ca="1">TRUNC(INDEX(WORLDCUP!$X$4:$X$147,MATCH(ADMIN!K57,WORLDCUP!$DT$4:$DT$147,0))+INDEX(Horarios!$R$3:$R$86,MATCH(Horarios!$C$3,Horarios!$P$3:$P$86,0))/24)</f>
        <v>46197</v>
      </c>
      <c r="I57" s="48">
        <v>1</v>
      </c>
      <c r="J57" s="94"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276"/>
        <v>0</v>
      </c>
      <c r="R57" s="49"/>
      <c r="S57" s="796" t="s">
        <v>1947</v>
      </c>
      <c r="T57" s="72">
        <f t="shared" si="285"/>
        <v>0</v>
      </c>
      <c r="U57" s="64"/>
      <c r="V57" s="73" t="s">
        <v>1948</v>
      </c>
      <c r="W57" s="72">
        <f t="shared" si="286"/>
        <v>0</v>
      </c>
      <c r="X57" s="64"/>
      <c r="Y57" s="796" t="s">
        <v>1961</v>
      </c>
      <c r="Z57" s="72">
        <f t="shared" si="176"/>
        <v>0</v>
      </c>
      <c r="AA57" s="64"/>
      <c r="AB57" s="796" t="s">
        <v>1948</v>
      </c>
      <c r="AC57" s="72">
        <f t="shared" si="177"/>
        <v>0</v>
      </c>
      <c r="AD57" s="64"/>
      <c r="AE57" s="796" t="s">
        <v>1948</v>
      </c>
      <c r="AF57" s="72">
        <f t="shared" si="324"/>
        <v>0</v>
      </c>
      <c r="AG57" s="64"/>
      <c r="AH57" s="796" t="s">
        <v>1948</v>
      </c>
      <c r="AI57" s="72">
        <f t="shared" si="288"/>
        <v>0</v>
      </c>
      <c r="AJ57" s="64"/>
      <c r="AK57" s="806" t="s">
        <v>1963</v>
      </c>
      <c r="AL57" s="72">
        <f t="shared" si="289"/>
        <v>0</v>
      </c>
      <c r="AM57" s="64"/>
      <c r="AN57" s="796" t="s">
        <v>1955</v>
      </c>
      <c r="AO57" s="72">
        <f t="shared" si="179"/>
        <v>0</v>
      </c>
      <c r="AP57" s="64"/>
      <c r="AQ57" s="806" t="s">
        <v>1958</v>
      </c>
      <c r="AR57" s="72">
        <f t="shared" si="180"/>
        <v>0</v>
      </c>
      <c r="AS57" s="64"/>
      <c r="AT57" s="796" t="s">
        <v>1961</v>
      </c>
      <c r="AU57" s="72">
        <f t="shared" si="181"/>
        <v>0</v>
      </c>
      <c r="AV57" s="64"/>
      <c r="AW57" s="796" t="s">
        <v>1960</v>
      </c>
      <c r="AX57" s="72">
        <f t="shared" si="290"/>
        <v>0</v>
      </c>
      <c r="AY57" s="64"/>
      <c r="AZ57" s="796" t="s">
        <v>2348</v>
      </c>
      <c r="BA57" s="72">
        <f t="shared" si="291"/>
        <v>0</v>
      </c>
      <c r="BB57" s="64"/>
      <c r="BC57" s="796" t="s">
        <v>1961</v>
      </c>
      <c r="BD57" s="72">
        <f t="shared" si="182"/>
        <v>0</v>
      </c>
      <c r="BE57" s="64"/>
      <c r="BF57" s="796" t="s">
        <v>1960</v>
      </c>
      <c r="BG57" s="72">
        <f t="shared" si="183"/>
        <v>0</v>
      </c>
      <c r="BH57" s="64"/>
      <c r="BI57" s="796" t="s">
        <v>1960</v>
      </c>
      <c r="BJ57" s="72">
        <f t="shared" si="184"/>
        <v>0</v>
      </c>
      <c r="BK57" s="64"/>
      <c r="BL57" s="796" t="s">
        <v>1956</v>
      </c>
      <c r="BM57" s="72">
        <f t="shared" si="292"/>
        <v>0</v>
      </c>
      <c r="BN57" s="64"/>
      <c r="BO57" s="816" t="s">
        <v>1958</v>
      </c>
      <c r="BP57" s="72">
        <f t="shared" si="293"/>
        <v>0</v>
      </c>
      <c r="BQ57" s="64"/>
      <c r="BR57" s="796" t="s">
        <v>1960</v>
      </c>
      <c r="BS57" s="72">
        <f t="shared" si="185"/>
        <v>0</v>
      </c>
      <c r="BT57" s="64"/>
      <c r="BU57" s="796" t="s">
        <v>1947</v>
      </c>
      <c r="BV57" s="72">
        <f t="shared" si="186"/>
        <v>0</v>
      </c>
      <c r="BW57" s="64"/>
      <c r="BX57" s="73" t="s">
        <v>1961</v>
      </c>
      <c r="BY57" s="72">
        <f t="shared" si="187"/>
        <v>0</v>
      </c>
      <c r="BZ57" s="64"/>
      <c r="CA57" s="816" t="s">
        <v>1958</v>
      </c>
      <c r="CB57" s="72">
        <f t="shared" si="294"/>
        <v>0</v>
      </c>
      <c r="CC57" s="64"/>
      <c r="CD57" s="825" t="s">
        <v>1950</v>
      </c>
      <c r="CE57" s="72">
        <f t="shared" si="295"/>
        <v>0</v>
      </c>
      <c r="CF57" s="64"/>
      <c r="CG57" s="796" t="s">
        <v>1960</v>
      </c>
      <c r="CH57" s="72">
        <f t="shared" si="188"/>
        <v>0</v>
      </c>
      <c r="CI57" s="64"/>
      <c r="CJ57" s="796" t="s">
        <v>1955</v>
      </c>
      <c r="CK57" s="72">
        <f t="shared" si="189"/>
        <v>0</v>
      </c>
      <c r="CL57" s="64"/>
      <c r="CM57" s="796" t="s">
        <v>1958</v>
      </c>
      <c r="CN57" s="72">
        <f t="shared" si="190"/>
        <v>0</v>
      </c>
      <c r="CO57" s="64"/>
      <c r="CP57" s="796" t="s">
        <v>1955</v>
      </c>
      <c r="CQ57" s="72">
        <f t="shared" si="296"/>
        <v>0</v>
      </c>
      <c r="CR57" s="64"/>
      <c r="CS57" s="796" t="s">
        <v>1961</v>
      </c>
      <c r="CT57" s="72">
        <f t="shared" si="297"/>
        <v>0</v>
      </c>
      <c r="CU57" s="64"/>
      <c r="CV57" s="796" t="s">
        <v>1958</v>
      </c>
      <c r="CW57" s="72">
        <f t="shared" si="191"/>
        <v>0</v>
      </c>
      <c r="CX57" s="64"/>
      <c r="CY57" s="796" t="s">
        <v>1958</v>
      </c>
      <c r="CZ57" s="72">
        <f t="shared" si="250"/>
        <v>0</v>
      </c>
      <c r="DA57" s="64"/>
      <c r="DB57" s="796" t="s">
        <v>1958</v>
      </c>
      <c r="DC57" s="72">
        <f t="shared" si="192"/>
        <v>0</v>
      </c>
      <c r="DD57" s="64"/>
      <c r="DE57" s="796" t="s">
        <v>1957</v>
      </c>
      <c r="DF57" s="72">
        <f t="shared" si="281"/>
        <v>0</v>
      </c>
      <c r="DG57" s="64"/>
      <c r="DH57" s="796" t="s">
        <v>1955</v>
      </c>
      <c r="DI57" s="72">
        <f t="shared" si="282"/>
        <v>0</v>
      </c>
      <c r="DJ57" s="64"/>
      <c r="DK57" s="796" t="s">
        <v>1961</v>
      </c>
      <c r="DL57" s="72">
        <f t="shared" si="283"/>
        <v>0</v>
      </c>
      <c r="DM57" s="64"/>
      <c r="DN57" s="73"/>
      <c r="DO57" s="72">
        <f t="shared" si="196"/>
        <v>0</v>
      </c>
      <c r="DP57" s="64"/>
      <c r="DQ57" s="796" t="s">
        <v>1947</v>
      </c>
      <c r="DR57" s="72">
        <f t="shared" si="251"/>
        <v>0</v>
      </c>
      <c r="DS57" s="64"/>
      <c r="DT57" s="73" t="s">
        <v>1948</v>
      </c>
      <c r="DU57" s="72">
        <f t="shared" si="298"/>
        <v>0</v>
      </c>
      <c r="DV57" s="64"/>
      <c r="DW57" s="73"/>
      <c r="DX57" s="72">
        <f t="shared" si="299"/>
        <v>0</v>
      </c>
      <c r="DY57" s="64"/>
      <c r="DZ57" s="73"/>
      <c r="EA57" s="72">
        <f t="shared" si="284"/>
        <v>0</v>
      </c>
      <c r="EB57" s="64"/>
      <c r="EC57" s="73"/>
      <c r="ED57" s="72">
        <f t="shared" si="198"/>
        <v>0</v>
      </c>
      <c r="EE57" s="64"/>
      <c r="EF57" s="73"/>
      <c r="EG57" s="72">
        <f t="shared" si="199"/>
        <v>0</v>
      </c>
      <c r="EH57" s="64"/>
      <c r="EI57" s="73"/>
      <c r="EJ57" s="72">
        <f t="shared" si="300"/>
        <v>0</v>
      </c>
      <c r="EK57" s="64"/>
      <c r="EL57" s="73"/>
      <c r="EM57" s="72">
        <f t="shared" si="301"/>
        <v>0</v>
      </c>
      <c r="EN57" s="64"/>
      <c r="EO57" s="73"/>
      <c r="EP57" s="72">
        <f t="shared" si="200"/>
        <v>0</v>
      </c>
      <c r="EQ57" s="64"/>
      <c r="ER57" s="73"/>
      <c r="ES57" s="72">
        <f t="shared" si="201"/>
        <v>0</v>
      </c>
      <c r="ET57" s="64"/>
      <c r="EU57" s="73"/>
      <c r="EV57" s="72">
        <f t="shared" si="202"/>
        <v>0</v>
      </c>
      <c r="EW57" s="64"/>
      <c r="EX57" s="73"/>
      <c r="EY57" s="72">
        <f t="shared" si="302"/>
        <v>0</v>
      </c>
      <c r="EZ57" s="64"/>
      <c r="FA57" s="73"/>
      <c r="FB57" s="72">
        <f t="shared" si="303"/>
        <v>0</v>
      </c>
      <c r="FC57" s="64"/>
      <c r="FD57" s="73"/>
      <c r="FE57" s="72">
        <f t="shared" si="203"/>
        <v>0</v>
      </c>
      <c r="FF57" s="64"/>
      <c r="FG57" s="73"/>
      <c r="FH57" s="72">
        <f t="shared" si="204"/>
        <v>0</v>
      </c>
      <c r="FI57" s="64"/>
      <c r="FJ57" s="73"/>
      <c r="FK57" s="72">
        <f t="shared" si="205"/>
        <v>0</v>
      </c>
      <c r="FL57" s="64"/>
      <c r="FM57" s="73"/>
      <c r="FN57" s="72">
        <f t="shared" si="304"/>
        <v>0</v>
      </c>
      <c r="FO57" s="64"/>
      <c r="FP57" s="73"/>
      <c r="FQ57" s="72">
        <f t="shared" si="305"/>
        <v>0</v>
      </c>
      <c r="FR57" s="64"/>
      <c r="FS57" s="73"/>
      <c r="FT57" s="72">
        <f t="shared" si="206"/>
        <v>0</v>
      </c>
      <c r="FU57" s="64"/>
      <c r="FV57" s="73"/>
      <c r="FW57" s="72">
        <f t="shared" si="207"/>
        <v>0</v>
      </c>
      <c r="FX57" s="64"/>
      <c r="FY57" s="73"/>
      <c r="FZ57" s="72">
        <f t="shared" si="208"/>
        <v>0</v>
      </c>
      <c r="GA57" s="64"/>
      <c r="GB57" s="73"/>
      <c r="GC57" s="72">
        <f t="shared" si="306"/>
        <v>0</v>
      </c>
      <c r="GD57" s="64"/>
      <c r="GE57" s="73"/>
      <c r="GF57" s="72">
        <f t="shared" si="307"/>
        <v>0</v>
      </c>
      <c r="GG57" s="64"/>
      <c r="GH57" s="73"/>
      <c r="GI57" s="72">
        <f t="shared" si="209"/>
        <v>0</v>
      </c>
      <c r="GJ57" s="64"/>
      <c r="GK57" s="73"/>
      <c r="GL57" s="72">
        <f t="shared" si="210"/>
        <v>0</v>
      </c>
      <c r="GM57" s="64"/>
      <c r="GN57" s="73"/>
      <c r="GO57" s="72">
        <f t="shared" si="211"/>
        <v>0</v>
      </c>
      <c r="GP57" s="64"/>
      <c r="GQ57" s="73"/>
      <c r="GR57" s="72">
        <f t="shared" si="308"/>
        <v>0</v>
      </c>
      <c r="GS57" s="64"/>
      <c r="GT57" s="73"/>
      <c r="GU57" s="72">
        <f t="shared" si="309"/>
        <v>0</v>
      </c>
      <c r="GV57" s="64"/>
      <c r="GW57" s="73"/>
      <c r="GX57" s="72">
        <f t="shared" si="212"/>
        <v>0</v>
      </c>
      <c r="GY57" s="64"/>
      <c r="GZ57" s="73"/>
      <c r="HA57" s="72">
        <f t="shared" si="213"/>
        <v>0</v>
      </c>
      <c r="HB57" s="64"/>
      <c r="HC57" s="73"/>
      <c r="HD57" s="72">
        <f t="shared" si="214"/>
        <v>0</v>
      </c>
      <c r="HE57" s="64"/>
      <c r="HF57" s="73"/>
      <c r="HG57" s="72">
        <f t="shared" si="310"/>
        <v>0</v>
      </c>
      <c r="HH57" s="64"/>
      <c r="HI57" s="73"/>
      <c r="HJ57" s="72">
        <f t="shared" si="311"/>
        <v>0</v>
      </c>
      <c r="HK57" s="64"/>
      <c r="HL57" s="73"/>
      <c r="HM57" s="72">
        <f t="shared" si="215"/>
        <v>0</v>
      </c>
      <c r="HN57" s="64"/>
      <c r="HO57" s="73"/>
      <c r="HP57" s="72">
        <f t="shared" si="216"/>
        <v>0</v>
      </c>
      <c r="HQ57" s="64"/>
      <c r="HR57" s="73"/>
      <c r="HS57" s="72">
        <f t="shared" si="217"/>
        <v>0</v>
      </c>
      <c r="HT57" s="64"/>
      <c r="HU57" s="73"/>
      <c r="HV57" s="72">
        <f t="shared" si="312"/>
        <v>0</v>
      </c>
      <c r="HW57" s="64"/>
      <c r="HX57" s="73"/>
      <c r="HY57" s="72">
        <f t="shared" si="313"/>
        <v>0</v>
      </c>
      <c r="HZ57" s="64"/>
      <c r="IA57" s="73"/>
      <c r="IB57" s="72">
        <f t="shared" si="218"/>
        <v>0</v>
      </c>
      <c r="IC57" s="64"/>
      <c r="ID57" s="73"/>
      <c r="IE57" s="72">
        <f t="shared" si="219"/>
        <v>0</v>
      </c>
      <c r="IF57" s="64"/>
      <c r="IG57" s="73"/>
      <c r="IH57" s="72">
        <f t="shared" si="220"/>
        <v>0</v>
      </c>
      <c r="II57" s="64"/>
      <c r="IJ57" s="73"/>
      <c r="IK57" s="72">
        <f t="shared" si="314"/>
        <v>0</v>
      </c>
      <c r="IL57" s="64"/>
      <c r="IM57" s="73"/>
      <c r="IN57" s="72">
        <f t="shared" si="315"/>
        <v>0</v>
      </c>
      <c r="IO57" s="64"/>
      <c r="IP57" s="73"/>
      <c r="IQ57" s="72">
        <f t="shared" si="221"/>
        <v>0</v>
      </c>
      <c r="IR57" s="64"/>
      <c r="IS57" s="73"/>
      <c r="IT57" s="72">
        <f t="shared" si="222"/>
        <v>0</v>
      </c>
      <c r="IU57" s="64"/>
      <c r="IV57" s="73"/>
      <c r="IW57" s="72">
        <f t="shared" si="223"/>
        <v>0</v>
      </c>
      <c r="IX57" s="64"/>
      <c r="IY57" s="73"/>
      <c r="IZ57" s="72">
        <f t="shared" si="316"/>
        <v>0</v>
      </c>
      <c r="JA57" s="64"/>
      <c r="JB57" s="73"/>
      <c r="JC57" s="72">
        <f t="shared" si="317"/>
        <v>0</v>
      </c>
      <c r="JD57" s="64"/>
      <c r="JE57" s="73"/>
      <c r="JF57" s="72">
        <f t="shared" si="224"/>
        <v>0</v>
      </c>
      <c r="JG57" s="64"/>
      <c r="JH57" s="73"/>
      <c r="JI57" s="72">
        <f t="shared" si="225"/>
        <v>0</v>
      </c>
      <c r="JJ57" s="64"/>
      <c r="JK57" s="73"/>
      <c r="JL57" s="72">
        <f t="shared" si="226"/>
        <v>0</v>
      </c>
      <c r="JM57" s="64"/>
      <c r="JN57" s="73"/>
      <c r="JO57" s="72">
        <f t="shared" si="318"/>
        <v>0</v>
      </c>
      <c r="JP57" s="64"/>
      <c r="JQ57" s="73"/>
      <c r="JR57" s="72">
        <f t="shared" si="319"/>
        <v>0</v>
      </c>
      <c r="JS57" s="64"/>
      <c r="JT57" s="73"/>
      <c r="JU57" s="72">
        <f t="shared" si="227"/>
        <v>0</v>
      </c>
      <c r="JV57" s="64"/>
      <c r="JW57" s="73"/>
      <c r="JX57" s="72">
        <f t="shared" si="228"/>
        <v>0</v>
      </c>
      <c r="JY57" s="64"/>
      <c r="JZ57" s="73"/>
      <c r="KA57" s="72">
        <f t="shared" si="229"/>
        <v>0</v>
      </c>
      <c r="KB57" s="64"/>
      <c r="KC57" s="73"/>
      <c r="KD57" s="72">
        <f t="shared" si="320"/>
        <v>0</v>
      </c>
      <c r="KE57" s="64"/>
      <c r="KF57" s="73"/>
      <c r="KG57" s="72">
        <f t="shared" si="321"/>
        <v>0</v>
      </c>
      <c r="KH57" s="64"/>
      <c r="KI57" s="73"/>
      <c r="KJ57" s="72">
        <f t="shared" si="230"/>
        <v>0</v>
      </c>
      <c r="KK57" s="64"/>
      <c r="KL57" s="73"/>
      <c r="KM57" s="72">
        <f t="shared" si="231"/>
        <v>0</v>
      </c>
      <c r="KN57" s="64"/>
      <c r="KO57" s="73"/>
      <c r="KP57" s="72">
        <f t="shared" si="232"/>
        <v>0</v>
      </c>
      <c r="KQ57" s="64"/>
      <c r="KR57" s="73"/>
      <c r="KS57" s="72">
        <f t="shared" si="322"/>
        <v>0</v>
      </c>
      <c r="KT57" s="64"/>
      <c r="KU57" s="73"/>
      <c r="KV57" s="72">
        <f t="shared" si="323"/>
        <v>0</v>
      </c>
      <c r="KW57" s="64"/>
      <c r="KX57" s="73"/>
      <c r="KY57" s="72">
        <f t="shared" si="233"/>
        <v>0</v>
      </c>
      <c r="KZ57" s="64"/>
      <c r="LA57" s="73"/>
      <c r="LB57" s="72">
        <f t="shared" si="234"/>
        <v>0</v>
      </c>
      <c r="LC57" s="64"/>
      <c r="LD57" s="73"/>
      <c r="LE57" s="72">
        <f t="shared" si="235"/>
        <v>0</v>
      </c>
      <c r="LF57" s="64"/>
    </row>
    <row r="58" spans="1:318" s="784" customFormat="1">
      <c r="A58" s="49"/>
      <c r="B58" s="49"/>
      <c r="C58" s="119" t="str">
        <f>"MAX. "&amp;UPPER(Idiomas!D261)</f>
        <v>MAX. OCTAVOS DE FINAL</v>
      </c>
      <c r="D58" s="122">
        <f>SUM($D$20:$D$22)*SUM($I$200:$I$207)+$D$23*8</f>
        <v>560</v>
      </c>
      <c r="E58" s="109"/>
      <c r="F58" s="443">
        <f t="shared" si="236"/>
        <v>15</v>
      </c>
      <c r="G58" s="443">
        <f ca="1">VLOOKUP(H58,Equipos!$Q$1:$R$25,2,0)</f>
        <v>14</v>
      </c>
      <c r="H58" s="444">
        <f ca="1">TRUNC(INDEX(WORLDCUP!$X$4:$X$147,MATCH(ADMIN!K58,WORLDCUP!$DT$4:$DT$147,0))+INDEX(Horarios!$R$3:$R$86,MATCH(Horarios!$C$3,Horarios!$P$3:$P$86,0))/24)</f>
        <v>46197</v>
      </c>
      <c r="I58" s="48">
        <v>1</v>
      </c>
      <c r="J58" s="93"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276"/>
        <v>0</v>
      </c>
      <c r="R58" s="49"/>
      <c r="S58" s="796" t="s">
        <v>1949</v>
      </c>
      <c r="T58" s="72">
        <f t="shared" si="285"/>
        <v>0</v>
      </c>
      <c r="U58" s="64"/>
      <c r="V58" s="73" t="s">
        <v>1949</v>
      </c>
      <c r="W58" s="72">
        <f t="shared" si="286"/>
        <v>0</v>
      </c>
      <c r="X58" s="64"/>
      <c r="Y58" s="796" t="s">
        <v>1951</v>
      </c>
      <c r="Z58" s="72">
        <f t="shared" si="176"/>
        <v>0</v>
      </c>
      <c r="AA58" s="64"/>
      <c r="AB58" s="796" t="s">
        <v>1949</v>
      </c>
      <c r="AC58" s="72">
        <f t="shared" si="177"/>
        <v>0</v>
      </c>
      <c r="AD58" s="64"/>
      <c r="AE58" s="796" t="s">
        <v>1949</v>
      </c>
      <c r="AF58" s="72">
        <f t="shared" si="324"/>
        <v>0</v>
      </c>
      <c r="AG58" s="64"/>
      <c r="AH58" s="796" t="s">
        <v>1949</v>
      </c>
      <c r="AI58" s="72">
        <f t="shared" si="288"/>
        <v>0</v>
      </c>
      <c r="AJ58" s="64"/>
      <c r="AK58" s="806" t="s">
        <v>1962</v>
      </c>
      <c r="AL58" s="72">
        <f t="shared" si="289"/>
        <v>0</v>
      </c>
      <c r="AM58" s="64"/>
      <c r="AN58" s="796" t="s">
        <v>1949</v>
      </c>
      <c r="AO58" s="72">
        <f t="shared" si="179"/>
        <v>0</v>
      </c>
      <c r="AP58" s="64"/>
      <c r="AQ58" s="806" t="s">
        <v>1949</v>
      </c>
      <c r="AR58" s="72">
        <f t="shared" si="180"/>
        <v>0</v>
      </c>
      <c r="AS58" s="64"/>
      <c r="AT58" s="796" t="s">
        <v>1963</v>
      </c>
      <c r="AU58" s="72">
        <f t="shared" si="181"/>
        <v>0</v>
      </c>
      <c r="AV58" s="64"/>
      <c r="AW58" s="796" t="s">
        <v>1949</v>
      </c>
      <c r="AX58" s="72">
        <f t="shared" si="290"/>
        <v>0</v>
      </c>
      <c r="AY58" s="64"/>
      <c r="AZ58" s="796" t="s">
        <v>1955</v>
      </c>
      <c r="BA58" s="72">
        <f t="shared" si="291"/>
        <v>0</v>
      </c>
      <c r="BB58" s="64"/>
      <c r="BC58" s="796" t="s">
        <v>1953</v>
      </c>
      <c r="BD58" s="72">
        <f t="shared" si="182"/>
        <v>0</v>
      </c>
      <c r="BE58" s="64"/>
      <c r="BF58" s="796" t="s">
        <v>2288</v>
      </c>
      <c r="BG58" s="72">
        <f t="shared" si="183"/>
        <v>0</v>
      </c>
      <c r="BH58" s="64"/>
      <c r="BI58" s="796" t="s">
        <v>1949</v>
      </c>
      <c r="BJ58" s="72">
        <f t="shared" si="184"/>
        <v>0</v>
      </c>
      <c r="BK58" s="64"/>
      <c r="BL58" s="796" t="s">
        <v>1963</v>
      </c>
      <c r="BM58" s="72">
        <f t="shared" si="292"/>
        <v>0</v>
      </c>
      <c r="BN58" s="64"/>
      <c r="BO58" s="816" t="s">
        <v>1963</v>
      </c>
      <c r="BP58" s="72">
        <f t="shared" si="293"/>
        <v>0</v>
      </c>
      <c r="BQ58" s="64"/>
      <c r="BR58" s="796" t="s">
        <v>1963</v>
      </c>
      <c r="BS58" s="72">
        <f t="shared" si="185"/>
        <v>0</v>
      </c>
      <c r="BT58" s="64"/>
      <c r="BU58" s="796" t="s">
        <v>1951</v>
      </c>
      <c r="BV58" s="72">
        <f t="shared" si="186"/>
        <v>0</v>
      </c>
      <c r="BW58" s="64"/>
      <c r="BX58" s="73" t="s">
        <v>1963</v>
      </c>
      <c r="BY58" s="72">
        <f t="shared" si="187"/>
        <v>0</v>
      </c>
      <c r="BZ58" s="64"/>
      <c r="CA58" s="816" t="s">
        <v>1963</v>
      </c>
      <c r="CB58" s="72">
        <f t="shared" si="294"/>
        <v>0</v>
      </c>
      <c r="CC58" s="64"/>
      <c r="CD58" s="825" t="s">
        <v>1963</v>
      </c>
      <c r="CE58" s="72">
        <f t="shared" si="295"/>
        <v>0</v>
      </c>
      <c r="CF58" s="64"/>
      <c r="CG58" s="796" t="s">
        <v>1949</v>
      </c>
      <c r="CH58" s="72">
        <f t="shared" si="188"/>
        <v>0</v>
      </c>
      <c r="CI58" s="64"/>
      <c r="CJ58" s="796" t="s">
        <v>2006</v>
      </c>
      <c r="CK58" s="72">
        <f t="shared" si="189"/>
        <v>0</v>
      </c>
      <c r="CL58" s="64"/>
      <c r="CM58" s="796" t="s">
        <v>1962</v>
      </c>
      <c r="CN58" s="72">
        <f t="shared" si="190"/>
        <v>0</v>
      </c>
      <c r="CO58" s="64"/>
      <c r="CP58" s="796" t="s">
        <v>1953</v>
      </c>
      <c r="CQ58" s="72">
        <f t="shared" si="296"/>
        <v>0</v>
      </c>
      <c r="CR58" s="64"/>
      <c r="CS58" s="796" t="s">
        <v>1949</v>
      </c>
      <c r="CT58" s="72">
        <f t="shared" si="297"/>
        <v>0</v>
      </c>
      <c r="CU58" s="64"/>
      <c r="CV58" s="796" t="s">
        <v>1951</v>
      </c>
      <c r="CW58" s="72">
        <f t="shared" si="191"/>
        <v>0</v>
      </c>
      <c r="CX58" s="64"/>
      <c r="CY58" s="796" t="s">
        <v>1951</v>
      </c>
      <c r="CZ58" s="72">
        <f t="shared" si="250"/>
        <v>0</v>
      </c>
      <c r="DA58" s="64"/>
      <c r="DB58" s="796" t="s">
        <v>1962</v>
      </c>
      <c r="DC58" s="72">
        <f t="shared" si="192"/>
        <v>0</v>
      </c>
      <c r="DD58" s="64"/>
      <c r="DE58" s="796" t="s">
        <v>1963</v>
      </c>
      <c r="DF58" s="72">
        <f t="shared" si="281"/>
        <v>0</v>
      </c>
      <c r="DG58" s="64"/>
      <c r="DH58" s="796" t="s">
        <v>1949</v>
      </c>
      <c r="DI58" s="72">
        <f t="shared" si="282"/>
        <v>0</v>
      </c>
      <c r="DJ58" s="64"/>
      <c r="DK58" s="796" t="s">
        <v>1949</v>
      </c>
      <c r="DL58" s="72">
        <f t="shared" si="283"/>
        <v>0</v>
      </c>
      <c r="DM58" s="64"/>
      <c r="DN58" s="73"/>
      <c r="DO58" s="72">
        <f t="shared" si="196"/>
        <v>0</v>
      </c>
      <c r="DP58" s="64"/>
      <c r="DQ58" s="796" t="s">
        <v>1963</v>
      </c>
      <c r="DR58" s="72">
        <f t="shared" si="251"/>
        <v>0</v>
      </c>
      <c r="DS58" s="64"/>
      <c r="DT58" s="73" t="s">
        <v>1947</v>
      </c>
      <c r="DU58" s="72">
        <f t="shared" si="298"/>
        <v>0</v>
      </c>
      <c r="DV58" s="64"/>
      <c r="DW58" s="73"/>
      <c r="DX58" s="72">
        <f t="shared" si="299"/>
        <v>0</v>
      </c>
      <c r="DY58" s="64"/>
      <c r="DZ58" s="73"/>
      <c r="EA58" s="72">
        <f t="shared" si="284"/>
        <v>0</v>
      </c>
      <c r="EB58" s="64"/>
      <c r="EC58" s="73"/>
      <c r="ED58" s="72">
        <f t="shared" si="198"/>
        <v>0</v>
      </c>
      <c r="EE58" s="64"/>
      <c r="EF58" s="73"/>
      <c r="EG58" s="72">
        <f t="shared" si="199"/>
        <v>0</v>
      </c>
      <c r="EH58" s="64"/>
      <c r="EI58" s="73"/>
      <c r="EJ58" s="72">
        <f t="shared" si="300"/>
        <v>0</v>
      </c>
      <c r="EK58" s="64"/>
      <c r="EL58" s="73"/>
      <c r="EM58" s="72">
        <f t="shared" si="301"/>
        <v>0</v>
      </c>
      <c r="EN58" s="64"/>
      <c r="EO58" s="73"/>
      <c r="EP58" s="72">
        <f t="shared" si="200"/>
        <v>0</v>
      </c>
      <c r="EQ58" s="64"/>
      <c r="ER58" s="73"/>
      <c r="ES58" s="72">
        <f t="shared" si="201"/>
        <v>0</v>
      </c>
      <c r="ET58" s="64"/>
      <c r="EU58" s="73"/>
      <c r="EV58" s="72">
        <f t="shared" si="202"/>
        <v>0</v>
      </c>
      <c r="EW58" s="64"/>
      <c r="EX58" s="73"/>
      <c r="EY58" s="72">
        <f t="shared" si="302"/>
        <v>0</v>
      </c>
      <c r="EZ58" s="64"/>
      <c r="FA58" s="73"/>
      <c r="FB58" s="72">
        <f t="shared" si="303"/>
        <v>0</v>
      </c>
      <c r="FC58" s="64"/>
      <c r="FD58" s="73"/>
      <c r="FE58" s="72">
        <f t="shared" si="203"/>
        <v>0</v>
      </c>
      <c r="FF58" s="64"/>
      <c r="FG58" s="73"/>
      <c r="FH58" s="72">
        <f t="shared" si="204"/>
        <v>0</v>
      </c>
      <c r="FI58" s="64"/>
      <c r="FJ58" s="73"/>
      <c r="FK58" s="72">
        <f t="shared" si="205"/>
        <v>0</v>
      </c>
      <c r="FL58" s="64"/>
      <c r="FM58" s="73"/>
      <c r="FN58" s="72">
        <f t="shared" si="304"/>
        <v>0</v>
      </c>
      <c r="FO58" s="64"/>
      <c r="FP58" s="73"/>
      <c r="FQ58" s="72">
        <f t="shared" si="305"/>
        <v>0</v>
      </c>
      <c r="FR58" s="64"/>
      <c r="FS58" s="73"/>
      <c r="FT58" s="72">
        <f t="shared" si="206"/>
        <v>0</v>
      </c>
      <c r="FU58" s="64"/>
      <c r="FV58" s="73"/>
      <c r="FW58" s="72">
        <f t="shared" si="207"/>
        <v>0</v>
      </c>
      <c r="FX58" s="64"/>
      <c r="FY58" s="73"/>
      <c r="FZ58" s="72">
        <f t="shared" si="208"/>
        <v>0</v>
      </c>
      <c r="GA58" s="64"/>
      <c r="GB58" s="73"/>
      <c r="GC58" s="72">
        <f t="shared" si="306"/>
        <v>0</v>
      </c>
      <c r="GD58" s="64"/>
      <c r="GE58" s="73"/>
      <c r="GF58" s="72">
        <f t="shared" si="307"/>
        <v>0</v>
      </c>
      <c r="GG58" s="64"/>
      <c r="GH58" s="73"/>
      <c r="GI58" s="72">
        <f t="shared" si="209"/>
        <v>0</v>
      </c>
      <c r="GJ58" s="64"/>
      <c r="GK58" s="73"/>
      <c r="GL58" s="72">
        <f t="shared" si="210"/>
        <v>0</v>
      </c>
      <c r="GM58" s="64"/>
      <c r="GN58" s="73"/>
      <c r="GO58" s="72">
        <f t="shared" si="211"/>
        <v>0</v>
      </c>
      <c r="GP58" s="64"/>
      <c r="GQ58" s="73"/>
      <c r="GR58" s="72">
        <f t="shared" si="308"/>
        <v>0</v>
      </c>
      <c r="GS58" s="64"/>
      <c r="GT58" s="73"/>
      <c r="GU58" s="72">
        <f t="shared" si="309"/>
        <v>0</v>
      </c>
      <c r="GV58" s="64"/>
      <c r="GW58" s="73"/>
      <c r="GX58" s="72">
        <f t="shared" si="212"/>
        <v>0</v>
      </c>
      <c r="GY58" s="64"/>
      <c r="GZ58" s="73"/>
      <c r="HA58" s="72">
        <f t="shared" si="213"/>
        <v>0</v>
      </c>
      <c r="HB58" s="64"/>
      <c r="HC58" s="73"/>
      <c r="HD58" s="72">
        <f t="shared" si="214"/>
        <v>0</v>
      </c>
      <c r="HE58" s="64"/>
      <c r="HF58" s="73"/>
      <c r="HG58" s="72">
        <f t="shared" si="310"/>
        <v>0</v>
      </c>
      <c r="HH58" s="64"/>
      <c r="HI58" s="73"/>
      <c r="HJ58" s="72">
        <f t="shared" si="311"/>
        <v>0</v>
      </c>
      <c r="HK58" s="64"/>
      <c r="HL58" s="73"/>
      <c r="HM58" s="72">
        <f t="shared" si="215"/>
        <v>0</v>
      </c>
      <c r="HN58" s="64"/>
      <c r="HO58" s="73"/>
      <c r="HP58" s="72">
        <f t="shared" si="216"/>
        <v>0</v>
      </c>
      <c r="HQ58" s="64"/>
      <c r="HR58" s="73"/>
      <c r="HS58" s="72">
        <f t="shared" si="217"/>
        <v>0</v>
      </c>
      <c r="HT58" s="64"/>
      <c r="HU58" s="73"/>
      <c r="HV58" s="72">
        <f t="shared" si="312"/>
        <v>0</v>
      </c>
      <c r="HW58" s="64"/>
      <c r="HX58" s="73"/>
      <c r="HY58" s="72">
        <f t="shared" si="313"/>
        <v>0</v>
      </c>
      <c r="HZ58" s="64"/>
      <c r="IA58" s="73"/>
      <c r="IB58" s="72">
        <f t="shared" si="218"/>
        <v>0</v>
      </c>
      <c r="IC58" s="64"/>
      <c r="ID58" s="73"/>
      <c r="IE58" s="72">
        <f t="shared" si="219"/>
        <v>0</v>
      </c>
      <c r="IF58" s="64"/>
      <c r="IG58" s="73"/>
      <c r="IH58" s="72">
        <f t="shared" si="220"/>
        <v>0</v>
      </c>
      <c r="II58" s="64"/>
      <c r="IJ58" s="73"/>
      <c r="IK58" s="72">
        <f t="shared" si="314"/>
        <v>0</v>
      </c>
      <c r="IL58" s="64"/>
      <c r="IM58" s="73"/>
      <c r="IN58" s="72">
        <f t="shared" si="315"/>
        <v>0</v>
      </c>
      <c r="IO58" s="64"/>
      <c r="IP58" s="73"/>
      <c r="IQ58" s="72">
        <f t="shared" si="221"/>
        <v>0</v>
      </c>
      <c r="IR58" s="64"/>
      <c r="IS58" s="73"/>
      <c r="IT58" s="72">
        <f t="shared" si="222"/>
        <v>0</v>
      </c>
      <c r="IU58" s="64"/>
      <c r="IV58" s="73"/>
      <c r="IW58" s="72">
        <f t="shared" si="223"/>
        <v>0</v>
      </c>
      <c r="IX58" s="64"/>
      <c r="IY58" s="73"/>
      <c r="IZ58" s="72">
        <f t="shared" si="316"/>
        <v>0</v>
      </c>
      <c r="JA58" s="64"/>
      <c r="JB58" s="73"/>
      <c r="JC58" s="72">
        <f t="shared" si="317"/>
        <v>0</v>
      </c>
      <c r="JD58" s="64"/>
      <c r="JE58" s="73"/>
      <c r="JF58" s="72">
        <f t="shared" si="224"/>
        <v>0</v>
      </c>
      <c r="JG58" s="64"/>
      <c r="JH58" s="73"/>
      <c r="JI58" s="72">
        <f t="shared" si="225"/>
        <v>0</v>
      </c>
      <c r="JJ58" s="64"/>
      <c r="JK58" s="73"/>
      <c r="JL58" s="72">
        <f t="shared" si="226"/>
        <v>0</v>
      </c>
      <c r="JM58" s="64"/>
      <c r="JN58" s="73"/>
      <c r="JO58" s="72">
        <f t="shared" si="318"/>
        <v>0</v>
      </c>
      <c r="JP58" s="64"/>
      <c r="JQ58" s="73"/>
      <c r="JR58" s="72">
        <f t="shared" si="319"/>
        <v>0</v>
      </c>
      <c r="JS58" s="64"/>
      <c r="JT58" s="73"/>
      <c r="JU58" s="72">
        <f t="shared" si="227"/>
        <v>0</v>
      </c>
      <c r="JV58" s="64"/>
      <c r="JW58" s="73"/>
      <c r="JX58" s="72">
        <f t="shared" si="228"/>
        <v>0</v>
      </c>
      <c r="JY58" s="64"/>
      <c r="JZ58" s="73"/>
      <c r="KA58" s="72">
        <f t="shared" si="229"/>
        <v>0</v>
      </c>
      <c r="KB58" s="64"/>
      <c r="KC58" s="73"/>
      <c r="KD58" s="72">
        <f t="shared" si="320"/>
        <v>0</v>
      </c>
      <c r="KE58" s="64"/>
      <c r="KF58" s="73"/>
      <c r="KG58" s="72">
        <f t="shared" si="321"/>
        <v>0</v>
      </c>
      <c r="KH58" s="64"/>
      <c r="KI58" s="73"/>
      <c r="KJ58" s="72">
        <f t="shared" si="230"/>
        <v>0</v>
      </c>
      <c r="KK58" s="64"/>
      <c r="KL58" s="73"/>
      <c r="KM58" s="72">
        <f t="shared" si="231"/>
        <v>0</v>
      </c>
      <c r="KN58" s="64"/>
      <c r="KO58" s="73"/>
      <c r="KP58" s="72">
        <f t="shared" si="232"/>
        <v>0</v>
      </c>
      <c r="KQ58" s="64"/>
      <c r="KR58" s="73"/>
      <c r="KS58" s="72">
        <f t="shared" si="322"/>
        <v>0</v>
      </c>
      <c r="KT58" s="64"/>
      <c r="KU58" s="73"/>
      <c r="KV58" s="72">
        <f t="shared" si="323"/>
        <v>0</v>
      </c>
      <c r="KW58" s="64"/>
      <c r="KX58" s="73"/>
      <c r="KY58" s="72">
        <f t="shared" si="233"/>
        <v>0</v>
      </c>
      <c r="KZ58" s="64"/>
      <c r="LA58" s="73"/>
      <c r="LB58" s="72">
        <f t="shared" si="234"/>
        <v>0</v>
      </c>
      <c r="LC58" s="64"/>
      <c r="LD58" s="73"/>
      <c r="LE58" s="72">
        <f t="shared" si="235"/>
        <v>0</v>
      </c>
      <c r="LF58" s="64"/>
    </row>
    <row r="59" spans="1:318" s="784" customFormat="1">
      <c r="A59" s="49"/>
      <c r="B59" s="49"/>
      <c r="C59" s="118" t="str">
        <f>"MAX. "&amp;UPPER(Idiomas!D262)</f>
        <v>MAX. CUARTOS DE FINAL</v>
      </c>
      <c r="D59" s="121">
        <f>SUM($D$24:$D$26)*SUM($I$220:$I$223)+$D$27*4</f>
        <v>320</v>
      </c>
      <c r="E59" s="109"/>
      <c r="F59" s="443">
        <f t="shared" si="236"/>
        <v>15</v>
      </c>
      <c r="G59" s="443">
        <f ca="1">VLOOKUP(H59,Equipos!$Q$1:$R$25,2,0)</f>
        <v>14</v>
      </c>
      <c r="H59" s="444">
        <f ca="1">TRUNC(INDEX(WORLDCUP!$X$4:$X$147,MATCH(ADMIN!K59,WORLDCUP!$DT$4:$DT$147,0))+INDEX(Horarios!$R$3:$R$86,MATCH(Horarios!$C$3,Horarios!$P$3:$P$86,0))/24)</f>
        <v>46197</v>
      </c>
      <c r="I59" s="48">
        <v>1</v>
      </c>
      <c r="J59" s="93"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276"/>
        <v>0</v>
      </c>
      <c r="R59" s="49"/>
      <c r="S59" s="796" t="s">
        <v>1948</v>
      </c>
      <c r="T59" s="72">
        <f t="shared" si="285"/>
        <v>0</v>
      </c>
      <c r="U59" s="64"/>
      <c r="V59" s="73" t="s">
        <v>1956</v>
      </c>
      <c r="W59" s="72">
        <f t="shared" si="286"/>
        <v>0</v>
      </c>
      <c r="X59" s="64"/>
      <c r="Y59" s="796" t="s">
        <v>1948</v>
      </c>
      <c r="Z59" s="72">
        <f t="shared" si="176"/>
        <v>0</v>
      </c>
      <c r="AA59" s="64"/>
      <c r="AB59" s="796" t="s">
        <v>1957</v>
      </c>
      <c r="AC59" s="72">
        <f t="shared" si="177"/>
        <v>0</v>
      </c>
      <c r="AD59" s="64"/>
      <c r="AE59" s="796" t="s">
        <v>1948</v>
      </c>
      <c r="AF59" s="72">
        <f t="shared" si="324"/>
        <v>0</v>
      </c>
      <c r="AG59" s="64"/>
      <c r="AH59" s="796" t="s">
        <v>1957</v>
      </c>
      <c r="AI59" s="72">
        <f t="shared" si="288"/>
        <v>0</v>
      </c>
      <c r="AJ59" s="64"/>
      <c r="AK59" s="806" t="s">
        <v>1957</v>
      </c>
      <c r="AL59" s="72">
        <f t="shared" si="289"/>
        <v>0</v>
      </c>
      <c r="AM59" s="64"/>
      <c r="AN59" s="796" t="s">
        <v>1957</v>
      </c>
      <c r="AO59" s="72">
        <f t="shared" si="179"/>
        <v>0</v>
      </c>
      <c r="AP59" s="64"/>
      <c r="AQ59" s="806" t="s">
        <v>1948</v>
      </c>
      <c r="AR59" s="72">
        <f t="shared" si="180"/>
        <v>0</v>
      </c>
      <c r="AS59" s="64"/>
      <c r="AT59" s="796" t="s">
        <v>1957</v>
      </c>
      <c r="AU59" s="72">
        <f t="shared" si="181"/>
        <v>0</v>
      </c>
      <c r="AV59" s="64"/>
      <c r="AW59" s="796" t="s">
        <v>1957</v>
      </c>
      <c r="AX59" s="72">
        <f t="shared" si="290"/>
        <v>0</v>
      </c>
      <c r="AY59" s="64"/>
      <c r="AZ59" s="796" t="s">
        <v>1947</v>
      </c>
      <c r="BA59" s="72">
        <f t="shared" si="291"/>
        <v>0</v>
      </c>
      <c r="BB59" s="64"/>
      <c r="BC59" s="796" t="s">
        <v>1960</v>
      </c>
      <c r="BD59" s="72">
        <f t="shared" si="182"/>
        <v>0</v>
      </c>
      <c r="BE59" s="64"/>
      <c r="BF59" s="796" t="s">
        <v>1956</v>
      </c>
      <c r="BG59" s="72">
        <f t="shared" si="183"/>
        <v>0</v>
      </c>
      <c r="BH59" s="64"/>
      <c r="BI59" s="796" t="s">
        <v>1948</v>
      </c>
      <c r="BJ59" s="72">
        <f t="shared" si="184"/>
        <v>0</v>
      </c>
      <c r="BK59" s="64"/>
      <c r="BL59" s="796" t="s">
        <v>1952</v>
      </c>
      <c r="BM59" s="72">
        <f t="shared" si="292"/>
        <v>0</v>
      </c>
      <c r="BN59" s="64"/>
      <c r="BO59" s="816" t="s">
        <v>1956</v>
      </c>
      <c r="BP59" s="72">
        <f t="shared" si="293"/>
        <v>0</v>
      </c>
      <c r="BQ59" s="64"/>
      <c r="BR59" s="796" t="s">
        <v>1956</v>
      </c>
      <c r="BS59" s="72">
        <f t="shared" si="185"/>
        <v>0</v>
      </c>
      <c r="BT59" s="64"/>
      <c r="BU59" s="796" t="s">
        <v>1957</v>
      </c>
      <c r="BV59" s="72">
        <f t="shared" si="186"/>
        <v>0</v>
      </c>
      <c r="BW59" s="64"/>
      <c r="BX59" s="73" t="s">
        <v>1948</v>
      </c>
      <c r="BY59" s="72">
        <f t="shared" si="187"/>
        <v>0</v>
      </c>
      <c r="BZ59" s="64"/>
      <c r="CA59" s="816" t="s">
        <v>1955</v>
      </c>
      <c r="CB59" s="72">
        <f t="shared" si="294"/>
        <v>0</v>
      </c>
      <c r="CC59" s="64"/>
      <c r="CD59" s="825" t="s">
        <v>1956</v>
      </c>
      <c r="CE59" s="72">
        <f t="shared" si="295"/>
        <v>0</v>
      </c>
      <c r="CF59" s="64"/>
      <c r="CG59" s="796" t="s">
        <v>1956</v>
      </c>
      <c r="CH59" s="72">
        <f t="shared" si="188"/>
        <v>0</v>
      </c>
      <c r="CI59" s="64"/>
      <c r="CJ59" s="796" t="s">
        <v>1957</v>
      </c>
      <c r="CK59" s="72">
        <f t="shared" si="189"/>
        <v>0</v>
      </c>
      <c r="CL59" s="64"/>
      <c r="CM59" s="796" t="s">
        <v>1960</v>
      </c>
      <c r="CN59" s="72">
        <f t="shared" si="190"/>
        <v>0</v>
      </c>
      <c r="CO59" s="64"/>
      <c r="CP59" s="796" t="s">
        <v>2088</v>
      </c>
      <c r="CQ59" s="72">
        <f t="shared" si="296"/>
        <v>0</v>
      </c>
      <c r="CR59" s="64"/>
      <c r="CS59" s="796" t="s">
        <v>1956</v>
      </c>
      <c r="CT59" s="72">
        <f t="shared" si="297"/>
        <v>0</v>
      </c>
      <c r="CU59" s="64"/>
      <c r="CV59" s="796" t="s">
        <v>1948</v>
      </c>
      <c r="CW59" s="72">
        <f t="shared" si="191"/>
        <v>0</v>
      </c>
      <c r="CX59" s="64"/>
      <c r="CY59" s="796" t="s">
        <v>1948</v>
      </c>
      <c r="CZ59" s="72">
        <f t="shared" si="250"/>
        <v>0</v>
      </c>
      <c r="DA59" s="64"/>
      <c r="DB59" s="796" t="s">
        <v>1956</v>
      </c>
      <c r="DC59" s="72">
        <f t="shared" si="192"/>
        <v>0</v>
      </c>
      <c r="DD59" s="64"/>
      <c r="DE59" s="796" t="s">
        <v>1956</v>
      </c>
      <c r="DF59" s="72">
        <f t="shared" si="281"/>
        <v>0</v>
      </c>
      <c r="DG59" s="64"/>
      <c r="DH59" s="796" t="s">
        <v>1957</v>
      </c>
      <c r="DI59" s="72">
        <f t="shared" si="282"/>
        <v>0</v>
      </c>
      <c r="DJ59" s="64"/>
      <c r="DK59" s="796" t="s">
        <v>1948</v>
      </c>
      <c r="DL59" s="72">
        <f t="shared" si="283"/>
        <v>0</v>
      </c>
      <c r="DM59" s="64"/>
      <c r="DN59" s="73"/>
      <c r="DO59" s="72">
        <f t="shared" si="196"/>
        <v>0</v>
      </c>
      <c r="DP59" s="64"/>
      <c r="DQ59" s="796" t="s">
        <v>1960</v>
      </c>
      <c r="DR59" s="72">
        <f t="shared" si="251"/>
        <v>0</v>
      </c>
      <c r="DS59" s="64"/>
      <c r="DT59" s="73" t="s">
        <v>1948</v>
      </c>
      <c r="DU59" s="72">
        <f t="shared" si="298"/>
        <v>0</v>
      </c>
      <c r="DV59" s="64"/>
      <c r="DW59" s="73"/>
      <c r="DX59" s="72">
        <f t="shared" si="299"/>
        <v>0</v>
      </c>
      <c r="DY59" s="64"/>
      <c r="DZ59" s="73"/>
      <c r="EA59" s="72">
        <f t="shared" si="284"/>
        <v>0</v>
      </c>
      <c r="EB59" s="64"/>
      <c r="EC59" s="73"/>
      <c r="ED59" s="72">
        <f t="shared" si="198"/>
        <v>0</v>
      </c>
      <c r="EE59" s="64"/>
      <c r="EF59" s="73"/>
      <c r="EG59" s="72">
        <f t="shared" si="199"/>
        <v>0</v>
      </c>
      <c r="EH59" s="64"/>
      <c r="EI59" s="73"/>
      <c r="EJ59" s="72">
        <f t="shared" si="300"/>
        <v>0</v>
      </c>
      <c r="EK59" s="64"/>
      <c r="EL59" s="73"/>
      <c r="EM59" s="72">
        <f t="shared" si="301"/>
        <v>0</v>
      </c>
      <c r="EN59" s="64"/>
      <c r="EO59" s="73"/>
      <c r="EP59" s="72">
        <f t="shared" si="200"/>
        <v>0</v>
      </c>
      <c r="EQ59" s="64"/>
      <c r="ER59" s="73"/>
      <c r="ES59" s="72">
        <f t="shared" si="201"/>
        <v>0</v>
      </c>
      <c r="ET59" s="64"/>
      <c r="EU59" s="73"/>
      <c r="EV59" s="72">
        <f t="shared" si="202"/>
        <v>0</v>
      </c>
      <c r="EW59" s="64"/>
      <c r="EX59" s="73"/>
      <c r="EY59" s="72">
        <f t="shared" si="302"/>
        <v>0</v>
      </c>
      <c r="EZ59" s="64"/>
      <c r="FA59" s="73"/>
      <c r="FB59" s="72">
        <f t="shared" si="303"/>
        <v>0</v>
      </c>
      <c r="FC59" s="64"/>
      <c r="FD59" s="73"/>
      <c r="FE59" s="72">
        <f t="shared" si="203"/>
        <v>0</v>
      </c>
      <c r="FF59" s="64"/>
      <c r="FG59" s="73"/>
      <c r="FH59" s="72">
        <f t="shared" si="204"/>
        <v>0</v>
      </c>
      <c r="FI59" s="64"/>
      <c r="FJ59" s="73"/>
      <c r="FK59" s="72">
        <f t="shared" si="205"/>
        <v>0</v>
      </c>
      <c r="FL59" s="64"/>
      <c r="FM59" s="73"/>
      <c r="FN59" s="72">
        <f t="shared" si="304"/>
        <v>0</v>
      </c>
      <c r="FO59" s="64"/>
      <c r="FP59" s="73"/>
      <c r="FQ59" s="72">
        <f t="shared" si="305"/>
        <v>0</v>
      </c>
      <c r="FR59" s="64"/>
      <c r="FS59" s="73"/>
      <c r="FT59" s="72">
        <f t="shared" si="206"/>
        <v>0</v>
      </c>
      <c r="FU59" s="64"/>
      <c r="FV59" s="73"/>
      <c r="FW59" s="72">
        <f t="shared" si="207"/>
        <v>0</v>
      </c>
      <c r="FX59" s="64"/>
      <c r="FY59" s="73"/>
      <c r="FZ59" s="72">
        <f t="shared" si="208"/>
        <v>0</v>
      </c>
      <c r="GA59" s="64"/>
      <c r="GB59" s="73"/>
      <c r="GC59" s="72">
        <f t="shared" si="306"/>
        <v>0</v>
      </c>
      <c r="GD59" s="64"/>
      <c r="GE59" s="73"/>
      <c r="GF59" s="72">
        <f t="shared" si="307"/>
        <v>0</v>
      </c>
      <c r="GG59" s="64"/>
      <c r="GH59" s="73"/>
      <c r="GI59" s="72">
        <f t="shared" si="209"/>
        <v>0</v>
      </c>
      <c r="GJ59" s="64"/>
      <c r="GK59" s="73"/>
      <c r="GL59" s="72">
        <f t="shared" si="210"/>
        <v>0</v>
      </c>
      <c r="GM59" s="64"/>
      <c r="GN59" s="73"/>
      <c r="GO59" s="72">
        <f t="shared" si="211"/>
        <v>0</v>
      </c>
      <c r="GP59" s="64"/>
      <c r="GQ59" s="73"/>
      <c r="GR59" s="72">
        <f t="shared" si="308"/>
        <v>0</v>
      </c>
      <c r="GS59" s="64"/>
      <c r="GT59" s="73"/>
      <c r="GU59" s="72">
        <f t="shared" si="309"/>
        <v>0</v>
      </c>
      <c r="GV59" s="64"/>
      <c r="GW59" s="73"/>
      <c r="GX59" s="72">
        <f t="shared" si="212"/>
        <v>0</v>
      </c>
      <c r="GY59" s="64"/>
      <c r="GZ59" s="73"/>
      <c r="HA59" s="72">
        <f t="shared" si="213"/>
        <v>0</v>
      </c>
      <c r="HB59" s="64"/>
      <c r="HC59" s="73"/>
      <c r="HD59" s="72">
        <f t="shared" si="214"/>
        <v>0</v>
      </c>
      <c r="HE59" s="64"/>
      <c r="HF59" s="73"/>
      <c r="HG59" s="72">
        <f t="shared" si="310"/>
        <v>0</v>
      </c>
      <c r="HH59" s="64"/>
      <c r="HI59" s="73"/>
      <c r="HJ59" s="72">
        <f t="shared" si="311"/>
        <v>0</v>
      </c>
      <c r="HK59" s="64"/>
      <c r="HL59" s="73"/>
      <c r="HM59" s="72">
        <f t="shared" si="215"/>
        <v>0</v>
      </c>
      <c r="HN59" s="64"/>
      <c r="HO59" s="73"/>
      <c r="HP59" s="72">
        <f t="shared" si="216"/>
        <v>0</v>
      </c>
      <c r="HQ59" s="64"/>
      <c r="HR59" s="73"/>
      <c r="HS59" s="72">
        <f t="shared" si="217"/>
        <v>0</v>
      </c>
      <c r="HT59" s="64"/>
      <c r="HU59" s="73"/>
      <c r="HV59" s="72">
        <f t="shared" si="312"/>
        <v>0</v>
      </c>
      <c r="HW59" s="64"/>
      <c r="HX59" s="73"/>
      <c r="HY59" s="72">
        <f t="shared" si="313"/>
        <v>0</v>
      </c>
      <c r="HZ59" s="64"/>
      <c r="IA59" s="73"/>
      <c r="IB59" s="72">
        <f t="shared" si="218"/>
        <v>0</v>
      </c>
      <c r="IC59" s="64"/>
      <c r="ID59" s="73"/>
      <c r="IE59" s="72">
        <f t="shared" si="219"/>
        <v>0</v>
      </c>
      <c r="IF59" s="64"/>
      <c r="IG59" s="73"/>
      <c r="IH59" s="72">
        <f t="shared" si="220"/>
        <v>0</v>
      </c>
      <c r="II59" s="64"/>
      <c r="IJ59" s="73"/>
      <c r="IK59" s="72">
        <f t="shared" si="314"/>
        <v>0</v>
      </c>
      <c r="IL59" s="64"/>
      <c r="IM59" s="73"/>
      <c r="IN59" s="72">
        <f t="shared" si="315"/>
        <v>0</v>
      </c>
      <c r="IO59" s="64"/>
      <c r="IP59" s="73"/>
      <c r="IQ59" s="72">
        <f t="shared" si="221"/>
        <v>0</v>
      </c>
      <c r="IR59" s="64"/>
      <c r="IS59" s="73"/>
      <c r="IT59" s="72">
        <f t="shared" si="222"/>
        <v>0</v>
      </c>
      <c r="IU59" s="64"/>
      <c r="IV59" s="73"/>
      <c r="IW59" s="72">
        <f t="shared" si="223"/>
        <v>0</v>
      </c>
      <c r="IX59" s="64"/>
      <c r="IY59" s="73"/>
      <c r="IZ59" s="72">
        <f t="shared" si="316"/>
        <v>0</v>
      </c>
      <c r="JA59" s="64"/>
      <c r="JB59" s="73"/>
      <c r="JC59" s="72">
        <f t="shared" si="317"/>
        <v>0</v>
      </c>
      <c r="JD59" s="64"/>
      <c r="JE59" s="73"/>
      <c r="JF59" s="72">
        <f t="shared" si="224"/>
        <v>0</v>
      </c>
      <c r="JG59" s="64"/>
      <c r="JH59" s="73"/>
      <c r="JI59" s="72">
        <f t="shared" si="225"/>
        <v>0</v>
      </c>
      <c r="JJ59" s="64"/>
      <c r="JK59" s="73"/>
      <c r="JL59" s="72">
        <f t="shared" si="226"/>
        <v>0</v>
      </c>
      <c r="JM59" s="64"/>
      <c r="JN59" s="73"/>
      <c r="JO59" s="72">
        <f t="shared" si="318"/>
        <v>0</v>
      </c>
      <c r="JP59" s="64"/>
      <c r="JQ59" s="73"/>
      <c r="JR59" s="72">
        <f t="shared" si="319"/>
        <v>0</v>
      </c>
      <c r="JS59" s="64"/>
      <c r="JT59" s="73"/>
      <c r="JU59" s="72">
        <f t="shared" si="227"/>
        <v>0</v>
      </c>
      <c r="JV59" s="64"/>
      <c r="JW59" s="73"/>
      <c r="JX59" s="72">
        <f t="shared" si="228"/>
        <v>0</v>
      </c>
      <c r="JY59" s="64"/>
      <c r="JZ59" s="73"/>
      <c r="KA59" s="72">
        <f t="shared" si="229"/>
        <v>0</v>
      </c>
      <c r="KB59" s="64"/>
      <c r="KC59" s="73"/>
      <c r="KD59" s="72">
        <f t="shared" si="320"/>
        <v>0</v>
      </c>
      <c r="KE59" s="64"/>
      <c r="KF59" s="73"/>
      <c r="KG59" s="72">
        <f t="shared" si="321"/>
        <v>0</v>
      </c>
      <c r="KH59" s="64"/>
      <c r="KI59" s="73"/>
      <c r="KJ59" s="72">
        <f t="shared" si="230"/>
        <v>0</v>
      </c>
      <c r="KK59" s="64"/>
      <c r="KL59" s="73"/>
      <c r="KM59" s="72">
        <f t="shared" si="231"/>
        <v>0</v>
      </c>
      <c r="KN59" s="64"/>
      <c r="KO59" s="73"/>
      <c r="KP59" s="72">
        <f t="shared" si="232"/>
        <v>0</v>
      </c>
      <c r="KQ59" s="64"/>
      <c r="KR59" s="73"/>
      <c r="KS59" s="72">
        <f t="shared" si="322"/>
        <v>0</v>
      </c>
      <c r="KT59" s="64"/>
      <c r="KU59" s="73"/>
      <c r="KV59" s="72">
        <f t="shared" si="323"/>
        <v>0</v>
      </c>
      <c r="KW59" s="64"/>
      <c r="KX59" s="73"/>
      <c r="KY59" s="72">
        <f t="shared" si="233"/>
        <v>0</v>
      </c>
      <c r="KZ59" s="64"/>
      <c r="LA59" s="73"/>
      <c r="LB59" s="72">
        <f t="shared" si="234"/>
        <v>0</v>
      </c>
      <c r="LC59" s="64"/>
      <c r="LD59" s="73"/>
      <c r="LE59" s="72">
        <f t="shared" si="235"/>
        <v>0</v>
      </c>
      <c r="LF59" s="64"/>
    </row>
    <row r="60" spans="1:318" s="784" customFormat="1">
      <c r="A60" s="49"/>
      <c r="B60" s="49"/>
      <c r="C60" s="119" t="str">
        <f>"MAX. "&amp;UPPER(Idiomas!D263)</f>
        <v>MAX. SEMIFINALES</v>
      </c>
      <c r="D60" s="122">
        <f>SUM($D$28:$D$30)*SUM($I$232:$I$233)+$D$31*2+$D$32*2</f>
        <v>240</v>
      </c>
      <c r="E60" s="109"/>
      <c r="F60" s="443">
        <f t="shared" si="236"/>
        <v>15</v>
      </c>
      <c r="G60" s="443">
        <f ca="1">VLOOKUP(H60,Equipos!$Q$1:$R$25,2,0)</f>
        <v>15</v>
      </c>
      <c r="H60" s="444">
        <f ca="1">TRUNC(INDEX(WORLDCUP!$X$4:$X$147,MATCH(ADMIN!K60,WORLDCUP!$DT$4:$DT$147,0))+INDEX(Horarios!$R$3:$R$86,MATCH(Horarios!$C$3,Horarios!$P$3:$P$86,0))/24)</f>
        <v>46198</v>
      </c>
      <c r="I60" s="48">
        <v>1</v>
      </c>
      <c r="J60" s="94"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276"/>
        <v>0</v>
      </c>
      <c r="R60" s="49"/>
      <c r="S60" s="796" t="s">
        <v>1963</v>
      </c>
      <c r="T60" s="76">
        <f t="shared" si="285"/>
        <v>0</v>
      </c>
      <c r="U60" s="64"/>
      <c r="V60" s="75" t="s">
        <v>2007</v>
      </c>
      <c r="W60" s="76">
        <f t="shared" si="286"/>
        <v>0</v>
      </c>
      <c r="X60" s="64"/>
      <c r="Y60" s="796" t="s">
        <v>1949</v>
      </c>
      <c r="Z60" s="76">
        <f t="shared" si="176"/>
        <v>0</v>
      </c>
      <c r="AA60" s="64"/>
      <c r="AB60" s="796" t="s">
        <v>1955</v>
      </c>
      <c r="AC60" s="76">
        <f t="shared" si="177"/>
        <v>0</v>
      </c>
      <c r="AD60" s="64"/>
      <c r="AE60" s="796" t="s">
        <v>1958</v>
      </c>
      <c r="AF60" s="76">
        <f t="shared" si="324"/>
        <v>0</v>
      </c>
      <c r="AG60" s="64"/>
      <c r="AH60" s="796" t="s">
        <v>1958</v>
      </c>
      <c r="AI60" s="76">
        <f t="shared" si="288"/>
        <v>0</v>
      </c>
      <c r="AJ60" s="64"/>
      <c r="AK60" s="806" t="s">
        <v>1950</v>
      </c>
      <c r="AL60" s="76">
        <f t="shared" si="289"/>
        <v>0</v>
      </c>
      <c r="AM60" s="64"/>
      <c r="AN60" s="796" t="s">
        <v>1955</v>
      </c>
      <c r="AO60" s="76">
        <f t="shared" si="179"/>
        <v>0</v>
      </c>
      <c r="AP60" s="64"/>
      <c r="AQ60" s="806" t="s">
        <v>1958</v>
      </c>
      <c r="AR60" s="76">
        <f t="shared" si="180"/>
        <v>0</v>
      </c>
      <c r="AS60" s="64"/>
      <c r="AT60" s="796" t="s">
        <v>2007</v>
      </c>
      <c r="AU60" s="76">
        <f t="shared" si="181"/>
        <v>0</v>
      </c>
      <c r="AV60" s="64"/>
      <c r="AW60" s="796" t="s">
        <v>1960</v>
      </c>
      <c r="AX60" s="76">
        <f t="shared" si="290"/>
        <v>0</v>
      </c>
      <c r="AY60" s="64"/>
      <c r="AZ60" s="796" t="s">
        <v>1949</v>
      </c>
      <c r="BA60" s="76">
        <f t="shared" si="291"/>
        <v>0</v>
      </c>
      <c r="BB60" s="64"/>
      <c r="BC60" s="796" t="s">
        <v>2007</v>
      </c>
      <c r="BD60" s="76">
        <f t="shared" si="182"/>
        <v>0</v>
      </c>
      <c r="BE60" s="64"/>
      <c r="BF60" s="796" t="s">
        <v>1961</v>
      </c>
      <c r="BG60" s="76">
        <f t="shared" si="183"/>
        <v>0</v>
      </c>
      <c r="BH60" s="64"/>
      <c r="BI60" s="796" t="s">
        <v>1955</v>
      </c>
      <c r="BJ60" s="76">
        <f t="shared" si="184"/>
        <v>0</v>
      </c>
      <c r="BK60" s="64"/>
      <c r="BL60" s="796" t="s">
        <v>1961</v>
      </c>
      <c r="BM60" s="76">
        <f t="shared" si="292"/>
        <v>0</v>
      </c>
      <c r="BN60" s="64"/>
      <c r="BO60" s="816" t="s">
        <v>2007</v>
      </c>
      <c r="BP60" s="76">
        <f t="shared" si="293"/>
        <v>0</v>
      </c>
      <c r="BQ60" s="64"/>
      <c r="BR60" s="796" t="s">
        <v>1955</v>
      </c>
      <c r="BS60" s="76">
        <f t="shared" si="185"/>
        <v>0</v>
      </c>
      <c r="BT60" s="64"/>
      <c r="BU60" s="796" t="s">
        <v>1961</v>
      </c>
      <c r="BV60" s="76">
        <f t="shared" si="186"/>
        <v>0</v>
      </c>
      <c r="BW60" s="64"/>
      <c r="BX60" s="75" t="s">
        <v>1955</v>
      </c>
      <c r="BY60" s="76">
        <f t="shared" si="187"/>
        <v>0</v>
      </c>
      <c r="BZ60" s="64"/>
      <c r="CA60" s="816" t="s">
        <v>1960</v>
      </c>
      <c r="CB60" s="76">
        <f t="shared" si="294"/>
        <v>0</v>
      </c>
      <c r="CC60" s="64"/>
      <c r="CD60" s="825" t="s">
        <v>1962</v>
      </c>
      <c r="CE60" s="76">
        <f t="shared" si="295"/>
        <v>0</v>
      </c>
      <c r="CF60" s="64"/>
      <c r="CG60" s="796" t="s">
        <v>1958</v>
      </c>
      <c r="CH60" s="76">
        <f t="shared" si="188"/>
        <v>0</v>
      </c>
      <c r="CI60" s="64"/>
      <c r="CJ60" s="796" t="s">
        <v>1955</v>
      </c>
      <c r="CK60" s="76">
        <f t="shared" si="189"/>
        <v>0</v>
      </c>
      <c r="CL60" s="64"/>
      <c r="CM60" s="796" t="s">
        <v>1962</v>
      </c>
      <c r="CN60" s="76">
        <f t="shared" si="190"/>
        <v>0</v>
      </c>
      <c r="CO60" s="64"/>
      <c r="CP60" s="796" t="s">
        <v>1953</v>
      </c>
      <c r="CQ60" s="76">
        <f t="shared" si="296"/>
        <v>0</v>
      </c>
      <c r="CR60" s="64"/>
      <c r="CS60" s="796" t="s">
        <v>1962</v>
      </c>
      <c r="CT60" s="76">
        <f t="shared" si="297"/>
        <v>0</v>
      </c>
      <c r="CU60" s="64"/>
      <c r="CV60" s="796" t="s">
        <v>1948</v>
      </c>
      <c r="CW60" s="76">
        <f t="shared" si="191"/>
        <v>0</v>
      </c>
      <c r="CX60" s="64"/>
      <c r="CY60" s="796" t="s">
        <v>1961</v>
      </c>
      <c r="CZ60" s="76">
        <f t="shared" si="250"/>
        <v>0</v>
      </c>
      <c r="DA60" s="64"/>
      <c r="DB60" s="796" t="s">
        <v>1955</v>
      </c>
      <c r="DC60" s="76">
        <f t="shared" si="192"/>
        <v>0</v>
      </c>
      <c r="DD60" s="64"/>
      <c r="DE60" s="796" t="s">
        <v>2007</v>
      </c>
      <c r="DF60" s="76">
        <f t="shared" si="281"/>
        <v>0</v>
      </c>
      <c r="DG60" s="64"/>
      <c r="DH60" s="796" t="s">
        <v>1949</v>
      </c>
      <c r="DI60" s="76">
        <f t="shared" si="282"/>
        <v>0</v>
      </c>
      <c r="DJ60" s="64"/>
      <c r="DK60" s="796" t="s">
        <v>1955</v>
      </c>
      <c r="DL60" s="76">
        <f t="shared" si="283"/>
        <v>0</v>
      </c>
      <c r="DM60" s="64"/>
      <c r="DN60" s="75"/>
      <c r="DO60" s="76">
        <f t="shared" si="196"/>
        <v>0</v>
      </c>
      <c r="DP60" s="64"/>
      <c r="DQ60" s="796" t="s">
        <v>1948</v>
      </c>
      <c r="DR60" s="76">
        <f t="shared" si="251"/>
        <v>0</v>
      </c>
      <c r="DS60" s="64"/>
      <c r="DT60" s="75" t="s">
        <v>1961</v>
      </c>
      <c r="DU60" s="76">
        <f t="shared" si="298"/>
        <v>0</v>
      </c>
      <c r="DV60" s="64"/>
      <c r="DW60" s="75"/>
      <c r="DX60" s="76">
        <f t="shared" si="299"/>
        <v>0</v>
      </c>
      <c r="DY60" s="64"/>
      <c r="DZ60" s="75"/>
      <c r="EA60" s="76">
        <f t="shared" si="284"/>
        <v>0</v>
      </c>
      <c r="EB60" s="64"/>
      <c r="EC60" s="75"/>
      <c r="ED60" s="76">
        <f t="shared" si="198"/>
        <v>0</v>
      </c>
      <c r="EE60" s="64"/>
      <c r="EF60" s="75"/>
      <c r="EG60" s="76">
        <f t="shared" si="199"/>
        <v>0</v>
      </c>
      <c r="EH60" s="64"/>
      <c r="EI60" s="75"/>
      <c r="EJ60" s="76">
        <f t="shared" si="300"/>
        <v>0</v>
      </c>
      <c r="EK60" s="64"/>
      <c r="EL60" s="75"/>
      <c r="EM60" s="76">
        <f t="shared" si="301"/>
        <v>0</v>
      </c>
      <c r="EN60" s="64"/>
      <c r="EO60" s="75"/>
      <c r="EP60" s="76">
        <f t="shared" si="200"/>
        <v>0</v>
      </c>
      <c r="EQ60" s="64"/>
      <c r="ER60" s="75"/>
      <c r="ES60" s="76">
        <f t="shared" si="201"/>
        <v>0</v>
      </c>
      <c r="ET60" s="64"/>
      <c r="EU60" s="75"/>
      <c r="EV60" s="76">
        <f t="shared" si="202"/>
        <v>0</v>
      </c>
      <c r="EW60" s="64"/>
      <c r="EX60" s="75"/>
      <c r="EY60" s="76">
        <f t="shared" si="302"/>
        <v>0</v>
      </c>
      <c r="EZ60" s="64"/>
      <c r="FA60" s="75"/>
      <c r="FB60" s="76">
        <f t="shared" si="303"/>
        <v>0</v>
      </c>
      <c r="FC60" s="64"/>
      <c r="FD60" s="75"/>
      <c r="FE60" s="76">
        <f t="shared" si="203"/>
        <v>0</v>
      </c>
      <c r="FF60" s="64"/>
      <c r="FG60" s="75"/>
      <c r="FH60" s="76">
        <f t="shared" si="204"/>
        <v>0</v>
      </c>
      <c r="FI60" s="64"/>
      <c r="FJ60" s="75"/>
      <c r="FK60" s="76">
        <f t="shared" si="205"/>
        <v>0</v>
      </c>
      <c r="FL60" s="64"/>
      <c r="FM60" s="75"/>
      <c r="FN60" s="76">
        <f t="shared" si="304"/>
        <v>0</v>
      </c>
      <c r="FO60" s="64"/>
      <c r="FP60" s="75"/>
      <c r="FQ60" s="76">
        <f t="shared" si="305"/>
        <v>0</v>
      </c>
      <c r="FR60" s="64"/>
      <c r="FS60" s="75"/>
      <c r="FT60" s="76">
        <f t="shared" si="206"/>
        <v>0</v>
      </c>
      <c r="FU60" s="64"/>
      <c r="FV60" s="75"/>
      <c r="FW60" s="76">
        <f t="shared" si="207"/>
        <v>0</v>
      </c>
      <c r="FX60" s="64"/>
      <c r="FY60" s="75"/>
      <c r="FZ60" s="76">
        <f t="shared" si="208"/>
        <v>0</v>
      </c>
      <c r="GA60" s="64"/>
      <c r="GB60" s="75"/>
      <c r="GC60" s="76">
        <f t="shared" si="306"/>
        <v>0</v>
      </c>
      <c r="GD60" s="64"/>
      <c r="GE60" s="75"/>
      <c r="GF60" s="76">
        <f t="shared" si="307"/>
        <v>0</v>
      </c>
      <c r="GG60" s="64"/>
      <c r="GH60" s="75"/>
      <c r="GI60" s="76">
        <f t="shared" si="209"/>
        <v>0</v>
      </c>
      <c r="GJ60" s="64"/>
      <c r="GK60" s="75"/>
      <c r="GL60" s="76">
        <f t="shared" si="210"/>
        <v>0</v>
      </c>
      <c r="GM60" s="64"/>
      <c r="GN60" s="75"/>
      <c r="GO60" s="76">
        <f t="shared" si="211"/>
        <v>0</v>
      </c>
      <c r="GP60" s="64"/>
      <c r="GQ60" s="75"/>
      <c r="GR60" s="76">
        <f t="shared" si="308"/>
        <v>0</v>
      </c>
      <c r="GS60" s="64"/>
      <c r="GT60" s="75"/>
      <c r="GU60" s="76">
        <f t="shared" si="309"/>
        <v>0</v>
      </c>
      <c r="GV60" s="64"/>
      <c r="GW60" s="75"/>
      <c r="GX60" s="76">
        <f t="shared" si="212"/>
        <v>0</v>
      </c>
      <c r="GY60" s="64"/>
      <c r="GZ60" s="75"/>
      <c r="HA60" s="76">
        <f t="shared" si="213"/>
        <v>0</v>
      </c>
      <c r="HB60" s="64"/>
      <c r="HC60" s="75"/>
      <c r="HD60" s="76">
        <f t="shared" si="214"/>
        <v>0</v>
      </c>
      <c r="HE60" s="64"/>
      <c r="HF60" s="75"/>
      <c r="HG60" s="76">
        <f t="shared" si="310"/>
        <v>0</v>
      </c>
      <c r="HH60" s="64"/>
      <c r="HI60" s="75"/>
      <c r="HJ60" s="76">
        <f t="shared" si="311"/>
        <v>0</v>
      </c>
      <c r="HK60" s="64"/>
      <c r="HL60" s="75"/>
      <c r="HM60" s="76">
        <f t="shared" si="215"/>
        <v>0</v>
      </c>
      <c r="HN60" s="64"/>
      <c r="HO60" s="75"/>
      <c r="HP60" s="76">
        <f t="shared" si="216"/>
        <v>0</v>
      </c>
      <c r="HQ60" s="64"/>
      <c r="HR60" s="75"/>
      <c r="HS60" s="76">
        <f t="shared" si="217"/>
        <v>0</v>
      </c>
      <c r="HT60" s="64"/>
      <c r="HU60" s="75"/>
      <c r="HV60" s="76">
        <f t="shared" si="312"/>
        <v>0</v>
      </c>
      <c r="HW60" s="64"/>
      <c r="HX60" s="75"/>
      <c r="HY60" s="76">
        <f t="shared" si="313"/>
        <v>0</v>
      </c>
      <c r="HZ60" s="64"/>
      <c r="IA60" s="75"/>
      <c r="IB60" s="76">
        <f t="shared" si="218"/>
        <v>0</v>
      </c>
      <c r="IC60" s="64"/>
      <c r="ID60" s="75"/>
      <c r="IE60" s="76">
        <f t="shared" si="219"/>
        <v>0</v>
      </c>
      <c r="IF60" s="64"/>
      <c r="IG60" s="75"/>
      <c r="IH60" s="76">
        <f t="shared" si="220"/>
        <v>0</v>
      </c>
      <c r="II60" s="64"/>
      <c r="IJ60" s="75"/>
      <c r="IK60" s="76">
        <f t="shared" si="314"/>
        <v>0</v>
      </c>
      <c r="IL60" s="64"/>
      <c r="IM60" s="75"/>
      <c r="IN60" s="76">
        <f t="shared" si="315"/>
        <v>0</v>
      </c>
      <c r="IO60" s="64"/>
      <c r="IP60" s="75"/>
      <c r="IQ60" s="76">
        <f t="shared" si="221"/>
        <v>0</v>
      </c>
      <c r="IR60" s="64"/>
      <c r="IS60" s="75"/>
      <c r="IT60" s="76">
        <f t="shared" si="222"/>
        <v>0</v>
      </c>
      <c r="IU60" s="64"/>
      <c r="IV60" s="75"/>
      <c r="IW60" s="76">
        <f t="shared" si="223"/>
        <v>0</v>
      </c>
      <c r="IX60" s="64"/>
      <c r="IY60" s="75"/>
      <c r="IZ60" s="76">
        <f t="shared" si="316"/>
        <v>0</v>
      </c>
      <c r="JA60" s="64"/>
      <c r="JB60" s="75"/>
      <c r="JC60" s="76">
        <f t="shared" si="317"/>
        <v>0</v>
      </c>
      <c r="JD60" s="64"/>
      <c r="JE60" s="75"/>
      <c r="JF60" s="76">
        <f t="shared" si="224"/>
        <v>0</v>
      </c>
      <c r="JG60" s="64"/>
      <c r="JH60" s="75"/>
      <c r="JI60" s="76">
        <f t="shared" si="225"/>
        <v>0</v>
      </c>
      <c r="JJ60" s="64"/>
      <c r="JK60" s="75"/>
      <c r="JL60" s="76">
        <f t="shared" si="226"/>
        <v>0</v>
      </c>
      <c r="JM60" s="64"/>
      <c r="JN60" s="75"/>
      <c r="JO60" s="76">
        <f t="shared" si="318"/>
        <v>0</v>
      </c>
      <c r="JP60" s="64"/>
      <c r="JQ60" s="75"/>
      <c r="JR60" s="76">
        <f t="shared" si="319"/>
        <v>0</v>
      </c>
      <c r="JS60" s="64"/>
      <c r="JT60" s="75"/>
      <c r="JU60" s="76">
        <f t="shared" si="227"/>
        <v>0</v>
      </c>
      <c r="JV60" s="64"/>
      <c r="JW60" s="75"/>
      <c r="JX60" s="76">
        <f t="shared" si="228"/>
        <v>0</v>
      </c>
      <c r="JY60" s="64"/>
      <c r="JZ60" s="75"/>
      <c r="KA60" s="76">
        <f t="shared" si="229"/>
        <v>0</v>
      </c>
      <c r="KB60" s="64"/>
      <c r="KC60" s="75"/>
      <c r="KD60" s="76">
        <f t="shared" si="320"/>
        <v>0</v>
      </c>
      <c r="KE60" s="64"/>
      <c r="KF60" s="75"/>
      <c r="KG60" s="76">
        <f t="shared" si="321"/>
        <v>0</v>
      </c>
      <c r="KH60" s="64"/>
      <c r="KI60" s="75"/>
      <c r="KJ60" s="76">
        <f t="shared" si="230"/>
        <v>0</v>
      </c>
      <c r="KK60" s="64"/>
      <c r="KL60" s="75"/>
      <c r="KM60" s="76">
        <f t="shared" si="231"/>
        <v>0</v>
      </c>
      <c r="KN60" s="64"/>
      <c r="KO60" s="75"/>
      <c r="KP60" s="76">
        <f t="shared" si="232"/>
        <v>0</v>
      </c>
      <c r="KQ60" s="64"/>
      <c r="KR60" s="75"/>
      <c r="KS60" s="76">
        <f t="shared" si="322"/>
        <v>0</v>
      </c>
      <c r="KT60" s="64"/>
      <c r="KU60" s="75"/>
      <c r="KV60" s="76">
        <f t="shared" si="323"/>
        <v>0</v>
      </c>
      <c r="KW60" s="64"/>
      <c r="KX60" s="75"/>
      <c r="KY60" s="76">
        <f t="shared" si="233"/>
        <v>0</v>
      </c>
      <c r="KZ60" s="64"/>
      <c r="LA60" s="75"/>
      <c r="LB60" s="76">
        <f t="shared" si="234"/>
        <v>0</v>
      </c>
      <c r="LC60" s="64"/>
      <c r="LD60" s="75"/>
      <c r="LE60" s="76">
        <f t="shared" si="235"/>
        <v>0</v>
      </c>
      <c r="LF60" s="64"/>
    </row>
    <row r="61" spans="1:318" s="784" customFormat="1">
      <c r="A61" s="49"/>
      <c r="B61" s="49"/>
      <c r="C61" s="118" t="str">
        <f>"MAX. "&amp;UPPER(Idiomas!D264)</f>
        <v>MAX. 3-4 &amp; FINAL</v>
      </c>
      <c r="D61" s="121">
        <f>SUM($D$33:$D$35)*$I$244+SUM($D$36:$D$38)*$I$247</f>
        <v>60</v>
      </c>
      <c r="E61" s="109"/>
      <c r="F61" s="443">
        <f t="shared" si="236"/>
        <v>15</v>
      </c>
      <c r="G61" s="443">
        <f ca="1">VLOOKUP(H61,Equipos!$Q$1:$R$25,2,0)</f>
        <v>15</v>
      </c>
      <c r="H61" s="444">
        <f ca="1">TRUNC(INDEX(WORLDCUP!$X$4:$X$147,MATCH(ADMIN!K61,WORLDCUP!$DT$4:$DT$147,0))+INDEX(Horarios!$R$3:$R$86,MATCH(Horarios!$C$3,Horarios!$P$3:$P$86,0))/24)</f>
        <v>46198</v>
      </c>
      <c r="I61" s="48">
        <v>1</v>
      </c>
      <c r="J61" s="94"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276"/>
        <v>0</v>
      </c>
      <c r="R61" s="49"/>
      <c r="S61" s="796" t="s">
        <v>1955</v>
      </c>
      <c r="T61" s="72">
        <f t="shared" si="285"/>
        <v>0</v>
      </c>
      <c r="U61" s="64"/>
      <c r="V61" s="73" t="s">
        <v>1958</v>
      </c>
      <c r="W61" s="72">
        <f t="shared" si="286"/>
        <v>0</v>
      </c>
      <c r="X61" s="64"/>
      <c r="Y61" s="796" t="s">
        <v>1955</v>
      </c>
      <c r="Z61" s="72">
        <f t="shared" si="176"/>
        <v>0</v>
      </c>
      <c r="AA61" s="64"/>
      <c r="AB61" s="796" t="s">
        <v>1948</v>
      </c>
      <c r="AC61" s="72">
        <f t="shared" si="177"/>
        <v>0</v>
      </c>
      <c r="AD61" s="64"/>
      <c r="AE61" s="796" t="s">
        <v>1955</v>
      </c>
      <c r="AF61" s="72">
        <f t="shared" si="324"/>
        <v>0</v>
      </c>
      <c r="AG61" s="64"/>
      <c r="AH61" s="796" t="s">
        <v>1958</v>
      </c>
      <c r="AI61" s="72">
        <f t="shared" si="288"/>
        <v>0</v>
      </c>
      <c r="AJ61" s="64"/>
      <c r="AK61" s="806" t="s">
        <v>1961</v>
      </c>
      <c r="AL61" s="72">
        <f t="shared" si="289"/>
        <v>0</v>
      </c>
      <c r="AM61" s="64"/>
      <c r="AN61" s="796" t="s">
        <v>1948</v>
      </c>
      <c r="AO61" s="72">
        <f t="shared" si="179"/>
        <v>0</v>
      </c>
      <c r="AP61" s="64"/>
      <c r="AQ61" s="806" t="s">
        <v>1950</v>
      </c>
      <c r="AR61" s="72">
        <f t="shared" si="180"/>
        <v>0</v>
      </c>
      <c r="AS61" s="64"/>
      <c r="AT61" s="796" t="s">
        <v>1955</v>
      </c>
      <c r="AU61" s="72">
        <f t="shared" si="181"/>
        <v>0</v>
      </c>
      <c r="AV61" s="64"/>
      <c r="AW61" s="796" t="s">
        <v>1948</v>
      </c>
      <c r="AX61" s="72">
        <f t="shared" si="290"/>
        <v>0</v>
      </c>
      <c r="AY61" s="64"/>
      <c r="AZ61" s="796" t="s">
        <v>1951</v>
      </c>
      <c r="BA61" s="72">
        <f t="shared" si="291"/>
        <v>0</v>
      </c>
      <c r="BB61" s="64"/>
      <c r="BC61" s="796" t="s">
        <v>1950</v>
      </c>
      <c r="BD61" s="72">
        <f t="shared" si="182"/>
        <v>0</v>
      </c>
      <c r="BE61" s="64"/>
      <c r="BF61" s="796" t="s">
        <v>1949</v>
      </c>
      <c r="BG61" s="72">
        <f t="shared" si="183"/>
        <v>0</v>
      </c>
      <c r="BH61" s="64"/>
      <c r="BI61" s="796" t="s">
        <v>1948</v>
      </c>
      <c r="BJ61" s="72">
        <f t="shared" si="184"/>
        <v>0</v>
      </c>
      <c r="BK61" s="64"/>
      <c r="BL61" s="796" t="s">
        <v>1958</v>
      </c>
      <c r="BM61" s="72">
        <f t="shared" si="292"/>
        <v>0</v>
      </c>
      <c r="BN61" s="64"/>
      <c r="BO61" s="816" t="s">
        <v>1955</v>
      </c>
      <c r="BP61" s="72">
        <f t="shared" si="293"/>
        <v>0</v>
      </c>
      <c r="BQ61" s="64"/>
      <c r="BR61" s="796" t="s">
        <v>1958</v>
      </c>
      <c r="BS61" s="72">
        <f t="shared" si="185"/>
        <v>0</v>
      </c>
      <c r="BT61" s="64"/>
      <c r="BU61" s="796" t="s">
        <v>1958</v>
      </c>
      <c r="BV61" s="72">
        <f t="shared" si="186"/>
        <v>0</v>
      </c>
      <c r="BW61" s="64"/>
      <c r="BX61" s="73" t="s">
        <v>1948</v>
      </c>
      <c r="BY61" s="72">
        <f t="shared" si="187"/>
        <v>0</v>
      </c>
      <c r="BZ61" s="64"/>
      <c r="CA61" s="816" t="s">
        <v>1955</v>
      </c>
      <c r="CB61" s="72">
        <f t="shared" si="294"/>
        <v>0</v>
      </c>
      <c r="CC61" s="64"/>
      <c r="CD61" s="825" t="s">
        <v>1950</v>
      </c>
      <c r="CE61" s="72">
        <f t="shared" si="295"/>
        <v>0</v>
      </c>
      <c r="CF61" s="64"/>
      <c r="CG61" s="796" t="s">
        <v>1948</v>
      </c>
      <c r="CH61" s="72">
        <f t="shared" si="188"/>
        <v>0</v>
      </c>
      <c r="CI61" s="64"/>
      <c r="CJ61" s="796" t="s">
        <v>1961</v>
      </c>
      <c r="CK61" s="72">
        <f t="shared" si="189"/>
        <v>0</v>
      </c>
      <c r="CL61" s="64"/>
      <c r="CM61" s="796" t="s">
        <v>1960</v>
      </c>
      <c r="CN61" s="72">
        <f t="shared" si="190"/>
        <v>0</v>
      </c>
      <c r="CO61" s="64"/>
      <c r="CP61" s="796" t="s">
        <v>1956</v>
      </c>
      <c r="CQ61" s="72">
        <f t="shared" si="296"/>
        <v>0</v>
      </c>
      <c r="CR61" s="64"/>
      <c r="CS61" s="796" t="s">
        <v>1958</v>
      </c>
      <c r="CT61" s="72">
        <f t="shared" si="297"/>
        <v>0</v>
      </c>
      <c r="CU61" s="64"/>
      <c r="CV61" s="796" t="s">
        <v>1950</v>
      </c>
      <c r="CW61" s="72">
        <f t="shared" si="191"/>
        <v>0</v>
      </c>
      <c r="CX61" s="64"/>
      <c r="CY61" s="796" t="s">
        <v>1962</v>
      </c>
      <c r="CZ61" s="72">
        <f t="shared" si="250"/>
        <v>0</v>
      </c>
      <c r="DA61" s="64"/>
      <c r="DB61" s="796" t="s">
        <v>1950</v>
      </c>
      <c r="DC61" s="72">
        <f t="shared" si="192"/>
        <v>0</v>
      </c>
      <c r="DD61" s="64"/>
      <c r="DE61" s="796" t="s">
        <v>1958</v>
      </c>
      <c r="DF61" s="72">
        <f t="shared" si="281"/>
        <v>0</v>
      </c>
      <c r="DG61" s="64"/>
      <c r="DH61" s="796" t="s">
        <v>1960</v>
      </c>
      <c r="DI61" s="72">
        <f t="shared" si="282"/>
        <v>0</v>
      </c>
      <c r="DJ61" s="64"/>
      <c r="DK61" s="796" t="s">
        <v>1955</v>
      </c>
      <c r="DL61" s="72">
        <f t="shared" si="283"/>
        <v>0</v>
      </c>
      <c r="DM61" s="64"/>
      <c r="DN61" s="73"/>
      <c r="DO61" s="72">
        <f t="shared" si="196"/>
        <v>0</v>
      </c>
      <c r="DP61" s="64"/>
      <c r="DQ61" s="796" t="s">
        <v>1956</v>
      </c>
      <c r="DR61" s="72">
        <f t="shared" si="251"/>
        <v>0</v>
      </c>
      <c r="DS61" s="64"/>
      <c r="DT61" s="73" t="s">
        <v>1961</v>
      </c>
      <c r="DU61" s="72">
        <f t="shared" si="298"/>
        <v>0</v>
      </c>
      <c r="DV61" s="64"/>
      <c r="DW61" s="73"/>
      <c r="DX61" s="72">
        <f t="shared" si="299"/>
        <v>0</v>
      </c>
      <c r="DY61" s="64"/>
      <c r="DZ61" s="73"/>
      <c r="EA61" s="72">
        <f t="shared" si="284"/>
        <v>0</v>
      </c>
      <c r="EB61" s="64"/>
      <c r="EC61" s="73"/>
      <c r="ED61" s="72">
        <f t="shared" si="198"/>
        <v>0</v>
      </c>
      <c r="EE61" s="64"/>
      <c r="EF61" s="73"/>
      <c r="EG61" s="72">
        <f t="shared" si="199"/>
        <v>0</v>
      </c>
      <c r="EH61" s="64"/>
      <c r="EI61" s="73"/>
      <c r="EJ61" s="72">
        <f t="shared" si="300"/>
        <v>0</v>
      </c>
      <c r="EK61" s="64"/>
      <c r="EL61" s="73"/>
      <c r="EM61" s="72">
        <f t="shared" si="301"/>
        <v>0</v>
      </c>
      <c r="EN61" s="64"/>
      <c r="EO61" s="73"/>
      <c r="EP61" s="72">
        <f t="shared" si="200"/>
        <v>0</v>
      </c>
      <c r="EQ61" s="64"/>
      <c r="ER61" s="73"/>
      <c r="ES61" s="72">
        <f t="shared" si="201"/>
        <v>0</v>
      </c>
      <c r="ET61" s="64"/>
      <c r="EU61" s="73"/>
      <c r="EV61" s="72">
        <f t="shared" si="202"/>
        <v>0</v>
      </c>
      <c r="EW61" s="64"/>
      <c r="EX61" s="73"/>
      <c r="EY61" s="72">
        <f t="shared" si="302"/>
        <v>0</v>
      </c>
      <c r="EZ61" s="64"/>
      <c r="FA61" s="73"/>
      <c r="FB61" s="72">
        <f t="shared" si="303"/>
        <v>0</v>
      </c>
      <c r="FC61" s="64"/>
      <c r="FD61" s="73"/>
      <c r="FE61" s="72">
        <f t="shared" si="203"/>
        <v>0</v>
      </c>
      <c r="FF61" s="64"/>
      <c r="FG61" s="73"/>
      <c r="FH61" s="72">
        <f t="shared" si="204"/>
        <v>0</v>
      </c>
      <c r="FI61" s="64"/>
      <c r="FJ61" s="73"/>
      <c r="FK61" s="72">
        <f t="shared" si="205"/>
        <v>0</v>
      </c>
      <c r="FL61" s="64"/>
      <c r="FM61" s="73"/>
      <c r="FN61" s="72">
        <f t="shared" si="304"/>
        <v>0</v>
      </c>
      <c r="FO61" s="64"/>
      <c r="FP61" s="73"/>
      <c r="FQ61" s="72">
        <f t="shared" si="305"/>
        <v>0</v>
      </c>
      <c r="FR61" s="64"/>
      <c r="FS61" s="73"/>
      <c r="FT61" s="72">
        <f t="shared" si="206"/>
        <v>0</v>
      </c>
      <c r="FU61" s="64"/>
      <c r="FV61" s="73"/>
      <c r="FW61" s="72">
        <f t="shared" si="207"/>
        <v>0</v>
      </c>
      <c r="FX61" s="64"/>
      <c r="FY61" s="73"/>
      <c r="FZ61" s="72">
        <f t="shared" si="208"/>
        <v>0</v>
      </c>
      <c r="GA61" s="64"/>
      <c r="GB61" s="73"/>
      <c r="GC61" s="72">
        <f t="shared" si="306"/>
        <v>0</v>
      </c>
      <c r="GD61" s="64"/>
      <c r="GE61" s="73"/>
      <c r="GF61" s="72">
        <f t="shared" si="307"/>
        <v>0</v>
      </c>
      <c r="GG61" s="64"/>
      <c r="GH61" s="73"/>
      <c r="GI61" s="72">
        <f t="shared" si="209"/>
        <v>0</v>
      </c>
      <c r="GJ61" s="64"/>
      <c r="GK61" s="73"/>
      <c r="GL61" s="72">
        <f t="shared" si="210"/>
        <v>0</v>
      </c>
      <c r="GM61" s="64"/>
      <c r="GN61" s="73"/>
      <c r="GO61" s="72">
        <f t="shared" si="211"/>
        <v>0</v>
      </c>
      <c r="GP61" s="64"/>
      <c r="GQ61" s="73"/>
      <c r="GR61" s="72">
        <f t="shared" si="308"/>
        <v>0</v>
      </c>
      <c r="GS61" s="64"/>
      <c r="GT61" s="73"/>
      <c r="GU61" s="72">
        <f t="shared" si="309"/>
        <v>0</v>
      </c>
      <c r="GV61" s="64"/>
      <c r="GW61" s="73"/>
      <c r="GX61" s="72">
        <f t="shared" si="212"/>
        <v>0</v>
      </c>
      <c r="GY61" s="64"/>
      <c r="GZ61" s="73"/>
      <c r="HA61" s="72">
        <f t="shared" si="213"/>
        <v>0</v>
      </c>
      <c r="HB61" s="64"/>
      <c r="HC61" s="73"/>
      <c r="HD61" s="72">
        <f t="shared" si="214"/>
        <v>0</v>
      </c>
      <c r="HE61" s="64"/>
      <c r="HF61" s="73"/>
      <c r="HG61" s="72">
        <f t="shared" si="310"/>
        <v>0</v>
      </c>
      <c r="HH61" s="64"/>
      <c r="HI61" s="73"/>
      <c r="HJ61" s="72">
        <f t="shared" si="311"/>
        <v>0</v>
      </c>
      <c r="HK61" s="64"/>
      <c r="HL61" s="73"/>
      <c r="HM61" s="72">
        <f t="shared" si="215"/>
        <v>0</v>
      </c>
      <c r="HN61" s="64"/>
      <c r="HO61" s="73"/>
      <c r="HP61" s="72">
        <f t="shared" si="216"/>
        <v>0</v>
      </c>
      <c r="HQ61" s="64"/>
      <c r="HR61" s="73"/>
      <c r="HS61" s="72">
        <f t="shared" si="217"/>
        <v>0</v>
      </c>
      <c r="HT61" s="64"/>
      <c r="HU61" s="73"/>
      <c r="HV61" s="72">
        <f t="shared" si="312"/>
        <v>0</v>
      </c>
      <c r="HW61" s="64"/>
      <c r="HX61" s="73"/>
      <c r="HY61" s="72">
        <f t="shared" si="313"/>
        <v>0</v>
      </c>
      <c r="HZ61" s="64"/>
      <c r="IA61" s="73"/>
      <c r="IB61" s="72">
        <f t="shared" si="218"/>
        <v>0</v>
      </c>
      <c r="IC61" s="64"/>
      <c r="ID61" s="73"/>
      <c r="IE61" s="72">
        <f t="shared" si="219"/>
        <v>0</v>
      </c>
      <c r="IF61" s="64"/>
      <c r="IG61" s="73"/>
      <c r="IH61" s="72">
        <f t="shared" si="220"/>
        <v>0</v>
      </c>
      <c r="II61" s="64"/>
      <c r="IJ61" s="73"/>
      <c r="IK61" s="72">
        <f t="shared" si="314"/>
        <v>0</v>
      </c>
      <c r="IL61" s="64"/>
      <c r="IM61" s="73"/>
      <c r="IN61" s="72">
        <f t="shared" si="315"/>
        <v>0</v>
      </c>
      <c r="IO61" s="64"/>
      <c r="IP61" s="73"/>
      <c r="IQ61" s="72">
        <f t="shared" si="221"/>
        <v>0</v>
      </c>
      <c r="IR61" s="64"/>
      <c r="IS61" s="73"/>
      <c r="IT61" s="72">
        <f t="shared" si="222"/>
        <v>0</v>
      </c>
      <c r="IU61" s="64"/>
      <c r="IV61" s="73"/>
      <c r="IW61" s="72">
        <f t="shared" si="223"/>
        <v>0</v>
      </c>
      <c r="IX61" s="64"/>
      <c r="IY61" s="73"/>
      <c r="IZ61" s="72">
        <f t="shared" si="316"/>
        <v>0</v>
      </c>
      <c r="JA61" s="64"/>
      <c r="JB61" s="73"/>
      <c r="JC61" s="72">
        <f t="shared" si="317"/>
        <v>0</v>
      </c>
      <c r="JD61" s="64"/>
      <c r="JE61" s="73"/>
      <c r="JF61" s="72">
        <f t="shared" si="224"/>
        <v>0</v>
      </c>
      <c r="JG61" s="64"/>
      <c r="JH61" s="73"/>
      <c r="JI61" s="72">
        <f t="shared" si="225"/>
        <v>0</v>
      </c>
      <c r="JJ61" s="64"/>
      <c r="JK61" s="73"/>
      <c r="JL61" s="72">
        <f t="shared" si="226"/>
        <v>0</v>
      </c>
      <c r="JM61" s="64"/>
      <c r="JN61" s="73"/>
      <c r="JO61" s="72">
        <f t="shared" si="318"/>
        <v>0</v>
      </c>
      <c r="JP61" s="64"/>
      <c r="JQ61" s="73"/>
      <c r="JR61" s="72">
        <f t="shared" si="319"/>
        <v>0</v>
      </c>
      <c r="JS61" s="64"/>
      <c r="JT61" s="73"/>
      <c r="JU61" s="72">
        <f t="shared" si="227"/>
        <v>0</v>
      </c>
      <c r="JV61" s="64"/>
      <c r="JW61" s="73"/>
      <c r="JX61" s="72">
        <f t="shared" si="228"/>
        <v>0</v>
      </c>
      <c r="JY61" s="64"/>
      <c r="JZ61" s="73"/>
      <c r="KA61" s="72">
        <f t="shared" si="229"/>
        <v>0</v>
      </c>
      <c r="KB61" s="64"/>
      <c r="KC61" s="73"/>
      <c r="KD61" s="72">
        <f t="shared" si="320"/>
        <v>0</v>
      </c>
      <c r="KE61" s="64"/>
      <c r="KF61" s="73"/>
      <c r="KG61" s="72">
        <f t="shared" si="321"/>
        <v>0</v>
      </c>
      <c r="KH61" s="64"/>
      <c r="KI61" s="73"/>
      <c r="KJ61" s="72">
        <f t="shared" si="230"/>
        <v>0</v>
      </c>
      <c r="KK61" s="64"/>
      <c r="KL61" s="73"/>
      <c r="KM61" s="72">
        <f t="shared" si="231"/>
        <v>0</v>
      </c>
      <c r="KN61" s="64"/>
      <c r="KO61" s="73"/>
      <c r="KP61" s="72">
        <f t="shared" si="232"/>
        <v>0</v>
      </c>
      <c r="KQ61" s="64"/>
      <c r="KR61" s="73"/>
      <c r="KS61" s="72">
        <f t="shared" si="322"/>
        <v>0</v>
      </c>
      <c r="KT61" s="64"/>
      <c r="KU61" s="73"/>
      <c r="KV61" s="72">
        <f t="shared" si="323"/>
        <v>0</v>
      </c>
      <c r="KW61" s="64"/>
      <c r="KX61" s="73"/>
      <c r="KY61" s="72">
        <f t="shared" si="233"/>
        <v>0</v>
      </c>
      <c r="KZ61" s="64"/>
      <c r="LA61" s="73"/>
      <c r="LB61" s="72">
        <f t="shared" si="234"/>
        <v>0</v>
      </c>
      <c r="LC61" s="64"/>
      <c r="LD61" s="73"/>
      <c r="LE61" s="72">
        <f t="shared" si="235"/>
        <v>0</v>
      </c>
      <c r="LF61" s="64"/>
    </row>
    <row r="62" spans="1:318" s="784" customFormat="1">
      <c r="A62" s="49"/>
      <c r="B62" s="49"/>
      <c r="C62" s="47" t="str">
        <f>"MAX. "&amp;$K$249</f>
        <v>MAX. CUADRO DE HONOR</v>
      </c>
      <c r="D62" s="124">
        <f>SUM($D$39:$D$47)</f>
        <v>235</v>
      </c>
      <c r="E62" s="109"/>
      <c r="F62" s="443">
        <f t="shared" si="236"/>
        <v>15</v>
      </c>
      <c r="G62" s="443">
        <f ca="1">VLOOKUP(H62,Equipos!$Q$1:$R$25,2,0)</f>
        <v>15</v>
      </c>
      <c r="H62" s="444">
        <f ca="1">TRUNC(INDEX(WORLDCUP!$X$4:$X$147,MATCH(ADMIN!K62,WORLDCUP!$DT$4:$DT$147,0))+INDEX(Horarios!$R$3:$R$86,MATCH(Horarios!$C$3,Horarios!$P$3:$P$86,0))/24)</f>
        <v>46198</v>
      </c>
      <c r="I62" s="48">
        <v>1</v>
      </c>
      <c r="J62" s="93"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276"/>
        <v>0</v>
      </c>
      <c r="R62" s="49"/>
      <c r="S62" s="796" t="s">
        <v>1962</v>
      </c>
      <c r="T62" s="72">
        <f t="shared" si="285"/>
        <v>0</v>
      </c>
      <c r="U62" s="64"/>
      <c r="V62" s="73" t="s">
        <v>1963</v>
      </c>
      <c r="W62" s="72">
        <f t="shared" si="286"/>
        <v>0</v>
      </c>
      <c r="X62" s="64"/>
      <c r="Y62" s="796" t="s">
        <v>1949</v>
      </c>
      <c r="Z62" s="72">
        <f t="shared" si="176"/>
        <v>0</v>
      </c>
      <c r="AA62" s="64"/>
      <c r="AB62" s="796" t="s">
        <v>1951</v>
      </c>
      <c r="AC62" s="72">
        <f t="shared" si="177"/>
        <v>0</v>
      </c>
      <c r="AD62" s="64"/>
      <c r="AE62" s="796" t="s">
        <v>1962</v>
      </c>
      <c r="AF62" s="72">
        <f t="shared" si="324"/>
        <v>0</v>
      </c>
      <c r="AG62" s="64"/>
      <c r="AH62" s="796" t="s">
        <v>1949</v>
      </c>
      <c r="AI62" s="72">
        <f t="shared" si="288"/>
        <v>0</v>
      </c>
      <c r="AJ62" s="64"/>
      <c r="AK62" s="806" t="s">
        <v>1951</v>
      </c>
      <c r="AL62" s="72">
        <f t="shared" si="289"/>
        <v>0</v>
      </c>
      <c r="AM62" s="64"/>
      <c r="AN62" s="796" t="s">
        <v>1949</v>
      </c>
      <c r="AO62" s="72">
        <f t="shared" si="179"/>
        <v>0</v>
      </c>
      <c r="AP62" s="64"/>
      <c r="AQ62" s="806" t="s">
        <v>1947</v>
      </c>
      <c r="AR62" s="72">
        <f t="shared" si="180"/>
        <v>0</v>
      </c>
      <c r="AS62" s="64"/>
      <c r="AT62" s="796" t="s">
        <v>2006</v>
      </c>
      <c r="AU62" s="72">
        <f t="shared" si="181"/>
        <v>0</v>
      </c>
      <c r="AV62" s="64"/>
      <c r="AW62" s="796" t="s">
        <v>1951</v>
      </c>
      <c r="AX62" s="72">
        <f t="shared" si="290"/>
        <v>0</v>
      </c>
      <c r="AY62" s="64"/>
      <c r="AZ62" s="796" t="s">
        <v>2195</v>
      </c>
      <c r="BA62" s="72">
        <f t="shared" si="291"/>
        <v>0</v>
      </c>
      <c r="BB62" s="64"/>
      <c r="BC62" s="796" t="s">
        <v>1962</v>
      </c>
      <c r="BD62" s="72">
        <f t="shared" si="182"/>
        <v>0</v>
      </c>
      <c r="BE62" s="64"/>
      <c r="BF62" s="796" t="s">
        <v>1953</v>
      </c>
      <c r="BG62" s="72">
        <f t="shared" si="183"/>
        <v>0</v>
      </c>
      <c r="BH62" s="64"/>
      <c r="BI62" s="796" t="s">
        <v>1962</v>
      </c>
      <c r="BJ62" s="72">
        <f t="shared" si="184"/>
        <v>0</v>
      </c>
      <c r="BK62" s="64"/>
      <c r="BL62" s="796" t="s">
        <v>2008</v>
      </c>
      <c r="BM62" s="72">
        <f t="shared" si="292"/>
        <v>0</v>
      </c>
      <c r="BN62" s="64"/>
      <c r="BO62" s="816" t="s">
        <v>1949</v>
      </c>
      <c r="BP62" s="72">
        <f t="shared" si="293"/>
        <v>0</v>
      </c>
      <c r="BQ62" s="64"/>
      <c r="BR62" s="796" t="s">
        <v>1963</v>
      </c>
      <c r="BS62" s="72">
        <f t="shared" si="185"/>
        <v>0</v>
      </c>
      <c r="BT62" s="64"/>
      <c r="BU62" s="796" t="s">
        <v>1950</v>
      </c>
      <c r="BV62" s="72">
        <f t="shared" si="186"/>
        <v>0</v>
      </c>
      <c r="BW62" s="64"/>
      <c r="BX62" s="73" t="s">
        <v>1949</v>
      </c>
      <c r="BY62" s="72">
        <f t="shared" si="187"/>
        <v>0</v>
      </c>
      <c r="BZ62" s="64"/>
      <c r="CA62" s="816" t="s">
        <v>1951</v>
      </c>
      <c r="CB62" s="72">
        <f t="shared" si="294"/>
        <v>0</v>
      </c>
      <c r="CC62" s="64"/>
      <c r="CD62" s="825" t="s">
        <v>1947</v>
      </c>
      <c r="CE62" s="72">
        <f t="shared" si="295"/>
        <v>0</v>
      </c>
      <c r="CF62" s="64"/>
      <c r="CG62" s="796" t="s">
        <v>1947</v>
      </c>
      <c r="CH62" s="72">
        <f t="shared" si="188"/>
        <v>0</v>
      </c>
      <c r="CI62" s="64"/>
      <c r="CJ62" s="796" t="s">
        <v>1949</v>
      </c>
      <c r="CK62" s="72">
        <f t="shared" si="189"/>
        <v>0</v>
      </c>
      <c r="CL62" s="64"/>
      <c r="CM62" s="796" t="s">
        <v>1949</v>
      </c>
      <c r="CN62" s="72">
        <f t="shared" si="190"/>
        <v>0</v>
      </c>
      <c r="CO62" s="64"/>
      <c r="CP62" s="796" t="s">
        <v>1951</v>
      </c>
      <c r="CQ62" s="72">
        <f t="shared" si="296"/>
        <v>0</v>
      </c>
      <c r="CR62" s="64"/>
      <c r="CS62" s="796" t="s">
        <v>1949</v>
      </c>
      <c r="CT62" s="72">
        <f t="shared" si="297"/>
        <v>0</v>
      </c>
      <c r="CU62" s="64"/>
      <c r="CV62" s="796" t="s">
        <v>1963</v>
      </c>
      <c r="CW62" s="72">
        <f t="shared" si="191"/>
        <v>0</v>
      </c>
      <c r="CX62" s="64"/>
      <c r="CY62" s="796" t="s">
        <v>1950</v>
      </c>
      <c r="CZ62" s="72">
        <f t="shared" si="250"/>
        <v>0</v>
      </c>
      <c r="DA62" s="64"/>
      <c r="DB62" s="796" t="s">
        <v>1963</v>
      </c>
      <c r="DC62" s="72">
        <f t="shared" si="192"/>
        <v>0</v>
      </c>
      <c r="DD62" s="64"/>
      <c r="DE62" s="796" t="s">
        <v>1962</v>
      </c>
      <c r="DF62" s="72">
        <f t="shared" si="281"/>
        <v>0</v>
      </c>
      <c r="DG62" s="64"/>
      <c r="DH62" s="796" t="s">
        <v>1963</v>
      </c>
      <c r="DI62" s="72">
        <f t="shared" si="282"/>
        <v>0</v>
      </c>
      <c r="DJ62" s="64"/>
      <c r="DK62" s="796" t="s">
        <v>1961</v>
      </c>
      <c r="DL62" s="72">
        <f t="shared" si="283"/>
        <v>0</v>
      </c>
      <c r="DM62" s="64"/>
      <c r="DN62" s="73"/>
      <c r="DO62" s="72">
        <f t="shared" si="196"/>
        <v>0</v>
      </c>
      <c r="DP62" s="64"/>
      <c r="DQ62" s="796" t="s">
        <v>1961</v>
      </c>
      <c r="DR62" s="72">
        <f t="shared" si="251"/>
        <v>0</v>
      </c>
      <c r="DS62" s="64"/>
      <c r="DT62" s="73" t="s">
        <v>1962</v>
      </c>
      <c r="DU62" s="72">
        <f t="shared" si="298"/>
        <v>0</v>
      </c>
      <c r="DV62" s="64"/>
      <c r="DW62" s="73"/>
      <c r="DX62" s="72">
        <f t="shared" si="299"/>
        <v>0</v>
      </c>
      <c r="DY62" s="64"/>
      <c r="DZ62" s="73"/>
      <c r="EA62" s="72">
        <f t="shared" si="284"/>
        <v>0</v>
      </c>
      <c r="EB62" s="64"/>
      <c r="EC62" s="73"/>
      <c r="ED62" s="72">
        <f t="shared" si="198"/>
        <v>0</v>
      </c>
      <c r="EE62" s="64"/>
      <c r="EF62" s="73"/>
      <c r="EG62" s="72">
        <f t="shared" si="199"/>
        <v>0</v>
      </c>
      <c r="EH62" s="64"/>
      <c r="EI62" s="73"/>
      <c r="EJ62" s="72">
        <f t="shared" si="300"/>
        <v>0</v>
      </c>
      <c r="EK62" s="64"/>
      <c r="EL62" s="73"/>
      <c r="EM62" s="72">
        <f t="shared" si="301"/>
        <v>0</v>
      </c>
      <c r="EN62" s="64"/>
      <c r="EO62" s="73"/>
      <c r="EP62" s="72">
        <f t="shared" si="200"/>
        <v>0</v>
      </c>
      <c r="EQ62" s="64"/>
      <c r="ER62" s="73"/>
      <c r="ES62" s="72">
        <f t="shared" si="201"/>
        <v>0</v>
      </c>
      <c r="ET62" s="64"/>
      <c r="EU62" s="73"/>
      <c r="EV62" s="72">
        <f t="shared" si="202"/>
        <v>0</v>
      </c>
      <c r="EW62" s="64"/>
      <c r="EX62" s="73"/>
      <c r="EY62" s="72">
        <f t="shared" si="302"/>
        <v>0</v>
      </c>
      <c r="EZ62" s="64"/>
      <c r="FA62" s="73"/>
      <c r="FB62" s="72">
        <f t="shared" si="303"/>
        <v>0</v>
      </c>
      <c r="FC62" s="64"/>
      <c r="FD62" s="73"/>
      <c r="FE62" s="72">
        <f t="shared" si="203"/>
        <v>0</v>
      </c>
      <c r="FF62" s="64"/>
      <c r="FG62" s="73"/>
      <c r="FH62" s="72">
        <f t="shared" si="204"/>
        <v>0</v>
      </c>
      <c r="FI62" s="64"/>
      <c r="FJ62" s="73"/>
      <c r="FK62" s="72">
        <f t="shared" si="205"/>
        <v>0</v>
      </c>
      <c r="FL62" s="64"/>
      <c r="FM62" s="73"/>
      <c r="FN62" s="72">
        <f t="shared" si="304"/>
        <v>0</v>
      </c>
      <c r="FO62" s="64"/>
      <c r="FP62" s="73"/>
      <c r="FQ62" s="72">
        <f t="shared" si="305"/>
        <v>0</v>
      </c>
      <c r="FR62" s="64"/>
      <c r="FS62" s="73"/>
      <c r="FT62" s="72">
        <f t="shared" si="206"/>
        <v>0</v>
      </c>
      <c r="FU62" s="64"/>
      <c r="FV62" s="73"/>
      <c r="FW62" s="72">
        <f t="shared" si="207"/>
        <v>0</v>
      </c>
      <c r="FX62" s="64"/>
      <c r="FY62" s="73"/>
      <c r="FZ62" s="72">
        <f t="shared" si="208"/>
        <v>0</v>
      </c>
      <c r="GA62" s="64"/>
      <c r="GB62" s="73"/>
      <c r="GC62" s="72">
        <f t="shared" si="306"/>
        <v>0</v>
      </c>
      <c r="GD62" s="64"/>
      <c r="GE62" s="73"/>
      <c r="GF62" s="72">
        <f t="shared" si="307"/>
        <v>0</v>
      </c>
      <c r="GG62" s="64"/>
      <c r="GH62" s="73"/>
      <c r="GI62" s="72">
        <f t="shared" si="209"/>
        <v>0</v>
      </c>
      <c r="GJ62" s="64"/>
      <c r="GK62" s="73"/>
      <c r="GL62" s="72">
        <f t="shared" si="210"/>
        <v>0</v>
      </c>
      <c r="GM62" s="64"/>
      <c r="GN62" s="73"/>
      <c r="GO62" s="72">
        <f t="shared" si="211"/>
        <v>0</v>
      </c>
      <c r="GP62" s="64"/>
      <c r="GQ62" s="73"/>
      <c r="GR62" s="72">
        <f t="shared" si="308"/>
        <v>0</v>
      </c>
      <c r="GS62" s="64"/>
      <c r="GT62" s="73"/>
      <c r="GU62" s="72">
        <f t="shared" si="309"/>
        <v>0</v>
      </c>
      <c r="GV62" s="64"/>
      <c r="GW62" s="73"/>
      <c r="GX62" s="72">
        <f t="shared" si="212"/>
        <v>0</v>
      </c>
      <c r="GY62" s="64"/>
      <c r="GZ62" s="73"/>
      <c r="HA62" s="72">
        <f t="shared" si="213"/>
        <v>0</v>
      </c>
      <c r="HB62" s="64"/>
      <c r="HC62" s="73"/>
      <c r="HD62" s="72">
        <f t="shared" si="214"/>
        <v>0</v>
      </c>
      <c r="HE62" s="64"/>
      <c r="HF62" s="73"/>
      <c r="HG62" s="72">
        <f t="shared" si="310"/>
        <v>0</v>
      </c>
      <c r="HH62" s="64"/>
      <c r="HI62" s="73"/>
      <c r="HJ62" s="72">
        <f t="shared" si="311"/>
        <v>0</v>
      </c>
      <c r="HK62" s="64"/>
      <c r="HL62" s="73"/>
      <c r="HM62" s="72">
        <f t="shared" si="215"/>
        <v>0</v>
      </c>
      <c r="HN62" s="64"/>
      <c r="HO62" s="73"/>
      <c r="HP62" s="72">
        <f t="shared" si="216"/>
        <v>0</v>
      </c>
      <c r="HQ62" s="64"/>
      <c r="HR62" s="73"/>
      <c r="HS62" s="72">
        <f t="shared" si="217"/>
        <v>0</v>
      </c>
      <c r="HT62" s="64"/>
      <c r="HU62" s="73"/>
      <c r="HV62" s="72">
        <f t="shared" si="312"/>
        <v>0</v>
      </c>
      <c r="HW62" s="64"/>
      <c r="HX62" s="73"/>
      <c r="HY62" s="72">
        <f t="shared" si="313"/>
        <v>0</v>
      </c>
      <c r="HZ62" s="64"/>
      <c r="IA62" s="73"/>
      <c r="IB62" s="72">
        <f t="shared" si="218"/>
        <v>0</v>
      </c>
      <c r="IC62" s="64"/>
      <c r="ID62" s="73"/>
      <c r="IE62" s="72">
        <f t="shared" si="219"/>
        <v>0</v>
      </c>
      <c r="IF62" s="64"/>
      <c r="IG62" s="73"/>
      <c r="IH62" s="72">
        <f t="shared" si="220"/>
        <v>0</v>
      </c>
      <c r="II62" s="64"/>
      <c r="IJ62" s="73"/>
      <c r="IK62" s="72">
        <f t="shared" si="314"/>
        <v>0</v>
      </c>
      <c r="IL62" s="64"/>
      <c r="IM62" s="73"/>
      <c r="IN62" s="72">
        <f t="shared" si="315"/>
        <v>0</v>
      </c>
      <c r="IO62" s="64"/>
      <c r="IP62" s="73"/>
      <c r="IQ62" s="72">
        <f t="shared" si="221"/>
        <v>0</v>
      </c>
      <c r="IR62" s="64"/>
      <c r="IS62" s="73"/>
      <c r="IT62" s="72">
        <f t="shared" si="222"/>
        <v>0</v>
      </c>
      <c r="IU62" s="64"/>
      <c r="IV62" s="73"/>
      <c r="IW62" s="72">
        <f t="shared" si="223"/>
        <v>0</v>
      </c>
      <c r="IX62" s="64"/>
      <c r="IY62" s="73"/>
      <c r="IZ62" s="72">
        <f t="shared" si="316"/>
        <v>0</v>
      </c>
      <c r="JA62" s="64"/>
      <c r="JB62" s="73"/>
      <c r="JC62" s="72">
        <f t="shared" si="317"/>
        <v>0</v>
      </c>
      <c r="JD62" s="64"/>
      <c r="JE62" s="73"/>
      <c r="JF62" s="72">
        <f t="shared" si="224"/>
        <v>0</v>
      </c>
      <c r="JG62" s="64"/>
      <c r="JH62" s="73"/>
      <c r="JI62" s="72">
        <f t="shared" si="225"/>
        <v>0</v>
      </c>
      <c r="JJ62" s="64"/>
      <c r="JK62" s="73"/>
      <c r="JL62" s="72">
        <f t="shared" si="226"/>
        <v>0</v>
      </c>
      <c r="JM62" s="64"/>
      <c r="JN62" s="73"/>
      <c r="JO62" s="72">
        <f t="shared" si="318"/>
        <v>0</v>
      </c>
      <c r="JP62" s="64"/>
      <c r="JQ62" s="73"/>
      <c r="JR62" s="72">
        <f t="shared" si="319"/>
        <v>0</v>
      </c>
      <c r="JS62" s="64"/>
      <c r="JT62" s="73"/>
      <c r="JU62" s="72">
        <f t="shared" si="227"/>
        <v>0</v>
      </c>
      <c r="JV62" s="64"/>
      <c r="JW62" s="73"/>
      <c r="JX62" s="72">
        <f t="shared" si="228"/>
        <v>0</v>
      </c>
      <c r="JY62" s="64"/>
      <c r="JZ62" s="73"/>
      <c r="KA62" s="72">
        <f t="shared" si="229"/>
        <v>0</v>
      </c>
      <c r="KB62" s="64"/>
      <c r="KC62" s="73"/>
      <c r="KD62" s="72">
        <f t="shared" si="320"/>
        <v>0</v>
      </c>
      <c r="KE62" s="64"/>
      <c r="KF62" s="73"/>
      <c r="KG62" s="72">
        <f t="shared" si="321"/>
        <v>0</v>
      </c>
      <c r="KH62" s="64"/>
      <c r="KI62" s="73"/>
      <c r="KJ62" s="72">
        <f t="shared" si="230"/>
        <v>0</v>
      </c>
      <c r="KK62" s="64"/>
      <c r="KL62" s="73"/>
      <c r="KM62" s="72">
        <f t="shared" si="231"/>
        <v>0</v>
      </c>
      <c r="KN62" s="64"/>
      <c r="KO62" s="73"/>
      <c r="KP62" s="72">
        <f t="shared" si="232"/>
        <v>0</v>
      </c>
      <c r="KQ62" s="64"/>
      <c r="KR62" s="73"/>
      <c r="KS62" s="72">
        <f t="shared" si="322"/>
        <v>0</v>
      </c>
      <c r="KT62" s="64"/>
      <c r="KU62" s="73"/>
      <c r="KV62" s="72">
        <f t="shared" si="323"/>
        <v>0</v>
      </c>
      <c r="KW62" s="64"/>
      <c r="KX62" s="73"/>
      <c r="KY62" s="72">
        <f t="shared" si="233"/>
        <v>0</v>
      </c>
      <c r="KZ62" s="64"/>
      <c r="LA62" s="73"/>
      <c r="LB62" s="72">
        <f t="shared" si="234"/>
        <v>0</v>
      </c>
      <c r="LC62" s="64"/>
      <c r="LD62" s="73"/>
      <c r="LE62" s="72">
        <f t="shared" si="235"/>
        <v>0</v>
      </c>
      <c r="LF62" s="64"/>
    </row>
    <row r="63" spans="1:318" s="784" customFormat="1">
      <c r="A63" s="49"/>
      <c r="B63" s="49"/>
      <c r="C63" s="49"/>
      <c r="D63" s="49"/>
      <c r="E63" s="109"/>
      <c r="F63" s="443">
        <f t="shared" si="236"/>
        <v>15</v>
      </c>
      <c r="G63" s="443">
        <f ca="1">VLOOKUP(H63,Equipos!$Q$1:$R$25,2,0)</f>
        <v>15</v>
      </c>
      <c r="H63" s="444">
        <f ca="1">TRUNC(INDEX(WORLDCUP!$X$4:$X$147,MATCH(ADMIN!K63,WORLDCUP!$DT$4:$DT$147,0))+INDEX(Horarios!$R$3:$R$86,MATCH(Horarios!$C$3,Horarios!$P$3:$P$86,0))/24)</f>
        <v>46198</v>
      </c>
      <c r="I63" s="48">
        <v>1</v>
      </c>
      <c r="J63" s="93"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276"/>
        <v>0</v>
      </c>
      <c r="R63" s="49"/>
      <c r="S63" s="796" t="s">
        <v>1951</v>
      </c>
      <c r="T63" s="72">
        <f t="shared" si="285"/>
        <v>0</v>
      </c>
      <c r="U63" s="64"/>
      <c r="V63" s="73" t="s">
        <v>1950</v>
      </c>
      <c r="W63" s="72">
        <f t="shared" si="286"/>
        <v>0</v>
      </c>
      <c r="X63" s="64"/>
      <c r="Y63" s="796" t="s">
        <v>2007</v>
      </c>
      <c r="Z63" s="72">
        <f t="shared" si="176"/>
        <v>0</v>
      </c>
      <c r="AA63" s="64"/>
      <c r="AB63" s="796" t="s">
        <v>2007</v>
      </c>
      <c r="AC63" s="72">
        <f t="shared" si="177"/>
        <v>0</v>
      </c>
      <c r="AD63" s="64"/>
      <c r="AE63" s="796" t="s">
        <v>1949</v>
      </c>
      <c r="AF63" s="72">
        <f t="shared" si="324"/>
        <v>0</v>
      </c>
      <c r="AG63" s="64"/>
      <c r="AH63" s="796" t="s">
        <v>1961</v>
      </c>
      <c r="AI63" s="72">
        <f t="shared" si="288"/>
        <v>0</v>
      </c>
      <c r="AJ63" s="64"/>
      <c r="AK63" s="806" t="s">
        <v>2006</v>
      </c>
      <c r="AL63" s="72">
        <f t="shared" si="289"/>
        <v>0</v>
      </c>
      <c r="AM63" s="64"/>
      <c r="AN63" s="796" t="s">
        <v>1953</v>
      </c>
      <c r="AO63" s="72">
        <f t="shared" si="179"/>
        <v>0</v>
      </c>
      <c r="AP63" s="64"/>
      <c r="AQ63" s="806" t="s">
        <v>1962</v>
      </c>
      <c r="AR63" s="72">
        <f t="shared" si="180"/>
        <v>0</v>
      </c>
      <c r="AS63" s="64"/>
      <c r="AT63" s="796" t="s">
        <v>1955</v>
      </c>
      <c r="AU63" s="72">
        <f t="shared" si="181"/>
        <v>0</v>
      </c>
      <c r="AV63" s="64"/>
      <c r="AW63" s="796" t="s">
        <v>1949</v>
      </c>
      <c r="AX63" s="72">
        <f t="shared" si="290"/>
        <v>0</v>
      </c>
      <c r="AY63" s="64"/>
      <c r="AZ63" s="796" t="s">
        <v>1958</v>
      </c>
      <c r="BA63" s="72">
        <f t="shared" si="291"/>
        <v>0</v>
      </c>
      <c r="BB63" s="64"/>
      <c r="BC63" s="796" t="s">
        <v>1963</v>
      </c>
      <c r="BD63" s="72">
        <f t="shared" si="182"/>
        <v>0</v>
      </c>
      <c r="BE63" s="64"/>
      <c r="BF63" s="796" t="s">
        <v>1955</v>
      </c>
      <c r="BG63" s="72">
        <f t="shared" si="183"/>
        <v>0</v>
      </c>
      <c r="BH63" s="64"/>
      <c r="BI63" s="796" t="s">
        <v>1949</v>
      </c>
      <c r="BJ63" s="72">
        <f t="shared" si="184"/>
        <v>0</v>
      </c>
      <c r="BK63" s="64"/>
      <c r="BL63" s="796" t="s">
        <v>1962</v>
      </c>
      <c r="BM63" s="72">
        <f t="shared" si="292"/>
        <v>0</v>
      </c>
      <c r="BN63" s="64"/>
      <c r="BO63" s="816" t="s">
        <v>2007</v>
      </c>
      <c r="BP63" s="72">
        <f t="shared" si="293"/>
        <v>0</v>
      </c>
      <c r="BQ63" s="64"/>
      <c r="BR63" s="796" t="s">
        <v>1950</v>
      </c>
      <c r="BS63" s="72">
        <f t="shared" si="185"/>
        <v>0</v>
      </c>
      <c r="BT63" s="64"/>
      <c r="BU63" s="796" t="s">
        <v>1949</v>
      </c>
      <c r="BV63" s="72">
        <f t="shared" si="186"/>
        <v>0</v>
      </c>
      <c r="BW63" s="64"/>
      <c r="BX63" s="73" t="s">
        <v>1963</v>
      </c>
      <c r="BY63" s="72">
        <f t="shared" si="187"/>
        <v>0</v>
      </c>
      <c r="BZ63" s="64"/>
      <c r="CA63" s="816" t="s">
        <v>1949</v>
      </c>
      <c r="CB63" s="72">
        <f t="shared" si="294"/>
        <v>0</v>
      </c>
      <c r="CC63" s="64"/>
      <c r="CD63" s="825" t="s">
        <v>2007</v>
      </c>
      <c r="CE63" s="72">
        <f t="shared" si="295"/>
        <v>0</v>
      </c>
      <c r="CF63" s="64"/>
      <c r="CG63" s="796" t="s">
        <v>1961</v>
      </c>
      <c r="CH63" s="72">
        <f t="shared" si="188"/>
        <v>0</v>
      </c>
      <c r="CI63" s="64"/>
      <c r="CJ63" s="796" t="s">
        <v>2007</v>
      </c>
      <c r="CK63" s="72">
        <f t="shared" si="189"/>
        <v>0</v>
      </c>
      <c r="CL63" s="64"/>
      <c r="CM63" s="796" t="s">
        <v>1947</v>
      </c>
      <c r="CN63" s="72">
        <f t="shared" si="190"/>
        <v>0</v>
      </c>
      <c r="CO63" s="64"/>
      <c r="CP63" s="796" t="s">
        <v>1953</v>
      </c>
      <c r="CQ63" s="72">
        <f t="shared" si="296"/>
        <v>0</v>
      </c>
      <c r="CR63" s="64"/>
      <c r="CS63" s="796" t="s">
        <v>1949</v>
      </c>
      <c r="CT63" s="72">
        <f t="shared" si="297"/>
        <v>0</v>
      </c>
      <c r="CU63" s="64"/>
      <c r="CV63" s="796" t="s">
        <v>1961</v>
      </c>
      <c r="CW63" s="72">
        <f t="shared" si="191"/>
        <v>0</v>
      </c>
      <c r="CX63" s="64"/>
      <c r="CY63" s="796" t="s">
        <v>1949</v>
      </c>
      <c r="CZ63" s="72">
        <f t="shared" si="250"/>
        <v>0</v>
      </c>
      <c r="DA63" s="64"/>
      <c r="DB63" s="796" t="s">
        <v>2007</v>
      </c>
      <c r="DC63" s="72">
        <f t="shared" si="192"/>
        <v>0</v>
      </c>
      <c r="DD63" s="64"/>
      <c r="DE63" s="796" t="s">
        <v>1947</v>
      </c>
      <c r="DF63" s="72">
        <f t="shared" si="281"/>
        <v>0</v>
      </c>
      <c r="DG63" s="64"/>
      <c r="DH63" s="796" t="s">
        <v>1949</v>
      </c>
      <c r="DI63" s="72">
        <f t="shared" si="282"/>
        <v>0</v>
      </c>
      <c r="DJ63" s="64"/>
      <c r="DK63" s="796" t="s">
        <v>1947</v>
      </c>
      <c r="DL63" s="72">
        <f t="shared" si="283"/>
        <v>0</v>
      </c>
      <c r="DM63" s="64"/>
      <c r="DN63" s="73"/>
      <c r="DO63" s="72">
        <f t="shared" si="196"/>
        <v>0</v>
      </c>
      <c r="DP63" s="64"/>
      <c r="DQ63" s="796" t="s">
        <v>1953</v>
      </c>
      <c r="DR63" s="72">
        <f t="shared" si="251"/>
        <v>0</v>
      </c>
      <c r="DS63" s="64"/>
      <c r="DT63" s="73" t="s">
        <v>1961</v>
      </c>
      <c r="DU63" s="72">
        <f t="shared" si="298"/>
        <v>0</v>
      </c>
      <c r="DV63" s="64"/>
      <c r="DW63" s="73"/>
      <c r="DX63" s="72">
        <f t="shared" si="299"/>
        <v>0</v>
      </c>
      <c r="DY63" s="64"/>
      <c r="DZ63" s="73"/>
      <c r="EA63" s="72">
        <f t="shared" si="284"/>
        <v>0</v>
      </c>
      <c r="EB63" s="64"/>
      <c r="EC63" s="73"/>
      <c r="ED63" s="72">
        <f t="shared" si="198"/>
        <v>0</v>
      </c>
      <c r="EE63" s="64"/>
      <c r="EF63" s="73"/>
      <c r="EG63" s="72">
        <f t="shared" si="199"/>
        <v>0</v>
      </c>
      <c r="EH63" s="64"/>
      <c r="EI63" s="73"/>
      <c r="EJ63" s="72">
        <f t="shared" si="300"/>
        <v>0</v>
      </c>
      <c r="EK63" s="64"/>
      <c r="EL63" s="73"/>
      <c r="EM63" s="72">
        <f t="shared" si="301"/>
        <v>0</v>
      </c>
      <c r="EN63" s="64"/>
      <c r="EO63" s="73"/>
      <c r="EP63" s="72">
        <f t="shared" si="200"/>
        <v>0</v>
      </c>
      <c r="EQ63" s="64"/>
      <c r="ER63" s="73"/>
      <c r="ES63" s="72">
        <f t="shared" si="201"/>
        <v>0</v>
      </c>
      <c r="ET63" s="64"/>
      <c r="EU63" s="73"/>
      <c r="EV63" s="72">
        <f t="shared" si="202"/>
        <v>0</v>
      </c>
      <c r="EW63" s="64"/>
      <c r="EX63" s="73"/>
      <c r="EY63" s="72">
        <f t="shared" si="302"/>
        <v>0</v>
      </c>
      <c r="EZ63" s="64"/>
      <c r="FA63" s="73"/>
      <c r="FB63" s="72">
        <f t="shared" si="303"/>
        <v>0</v>
      </c>
      <c r="FC63" s="64"/>
      <c r="FD63" s="73"/>
      <c r="FE63" s="72">
        <f t="shared" si="203"/>
        <v>0</v>
      </c>
      <c r="FF63" s="64"/>
      <c r="FG63" s="73"/>
      <c r="FH63" s="72">
        <f t="shared" si="204"/>
        <v>0</v>
      </c>
      <c r="FI63" s="64"/>
      <c r="FJ63" s="73"/>
      <c r="FK63" s="72">
        <f t="shared" si="205"/>
        <v>0</v>
      </c>
      <c r="FL63" s="64"/>
      <c r="FM63" s="73"/>
      <c r="FN63" s="72">
        <f t="shared" si="304"/>
        <v>0</v>
      </c>
      <c r="FO63" s="64"/>
      <c r="FP63" s="73"/>
      <c r="FQ63" s="72">
        <f t="shared" si="305"/>
        <v>0</v>
      </c>
      <c r="FR63" s="64"/>
      <c r="FS63" s="73"/>
      <c r="FT63" s="72">
        <f t="shared" si="206"/>
        <v>0</v>
      </c>
      <c r="FU63" s="64"/>
      <c r="FV63" s="73"/>
      <c r="FW63" s="72">
        <f t="shared" si="207"/>
        <v>0</v>
      </c>
      <c r="FX63" s="64"/>
      <c r="FY63" s="73"/>
      <c r="FZ63" s="72">
        <f t="shared" si="208"/>
        <v>0</v>
      </c>
      <c r="GA63" s="64"/>
      <c r="GB63" s="73"/>
      <c r="GC63" s="72">
        <f t="shared" si="306"/>
        <v>0</v>
      </c>
      <c r="GD63" s="64"/>
      <c r="GE63" s="73"/>
      <c r="GF63" s="72">
        <f t="shared" si="307"/>
        <v>0</v>
      </c>
      <c r="GG63" s="64"/>
      <c r="GH63" s="73"/>
      <c r="GI63" s="72">
        <f t="shared" si="209"/>
        <v>0</v>
      </c>
      <c r="GJ63" s="64"/>
      <c r="GK63" s="73"/>
      <c r="GL63" s="72">
        <f t="shared" si="210"/>
        <v>0</v>
      </c>
      <c r="GM63" s="64"/>
      <c r="GN63" s="73"/>
      <c r="GO63" s="72">
        <f t="shared" si="211"/>
        <v>0</v>
      </c>
      <c r="GP63" s="64"/>
      <c r="GQ63" s="73"/>
      <c r="GR63" s="72">
        <f t="shared" si="308"/>
        <v>0</v>
      </c>
      <c r="GS63" s="64"/>
      <c r="GT63" s="73"/>
      <c r="GU63" s="72">
        <f t="shared" si="309"/>
        <v>0</v>
      </c>
      <c r="GV63" s="64"/>
      <c r="GW63" s="73"/>
      <c r="GX63" s="72">
        <f t="shared" si="212"/>
        <v>0</v>
      </c>
      <c r="GY63" s="64"/>
      <c r="GZ63" s="73"/>
      <c r="HA63" s="72">
        <f t="shared" si="213"/>
        <v>0</v>
      </c>
      <c r="HB63" s="64"/>
      <c r="HC63" s="73"/>
      <c r="HD63" s="72">
        <f t="shared" si="214"/>
        <v>0</v>
      </c>
      <c r="HE63" s="64"/>
      <c r="HF63" s="73"/>
      <c r="HG63" s="72">
        <f t="shared" si="310"/>
        <v>0</v>
      </c>
      <c r="HH63" s="64"/>
      <c r="HI63" s="73"/>
      <c r="HJ63" s="72">
        <f t="shared" si="311"/>
        <v>0</v>
      </c>
      <c r="HK63" s="64"/>
      <c r="HL63" s="73"/>
      <c r="HM63" s="72">
        <f t="shared" si="215"/>
        <v>0</v>
      </c>
      <c r="HN63" s="64"/>
      <c r="HO63" s="73"/>
      <c r="HP63" s="72">
        <f t="shared" si="216"/>
        <v>0</v>
      </c>
      <c r="HQ63" s="64"/>
      <c r="HR63" s="73"/>
      <c r="HS63" s="72">
        <f t="shared" si="217"/>
        <v>0</v>
      </c>
      <c r="HT63" s="64"/>
      <c r="HU63" s="73"/>
      <c r="HV63" s="72">
        <f t="shared" si="312"/>
        <v>0</v>
      </c>
      <c r="HW63" s="64"/>
      <c r="HX63" s="73"/>
      <c r="HY63" s="72">
        <f t="shared" si="313"/>
        <v>0</v>
      </c>
      <c r="HZ63" s="64"/>
      <c r="IA63" s="73"/>
      <c r="IB63" s="72">
        <f t="shared" si="218"/>
        <v>0</v>
      </c>
      <c r="IC63" s="64"/>
      <c r="ID63" s="73"/>
      <c r="IE63" s="72">
        <f t="shared" si="219"/>
        <v>0</v>
      </c>
      <c r="IF63" s="64"/>
      <c r="IG63" s="73"/>
      <c r="IH63" s="72">
        <f t="shared" si="220"/>
        <v>0</v>
      </c>
      <c r="II63" s="64"/>
      <c r="IJ63" s="73"/>
      <c r="IK63" s="72">
        <f t="shared" si="314"/>
        <v>0</v>
      </c>
      <c r="IL63" s="64"/>
      <c r="IM63" s="73"/>
      <c r="IN63" s="72">
        <f t="shared" si="315"/>
        <v>0</v>
      </c>
      <c r="IO63" s="64"/>
      <c r="IP63" s="73"/>
      <c r="IQ63" s="72">
        <f t="shared" si="221"/>
        <v>0</v>
      </c>
      <c r="IR63" s="64"/>
      <c r="IS63" s="73"/>
      <c r="IT63" s="72">
        <f t="shared" si="222"/>
        <v>0</v>
      </c>
      <c r="IU63" s="64"/>
      <c r="IV63" s="73"/>
      <c r="IW63" s="72">
        <f t="shared" si="223"/>
        <v>0</v>
      </c>
      <c r="IX63" s="64"/>
      <c r="IY63" s="73"/>
      <c r="IZ63" s="72">
        <f t="shared" si="316"/>
        <v>0</v>
      </c>
      <c r="JA63" s="64"/>
      <c r="JB63" s="73"/>
      <c r="JC63" s="72">
        <f t="shared" si="317"/>
        <v>0</v>
      </c>
      <c r="JD63" s="64"/>
      <c r="JE63" s="73"/>
      <c r="JF63" s="72">
        <f t="shared" si="224"/>
        <v>0</v>
      </c>
      <c r="JG63" s="64"/>
      <c r="JH63" s="73"/>
      <c r="JI63" s="72">
        <f t="shared" si="225"/>
        <v>0</v>
      </c>
      <c r="JJ63" s="64"/>
      <c r="JK63" s="73"/>
      <c r="JL63" s="72">
        <f t="shared" si="226"/>
        <v>0</v>
      </c>
      <c r="JM63" s="64"/>
      <c r="JN63" s="73"/>
      <c r="JO63" s="72">
        <f t="shared" si="318"/>
        <v>0</v>
      </c>
      <c r="JP63" s="64"/>
      <c r="JQ63" s="73"/>
      <c r="JR63" s="72">
        <f t="shared" si="319"/>
        <v>0</v>
      </c>
      <c r="JS63" s="64"/>
      <c r="JT63" s="73"/>
      <c r="JU63" s="72">
        <f t="shared" si="227"/>
        <v>0</v>
      </c>
      <c r="JV63" s="64"/>
      <c r="JW63" s="73"/>
      <c r="JX63" s="72">
        <f t="shared" si="228"/>
        <v>0</v>
      </c>
      <c r="JY63" s="64"/>
      <c r="JZ63" s="73"/>
      <c r="KA63" s="72">
        <f t="shared" si="229"/>
        <v>0</v>
      </c>
      <c r="KB63" s="64"/>
      <c r="KC63" s="73"/>
      <c r="KD63" s="72">
        <f t="shared" si="320"/>
        <v>0</v>
      </c>
      <c r="KE63" s="64"/>
      <c r="KF63" s="73"/>
      <c r="KG63" s="72">
        <f t="shared" si="321"/>
        <v>0</v>
      </c>
      <c r="KH63" s="64"/>
      <c r="KI63" s="73"/>
      <c r="KJ63" s="72">
        <f t="shared" si="230"/>
        <v>0</v>
      </c>
      <c r="KK63" s="64"/>
      <c r="KL63" s="73"/>
      <c r="KM63" s="72">
        <f t="shared" si="231"/>
        <v>0</v>
      </c>
      <c r="KN63" s="64"/>
      <c r="KO63" s="73"/>
      <c r="KP63" s="72">
        <f t="shared" si="232"/>
        <v>0</v>
      </c>
      <c r="KQ63" s="64"/>
      <c r="KR63" s="73"/>
      <c r="KS63" s="72">
        <f t="shared" si="322"/>
        <v>0</v>
      </c>
      <c r="KT63" s="64"/>
      <c r="KU63" s="73"/>
      <c r="KV63" s="72">
        <f t="shared" si="323"/>
        <v>0</v>
      </c>
      <c r="KW63" s="64"/>
      <c r="KX63" s="73"/>
      <c r="KY63" s="72">
        <f t="shared" si="233"/>
        <v>0</v>
      </c>
      <c r="KZ63" s="64"/>
      <c r="LA63" s="73"/>
      <c r="LB63" s="72">
        <f t="shared" si="234"/>
        <v>0</v>
      </c>
      <c r="LC63" s="64"/>
      <c r="LD63" s="73"/>
      <c r="LE63" s="72">
        <f t="shared" si="235"/>
        <v>0</v>
      </c>
      <c r="LF63" s="64"/>
    </row>
    <row r="64" spans="1:318" s="784" customFormat="1">
      <c r="A64" s="49"/>
      <c r="B64" s="49"/>
      <c r="C64" s="117" t="str">
        <f>"MAX. "&amp;K5</f>
        <v>MAX. FASE DE GRUPOS</v>
      </c>
      <c r="D64" s="120">
        <f>D56</f>
        <v>2520</v>
      </c>
      <c r="E64" s="109"/>
      <c r="F64" s="443">
        <f t="shared" si="236"/>
        <v>15</v>
      </c>
      <c r="G64" s="443">
        <f ca="1">VLOOKUP(H64,Equipos!$Q$1:$R$25,2,0)</f>
        <v>15</v>
      </c>
      <c r="H64" s="444">
        <f ca="1">TRUNC(INDEX(WORLDCUP!$X$4:$X$147,MATCH(ADMIN!K64,WORLDCUP!$DT$4:$DT$147,0))+INDEX(Horarios!$R$3:$R$86,MATCH(Horarios!$C$3,Horarios!$P$3:$P$86,0))/24)</f>
        <v>46198</v>
      </c>
      <c r="I64" s="48">
        <v>1</v>
      </c>
      <c r="J64" s="94"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276"/>
        <v>0</v>
      </c>
      <c r="R64" s="49"/>
      <c r="S64" s="796" t="s">
        <v>1955</v>
      </c>
      <c r="T64" s="72">
        <f t="shared" si="285"/>
        <v>0</v>
      </c>
      <c r="U64" s="64"/>
      <c r="V64" s="73" t="s">
        <v>2007</v>
      </c>
      <c r="W64" s="72">
        <f t="shared" si="286"/>
        <v>0</v>
      </c>
      <c r="X64" s="64"/>
      <c r="Y64" s="796" t="s">
        <v>1963</v>
      </c>
      <c r="Z64" s="72">
        <f t="shared" si="176"/>
        <v>0</v>
      </c>
      <c r="AA64" s="64"/>
      <c r="AB64" s="796" t="s">
        <v>1949</v>
      </c>
      <c r="AC64" s="72">
        <f t="shared" si="177"/>
        <v>0</v>
      </c>
      <c r="AD64" s="64"/>
      <c r="AE64" s="796" t="s">
        <v>1955</v>
      </c>
      <c r="AF64" s="72">
        <f t="shared" si="324"/>
        <v>0</v>
      </c>
      <c r="AG64" s="64"/>
      <c r="AH64" s="796" t="s">
        <v>1955</v>
      </c>
      <c r="AI64" s="72">
        <f t="shared" si="288"/>
        <v>0</v>
      </c>
      <c r="AJ64" s="64"/>
      <c r="AK64" s="806" t="s">
        <v>1955</v>
      </c>
      <c r="AL64" s="72">
        <f t="shared" si="289"/>
        <v>0</v>
      </c>
      <c r="AM64" s="64"/>
      <c r="AN64" s="796" t="s">
        <v>2007</v>
      </c>
      <c r="AO64" s="72">
        <f t="shared" si="179"/>
        <v>0</v>
      </c>
      <c r="AP64" s="64"/>
      <c r="AQ64" s="806" t="s">
        <v>1962</v>
      </c>
      <c r="AR64" s="72">
        <f t="shared" si="180"/>
        <v>0</v>
      </c>
      <c r="AS64" s="64"/>
      <c r="AT64" s="796" t="s">
        <v>1955</v>
      </c>
      <c r="AU64" s="72">
        <f t="shared" si="181"/>
        <v>0</v>
      </c>
      <c r="AV64" s="64"/>
      <c r="AW64" s="796" t="s">
        <v>2007</v>
      </c>
      <c r="AX64" s="72">
        <f t="shared" si="290"/>
        <v>0</v>
      </c>
      <c r="AY64" s="64"/>
      <c r="AZ64" s="796" t="s">
        <v>2349</v>
      </c>
      <c r="BA64" s="72">
        <f t="shared" si="291"/>
        <v>0</v>
      </c>
      <c r="BB64" s="64"/>
      <c r="BC64" s="796" t="s">
        <v>2007</v>
      </c>
      <c r="BD64" s="72">
        <f t="shared" si="182"/>
        <v>0</v>
      </c>
      <c r="BE64" s="64"/>
      <c r="BF64" s="796" t="s">
        <v>1961</v>
      </c>
      <c r="BG64" s="72">
        <f t="shared" si="183"/>
        <v>0</v>
      </c>
      <c r="BH64" s="64"/>
      <c r="BI64" s="796" t="s">
        <v>1961</v>
      </c>
      <c r="BJ64" s="72">
        <f t="shared" si="184"/>
        <v>0</v>
      </c>
      <c r="BK64" s="64"/>
      <c r="BL64" s="796" t="s">
        <v>1958</v>
      </c>
      <c r="BM64" s="72">
        <f t="shared" si="292"/>
        <v>0</v>
      </c>
      <c r="BN64" s="64"/>
      <c r="BO64" s="816" t="s">
        <v>1960</v>
      </c>
      <c r="BP64" s="72">
        <f t="shared" si="293"/>
        <v>0</v>
      </c>
      <c r="BQ64" s="64"/>
      <c r="BR64" s="796" t="s">
        <v>1954</v>
      </c>
      <c r="BS64" s="72">
        <f t="shared" si="185"/>
        <v>0</v>
      </c>
      <c r="BT64" s="64"/>
      <c r="BU64" s="796" t="s">
        <v>1956</v>
      </c>
      <c r="BV64" s="72">
        <f t="shared" si="186"/>
        <v>0</v>
      </c>
      <c r="BW64" s="64"/>
      <c r="BX64" s="73" t="s">
        <v>1955</v>
      </c>
      <c r="BY64" s="72">
        <f t="shared" si="187"/>
        <v>0</v>
      </c>
      <c r="BZ64" s="64"/>
      <c r="CA64" s="816" t="s">
        <v>1956</v>
      </c>
      <c r="CB64" s="72">
        <f t="shared" si="294"/>
        <v>0</v>
      </c>
      <c r="CC64" s="64"/>
      <c r="CD64" s="825" t="s">
        <v>1949</v>
      </c>
      <c r="CE64" s="72">
        <f t="shared" si="295"/>
        <v>0</v>
      </c>
      <c r="CF64" s="64"/>
      <c r="CG64" s="796" t="s">
        <v>1958</v>
      </c>
      <c r="CH64" s="72">
        <f t="shared" si="188"/>
        <v>0</v>
      </c>
      <c r="CI64" s="64"/>
      <c r="CJ64" s="796" t="s">
        <v>1961</v>
      </c>
      <c r="CK64" s="72">
        <f t="shared" si="189"/>
        <v>0</v>
      </c>
      <c r="CL64" s="64"/>
      <c r="CM64" s="796" t="s">
        <v>1961</v>
      </c>
      <c r="CN64" s="72">
        <f t="shared" si="190"/>
        <v>0</v>
      </c>
      <c r="CO64" s="64"/>
      <c r="CP64" s="796" t="s">
        <v>2007</v>
      </c>
      <c r="CQ64" s="72">
        <f t="shared" si="296"/>
        <v>0</v>
      </c>
      <c r="CR64" s="64"/>
      <c r="CS64" s="796" t="s">
        <v>1955</v>
      </c>
      <c r="CT64" s="72">
        <f t="shared" si="297"/>
        <v>0</v>
      </c>
      <c r="CU64" s="64"/>
      <c r="CV64" s="796" t="s">
        <v>2051</v>
      </c>
      <c r="CW64" s="72">
        <f t="shared" si="191"/>
        <v>0</v>
      </c>
      <c r="CX64" s="64"/>
      <c r="CY64" s="796" t="s">
        <v>1958</v>
      </c>
      <c r="CZ64" s="72">
        <f t="shared" si="250"/>
        <v>0</v>
      </c>
      <c r="DA64" s="64"/>
      <c r="DB64" s="796" t="s">
        <v>1961</v>
      </c>
      <c r="DC64" s="72">
        <f t="shared" si="192"/>
        <v>0</v>
      </c>
      <c r="DD64" s="64"/>
      <c r="DE64" s="796" t="s">
        <v>1960</v>
      </c>
      <c r="DF64" s="72">
        <f t="shared" si="281"/>
        <v>0</v>
      </c>
      <c r="DG64" s="64"/>
      <c r="DH64" s="796" t="s">
        <v>1955</v>
      </c>
      <c r="DI64" s="72">
        <f t="shared" si="282"/>
        <v>0</v>
      </c>
      <c r="DJ64" s="64"/>
      <c r="DK64" s="796" t="s">
        <v>1955</v>
      </c>
      <c r="DL64" s="72">
        <f t="shared" si="283"/>
        <v>0</v>
      </c>
      <c r="DM64" s="64"/>
      <c r="DN64" s="73"/>
      <c r="DO64" s="72">
        <f t="shared" si="196"/>
        <v>0</v>
      </c>
      <c r="DP64" s="64"/>
      <c r="DQ64" s="796" t="s">
        <v>1955</v>
      </c>
      <c r="DR64" s="72">
        <f t="shared" si="251"/>
        <v>0</v>
      </c>
      <c r="DS64" s="64"/>
      <c r="DT64" s="73" t="s">
        <v>1961</v>
      </c>
      <c r="DU64" s="72">
        <f t="shared" si="298"/>
        <v>0</v>
      </c>
      <c r="DV64" s="64"/>
      <c r="DW64" s="73"/>
      <c r="DX64" s="72">
        <f t="shared" si="299"/>
        <v>0</v>
      </c>
      <c r="DY64" s="64"/>
      <c r="DZ64" s="73"/>
      <c r="EA64" s="72">
        <f t="shared" si="284"/>
        <v>0</v>
      </c>
      <c r="EB64" s="64"/>
      <c r="EC64" s="73"/>
      <c r="ED64" s="72">
        <f t="shared" si="198"/>
        <v>0</v>
      </c>
      <c r="EE64" s="64"/>
      <c r="EF64" s="73"/>
      <c r="EG64" s="72">
        <f t="shared" si="199"/>
        <v>0</v>
      </c>
      <c r="EH64" s="64"/>
      <c r="EI64" s="73"/>
      <c r="EJ64" s="72">
        <f t="shared" si="300"/>
        <v>0</v>
      </c>
      <c r="EK64" s="64"/>
      <c r="EL64" s="73"/>
      <c r="EM64" s="72">
        <f t="shared" si="301"/>
        <v>0</v>
      </c>
      <c r="EN64" s="64"/>
      <c r="EO64" s="73"/>
      <c r="EP64" s="72">
        <f t="shared" si="200"/>
        <v>0</v>
      </c>
      <c r="EQ64" s="64"/>
      <c r="ER64" s="73"/>
      <c r="ES64" s="72">
        <f t="shared" si="201"/>
        <v>0</v>
      </c>
      <c r="ET64" s="64"/>
      <c r="EU64" s="73"/>
      <c r="EV64" s="72">
        <f t="shared" si="202"/>
        <v>0</v>
      </c>
      <c r="EW64" s="64"/>
      <c r="EX64" s="73"/>
      <c r="EY64" s="72">
        <f t="shared" si="302"/>
        <v>0</v>
      </c>
      <c r="EZ64" s="64"/>
      <c r="FA64" s="73"/>
      <c r="FB64" s="72">
        <f t="shared" si="303"/>
        <v>0</v>
      </c>
      <c r="FC64" s="64"/>
      <c r="FD64" s="73"/>
      <c r="FE64" s="72">
        <f t="shared" si="203"/>
        <v>0</v>
      </c>
      <c r="FF64" s="64"/>
      <c r="FG64" s="73"/>
      <c r="FH64" s="72">
        <f t="shared" si="204"/>
        <v>0</v>
      </c>
      <c r="FI64" s="64"/>
      <c r="FJ64" s="73"/>
      <c r="FK64" s="72">
        <f t="shared" si="205"/>
        <v>0</v>
      </c>
      <c r="FL64" s="64"/>
      <c r="FM64" s="73"/>
      <c r="FN64" s="72">
        <f t="shared" si="304"/>
        <v>0</v>
      </c>
      <c r="FO64" s="64"/>
      <c r="FP64" s="73"/>
      <c r="FQ64" s="72">
        <f t="shared" si="305"/>
        <v>0</v>
      </c>
      <c r="FR64" s="64"/>
      <c r="FS64" s="73"/>
      <c r="FT64" s="72">
        <f t="shared" si="206"/>
        <v>0</v>
      </c>
      <c r="FU64" s="64"/>
      <c r="FV64" s="73"/>
      <c r="FW64" s="72">
        <f t="shared" si="207"/>
        <v>0</v>
      </c>
      <c r="FX64" s="64"/>
      <c r="FY64" s="73"/>
      <c r="FZ64" s="72">
        <f t="shared" si="208"/>
        <v>0</v>
      </c>
      <c r="GA64" s="64"/>
      <c r="GB64" s="73"/>
      <c r="GC64" s="72">
        <f t="shared" si="306"/>
        <v>0</v>
      </c>
      <c r="GD64" s="64"/>
      <c r="GE64" s="73"/>
      <c r="GF64" s="72">
        <f t="shared" si="307"/>
        <v>0</v>
      </c>
      <c r="GG64" s="64"/>
      <c r="GH64" s="73"/>
      <c r="GI64" s="72">
        <f t="shared" si="209"/>
        <v>0</v>
      </c>
      <c r="GJ64" s="64"/>
      <c r="GK64" s="73"/>
      <c r="GL64" s="72">
        <f t="shared" si="210"/>
        <v>0</v>
      </c>
      <c r="GM64" s="64"/>
      <c r="GN64" s="73"/>
      <c r="GO64" s="72">
        <f t="shared" si="211"/>
        <v>0</v>
      </c>
      <c r="GP64" s="64"/>
      <c r="GQ64" s="73"/>
      <c r="GR64" s="72">
        <f t="shared" si="308"/>
        <v>0</v>
      </c>
      <c r="GS64" s="64"/>
      <c r="GT64" s="73"/>
      <c r="GU64" s="72">
        <f t="shared" si="309"/>
        <v>0</v>
      </c>
      <c r="GV64" s="64"/>
      <c r="GW64" s="73"/>
      <c r="GX64" s="72">
        <f t="shared" si="212"/>
        <v>0</v>
      </c>
      <c r="GY64" s="64"/>
      <c r="GZ64" s="73"/>
      <c r="HA64" s="72">
        <f t="shared" si="213"/>
        <v>0</v>
      </c>
      <c r="HB64" s="64"/>
      <c r="HC64" s="73"/>
      <c r="HD64" s="72">
        <f t="shared" si="214"/>
        <v>0</v>
      </c>
      <c r="HE64" s="64"/>
      <c r="HF64" s="73"/>
      <c r="HG64" s="72">
        <f t="shared" si="310"/>
        <v>0</v>
      </c>
      <c r="HH64" s="64"/>
      <c r="HI64" s="73"/>
      <c r="HJ64" s="72">
        <f t="shared" si="311"/>
        <v>0</v>
      </c>
      <c r="HK64" s="64"/>
      <c r="HL64" s="73"/>
      <c r="HM64" s="72">
        <f t="shared" si="215"/>
        <v>0</v>
      </c>
      <c r="HN64" s="64"/>
      <c r="HO64" s="73"/>
      <c r="HP64" s="72">
        <f t="shared" si="216"/>
        <v>0</v>
      </c>
      <c r="HQ64" s="64"/>
      <c r="HR64" s="73"/>
      <c r="HS64" s="72">
        <f t="shared" si="217"/>
        <v>0</v>
      </c>
      <c r="HT64" s="64"/>
      <c r="HU64" s="73"/>
      <c r="HV64" s="72">
        <f t="shared" si="312"/>
        <v>0</v>
      </c>
      <c r="HW64" s="64"/>
      <c r="HX64" s="73"/>
      <c r="HY64" s="72">
        <f t="shared" si="313"/>
        <v>0</v>
      </c>
      <c r="HZ64" s="64"/>
      <c r="IA64" s="73"/>
      <c r="IB64" s="72">
        <f t="shared" si="218"/>
        <v>0</v>
      </c>
      <c r="IC64" s="64"/>
      <c r="ID64" s="73"/>
      <c r="IE64" s="72">
        <f t="shared" si="219"/>
        <v>0</v>
      </c>
      <c r="IF64" s="64"/>
      <c r="IG64" s="73"/>
      <c r="IH64" s="72">
        <f t="shared" si="220"/>
        <v>0</v>
      </c>
      <c r="II64" s="64"/>
      <c r="IJ64" s="73"/>
      <c r="IK64" s="72">
        <f t="shared" si="314"/>
        <v>0</v>
      </c>
      <c r="IL64" s="64"/>
      <c r="IM64" s="73"/>
      <c r="IN64" s="72">
        <f t="shared" si="315"/>
        <v>0</v>
      </c>
      <c r="IO64" s="64"/>
      <c r="IP64" s="73"/>
      <c r="IQ64" s="72">
        <f t="shared" si="221"/>
        <v>0</v>
      </c>
      <c r="IR64" s="64"/>
      <c r="IS64" s="73"/>
      <c r="IT64" s="72">
        <f t="shared" si="222"/>
        <v>0</v>
      </c>
      <c r="IU64" s="64"/>
      <c r="IV64" s="73"/>
      <c r="IW64" s="72">
        <f t="shared" si="223"/>
        <v>0</v>
      </c>
      <c r="IX64" s="64"/>
      <c r="IY64" s="73"/>
      <c r="IZ64" s="72">
        <f t="shared" si="316"/>
        <v>0</v>
      </c>
      <c r="JA64" s="64"/>
      <c r="JB64" s="73"/>
      <c r="JC64" s="72">
        <f t="shared" si="317"/>
        <v>0</v>
      </c>
      <c r="JD64" s="64"/>
      <c r="JE64" s="73"/>
      <c r="JF64" s="72">
        <f t="shared" si="224"/>
        <v>0</v>
      </c>
      <c r="JG64" s="64"/>
      <c r="JH64" s="73"/>
      <c r="JI64" s="72">
        <f t="shared" si="225"/>
        <v>0</v>
      </c>
      <c r="JJ64" s="64"/>
      <c r="JK64" s="73"/>
      <c r="JL64" s="72">
        <f t="shared" si="226"/>
        <v>0</v>
      </c>
      <c r="JM64" s="64"/>
      <c r="JN64" s="73"/>
      <c r="JO64" s="72">
        <f t="shared" si="318"/>
        <v>0</v>
      </c>
      <c r="JP64" s="64"/>
      <c r="JQ64" s="73"/>
      <c r="JR64" s="72">
        <f t="shared" si="319"/>
        <v>0</v>
      </c>
      <c r="JS64" s="64"/>
      <c r="JT64" s="73"/>
      <c r="JU64" s="72">
        <f t="shared" si="227"/>
        <v>0</v>
      </c>
      <c r="JV64" s="64"/>
      <c r="JW64" s="73"/>
      <c r="JX64" s="72">
        <f t="shared" si="228"/>
        <v>0</v>
      </c>
      <c r="JY64" s="64"/>
      <c r="JZ64" s="73"/>
      <c r="KA64" s="72">
        <f t="shared" si="229"/>
        <v>0</v>
      </c>
      <c r="KB64" s="64"/>
      <c r="KC64" s="73"/>
      <c r="KD64" s="72">
        <f t="shared" si="320"/>
        <v>0</v>
      </c>
      <c r="KE64" s="64"/>
      <c r="KF64" s="73"/>
      <c r="KG64" s="72">
        <f t="shared" si="321"/>
        <v>0</v>
      </c>
      <c r="KH64" s="64"/>
      <c r="KI64" s="73"/>
      <c r="KJ64" s="72">
        <f t="shared" si="230"/>
        <v>0</v>
      </c>
      <c r="KK64" s="64"/>
      <c r="KL64" s="73"/>
      <c r="KM64" s="72">
        <f t="shared" si="231"/>
        <v>0</v>
      </c>
      <c r="KN64" s="64"/>
      <c r="KO64" s="73"/>
      <c r="KP64" s="72">
        <f t="shared" si="232"/>
        <v>0</v>
      </c>
      <c r="KQ64" s="64"/>
      <c r="KR64" s="73"/>
      <c r="KS64" s="72">
        <f t="shared" si="322"/>
        <v>0</v>
      </c>
      <c r="KT64" s="64"/>
      <c r="KU64" s="73"/>
      <c r="KV64" s="72">
        <f t="shared" si="323"/>
        <v>0</v>
      </c>
      <c r="KW64" s="64"/>
      <c r="KX64" s="73"/>
      <c r="KY64" s="72">
        <f t="shared" si="233"/>
        <v>0</v>
      </c>
      <c r="KZ64" s="64"/>
      <c r="LA64" s="73"/>
      <c r="LB64" s="72">
        <f t="shared" si="234"/>
        <v>0</v>
      </c>
      <c r="LC64" s="64"/>
      <c r="LD64" s="73"/>
      <c r="LE64" s="72">
        <f t="shared" si="235"/>
        <v>0</v>
      </c>
      <c r="LF64" s="64"/>
    </row>
    <row r="65" spans="1:318" s="784" customFormat="1">
      <c r="A65" s="49"/>
      <c r="B65" s="49"/>
      <c r="C65" s="46" t="s">
        <v>1646</v>
      </c>
      <c r="D65" s="123">
        <f>SUM($D$57:$D$62)</f>
        <v>2375</v>
      </c>
      <c r="E65" s="109"/>
      <c r="F65" s="443">
        <f t="shared" si="236"/>
        <v>15</v>
      </c>
      <c r="G65" s="443">
        <f ca="1">VLOOKUP(H65,Equipos!$Q$1:$R$25,2,0)</f>
        <v>15</v>
      </c>
      <c r="H65" s="444">
        <f ca="1">TRUNC(INDEX(WORLDCUP!$X$4:$X$147,MATCH(ADMIN!K65,WORLDCUP!$DT$4:$DT$147,0))+INDEX(Horarios!$R$3:$R$86,MATCH(Horarios!$C$3,Horarios!$P$3:$P$86,0))/24)</f>
        <v>46198</v>
      </c>
      <c r="I65" s="48">
        <v>1</v>
      </c>
      <c r="J65" s="94"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276"/>
        <v>0</v>
      </c>
      <c r="R65" s="49"/>
      <c r="S65" s="796" t="s">
        <v>1959</v>
      </c>
      <c r="T65" s="72">
        <f t="shared" si="285"/>
        <v>0</v>
      </c>
      <c r="U65" s="64"/>
      <c r="V65" s="73" t="s">
        <v>1962</v>
      </c>
      <c r="W65" s="72">
        <f t="shared" si="286"/>
        <v>0</v>
      </c>
      <c r="X65" s="64"/>
      <c r="Y65" s="796" t="s">
        <v>1949</v>
      </c>
      <c r="Z65" s="72">
        <f t="shared" si="176"/>
        <v>0</v>
      </c>
      <c r="AA65" s="64"/>
      <c r="AB65" s="796" t="s">
        <v>1962</v>
      </c>
      <c r="AC65" s="72">
        <f t="shared" si="177"/>
        <v>0</v>
      </c>
      <c r="AD65" s="64"/>
      <c r="AE65" s="796" t="s">
        <v>1962</v>
      </c>
      <c r="AF65" s="72">
        <f t="shared" si="324"/>
        <v>0</v>
      </c>
      <c r="AG65" s="64"/>
      <c r="AH65" s="796" t="s">
        <v>1949</v>
      </c>
      <c r="AI65" s="72">
        <f t="shared" si="288"/>
        <v>0</v>
      </c>
      <c r="AJ65" s="64"/>
      <c r="AK65" s="806" t="s">
        <v>2008</v>
      </c>
      <c r="AL65" s="72">
        <f t="shared" si="289"/>
        <v>0</v>
      </c>
      <c r="AM65" s="64"/>
      <c r="AN65" s="796" t="s">
        <v>1951</v>
      </c>
      <c r="AO65" s="72">
        <f t="shared" si="179"/>
        <v>0</v>
      </c>
      <c r="AP65" s="64"/>
      <c r="AQ65" s="806" t="s">
        <v>1963</v>
      </c>
      <c r="AR65" s="72">
        <f t="shared" si="180"/>
        <v>0</v>
      </c>
      <c r="AS65" s="64"/>
      <c r="AT65" s="796" t="s">
        <v>1963</v>
      </c>
      <c r="AU65" s="72">
        <f t="shared" si="181"/>
        <v>0</v>
      </c>
      <c r="AV65" s="64"/>
      <c r="AW65" s="796" t="s">
        <v>1962</v>
      </c>
      <c r="AX65" s="72">
        <f t="shared" si="290"/>
        <v>0</v>
      </c>
      <c r="AY65" s="64"/>
      <c r="AZ65" s="796" t="s">
        <v>1955</v>
      </c>
      <c r="BA65" s="72">
        <f t="shared" si="291"/>
        <v>0</v>
      </c>
      <c r="BB65" s="64"/>
      <c r="BC65" s="796" t="s">
        <v>1953</v>
      </c>
      <c r="BD65" s="72">
        <f t="shared" si="182"/>
        <v>0</v>
      </c>
      <c r="BE65" s="64"/>
      <c r="BF65" s="796" t="s">
        <v>1962</v>
      </c>
      <c r="BG65" s="72">
        <f t="shared" si="183"/>
        <v>0</v>
      </c>
      <c r="BH65" s="64"/>
      <c r="BI65" s="796" t="s">
        <v>1949</v>
      </c>
      <c r="BJ65" s="72">
        <f t="shared" si="184"/>
        <v>0</v>
      </c>
      <c r="BK65" s="64"/>
      <c r="BL65" s="796" t="s">
        <v>1962</v>
      </c>
      <c r="BM65" s="72">
        <f t="shared" si="292"/>
        <v>0</v>
      </c>
      <c r="BN65" s="64"/>
      <c r="BO65" s="816" t="s">
        <v>1963</v>
      </c>
      <c r="BP65" s="72">
        <f t="shared" si="293"/>
        <v>0</v>
      </c>
      <c r="BQ65" s="64"/>
      <c r="BR65" s="796" t="s">
        <v>1962</v>
      </c>
      <c r="BS65" s="72">
        <f t="shared" si="185"/>
        <v>0</v>
      </c>
      <c r="BT65" s="64"/>
      <c r="BU65" s="796" t="s">
        <v>1951</v>
      </c>
      <c r="BV65" s="72">
        <f t="shared" si="186"/>
        <v>0</v>
      </c>
      <c r="BW65" s="64"/>
      <c r="BX65" s="73" t="s">
        <v>1963</v>
      </c>
      <c r="BY65" s="72">
        <f t="shared" si="187"/>
        <v>0</v>
      </c>
      <c r="BZ65" s="64"/>
      <c r="CA65" s="816" t="s">
        <v>1963</v>
      </c>
      <c r="CB65" s="72">
        <f t="shared" si="294"/>
        <v>0</v>
      </c>
      <c r="CC65" s="64"/>
      <c r="CD65" s="825" t="s">
        <v>1959</v>
      </c>
      <c r="CE65" s="72">
        <f t="shared" si="295"/>
        <v>0</v>
      </c>
      <c r="CF65" s="64"/>
      <c r="CG65" s="796" t="s">
        <v>1962</v>
      </c>
      <c r="CH65" s="72">
        <f t="shared" si="188"/>
        <v>0</v>
      </c>
      <c r="CI65" s="64"/>
      <c r="CJ65" s="796" t="s">
        <v>1949</v>
      </c>
      <c r="CK65" s="72">
        <f t="shared" si="189"/>
        <v>0</v>
      </c>
      <c r="CL65" s="64"/>
      <c r="CM65" s="796" t="s">
        <v>1963</v>
      </c>
      <c r="CN65" s="72">
        <f t="shared" si="190"/>
        <v>0</v>
      </c>
      <c r="CO65" s="64"/>
      <c r="CP65" s="796" t="s">
        <v>1963</v>
      </c>
      <c r="CQ65" s="72">
        <f t="shared" si="296"/>
        <v>0</v>
      </c>
      <c r="CR65" s="64"/>
      <c r="CS65" s="796" t="s">
        <v>1951</v>
      </c>
      <c r="CT65" s="72">
        <f t="shared" si="297"/>
        <v>0</v>
      </c>
      <c r="CU65" s="64"/>
      <c r="CV65" s="796" t="s">
        <v>1951</v>
      </c>
      <c r="CW65" s="72">
        <f t="shared" si="191"/>
        <v>0</v>
      </c>
      <c r="CX65" s="64"/>
      <c r="CY65" s="796" t="s">
        <v>1951</v>
      </c>
      <c r="CZ65" s="72">
        <f t="shared" si="250"/>
        <v>0</v>
      </c>
      <c r="DA65" s="64"/>
      <c r="DB65" s="796" t="s">
        <v>1951</v>
      </c>
      <c r="DC65" s="72">
        <f t="shared" si="192"/>
        <v>0</v>
      </c>
      <c r="DD65" s="64"/>
      <c r="DE65" s="796" t="s">
        <v>1959</v>
      </c>
      <c r="DF65" s="72">
        <f t="shared" si="281"/>
        <v>0</v>
      </c>
      <c r="DG65" s="64"/>
      <c r="DH65" s="796" t="s">
        <v>1963</v>
      </c>
      <c r="DI65" s="72">
        <f t="shared" si="282"/>
        <v>0</v>
      </c>
      <c r="DJ65" s="64"/>
      <c r="DK65" s="796" t="s">
        <v>1951</v>
      </c>
      <c r="DL65" s="72">
        <f t="shared" si="283"/>
        <v>0</v>
      </c>
      <c r="DM65" s="64"/>
      <c r="DN65" s="73"/>
      <c r="DO65" s="72">
        <f t="shared" si="196"/>
        <v>0</v>
      </c>
      <c r="DP65" s="64"/>
      <c r="DQ65" s="796" t="s">
        <v>1962</v>
      </c>
      <c r="DR65" s="72">
        <f t="shared" si="251"/>
        <v>0</v>
      </c>
      <c r="DS65" s="64"/>
      <c r="DT65" s="73" t="s">
        <v>1962</v>
      </c>
      <c r="DU65" s="72">
        <f t="shared" si="298"/>
        <v>0</v>
      </c>
      <c r="DV65" s="64"/>
      <c r="DW65" s="73"/>
      <c r="DX65" s="72">
        <f t="shared" si="299"/>
        <v>0</v>
      </c>
      <c r="DY65" s="64"/>
      <c r="DZ65" s="73"/>
      <c r="EA65" s="72">
        <f t="shared" si="284"/>
        <v>0</v>
      </c>
      <c r="EB65" s="64"/>
      <c r="EC65" s="73"/>
      <c r="ED65" s="72">
        <f t="shared" si="198"/>
        <v>0</v>
      </c>
      <c r="EE65" s="64"/>
      <c r="EF65" s="73"/>
      <c r="EG65" s="72">
        <f t="shared" si="199"/>
        <v>0</v>
      </c>
      <c r="EH65" s="64"/>
      <c r="EI65" s="73"/>
      <c r="EJ65" s="72">
        <f t="shared" si="300"/>
        <v>0</v>
      </c>
      <c r="EK65" s="64"/>
      <c r="EL65" s="73"/>
      <c r="EM65" s="72">
        <f t="shared" si="301"/>
        <v>0</v>
      </c>
      <c r="EN65" s="64"/>
      <c r="EO65" s="73"/>
      <c r="EP65" s="72">
        <f t="shared" si="200"/>
        <v>0</v>
      </c>
      <c r="EQ65" s="64"/>
      <c r="ER65" s="73"/>
      <c r="ES65" s="72">
        <f t="shared" si="201"/>
        <v>0</v>
      </c>
      <c r="ET65" s="64"/>
      <c r="EU65" s="73"/>
      <c r="EV65" s="72">
        <f t="shared" si="202"/>
        <v>0</v>
      </c>
      <c r="EW65" s="64"/>
      <c r="EX65" s="73"/>
      <c r="EY65" s="72">
        <f t="shared" si="302"/>
        <v>0</v>
      </c>
      <c r="EZ65" s="64"/>
      <c r="FA65" s="73"/>
      <c r="FB65" s="72">
        <f t="shared" si="303"/>
        <v>0</v>
      </c>
      <c r="FC65" s="64"/>
      <c r="FD65" s="73"/>
      <c r="FE65" s="72">
        <f t="shared" si="203"/>
        <v>0</v>
      </c>
      <c r="FF65" s="64"/>
      <c r="FG65" s="73"/>
      <c r="FH65" s="72">
        <f t="shared" si="204"/>
        <v>0</v>
      </c>
      <c r="FI65" s="64"/>
      <c r="FJ65" s="73"/>
      <c r="FK65" s="72">
        <f t="shared" si="205"/>
        <v>0</v>
      </c>
      <c r="FL65" s="64"/>
      <c r="FM65" s="73"/>
      <c r="FN65" s="72">
        <f t="shared" si="304"/>
        <v>0</v>
      </c>
      <c r="FO65" s="64"/>
      <c r="FP65" s="73"/>
      <c r="FQ65" s="72">
        <f t="shared" si="305"/>
        <v>0</v>
      </c>
      <c r="FR65" s="64"/>
      <c r="FS65" s="73"/>
      <c r="FT65" s="72">
        <f t="shared" si="206"/>
        <v>0</v>
      </c>
      <c r="FU65" s="64"/>
      <c r="FV65" s="73"/>
      <c r="FW65" s="72">
        <f t="shared" si="207"/>
        <v>0</v>
      </c>
      <c r="FX65" s="64"/>
      <c r="FY65" s="73"/>
      <c r="FZ65" s="72">
        <f t="shared" si="208"/>
        <v>0</v>
      </c>
      <c r="GA65" s="64"/>
      <c r="GB65" s="73"/>
      <c r="GC65" s="72">
        <f t="shared" si="306"/>
        <v>0</v>
      </c>
      <c r="GD65" s="64"/>
      <c r="GE65" s="73"/>
      <c r="GF65" s="72">
        <f t="shared" si="307"/>
        <v>0</v>
      </c>
      <c r="GG65" s="64"/>
      <c r="GH65" s="73"/>
      <c r="GI65" s="72">
        <f t="shared" si="209"/>
        <v>0</v>
      </c>
      <c r="GJ65" s="64"/>
      <c r="GK65" s="73"/>
      <c r="GL65" s="72">
        <f t="shared" si="210"/>
        <v>0</v>
      </c>
      <c r="GM65" s="64"/>
      <c r="GN65" s="73"/>
      <c r="GO65" s="72">
        <f t="shared" si="211"/>
        <v>0</v>
      </c>
      <c r="GP65" s="64"/>
      <c r="GQ65" s="73"/>
      <c r="GR65" s="72">
        <f t="shared" si="308"/>
        <v>0</v>
      </c>
      <c r="GS65" s="64"/>
      <c r="GT65" s="73"/>
      <c r="GU65" s="72">
        <f t="shared" si="309"/>
        <v>0</v>
      </c>
      <c r="GV65" s="64"/>
      <c r="GW65" s="73"/>
      <c r="GX65" s="72">
        <f t="shared" si="212"/>
        <v>0</v>
      </c>
      <c r="GY65" s="64"/>
      <c r="GZ65" s="73"/>
      <c r="HA65" s="72">
        <f t="shared" si="213"/>
        <v>0</v>
      </c>
      <c r="HB65" s="64"/>
      <c r="HC65" s="73"/>
      <c r="HD65" s="72">
        <f t="shared" si="214"/>
        <v>0</v>
      </c>
      <c r="HE65" s="64"/>
      <c r="HF65" s="73"/>
      <c r="HG65" s="72">
        <f t="shared" si="310"/>
        <v>0</v>
      </c>
      <c r="HH65" s="64"/>
      <c r="HI65" s="73"/>
      <c r="HJ65" s="72">
        <f t="shared" si="311"/>
        <v>0</v>
      </c>
      <c r="HK65" s="64"/>
      <c r="HL65" s="73"/>
      <c r="HM65" s="72">
        <f t="shared" si="215"/>
        <v>0</v>
      </c>
      <c r="HN65" s="64"/>
      <c r="HO65" s="73"/>
      <c r="HP65" s="72">
        <f t="shared" si="216"/>
        <v>0</v>
      </c>
      <c r="HQ65" s="64"/>
      <c r="HR65" s="73"/>
      <c r="HS65" s="72">
        <f t="shared" si="217"/>
        <v>0</v>
      </c>
      <c r="HT65" s="64"/>
      <c r="HU65" s="73"/>
      <c r="HV65" s="72">
        <f t="shared" si="312"/>
        <v>0</v>
      </c>
      <c r="HW65" s="64"/>
      <c r="HX65" s="73"/>
      <c r="HY65" s="72">
        <f t="shared" si="313"/>
        <v>0</v>
      </c>
      <c r="HZ65" s="64"/>
      <c r="IA65" s="73"/>
      <c r="IB65" s="72">
        <f t="shared" si="218"/>
        <v>0</v>
      </c>
      <c r="IC65" s="64"/>
      <c r="ID65" s="73"/>
      <c r="IE65" s="72">
        <f t="shared" si="219"/>
        <v>0</v>
      </c>
      <c r="IF65" s="64"/>
      <c r="IG65" s="73"/>
      <c r="IH65" s="72">
        <f t="shared" si="220"/>
        <v>0</v>
      </c>
      <c r="II65" s="64"/>
      <c r="IJ65" s="73"/>
      <c r="IK65" s="72">
        <f t="shared" si="314"/>
        <v>0</v>
      </c>
      <c r="IL65" s="64"/>
      <c r="IM65" s="73"/>
      <c r="IN65" s="72">
        <f t="shared" si="315"/>
        <v>0</v>
      </c>
      <c r="IO65" s="64"/>
      <c r="IP65" s="73"/>
      <c r="IQ65" s="72">
        <f t="shared" si="221"/>
        <v>0</v>
      </c>
      <c r="IR65" s="64"/>
      <c r="IS65" s="73"/>
      <c r="IT65" s="72">
        <f t="shared" si="222"/>
        <v>0</v>
      </c>
      <c r="IU65" s="64"/>
      <c r="IV65" s="73"/>
      <c r="IW65" s="72">
        <f t="shared" si="223"/>
        <v>0</v>
      </c>
      <c r="IX65" s="64"/>
      <c r="IY65" s="73"/>
      <c r="IZ65" s="72">
        <f t="shared" si="316"/>
        <v>0</v>
      </c>
      <c r="JA65" s="64"/>
      <c r="JB65" s="73"/>
      <c r="JC65" s="72">
        <f t="shared" si="317"/>
        <v>0</v>
      </c>
      <c r="JD65" s="64"/>
      <c r="JE65" s="73"/>
      <c r="JF65" s="72">
        <f t="shared" si="224"/>
        <v>0</v>
      </c>
      <c r="JG65" s="64"/>
      <c r="JH65" s="73"/>
      <c r="JI65" s="72">
        <f t="shared" si="225"/>
        <v>0</v>
      </c>
      <c r="JJ65" s="64"/>
      <c r="JK65" s="73"/>
      <c r="JL65" s="72">
        <f t="shared" si="226"/>
        <v>0</v>
      </c>
      <c r="JM65" s="64"/>
      <c r="JN65" s="73"/>
      <c r="JO65" s="72">
        <f t="shared" si="318"/>
        <v>0</v>
      </c>
      <c r="JP65" s="64"/>
      <c r="JQ65" s="73"/>
      <c r="JR65" s="72">
        <f t="shared" si="319"/>
        <v>0</v>
      </c>
      <c r="JS65" s="64"/>
      <c r="JT65" s="73"/>
      <c r="JU65" s="72">
        <f t="shared" si="227"/>
        <v>0</v>
      </c>
      <c r="JV65" s="64"/>
      <c r="JW65" s="73"/>
      <c r="JX65" s="72">
        <f t="shared" si="228"/>
        <v>0</v>
      </c>
      <c r="JY65" s="64"/>
      <c r="JZ65" s="73"/>
      <c r="KA65" s="72">
        <f t="shared" si="229"/>
        <v>0</v>
      </c>
      <c r="KB65" s="64"/>
      <c r="KC65" s="73"/>
      <c r="KD65" s="72">
        <f t="shared" si="320"/>
        <v>0</v>
      </c>
      <c r="KE65" s="64"/>
      <c r="KF65" s="73"/>
      <c r="KG65" s="72">
        <f t="shared" si="321"/>
        <v>0</v>
      </c>
      <c r="KH65" s="64"/>
      <c r="KI65" s="73"/>
      <c r="KJ65" s="72">
        <f t="shared" si="230"/>
        <v>0</v>
      </c>
      <c r="KK65" s="64"/>
      <c r="KL65" s="73"/>
      <c r="KM65" s="72">
        <f t="shared" si="231"/>
        <v>0</v>
      </c>
      <c r="KN65" s="64"/>
      <c r="KO65" s="73"/>
      <c r="KP65" s="72">
        <f t="shared" si="232"/>
        <v>0</v>
      </c>
      <c r="KQ65" s="64"/>
      <c r="KR65" s="73"/>
      <c r="KS65" s="72">
        <f t="shared" si="322"/>
        <v>0</v>
      </c>
      <c r="KT65" s="64"/>
      <c r="KU65" s="73"/>
      <c r="KV65" s="72">
        <f t="shared" si="323"/>
        <v>0</v>
      </c>
      <c r="KW65" s="64"/>
      <c r="KX65" s="73"/>
      <c r="KY65" s="72">
        <f t="shared" si="233"/>
        <v>0</v>
      </c>
      <c r="KZ65" s="64"/>
      <c r="LA65" s="73"/>
      <c r="LB65" s="72">
        <f t="shared" si="234"/>
        <v>0</v>
      </c>
      <c r="LC65" s="64"/>
      <c r="LD65" s="73"/>
      <c r="LE65" s="72">
        <f t="shared" si="235"/>
        <v>0</v>
      </c>
      <c r="LF65" s="64"/>
    </row>
    <row r="66" spans="1:318" s="784" customFormat="1">
      <c r="A66" s="49"/>
      <c r="B66" s="49"/>
      <c r="C66" s="17"/>
      <c r="D66" s="17"/>
      <c r="E66" s="109"/>
      <c r="F66" s="443">
        <f t="shared" si="236"/>
        <v>15</v>
      </c>
      <c r="G66" s="443">
        <f ca="1">VLOOKUP(H66,Equipos!$Q$1:$R$25,2,0)</f>
        <v>16</v>
      </c>
      <c r="H66" s="444">
        <f ca="1">TRUNC(INDEX(WORLDCUP!$X$4:$X$147,MATCH(ADMIN!K66,WORLDCUP!$DT$4:$DT$147,0))+INDEX(Horarios!$R$3:$R$86,MATCH(Horarios!$C$3,Horarios!$P$3:$P$86,0))/24)</f>
        <v>46199</v>
      </c>
      <c r="I66" s="48">
        <v>1</v>
      </c>
      <c r="J66" s="93"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276"/>
        <v>0</v>
      </c>
      <c r="R66" s="49"/>
      <c r="S66" s="796" t="s">
        <v>1948</v>
      </c>
      <c r="T66" s="72">
        <f t="shared" si="285"/>
        <v>0</v>
      </c>
      <c r="U66" s="64"/>
      <c r="V66" s="73" t="s">
        <v>1961</v>
      </c>
      <c r="W66" s="72">
        <f t="shared" si="286"/>
        <v>0</v>
      </c>
      <c r="X66" s="64"/>
      <c r="Y66" s="796" t="s">
        <v>1955</v>
      </c>
      <c r="Z66" s="72">
        <f t="shared" si="176"/>
        <v>0</v>
      </c>
      <c r="AA66" s="64"/>
      <c r="AB66" s="796" t="s">
        <v>1948</v>
      </c>
      <c r="AC66" s="72">
        <f t="shared" si="177"/>
        <v>0</v>
      </c>
      <c r="AD66" s="64"/>
      <c r="AE66" s="796" t="s">
        <v>1955</v>
      </c>
      <c r="AF66" s="72">
        <f t="shared" si="324"/>
        <v>0</v>
      </c>
      <c r="AG66" s="64"/>
      <c r="AH66" s="796" t="s">
        <v>1955</v>
      </c>
      <c r="AI66" s="72">
        <f t="shared" si="288"/>
        <v>0</v>
      </c>
      <c r="AJ66" s="64"/>
      <c r="AK66" s="806" t="s">
        <v>1954</v>
      </c>
      <c r="AL66" s="72">
        <f t="shared" si="289"/>
        <v>0</v>
      </c>
      <c r="AM66" s="64"/>
      <c r="AN66" s="796" t="s">
        <v>1958</v>
      </c>
      <c r="AO66" s="72">
        <f t="shared" si="179"/>
        <v>0</v>
      </c>
      <c r="AP66" s="64"/>
      <c r="AQ66" s="806" t="s">
        <v>1948</v>
      </c>
      <c r="AR66" s="72">
        <f t="shared" si="180"/>
        <v>0</v>
      </c>
      <c r="AS66" s="64"/>
      <c r="AT66" s="796" t="s">
        <v>1949</v>
      </c>
      <c r="AU66" s="72">
        <f t="shared" si="181"/>
        <v>0</v>
      </c>
      <c r="AV66" s="64"/>
      <c r="AW66" s="796" t="s">
        <v>2007</v>
      </c>
      <c r="AX66" s="72">
        <f t="shared" si="290"/>
        <v>0</v>
      </c>
      <c r="AY66" s="64"/>
      <c r="AZ66" s="796" t="s">
        <v>1949</v>
      </c>
      <c r="BA66" s="72">
        <f t="shared" si="291"/>
        <v>0</v>
      </c>
      <c r="BB66" s="64"/>
      <c r="BC66" s="796" t="s">
        <v>2007</v>
      </c>
      <c r="BD66" s="72">
        <f t="shared" si="182"/>
        <v>0</v>
      </c>
      <c r="BE66" s="64"/>
      <c r="BF66" s="796" t="s">
        <v>2007</v>
      </c>
      <c r="BG66" s="72">
        <f t="shared" si="183"/>
        <v>0</v>
      </c>
      <c r="BH66" s="64"/>
      <c r="BI66" s="796" t="s">
        <v>1961</v>
      </c>
      <c r="BJ66" s="72">
        <f t="shared" si="184"/>
        <v>0</v>
      </c>
      <c r="BK66" s="64"/>
      <c r="BL66" s="796" t="s">
        <v>1958</v>
      </c>
      <c r="BM66" s="72">
        <f t="shared" si="292"/>
        <v>0</v>
      </c>
      <c r="BN66" s="64"/>
      <c r="BO66" s="816" t="s">
        <v>1955</v>
      </c>
      <c r="BP66" s="72">
        <f t="shared" si="293"/>
        <v>0</v>
      </c>
      <c r="BQ66" s="64"/>
      <c r="BR66" s="796" t="s">
        <v>1955</v>
      </c>
      <c r="BS66" s="72">
        <f t="shared" si="185"/>
        <v>0</v>
      </c>
      <c r="BT66" s="64"/>
      <c r="BU66" s="796" t="s">
        <v>1948</v>
      </c>
      <c r="BV66" s="72">
        <f t="shared" si="186"/>
        <v>0</v>
      </c>
      <c r="BW66" s="64"/>
      <c r="BX66" s="73" t="s">
        <v>1958</v>
      </c>
      <c r="BY66" s="72">
        <f t="shared" si="187"/>
        <v>0</v>
      </c>
      <c r="BZ66" s="64"/>
      <c r="CA66" s="816" t="s">
        <v>1962</v>
      </c>
      <c r="CB66" s="72">
        <f t="shared" si="294"/>
        <v>0</v>
      </c>
      <c r="CC66" s="64"/>
      <c r="CD66" s="825" t="s">
        <v>1950</v>
      </c>
      <c r="CE66" s="72">
        <f t="shared" si="295"/>
        <v>0</v>
      </c>
      <c r="CF66" s="64"/>
      <c r="CG66" s="796" t="s">
        <v>1958</v>
      </c>
      <c r="CH66" s="72">
        <f t="shared" si="188"/>
        <v>0</v>
      </c>
      <c r="CI66" s="64"/>
      <c r="CJ66" s="796" t="s">
        <v>1958</v>
      </c>
      <c r="CK66" s="72">
        <f t="shared" si="189"/>
        <v>0</v>
      </c>
      <c r="CL66" s="64"/>
      <c r="CM66" s="796" t="s">
        <v>1961</v>
      </c>
      <c r="CN66" s="72">
        <f t="shared" si="190"/>
        <v>0</v>
      </c>
      <c r="CO66" s="64"/>
      <c r="CP66" s="796" t="s">
        <v>1955</v>
      </c>
      <c r="CQ66" s="72">
        <f t="shared" si="296"/>
        <v>0</v>
      </c>
      <c r="CR66" s="64"/>
      <c r="CS66" s="796" t="s">
        <v>1950</v>
      </c>
      <c r="CT66" s="72">
        <f t="shared" si="297"/>
        <v>0</v>
      </c>
      <c r="CU66" s="64"/>
      <c r="CV66" s="796" t="s">
        <v>1955</v>
      </c>
      <c r="CW66" s="72">
        <f t="shared" si="191"/>
        <v>0</v>
      </c>
      <c r="CX66" s="64"/>
      <c r="CY66" s="796" t="s">
        <v>1961</v>
      </c>
      <c r="CZ66" s="72">
        <f t="shared" si="250"/>
        <v>0</v>
      </c>
      <c r="DA66" s="64"/>
      <c r="DB66" s="796" t="s">
        <v>1950</v>
      </c>
      <c r="DC66" s="72">
        <f t="shared" si="192"/>
        <v>0</v>
      </c>
      <c r="DD66" s="64"/>
      <c r="DE66" s="796" t="s">
        <v>1955</v>
      </c>
      <c r="DF66" s="72">
        <f t="shared" si="281"/>
        <v>0</v>
      </c>
      <c r="DG66" s="64"/>
      <c r="DH66" s="796" t="s">
        <v>1948</v>
      </c>
      <c r="DI66" s="72">
        <f t="shared" si="282"/>
        <v>0</v>
      </c>
      <c r="DJ66" s="64"/>
      <c r="DK66" s="796" t="s">
        <v>1958</v>
      </c>
      <c r="DL66" s="72">
        <f t="shared" si="283"/>
        <v>0</v>
      </c>
      <c r="DM66" s="64"/>
      <c r="DN66" s="73"/>
      <c r="DO66" s="72">
        <f t="shared" si="196"/>
        <v>0</v>
      </c>
      <c r="DP66" s="64"/>
      <c r="DQ66" s="796" t="s">
        <v>1958</v>
      </c>
      <c r="DR66" s="72">
        <f t="shared" si="251"/>
        <v>0</v>
      </c>
      <c r="DS66" s="64"/>
      <c r="DT66" s="73" t="s">
        <v>1961</v>
      </c>
      <c r="DU66" s="72">
        <f t="shared" si="298"/>
        <v>0</v>
      </c>
      <c r="DV66" s="64"/>
      <c r="DW66" s="73"/>
      <c r="DX66" s="72">
        <f t="shared" si="299"/>
        <v>0</v>
      </c>
      <c r="DY66" s="64"/>
      <c r="DZ66" s="73"/>
      <c r="EA66" s="72">
        <f t="shared" si="284"/>
        <v>0</v>
      </c>
      <c r="EB66" s="64"/>
      <c r="EC66" s="73"/>
      <c r="ED66" s="72">
        <f t="shared" si="198"/>
        <v>0</v>
      </c>
      <c r="EE66" s="64"/>
      <c r="EF66" s="73"/>
      <c r="EG66" s="72">
        <f t="shared" si="199"/>
        <v>0</v>
      </c>
      <c r="EH66" s="64"/>
      <c r="EI66" s="73"/>
      <c r="EJ66" s="72">
        <f t="shared" si="300"/>
        <v>0</v>
      </c>
      <c r="EK66" s="64"/>
      <c r="EL66" s="73"/>
      <c r="EM66" s="72">
        <f t="shared" si="301"/>
        <v>0</v>
      </c>
      <c r="EN66" s="64"/>
      <c r="EO66" s="73"/>
      <c r="EP66" s="72">
        <f t="shared" si="200"/>
        <v>0</v>
      </c>
      <c r="EQ66" s="64"/>
      <c r="ER66" s="73"/>
      <c r="ES66" s="72">
        <f t="shared" si="201"/>
        <v>0</v>
      </c>
      <c r="ET66" s="64"/>
      <c r="EU66" s="73"/>
      <c r="EV66" s="72">
        <f t="shared" si="202"/>
        <v>0</v>
      </c>
      <c r="EW66" s="64"/>
      <c r="EX66" s="73"/>
      <c r="EY66" s="72">
        <f t="shared" si="302"/>
        <v>0</v>
      </c>
      <c r="EZ66" s="64"/>
      <c r="FA66" s="73"/>
      <c r="FB66" s="72">
        <f t="shared" si="303"/>
        <v>0</v>
      </c>
      <c r="FC66" s="64"/>
      <c r="FD66" s="73"/>
      <c r="FE66" s="72">
        <f t="shared" si="203"/>
        <v>0</v>
      </c>
      <c r="FF66" s="64"/>
      <c r="FG66" s="73"/>
      <c r="FH66" s="72">
        <f t="shared" si="204"/>
        <v>0</v>
      </c>
      <c r="FI66" s="64"/>
      <c r="FJ66" s="73"/>
      <c r="FK66" s="72">
        <f t="shared" si="205"/>
        <v>0</v>
      </c>
      <c r="FL66" s="64"/>
      <c r="FM66" s="73"/>
      <c r="FN66" s="72">
        <f t="shared" si="304"/>
        <v>0</v>
      </c>
      <c r="FO66" s="64"/>
      <c r="FP66" s="73"/>
      <c r="FQ66" s="72">
        <f t="shared" si="305"/>
        <v>0</v>
      </c>
      <c r="FR66" s="64"/>
      <c r="FS66" s="73"/>
      <c r="FT66" s="72">
        <f t="shared" si="206"/>
        <v>0</v>
      </c>
      <c r="FU66" s="64"/>
      <c r="FV66" s="73"/>
      <c r="FW66" s="72">
        <f t="shared" si="207"/>
        <v>0</v>
      </c>
      <c r="FX66" s="64"/>
      <c r="FY66" s="73"/>
      <c r="FZ66" s="72">
        <f t="shared" si="208"/>
        <v>0</v>
      </c>
      <c r="GA66" s="64"/>
      <c r="GB66" s="73"/>
      <c r="GC66" s="72">
        <f t="shared" si="306"/>
        <v>0</v>
      </c>
      <c r="GD66" s="64"/>
      <c r="GE66" s="73"/>
      <c r="GF66" s="72">
        <f t="shared" si="307"/>
        <v>0</v>
      </c>
      <c r="GG66" s="64"/>
      <c r="GH66" s="73"/>
      <c r="GI66" s="72">
        <f t="shared" si="209"/>
        <v>0</v>
      </c>
      <c r="GJ66" s="64"/>
      <c r="GK66" s="73"/>
      <c r="GL66" s="72">
        <f t="shared" si="210"/>
        <v>0</v>
      </c>
      <c r="GM66" s="64"/>
      <c r="GN66" s="73"/>
      <c r="GO66" s="72">
        <f t="shared" si="211"/>
        <v>0</v>
      </c>
      <c r="GP66" s="64"/>
      <c r="GQ66" s="73"/>
      <c r="GR66" s="72">
        <f t="shared" si="308"/>
        <v>0</v>
      </c>
      <c r="GS66" s="64"/>
      <c r="GT66" s="73"/>
      <c r="GU66" s="72">
        <f t="shared" si="309"/>
        <v>0</v>
      </c>
      <c r="GV66" s="64"/>
      <c r="GW66" s="73"/>
      <c r="GX66" s="72">
        <f t="shared" si="212"/>
        <v>0</v>
      </c>
      <c r="GY66" s="64"/>
      <c r="GZ66" s="73"/>
      <c r="HA66" s="72">
        <f t="shared" si="213"/>
        <v>0</v>
      </c>
      <c r="HB66" s="64"/>
      <c r="HC66" s="73"/>
      <c r="HD66" s="72">
        <f t="shared" si="214"/>
        <v>0</v>
      </c>
      <c r="HE66" s="64"/>
      <c r="HF66" s="73"/>
      <c r="HG66" s="72">
        <f t="shared" si="310"/>
        <v>0</v>
      </c>
      <c r="HH66" s="64"/>
      <c r="HI66" s="73"/>
      <c r="HJ66" s="72">
        <f t="shared" si="311"/>
        <v>0</v>
      </c>
      <c r="HK66" s="64"/>
      <c r="HL66" s="73"/>
      <c r="HM66" s="72">
        <f t="shared" si="215"/>
        <v>0</v>
      </c>
      <c r="HN66" s="64"/>
      <c r="HO66" s="73"/>
      <c r="HP66" s="72">
        <f t="shared" si="216"/>
        <v>0</v>
      </c>
      <c r="HQ66" s="64"/>
      <c r="HR66" s="73"/>
      <c r="HS66" s="72">
        <f t="shared" si="217"/>
        <v>0</v>
      </c>
      <c r="HT66" s="64"/>
      <c r="HU66" s="73"/>
      <c r="HV66" s="72">
        <f t="shared" si="312"/>
        <v>0</v>
      </c>
      <c r="HW66" s="64"/>
      <c r="HX66" s="73"/>
      <c r="HY66" s="72">
        <f t="shared" si="313"/>
        <v>0</v>
      </c>
      <c r="HZ66" s="64"/>
      <c r="IA66" s="73"/>
      <c r="IB66" s="72">
        <f t="shared" si="218"/>
        <v>0</v>
      </c>
      <c r="IC66" s="64"/>
      <c r="ID66" s="73"/>
      <c r="IE66" s="72">
        <f t="shared" si="219"/>
        <v>0</v>
      </c>
      <c r="IF66" s="64"/>
      <c r="IG66" s="73"/>
      <c r="IH66" s="72">
        <f t="shared" si="220"/>
        <v>0</v>
      </c>
      <c r="II66" s="64"/>
      <c r="IJ66" s="73"/>
      <c r="IK66" s="72">
        <f t="shared" si="314"/>
        <v>0</v>
      </c>
      <c r="IL66" s="64"/>
      <c r="IM66" s="73"/>
      <c r="IN66" s="72">
        <f t="shared" si="315"/>
        <v>0</v>
      </c>
      <c r="IO66" s="64"/>
      <c r="IP66" s="73"/>
      <c r="IQ66" s="72">
        <f t="shared" si="221"/>
        <v>0</v>
      </c>
      <c r="IR66" s="64"/>
      <c r="IS66" s="73"/>
      <c r="IT66" s="72">
        <f t="shared" si="222"/>
        <v>0</v>
      </c>
      <c r="IU66" s="64"/>
      <c r="IV66" s="73"/>
      <c r="IW66" s="72">
        <f t="shared" si="223"/>
        <v>0</v>
      </c>
      <c r="IX66" s="64"/>
      <c r="IY66" s="73"/>
      <c r="IZ66" s="72">
        <f t="shared" si="316"/>
        <v>0</v>
      </c>
      <c r="JA66" s="64"/>
      <c r="JB66" s="73"/>
      <c r="JC66" s="72">
        <f t="shared" si="317"/>
        <v>0</v>
      </c>
      <c r="JD66" s="64"/>
      <c r="JE66" s="73"/>
      <c r="JF66" s="72">
        <f t="shared" si="224"/>
        <v>0</v>
      </c>
      <c r="JG66" s="64"/>
      <c r="JH66" s="73"/>
      <c r="JI66" s="72">
        <f t="shared" si="225"/>
        <v>0</v>
      </c>
      <c r="JJ66" s="64"/>
      <c r="JK66" s="73"/>
      <c r="JL66" s="72">
        <f t="shared" si="226"/>
        <v>0</v>
      </c>
      <c r="JM66" s="64"/>
      <c r="JN66" s="73"/>
      <c r="JO66" s="72">
        <f t="shared" si="318"/>
        <v>0</v>
      </c>
      <c r="JP66" s="64"/>
      <c r="JQ66" s="73"/>
      <c r="JR66" s="72">
        <f t="shared" si="319"/>
        <v>0</v>
      </c>
      <c r="JS66" s="64"/>
      <c r="JT66" s="73"/>
      <c r="JU66" s="72">
        <f t="shared" si="227"/>
        <v>0</v>
      </c>
      <c r="JV66" s="64"/>
      <c r="JW66" s="73"/>
      <c r="JX66" s="72">
        <f t="shared" si="228"/>
        <v>0</v>
      </c>
      <c r="JY66" s="64"/>
      <c r="JZ66" s="73"/>
      <c r="KA66" s="72">
        <f t="shared" si="229"/>
        <v>0</v>
      </c>
      <c r="KB66" s="64"/>
      <c r="KC66" s="73"/>
      <c r="KD66" s="72">
        <f t="shared" si="320"/>
        <v>0</v>
      </c>
      <c r="KE66" s="64"/>
      <c r="KF66" s="73"/>
      <c r="KG66" s="72">
        <f t="shared" si="321"/>
        <v>0</v>
      </c>
      <c r="KH66" s="64"/>
      <c r="KI66" s="73"/>
      <c r="KJ66" s="72">
        <f t="shared" si="230"/>
        <v>0</v>
      </c>
      <c r="KK66" s="64"/>
      <c r="KL66" s="73"/>
      <c r="KM66" s="72">
        <f t="shared" si="231"/>
        <v>0</v>
      </c>
      <c r="KN66" s="64"/>
      <c r="KO66" s="73"/>
      <c r="KP66" s="72">
        <f t="shared" si="232"/>
        <v>0</v>
      </c>
      <c r="KQ66" s="64"/>
      <c r="KR66" s="73"/>
      <c r="KS66" s="72">
        <f t="shared" si="322"/>
        <v>0</v>
      </c>
      <c r="KT66" s="64"/>
      <c r="KU66" s="73"/>
      <c r="KV66" s="72">
        <f t="shared" si="323"/>
        <v>0</v>
      </c>
      <c r="KW66" s="64"/>
      <c r="KX66" s="73"/>
      <c r="KY66" s="72">
        <f t="shared" si="233"/>
        <v>0</v>
      </c>
      <c r="KZ66" s="64"/>
      <c r="LA66" s="73"/>
      <c r="LB66" s="72">
        <f t="shared" si="234"/>
        <v>0</v>
      </c>
      <c r="LC66" s="64"/>
      <c r="LD66" s="73"/>
      <c r="LE66" s="72">
        <f t="shared" si="235"/>
        <v>0</v>
      </c>
      <c r="LF66" s="64"/>
    </row>
    <row r="67" spans="1:318" s="784" customFormat="1">
      <c r="A67" s="49"/>
      <c r="B67" s="49"/>
      <c r="C67" s="17"/>
      <c r="D67" s="17"/>
      <c r="E67" s="109"/>
      <c r="F67" s="443">
        <f t="shared" si="236"/>
        <v>15</v>
      </c>
      <c r="G67" s="443">
        <f ca="1">VLOOKUP(H67,Equipos!$Q$1:$R$25,2,0)</f>
        <v>16</v>
      </c>
      <c r="H67" s="444">
        <f ca="1">TRUNC(INDEX(WORLDCUP!$X$4:$X$147,MATCH(ADMIN!K67,WORLDCUP!$DT$4:$DT$147,0))+INDEX(Horarios!$R$3:$R$86,MATCH(Horarios!$C$3,Horarios!$P$3:$P$86,0))/24)</f>
        <v>46199</v>
      </c>
      <c r="I67" s="48">
        <v>1</v>
      </c>
      <c r="J67" s="93"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276"/>
        <v>0</v>
      </c>
      <c r="R67" s="49"/>
      <c r="S67" s="796" t="s">
        <v>1962</v>
      </c>
      <c r="T67" s="72">
        <f t="shared" si="285"/>
        <v>0</v>
      </c>
      <c r="U67" s="64"/>
      <c r="V67" s="73" t="s">
        <v>1962</v>
      </c>
      <c r="W67" s="72">
        <f t="shared" si="286"/>
        <v>0</v>
      </c>
      <c r="X67" s="64"/>
      <c r="Y67" s="796" t="s">
        <v>1949</v>
      </c>
      <c r="Z67" s="72">
        <f t="shared" si="176"/>
        <v>0</v>
      </c>
      <c r="AA67" s="64"/>
      <c r="AB67" s="796" t="s">
        <v>1963</v>
      </c>
      <c r="AC67" s="72">
        <f t="shared" si="177"/>
        <v>0</v>
      </c>
      <c r="AD67" s="64"/>
      <c r="AE67" s="796" t="s">
        <v>1949</v>
      </c>
      <c r="AF67" s="72">
        <f t="shared" ref="AF67:AF77" si="325">IFERROR(IF($M67=AE67,($D$8+$D$9+$D$10)*$I67,IF($N67=LEFT(AE67,1),($D$8+MAX(0,IF($D$50=1,$D$9*(1-(ABS($Q67-ABS(VALUE(MID(AE67,FIND("|",AE67)+1,FIND("-",AE67)-FIND("|",AE67)-1))-VALUE(MID(AE67,FIND("-",AE67)+1,10)))))*$D$50),$D$9*(1-(IF($N67="X",ABS($O67-VALUE(MID(AE67,FIND("|",AE67)+1,FIND("-",AE67)-FIND("|",AE67)-1))),ABS($Q67-ABS(VALUE(MID(AE67,FIND("|",AE67)+1,FIND("-",AE67)-FIND("|",AE67)-1))-VALUE(MID(AE67,FIND("-",AE67)+1,10)))))*$D$50)))))*$I67,0)),0)</f>
        <v>0</v>
      </c>
      <c r="AG67" s="64"/>
      <c r="AH67" s="796" t="s">
        <v>1949</v>
      </c>
      <c r="AI67" s="72">
        <f t="shared" si="288"/>
        <v>0</v>
      </c>
      <c r="AJ67" s="64"/>
      <c r="AK67" s="806" t="s">
        <v>1959</v>
      </c>
      <c r="AL67" s="72">
        <f t="shared" si="289"/>
        <v>0</v>
      </c>
      <c r="AM67" s="64"/>
      <c r="AN67" s="796" t="s">
        <v>1951</v>
      </c>
      <c r="AO67" s="72">
        <f t="shared" si="179"/>
        <v>0</v>
      </c>
      <c r="AP67" s="64"/>
      <c r="AQ67" s="806" t="s">
        <v>1962</v>
      </c>
      <c r="AR67" s="72">
        <f t="shared" si="180"/>
        <v>0</v>
      </c>
      <c r="AS67" s="64"/>
      <c r="AT67" s="796" t="s">
        <v>1959</v>
      </c>
      <c r="AU67" s="72">
        <f t="shared" si="181"/>
        <v>0</v>
      </c>
      <c r="AV67" s="64"/>
      <c r="AW67" s="796" t="s">
        <v>1949</v>
      </c>
      <c r="AX67" s="72">
        <f t="shared" si="290"/>
        <v>0</v>
      </c>
      <c r="AY67" s="64"/>
      <c r="AZ67" s="796" t="s">
        <v>1961</v>
      </c>
      <c r="BA67" s="72">
        <f t="shared" si="291"/>
        <v>0</v>
      </c>
      <c r="BB67" s="64"/>
      <c r="BC67" s="796" t="s">
        <v>2288</v>
      </c>
      <c r="BD67" s="72">
        <f t="shared" si="182"/>
        <v>0</v>
      </c>
      <c r="BE67" s="64"/>
      <c r="BF67" s="796" t="s">
        <v>1961</v>
      </c>
      <c r="BG67" s="72">
        <f t="shared" si="183"/>
        <v>0</v>
      </c>
      <c r="BH67" s="64"/>
      <c r="BI67" s="796" t="s">
        <v>1962</v>
      </c>
      <c r="BJ67" s="72">
        <f t="shared" si="184"/>
        <v>0</v>
      </c>
      <c r="BK67" s="64"/>
      <c r="BL67" s="796" t="s">
        <v>1947</v>
      </c>
      <c r="BM67" s="72">
        <f t="shared" si="292"/>
        <v>0</v>
      </c>
      <c r="BN67" s="64"/>
      <c r="BO67" s="816" t="s">
        <v>1951</v>
      </c>
      <c r="BP67" s="72">
        <f t="shared" si="293"/>
        <v>0</v>
      </c>
      <c r="BQ67" s="64"/>
      <c r="BR67" s="796" t="s">
        <v>1951</v>
      </c>
      <c r="BS67" s="72">
        <f t="shared" si="185"/>
        <v>0</v>
      </c>
      <c r="BT67" s="64"/>
      <c r="BU67" s="796" t="s">
        <v>1947</v>
      </c>
      <c r="BV67" s="72">
        <f t="shared" si="186"/>
        <v>0</v>
      </c>
      <c r="BW67" s="64"/>
      <c r="BX67" s="73" t="s">
        <v>1951</v>
      </c>
      <c r="BY67" s="72">
        <f t="shared" si="187"/>
        <v>0</v>
      </c>
      <c r="BZ67" s="64"/>
      <c r="CA67" s="816" t="s">
        <v>1951</v>
      </c>
      <c r="CB67" s="72">
        <f t="shared" si="294"/>
        <v>0</v>
      </c>
      <c r="CC67" s="64"/>
      <c r="CD67" s="825" t="s">
        <v>1951</v>
      </c>
      <c r="CE67" s="72">
        <f t="shared" si="295"/>
        <v>0</v>
      </c>
      <c r="CF67" s="64"/>
      <c r="CG67" s="796" t="s">
        <v>1947</v>
      </c>
      <c r="CH67" s="72">
        <f t="shared" si="188"/>
        <v>0</v>
      </c>
      <c r="CI67" s="64"/>
      <c r="CJ67" s="796" t="s">
        <v>1951</v>
      </c>
      <c r="CK67" s="72">
        <f t="shared" si="189"/>
        <v>0</v>
      </c>
      <c r="CL67" s="64"/>
      <c r="CM67" s="796" t="s">
        <v>1962</v>
      </c>
      <c r="CN67" s="72">
        <f t="shared" si="190"/>
        <v>0</v>
      </c>
      <c r="CO67" s="64"/>
      <c r="CP67" s="796" t="s">
        <v>1963</v>
      </c>
      <c r="CQ67" s="72">
        <f t="shared" si="296"/>
        <v>0</v>
      </c>
      <c r="CR67" s="64"/>
      <c r="CS67" s="796" t="s">
        <v>1949</v>
      </c>
      <c r="CT67" s="72">
        <f t="shared" si="297"/>
        <v>0</v>
      </c>
      <c r="CU67" s="64"/>
      <c r="CV67" s="796" t="s">
        <v>1959</v>
      </c>
      <c r="CW67" s="72">
        <f t="shared" si="191"/>
        <v>0</v>
      </c>
      <c r="CX67" s="64"/>
      <c r="CY67" s="796" t="s">
        <v>1962</v>
      </c>
      <c r="CZ67" s="72">
        <f t="shared" si="250"/>
        <v>0</v>
      </c>
      <c r="DA67" s="64"/>
      <c r="DB67" s="796" t="s">
        <v>1963</v>
      </c>
      <c r="DC67" s="72">
        <f t="shared" si="192"/>
        <v>0</v>
      </c>
      <c r="DD67" s="64"/>
      <c r="DE67" s="796" t="s">
        <v>1951</v>
      </c>
      <c r="DF67" s="72">
        <f t="shared" si="281"/>
        <v>0</v>
      </c>
      <c r="DG67" s="64"/>
      <c r="DH67" s="796" t="s">
        <v>2006</v>
      </c>
      <c r="DI67" s="72">
        <f t="shared" si="282"/>
        <v>0</v>
      </c>
      <c r="DJ67" s="64"/>
      <c r="DK67" s="796" t="s">
        <v>1963</v>
      </c>
      <c r="DL67" s="72">
        <f t="shared" si="283"/>
        <v>0</v>
      </c>
      <c r="DM67" s="64"/>
      <c r="DN67" s="73"/>
      <c r="DO67" s="72">
        <f t="shared" si="196"/>
        <v>0</v>
      </c>
      <c r="DP67" s="64"/>
      <c r="DQ67" s="796" t="s">
        <v>1962</v>
      </c>
      <c r="DR67" s="72">
        <f t="shared" si="251"/>
        <v>0</v>
      </c>
      <c r="DS67" s="64"/>
      <c r="DT67" s="73" t="s">
        <v>1951</v>
      </c>
      <c r="DU67" s="72">
        <f t="shared" si="298"/>
        <v>0</v>
      </c>
      <c r="DV67" s="64"/>
      <c r="DW67" s="73"/>
      <c r="DX67" s="72">
        <f t="shared" si="299"/>
        <v>0</v>
      </c>
      <c r="DY67" s="64"/>
      <c r="DZ67" s="73"/>
      <c r="EA67" s="72">
        <f t="shared" si="284"/>
        <v>0</v>
      </c>
      <c r="EB67" s="64"/>
      <c r="EC67" s="73"/>
      <c r="ED67" s="72">
        <f t="shared" si="198"/>
        <v>0</v>
      </c>
      <c r="EE67" s="64"/>
      <c r="EF67" s="73"/>
      <c r="EG67" s="72">
        <f t="shared" si="199"/>
        <v>0</v>
      </c>
      <c r="EH67" s="64"/>
      <c r="EI67" s="73"/>
      <c r="EJ67" s="72">
        <f t="shared" si="300"/>
        <v>0</v>
      </c>
      <c r="EK67" s="64"/>
      <c r="EL67" s="73"/>
      <c r="EM67" s="72">
        <f t="shared" si="301"/>
        <v>0</v>
      </c>
      <c r="EN67" s="64"/>
      <c r="EO67" s="73"/>
      <c r="EP67" s="72">
        <f t="shared" si="200"/>
        <v>0</v>
      </c>
      <c r="EQ67" s="64"/>
      <c r="ER67" s="73"/>
      <c r="ES67" s="72">
        <f t="shared" si="201"/>
        <v>0</v>
      </c>
      <c r="ET67" s="64"/>
      <c r="EU67" s="73"/>
      <c r="EV67" s="72">
        <f t="shared" si="202"/>
        <v>0</v>
      </c>
      <c r="EW67" s="64"/>
      <c r="EX67" s="73"/>
      <c r="EY67" s="72">
        <f t="shared" si="302"/>
        <v>0</v>
      </c>
      <c r="EZ67" s="64"/>
      <c r="FA67" s="73"/>
      <c r="FB67" s="72">
        <f t="shared" si="303"/>
        <v>0</v>
      </c>
      <c r="FC67" s="64"/>
      <c r="FD67" s="73"/>
      <c r="FE67" s="72">
        <f t="shared" si="203"/>
        <v>0</v>
      </c>
      <c r="FF67" s="64"/>
      <c r="FG67" s="73"/>
      <c r="FH67" s="72">
        <f t="shared" si="204"/>
        <v>0</v>
      </c>
      <c r="FI67" s="64"/>
      <c r="FJ67" s="73"/>
      <c r="FK67" s="72">
        <f t="shared" si="205"/>
        <v>0</v>
      </c>
      <c r="FL67" s="64"/>
      <c r="FM67" s="73"/>
      <c r="FN67" s="72">
        <f t="shared" si="304"/>
        <v>0</v>
      </c>
      <c r="FO67" s="64"/>
      <c r="FP67" s="73"/>
      <c r="FQ67" s="72">
        <f t="shared" si="305"/>
        <v>0</v>
      </c>
      <c r="FR67" s="64"/>
      <c r="FS67" s="73"/>
      <c r="FT67" s="72">
        <f t="shared" si="206"/>
        <v>0</v>
      </c>
      <c r="FU67" s="64"/>
      <c r="FV67" s="73"/>
      <c r="FW67" s="72">
        <f t="shared" si="207"/>
        <v>0</v>
      </c>
      <c r="FX67" s="64"/>
      <c r="FY67" s="73"/>
      <c r="FZ67" s="72">
        <f t="shared" si="208"/>
        <v>0</v>
      </c>
      <c r="GA67" s="64"/>
      <c r="GB67" s="73"/>
      <c r="GC67" s="72">
        <f t="shared" si="306"/>
        <v>0</v>
      </c>
      <c r="GD67" s="64"/>
      <c r="GE67" s="73"/>
      <c r="GF67" s="72">
        <f t="shared" si="307"/>
        <v>0</v>
      </c>
      <c r="GG67" s="64"/>
      <c r="GH67" s="73"/>
      <c r="GI67" s="72">
        <f t="shared" si="209"/>
        <v>0</v>
      </c>
      <c r="GJ67" s="64"/>
      <c r="GK67" s="73"/>
      <c r="GL67" s="72">
        <f t="shared" si="210"/>
        <v>0</v>
      </c>
      <c r="GM67" s="64"/>
      <c r="GN67" s="73"/>
      <c r="GO67" s="72">
        <f t="shared" si="211"/>
        <v>0</v>
      </c>
      <c r="GP67" s="64"/>
      <c r="GQ67" s="73"/>
      <c r="GR67" s="72">
        <f t="shared" si="308"/>
        <v>0</v>
      </c>
      <c r="GS67" s="64"/>
      <c r="GT67" s="73"/>
      <c r="GU67" s="72">
        <f t="shared" si="309"/>
        <v>0</v>
      </c>
      <c r="GV67" s="64"/>
      <c r="GW67" s="73"/>
      <c r="GX67" s="72">
        <f t="shared" si="212"/>
        <v>0</v>
      </c>
      <c r="GY67" s="64"/>
      <c r="GZ67" s="73"/>
      <c r="HA67" s="72">
        <f t="shared" si="213"/>
        <v>0</v>
      </c>
      <c r="HB67" s="64"/>
      <c r="HC67" s="73"/>
      <c r="HD67" s="72">
        <f t="shared" si="214"/>
        <v>0</v>
      </c>
      <c r="HE67" s="64"/>
      <c r="HF67" s="73"/>
      <c r="HG67" s="72">
        <f t="shared" si="310"/>
        <v>0</v>
      </c>
      <c r="HH67" s="64"/>
      <c r="HI67" s="73"/>
      <c r="HJ67" s="72">
        <f t="shared" si="311"/>
        <v>0</v>
      </c>
      <c r="HK67" s="64"/>
      <c r="HL67" s="73"/>
      <c r="HM67" s="72">
        <f t="shared" si="215"/>
        <v>0</v>
      </c>
      <c r="HN67" s="64"/>
      <c r="HO67" s="73"/>
      <c r="HP67" s="72">
        <f t="shared" si="216"/>
        <v>0</v>
      </c>
      <c r="HQ67" s="64"/>
      <c r="HR67" s="73"/>
      <c r="HS67" s="72">
        <f t="shared" si="217"/>
        <v>0</v>
      </c>
      <c r="HT67" s="64"/>
      <c r="HU67" s="73"/>
      <c r="HV67" s="72">
        <f t="shared" si="312"/>
        <v>0</v>
      </c>
      <c r="HW67" s="64"/>
      <c r="HX67" s="73"/>
      <c r="HY67" s="72">
        <f t="shared" si="313"/>
        <v>0</v>
      </c>
      <c r="HZ67" s="64"/>
      <c r="IA67" s="73"/>
      <c r="IB67" s="72">
        <f t="shared" si="218"/>
        <v>0</v>
      </c>
      <c r="IC67" s="64"/>
      <c r="ID67" s="73"/>
      <c r="IE67" s="72">
        <f t="shared" si="219"/>
        <v>0</v>
      </c>
      <c r="IF67" s="64"/>
      <c r="IG67" s="73"/>
      <c r="IH67" s="72">
        <f t="shared" si="220"/>
        <v>0</v>
      </c>
      <c r="II67" s="64"/>
      <c r="IJ67" s="73"/>
      <c r="IK67" s="72">
        <f t="shared" si="314"/>
        <v>0</v>
      </c>
      <c r="IL67" s="64"/>
      <c r="IM67" s="73"/>
      <c r="IN67" s="72">
        <f t="shared" si="315"/>
        <v>0</v>
      </c>
      <c r="IO67" s="64"/>
      <c r="IP67" s="73"/>
      <c r="IQ67" s="72">
        <f t="shared" si="221"/>
        <v>0</v>
      </c>
      <c r="IR67" s="64"/>
      <c r="IS67" s="73"/>
      <c r="IT67" s="72">
        <f t="shared" si="222"/>
        <v>0</v>
      </c>
      <c r="IU67" s="64"/>
      <c r="IV67" s="73"/>
      <c r="IW67" s="72">
        <f t="shared" si="223"/>
        <v>0</v>
      </c>
      <c r="IX67" s="64"/>
      <c r="IY67" s="73"/>
      <c r="IZ67" s="72">
        <f t="shared" si="316"/>
        <v>0</v>
      </c>
      <c r="JA67" s="64"/>
      <c r="JB67" s="73"/>
      <c r="JC67" s="72">
        <f t="shared" si="317"/>
        <v>0</v>
      </c>
      <c r="JD67" s="64"/>
      <c r="JE67" s="73"/>
      <c r="JF67" s="72">
        <f t="shared" si="224"/>
        <v>0</v>
      </c>
      <c r="JG67" s="64"/>
      <c r="JH67" s="73"/>
      <c r="JI67" s="72">
        <f t="shared" si="225"/>
        <v>0</v>
      </c>
      <c r="JJ67" s="64"/>
      <c r="JK67" s="73"/>
      <c r="JL67" s="72">
        <f t="shared" si="226"/>
        <v>0</v>
      </c>
      <c r="JM67" s="64"/>
      <c r="JN67" s="73"/>
      <c r="JO67" s="72">
        <f t="shared" si="318"/>
        <v>0</v>
      </c>
      <c r="JP67" s="64"/>
      <c r="JQ67" s="73"/>
      <c r="JR67" s="72">
        <f t="shared" si="319"/>
        <v>0</v>
      </c>
      <c r="JS67" s="64"/>
      <c r="JT67" s="73"/>
      <c r="JU67" s="72">
        <f t="shared" si="227"/>
        <v>0</v>
      </c>
      <c r="JV67" s="64"/>
      <c r="JW67" s="73"/>
      <c r="JX67" s="72">
        <f t="shared" si="228"/>
        <v>0</v>
      </c>
      <c r="JY67" s="64"/>
      <c r="JZ67" s="73"/>
      <c r="KA67" s="72">
        <f t="shared" si="229"/>
        <v>0</v>
      </c>
      <c r="KB67" s="64"/>
      <c r="KC67" s="73"/>
      <c r="KD67" s="72">
        <f t="shared" si="320"/>
        <v>0</v>
      </c>
      <c r="KE67" s="64"/>
      <c r="KF67" s="73"/>
      <c r="KG67" s="72">
        <f t="shared" si="321"/>
        <v>0</v>
      </c>
      <c r="KH67" s="64"/>
      <c r="KI67" s="73"/>
      <c r="KJ67" s="72">
        <f t="shared" si="230"/>
        <v>0</v>
      </c>
      <c r="KK67" s="64"/>
      <c r="KL67" s="73"/>
      <c r="KM67" s="72">
        <f t="shared" si="231"/>
        <v>0</v>
      </c>
      <c r="KN67" s="64"/>
      <c r="KO67" s="73"/>
      <c r="KP67" s="72">
        <f t="shared" si="232"/>
        <v>0</v>
      </c>
      <c r="KQ67" s="64"/>
      <c r="KR67" s="73"/>
      <c r="KS67" s="72">
        <f t="shared" si="322"/>
        <v>0</v>
      </c>
      <c r="KT67" s="64"/>
      <c r="KU67" s="73"/>
      <c r="KV67" s="72">
        <f t="shared" si="323"/>
        <v>0</v>
      </c>
      <c r="KW67" s="64"/>
      <c r="KX67" s="73"/>
      <c r="KY67" s="72">
        <f t="shared" si="233"/>
        <v>0</v>
      </c>
      <c r="KZ67" s="64"/>
      <c r="LA67" s="73"/>
      <c r="LB67" s="72">
        <f t="shared" si="234"/>
        <v>0</v>
      </c>
      <c r="LC67" s="64"/>
      <c r="LD67" s="73"/>
      <c r="LE67" s="72">
        <f t="shared" si="235"/>
        <v>0</v>
      </c>
      <c r="LF67" s="64"/>
    </row>
    <row r="68" spans="1:318" s="784" customFormat="1">
      <c r="A68" s="49"/>
      <c r="B68" s="49"/>
      <c r="C68" s="17"/>
      <c r="D68" s="17"/>
      <c r="E68" s="109"/>
      <c r="F68" s="443">
        <f t="shared" si="236"/>
        <v>15</v>
      </c>
      <c r="G68" s="443">
        <f ca="1">VLOOKUP(H68,Equipos!$Q$1:$R$25,2,0)</f>
        <v>16</v>
      </c>
      <c r="H68" s="444">
        <f ca="1">TRUNC(INDEX(WORLDCUP!$X$4:$X$147,MATCH(ADMIN!K68,WORLDCUP!$DT$4:$DT$147,0))+INDEX(Horarios!$R$3:$R$86,MATCH(Horarios!$C$3,Horarios!$P$3:$P$86,0))/24)</f>
        <v>46199</v>
      </c>
      <c r="I68" s="48">
        <v>1</v>
      </c>
      <c r="J68" s="94"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276"/>
        <v>0</v>
      </c>
      <c r="R68" s="49"/>
      <c r="S68" s="796" t="s">
        <v>1951</v>
      </c>
      <c r="T68" s="72">
        <f t="shared" si="285"/>
        <v>0</v>
      </c>
      <c r="U68" s="64"/>
      <c r="V68" s="73" t="s">
        <v>1961</v>
      </c>
      <c r="W68" s="72">
        <f t="shared" si="286"/>
        <v>0</v>
      </c>
      <c r="X68" s="64"/>
      <c r="Y68" s="796" t="s">
        <v>1962</v>
      </c>
      <c r="Z68" s="72">
        <f t="shared" si="176"/>
        <v>0</v>
      </c>
      <c r="AA68" s="64"/>
      <c r="AB68" s="796" t="s">
        <v>1949</v>
      </c>
      <c r="AC68" s="72">
        <f t="shared" si="177"/>
        <v>0</v>
      </c>
      <c r="AD68" s="64"/>
      <c r="AE68" s="796" t="s">
        <v>1947</v>
      </c>
      <c r="AF68" s="72">
        <f t="shared" si="325"/>
        <v>0</v>
      </c>
      <c r="AG68" s="64"/>
      <c r="AH68" s="796" t="s">
        <v>1962</v>
      </c>
      <c r="AI68" s="72">
        <f t="shared" si="288"/>
        <v>0</v>
      </c>
      <c r="AJ68" s="64"/>
      <c r="AK68" s="806" t="s">
        <v>1947</v>
      </c>
      <c r="AL68" s="72">
        <f t="shared" si="289"/>
        <v>0</v>
      </c>
      <c r="AM68" s="64"/>
      <c r="AN68" s="796" t="s">
        <v>1961</v>
      </c>
      <c r="AO68" s="72">
        <f t="shared" si="179"/>
        <v>0</v>
      </c>
      <c r="AP68" s="64"/>
      <c r="AQ68" s="806" t="s">
        <v>1947</v>
      </c>
      <c r="AR68" s="72">
        <f t="shared" si="180"/>
        <v>0</v>
      </c>
      <c r="AS68" s="64"/>
      <c r="AT68" s="796" t="s">
        <v>1962</v>
      </c>
      <c r="AU68" s="72">
        <f t="shared" si="181"/>
        <v>0</v>
      </c>
      <c r="AV68" s="64"/>
      <c r="AW68" s="796" t="s">
        <v>1949</v>
      </c>
      <c r="AX68" s="72">
        <f t="shared" si="290"/>
        <v>0</v>
      </c>
      <c r="AY68" s="64"/>
      <c r="AZ68" s="796" t="s">
        <v>2350</v>
      </c>
      <c r="BA68" s="72">
        <f t="shared" si="291"/>
        <v>0</v>
      </c>
      <c r="BB68" s="64"/>
      <c r="BC68" s="796" t="s">
        <v>1963</v>
      </c>
      <c r="BD68" s="72">
        <f t="shared" si="182"/>
        <v>0</v>
      </c>
      <c r="BE68" s="64"/>
      <c r="BF68" s="796" t="s">
        <v>1953</v>
      </c>
      <c r="BG68" s="72">
        <f t="shared" si="183"/>
        <v>0</v>
      </c>
      <c r="BH68" s="64"/>
      <c r="BI68" s="796" t="s">
        <v>1963</v>
      </c>
      <c r="BJ68" s="72">
        <f t="shared" si="184"/>
        <v>0</v>
      </c>
      <c r="BK68" s="64"/>
      <c r="BL68" s="796" t="s">
        <v>1958</v>
      </c>
      <c r="BM68" s="72">
        <f t="shared" si="292"/>
        <v>0</v>
      </c>
      <c r="BN68" s="64"/>
      <c r="BO68" s="816" t="s">
        <v>2007</v>
      </c>
      <c r="BP68" s="72">
        <f t="shared" si="293"/>
        <v>0</v>
      </c>
      <c r="BQ68" s="64"/>
      <c r="BR68" s="796" t="s">
        <v>1949</v>
      </c>
      <c r="BS68" s="72">
        <f t="shared" si="185"/>
        <v>0</v>
      </c>
      <c r="BT68" s="64"/>
      <c r="BU68" s="796" t="s">
        <v>1950</v>
      </c>
      <c r="BV68" s="72">
        <f t="shared" si="186"/>
        <v>0</v>
      </c>
      <c r="BW68" s="64"/>
      <c r="BX68" s="73" t="s">
        <v>1949</v>
      </c>
      <c r="BY68" s="72">
        <f t="shared" si="187"/>
        <v>0</v>
      </c>
      <c r="BZ68" s="64"/>
      <c r="CA68" s="816" t="s">
        <v>1947</v>
      </c>
      <c r="CB68" s="72">
        <f t="shared" si="294"/>
        <v>0</v>
      </c>
      <c r="CC68" s="64"/>
      <c r="CD68" s="825" t="s">
        <v>1962</v>
      </c>
      <c r="CE68" s="72">
        <f t="shared" si="295"/>
        <v>0</v>
      </c>
      <c r="CF68" s="64"/>
      <c r="CG68" s="796" t="s">
        <v>2007</v>
      </c>
      <c r="CH68" s="72">
        <f t="shared" si="188"/>
        <v>0</v>
      </c>
      <c r="CI68" s="64"/>
      <c r="CJ68" s="796" t="s">
        <v>1949</v>
      </c>
      <c r="CK68" s="72">
        <f t="shared" si="189"/>
        <v>0</v>
      </c>
      <c r="CL68" s="64"/>
      <c r="CM68" s="796" t="s">
        <v>1949</v>
      </c>
      <c r="CN68" s="72">
        <f t="shared" si="190"/>
        <v>0</v>
      </c>
      <c r="CO68" s="64"/>
      <c r="CP68" s="796" t="s">
        <v>1962</v>
      </c>
      <c r="CQ68" s="72">
        <f t="shared" si="296"/>
        <v>0</v>
      </c>
      <c r="CR68" s="64"/>
      <c r="CS68" s="796" t="s">
        <v>2007</v>
      </c>
      <c r="CT68" s="72">
        <f t="shared" si="297"/>
        <v>0</v>
      </c>
      <c r="CU68" s="64"/>
      <c r="CV68" s="796" t="s">
        <v>1947</v>
      </c>
      <c r="CW68" s="72">
        <f t="shared" si="191"/>
        <v>0</v>
      </c>
      <c r="CX68" s="64"/>
      <c r="CY68" s="796" t="s">
        <v>1961</v>
      </c>
      <c r="CZ68" s="72">
        <f t="shared" si="250"/>
        <v>0</v>
      </c>
      <c r="DA68" s="64"/>
      <c r="DB68" s="796" t="s">
        <v>1947</v>
      </c>
      <c r="DC68" s="72">
        <f t="shared" si="192"/>
        <v>0</v>
      </c>
      <c r="DD68" s="64"/>
      <c r="DE68" s="796" t="s">
        <v>1955</v>
      </c>
      <c r="DF68" s="72">
        <f t="shared" si="281"/>
        <v>0</v>
      </c>
      <c r="DG68" s="64"/>
      <c r="DH68" s="796" t="s">
        <v>1962</v>
      </c>
      <c r="DI68" s="72">
        <f t="shared" si="282"/>
        <v>0</v>
      </c>
      <c r="DJ68" s="64"/>
      <c r="DK68" s="796" t="s">
        <v>1961</v>
      </c>
      <c r="DL68" s="72">
        <f t="shared" si="283"/>
        <v>0</v>
      </c>
      <c r="DM68" s="64"/>
      <c r="DN68" s="73"/>
      <c r="DO68" s="72">
        <f t="shared" si="196"/>
        <v>0</v>
      </c>
      <c r="DP68" s="64"/>
      <c r="DQ68" s="796" t="s">
        <v>1962</v>
      </c>
      <c r="DR68" s="72">
        <f t="shared" si="251"/>
        <v>0</v>
      </c>
      <c r="DS68" s="64"/>
      <c r="DT68" s="73" t="s">
        <v>1962</v>
      </c>
      <c r="DU68" s="72">
        <f t="shared" si="298"/>
        <v>0</v>
      </c>
      <c r="DV68" s="64"/>
      <c r="DW68" s="73"/>
      <c r="DX68" s="72">
        <f t="shared" si="299"/>
        <v>0</v>
      </c>
      <c r="DY68" s="64"/>
      <c r="DZ68" s="73"/>
      <c r="EA68" s="72">
        <f t="shared" si="284"/>
        <v>0</v>
      </c>
      <c r="EB68" s="64"/>
      <c r="EC68" s="73"/>
      <c r="ED68" s="72">
        <f t="shared" si="198"/>
        <v>0</v>
      </c>
      <c r="EE68" s="64"/>
      <c r="EF68" s="73"/>
      <c r="EG68" s="72">
        <f t="shared" si="199"/>
        <v>0</v>
      </c>
      <c r="EH68" s="64"/>
      <c r="EI68" s="73"/>
      <c r="EJ68" s="72">
        <f t="shared" si="300"/>
        <v>0</v>
      </c>
      <c r="EK68" s="64"/>
      <c r="EL68" s="73"/>
      <c r="EM68" s="72">
        <f t="shared" si="301"/>
        <v>0</v>
      </c>
      <c r="EN68" s="64"/>
      <c r="EO68" s="73"/>
      <c r="EP68" s="72">
        <f t="shared" si="200"/>
        <v>0</v>
      </c>
      <c r="EQ68" s="64"/>
      <c r="ER68" s="73"/>
      <c r="ES68" s="72">
        <f t="shared" si="201"/>
        <v>0</v>
      </c>
      <c r="ET68" s="64"/>
      <c r="EU68" s="73"/>
      <c r="EV68" s="72">
        <f t="shared" si="202"/>
        <v>0</v>
      </c>
      <c r="EW68" s="64"/>
      <c r="EX68" s="73"/>
      <c r="EY68" s="72">
        <f t="shared" si="302"/>
        <v>0</v>
      </c>
      <c r="EZ68" s="64"/>
      <c r="FA68" s="73"/>
      <c r="FB68" s="72">
        <f t="shared" si="303"/>
        <v>0</v>
      </c>
      <c r="FC68" s="64"/>
      <c r="FD68" s="73"/>
      <c r="FE68" s="72">
        <f t="shared" si="203"/>
        <v>0</v>
      </c>
      <c r="FF68" s="64"/>
      <c r="FG68" s="73"/>
      <c r="FH68" s="72">
        <f t="shared" si="204"/>
        <v>0</v>
      </c>
      <c r="FI68" s="64"/>
      <c r="FJ68" s="73"/>
      <c r="FK68" s="72">
        <f t="shared" si="205"/>
        <v>0</v>
      </c>
      <c r="FL68" s="64"/>
      <c r="FM68" s="73"/>
      <c r="FN68" s="72">
        <f t="shared" si="304"/>
        <v>0</v>
      </c>
      <c r="FO68" s="64"/>
      <c r="FP68" s="73"/>
      <c r="FQ68" s="72">
        <f t="shared" si="305"/>
        <v>0</v>
      </c>
      <c r="FR68" s="64"/>
      <c r="FS68" s="73"/>
      <c r="FT68" s="72">
        <f t="shared" si="206"/>
        <v>0</v>
      </c>
      <c r="FU68" s="64"/>
      <c r="FV68" s="73"/>
      <c r="FW68" s="72">
        <f t="shared" si="207"/>
        <v>0</v>
      </c>
      <c r="FX68" s="64"/>
      <c r="FY68" s="73"/>
      <c r="FZ68" s="72">
        <f t="shared" si="208"/>
        <v>0</v>
      </c>
      <c r="GA68" s="64"/>
      <c r="GB68" s="73"/>
      <c r="GC68" s="72">
        <f t="shared" si="306"/>
        <v>0</v>
      </c>
      <c r="GD68" s="64"/>
      <c r="GE68" s="73"/>
      <c r="GF68" s="72">
        <f t="shared" si="307"/>
        <v>0</v>
      </c>
      <c r="GG68" s="64"/>
      <c r="GH68" s="73"/>
      <c r="GI68" s="72">
        <f t="shared" si="209"/>
        <v>0</v>
      </c>
      <c r="GJ68" s="64"/>
      <c r="GK68" s="73"/>
      <c r="GL68" s="72">
        <f t="shared" si="210"/>
        <v>0</v>
      </c>
      <c r="GM68" s="64"/>
      <c r="GN68" s="73"/>
      <c r="GO68" s="72">
        <f t="shared" si="211"/>
        <v>0</v>
      </c>
      <c r="GP68" s="64"/>
      <c r="GQ68" s="73"/>
      <c r="GR68" s="72">
        <f t="shared" si="308"/>
        <v>0</v>
      </c>
      <c r="GS68" s="64"/>
      <c r="GT68" s="73"/>
      <c r="GU68" s="72">
        <f t="shared" si="309"/>
        <v>0</v>
      </c>
      <c r="GV68" s="64"/>
      <c r="GW68" s="73"/>
      <c r="GX68" s="72">
        <f t="shared" si="212"/>
        <v>0</v>
      </c>
      <c r="GY68" s="64"/>
      <c r="GZ68" s="73"/>
      <c r="HA68" s="72">
        <f t="shared" si="213"/>
        <v>0</v>
      </c>
      <c r="HB68" s="64"/>
      <c r="HC68" s="73"/>
      <c r="HD68" s="72">
        <f t="shared" si="214"/>
        <v>0</v>
      </c>
      <c r="HE68" s="64"/>
      <c r="HF68" s="73"/>
      <c r="HG68" s="72">
        <f t="shared" si="310"/>
        <v>0</v>
      </c>
      <c r="HH68" s="64"/>
      <c r="HI68" s="73"/>
      <c r="HJ68" s="72">
        <f t="shared" si="311"/>
        <v>0</v>
      </c>
      <c r="HK68" s="64"/>
      <c r="HL68" s="73"/>
      <c r="HM68" s="72">
        <f t="shared" si="215"/>
        <v>0</v>
      </c>
      <c r="HN68" s="64"/>
      <c r="HO68" s="73"/>
      <c r="HP68" s="72">
        <f t="shared" si="216"/>
        <v>0</v>
      </c>
      <c r="HQ68" s="64"/>
      <c r="HR68" s="73"/>
      <c r="HS68" s="72">
        <f t="shared" si="217"/>
        <v>0</v>
      </c>
      <c r="HT68" s="64"/>
      <c r="HU68" s="73"/>
      <c r="HV68" s="72">
        <f t="shared" si="312"/>
        <v>0</v>
      </c>
      <c r="HW68" s="64"/>
      <c r="HX68" s="73"/>
      <c r="HY68" s="72">
        <f t="shared" si="313"/>
        <v>0</v>
      </c>
      <c r="HZ68" s="64"/>
      <c r="IA68" s="73"/>
      <c r="IB68" s="72">
        <f t="shared" si="218"/>
        <v>0</v>
      </c>
      <c r="IC68" s="64"/>
      <c r="ID68" s="73"/>
      <c r="IE68" s="72">
        <f t="shared" si="219"/>
        <v>0</v>
      </c>
      <c r="IF68" s="64"/>
      <c r="IG68" s="73"/>
      <c r="IH68" s="72">
        <f t="shared" si="220"/>
        <v>0</v>
      </c>
      <c r="II68" s="64"/>
      <c r="IJ68" s="73"/>
      <c r="IK68" s="72">
        <f t="shared" si="314"/>
        <v>0</v>
      </c>
      <c r="IL68" s="64"/>
      <c r="IM68" s="73"/>
      <c r="IN68" s="72">
        <f t="shared" si="315"/>
        <v>0</v>
      </c>
      <c r="IO68" s="64"/>
      <c r="IP68" s="73"/>
      <c r="IQ68" s="72">
        <f t="shared" si="221"/>
        <v>0</v>
      </c>
      <c r="IR68" s="64"/>
      <c r="IS68" s="73"/>
      <c r="IT68" s="72">
        <f t="shared" si="222"/>
        <v>0</v>
      </c>
      <c r="IU68" s="64"/>
      <c r="IV68" s="73"/>
      <c r="IW68" s="72">
        <f t="shared" si="223"/>
        <v>0</v>
      </c>
      <c r="IX68" s="64"/>
      <c r="IY68" s="73"/>
      <c r="IZ68" s="72">
        <f t="shared" si="316"/>
        <v>0</v>
      </c>
      <c r="JA68" s="64"/>
      <c r="JB68" s="73"/>
      <c r="JC68" s="72">
        <f t="shared" si="317"/>
        <v>0</v>
      </c>
      <c r="JD68" s="64"/>
      <c r="JE68" s="73"/>
      <c r="JF68" s="72">
        <f t="shared" si="224"/>
        <v>0</v>
      </c>
      <c r="JG68" s="64"/>
      <c r="JH68" s="73"/>
      <c r="JI68" s="72">
        <f t="shared" si="225"/>
        <v>0</v>
      </c>
      <c r="JJ68" s="64"/>
      <c r="JK68" s="73"/>
      <c r="JL68" s="72">
        <f t="shared" si="226"/>
        <v>0</v>
      </c>
      <c r="JM68" s="64"/>
      <c r="JN68" s="73"/>
      <c r="JO68" s="72">
        <f t="shared" si="318"/>
        <v>0</v>
      </c>
      <c r="JP68" s="64"/>
      <c r="JQ68" s="73"/>
      <c r="JR68" s="72">
        <f t="shared" si="319"/>
        <v>0</v>
      </c>
      <c r="JS68" s="64"/>
      <c r="JT68" s="73"/>
      <c r="JU68" s="72">
        <f t="shared" si="227"/>
        <v>0</v>
      </c>
      <c r="JV68" s="64"/>
      <c r="JW68" s="73"/>
      <c r="JX68" s="72">
        <f t="shared" si="228"/>
        <v>0</v>
      </c>
      <c r="JY68" s="64"/>
      <c r="JZ68" s="73"/>
      <c r="KA68" s="72">
        <f t="shared" si="229"/>
        <v>0</v>
      </c>
      <c r="KB68" s="64"/>
      <c r="KC68" s="73"/>
      <c r="KD68" s="72">
        <f t="shared" si="320"/>
        <v>0</v>
      </c>
      <c r="KE68" s="64"/>
      <c r="KF68" s="73"/>
      <c r="KG68" s="72">
        <f t="shared" si="321"/>
        <v>0</v>
      </c>
      <c r="KH68" s="64"/>
      <c r="KI68" s="73"/>
      <c r="KJ68" s="72">
        <f t="shared" si="230"/>
        <v>0</v>
      </c>
      <c r="KK68" s="64"/>
      <c r="KL68" s="73"/>
      <c r="KM68" s="72">
        <f t="shared" si="231"/>
        <v>0</v>
      </c>
      <c r="KN68" s="64"/>
      <c r="KO68" s="73"/>
      <c r="KP68" s="72">
        <f t="shared" si="232"/>
        <v>0</v>
      </c>
      <c r="KQ68" s="64"/>
      <c r="KR68" s="73"/>
      <c r="KS68" s="72">
        <f t="shared" si="322"/>
        <v>0</v>
      </c>
      <c r="KT68" s="64"/>
      <c r="KU68" s="73"/>
      <c r="KV68" s="72">
        <f t="shared" si="323"/>
        <v>0</v>
      </c>
      <c r="KW68" s="64"/>
      <c r="KX68" s="73"/>
      <c r="KY68" s="72">
        <f t="shared" si="233"/>
        <v>0</v>
      </c>
      <c r="KZ68" s="64"/>
      <c r="LA68" s="73"/>
      <c r="LB68" s="72">
        <f t="shared" si="234"/>
        <v>0</v>
      </c>
      <c r="LC68" s="64"/>
      <c r="LD68" s="73"/>
      <c r="LE68" s="72">
        <f t="shared" si="235"/>
        <v>0</v>
      </c>
      <c r="LF68" s="64"/>
    </row>
    <row r="69" spans="1:318" s="784" customFormat="1">
      <c r="A69" s="49"/>
      <c r="B69" s="49"/>
      <c r="C69" s="17"/>
      <c r="D69" s="17"/>
      <c r="E69" s="109"/>
      <c r="F69" s="443">
        <f t="shared" si="236"/>
        <v>15</v>
      </c>
      <c r="G69" s="443">
        <f ca="1">VLOOKUP(H69,Equipos!$Q$1:$R$25,2,0)</f>
        <v>16</v>
      </c>
      <c r="H69" s="444">
        <f ca="1">TRUNC(INDEX(WORLDCUP!$X$4:$X$147,MATCH(ADMIN!K69,WORLDCUP!$DT$4:$DT$147,0))+INDEX(Horarios!$R$3:$R$86,MATCH(Horarios!$C$3,Horarios!$P$3:$P$86,0))/24)</f>
        <v>46199</v>
      </c>
      <c r="I69" s="48">
        <v>1</v>
      </c>
      <c r="J69" s="94"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276"/>
        <v>0</v>
      </c>
      <c r="R69" s="49"/>
      <c r="S69" s="796" t="s">
        <v>1962</v>
      </c>
      <c r="T69" s="72">
        <f t="shared" si="285"/>
        <v>0</v>
      </c>
      <c r="U69" s="64"/>
      <c r="V69" s="73" t="s">
        <v>1962</v>
      </c>
      <c r="W69" s="72">
        <f t="shared" si="286"/>
        <v>0</v>
      </c>
      <c r="X69" s="64"/>
      <c r="Y69" s="796" t="s">
        <v>1963</v>
      </c>
      <c r="Z69" s="72">
        <f t="shared" si="176"/>
        <v>0</v>
      </c>
      <c r="AA69" s="64"/>
      <c r="AB69" s="796" t="s">
        <v>1949</v>
      </c>
      <c r="AC69" s="72">
        <f t="shared" si="177"/>
        <v>0</v>
      </c>
      <c r="AD69" s="64"/>
      <c r="AE69" s="796" t="s">
        <v>1963</v>
      </c>
      <c r="AF69" s="72">
        <f t="shared" si="325"/>
        <v>0</v>
      </c>
      <c r="AG69" s="64"/>
      <c r="AH69" s="796" t="s">
        <v>1963</v>
      </c>
      <c r="AI69" s="72">
        <f t="shared" si="288"/>
        <v>0</v>
      </c>
      <c r="AJ69" s="64"/>
      <c r="AK69" s="806" t="s">
        <v>1963</v>
      </c>
      <c r="AL69" s="72">
        <f t="shared" si="289"/>
        <v>0</v>
      </c>
      <c r="AM69" s="64"/>
      <c r="AN69" s="796" t="s">
        <v>1949</v>
      </c>
      <c r="AO69" s="72">
        <f t="shared" si="179"/>
        <v>0</v>
      </c>
      <c r="AP69" s="64"/>
      <c r="AQ69" s="806" t="s">
        <v>1953</v>
      </c>
      <c r="AR69" s="72">
        <f t="shared" si="180"/>
        <v>0</v>
      </c>
      <c r="AS69" s="64"/>
      <c r="AT69" s="796" t="s">
        <v>1953</v>
      </c>
      <c r="AU69" s="72">
        <f t="shared" si="181"/>
        <v>0</v>
      </c>
      <c r="AV69" s="64"/>
      <c r="AW69" s="796" t="s">
        <v>2007</v>
      </c>
      <c r="AX69" s="72">
        <f t="shared" si="290"/>
        <v>0</v>
      </c>
      <c r="AY69" s="64"/>
      <c r="AZ69" s="796" t="s">
        <v>1950</v>
      </c>
      <c r="BA69" s="72">
        <f t="shared" si="291"/>
        <v>0</v>
      </c>
      <c r="BB69" s="64"/>
      <c r="BC69" s="796" t="s">
        <v>1953</v>
      </c>
      <c r="BD69" s="72">
        <f t="shared" si="182"/>
        <v>0</v>
      </c>
      <c r="BE69" s="64"/>
      <c r="BF69" s="796" t="s">
        <v>1955</v>
      </c>
      <c r="BG69" s="72">
        <f t="shared" si="183"/>
        <v>0</v>
      </c>
      <c r="BH69" s="64"/>
      <c r="BI69" s="796" t="s">
        <v>1949</v>
      </c>
      <c r="BJ69" s="72">
        <f t="shared" si="184"/>
        <v>0</v>
      </c>
      <c r="BK69" s="64"/>
      <c r="BL69" s="796" t="s">
        <v>1961</v>
      </c>
      <c r="BM69" s="72">
        <f t="shared" si="292"/>
        <v>0</v>
      </c>
      <c r="BN69" s="64"/>
      <c r="BO69" s="816" t="s">
        <v>1963</v>
      </c>
      <c r="BP69" s="72">
        <f t="shared" si="293"/>
        <v>0</v>
      </c>
      <c r="BQ69" s="64"/>
      <c r="BR69" s="796" t="s">
        <v>1962</v>
      </c>
      <c r="BS69" s="72">
        <f t="shared" si="185"/>
        <v>0</v>
      </c>
      <c r="BT69" s="64"/>
      <c r="BU69" s="796" t="s">
        <v>1949</v>
      </c>
      <c r="BV69" s="72">
        <f t="shared" si="186"/>
        <v>0</v>
      </c>
      <c r="BW69" s="64"/>
      <c r="BX69" s="73" t="s">
        <v>1953</v>
      </c>
      <c r="BY69" s="72">
        <f t="shared" si="187"/>
        <v>0</v>
      </c>
      <c r="BZ69" s="64"/>
      <c r="CA69" s="816" t="s">
        <v>2007</v>
      </c>
      <c r="CB69" s="72">
        <f t="shared" si="294"/>
        <v>0</v>
      </c>
      <c r="CC69" s="64"/>
      <c r="CD69" s="825" t="s">
        <v>2007</v>
      </c>
      <c r="CE69" s="72">
        <f t="shared" si="295"/>
        <v>0</v>
      </c>
      <c r="CF69" s="64"/>
      <c r="CG69" s="796" t="s">
        <v>1963</v>
      </c>
      <c r="CH69" s="72">
        <f t="shared" si="188"/>
        <v>0</v>
      </c>
      <c r="CI69" s="64"/>
      <c r="CJ69" s="796" t="s">
        <v>1953</v>
      </c>
      <c r="CK69" s="72">
        <f t="shared" si="189"/>
        <v>0</v>
      </c>
      <c r="CL69" s="64"/>
      <c r="CM69" s="796" t="s">
        <v>1961</v>
      </c>
      <c r="CN69" s="72">
        <f t="shared" si="190"/>
        <v>0</v>
      </c>
      <c r="CO69" s="64"/>
      <c r="CP69" s="796" t="s">
        <v>1955</v>
      </c>
      <c r="CQ69" s="72">
        <f t="shared" si="296"/>
        <v>0</v>
      </c>
      <c r="CR69" s="64"/>
      <c r="CS69" s="796" t="s">
        <v>2007</v>
      </c>
      <c r="CT69" s="72">
        <f t="shared" si="297"/>
        <v>0</v>
      </c>
      <c r="CU69" s="64"/>
      <c r="CV69" s="796" t="s">
        <v>1961</v>
      </c>
      <c r="CW69" s="72">
        <f t="shared" si="191"/>
        <v>0</v>
      </c>
      <c r="CX69" s="64"/>
      <c r="CY69" s="796" t="s">
        <v>1953</v>
      </c>
      <c r="CZ69" s="72">
        <f t="shared" si="250"/>
        <v>0</v>
      </c>
      <c r="DA69" s="64"/>
      <c r="DB69" s="796" t="s">
        <v>1949</v>
      </c>
      <c r="DC69" s="72">
        <f t="shared" si="192"/>
        <v>0</v>
      </c>
      <c r="DD69" s="64"/>
      <c r="DE69" s="796" t="s">
        <v>1949</v>
      </c>
      <c r="DF69" s="72">
        <f t="shared" si="281"/>
        <v>0</v>
      </c>
      <c r="DG69" s="64"/>
      <c r="DH69" s="796" t="s">
        <v>1963</v>
      </c>
      <c r="DI69" s="72">
        <f t="shared" si="282"/>
        <v>0</v>
      </c>
      <c r="DJ69" s="64"/>
      <c r="DK69" s="796" t="s">
        <v>1949</v>
      </c>
      <c r="DL69" s="72">
        <f t="shared" si="283"/>
        <v>0</v>
      </c>
      <c r="DM69" s="64"/>
      <c r="DN69" s="73"/>
      <c r="DO69" s="72">
        <f t="shared" si="196"/>
        <v>0</v>
      </c>
      <c r="DP69" s="64"/>
      <c r="DQ69" s="796" t="s">
        <v>1963</v>
      </c>
      <c r="DR69" s="72">
        <f t="shared" si="251"/>
        <v>0</v>
      </c>
      <c r="DS69" s="64"/>
      <c r="DT69" s="73" t="s">
        <v>1949</v>
      </c>
      <c r="DU69" s="72">
        <f t="shared" si="298"/>
        <v>0</v>
      </c>
      <c r="DV69" s="64"/>
      <c r="DW69" s="73"/>
      <c r="DX69" s="72">
        <f t="shared" si="299"/>
        <v>0</v>
      </c>
      <c r="DY69" s="64"/>
      <c r="DZ69" s="73"/>
      <c r="EA69" s="72">
        <f t="shared" si="284"/>
        <v>0</v>
      </c>
      <c r="EB69" s="64"/>
      <c r="EC69" s="73"/>
      <c r="ED69" s="72">
        <f t="shared" si="198"/>
        <v>0</v>
      </c>
      <c r="EE69" s="64"/>
      <c r="EF69" s="73"/>
      <c r="EG69" s="72">
        <f t="shared" si="199"/>
        <v>0</v>
      </c>
      <c r="EH69" s="64"/>
      <c r="EI69" s="73"/>
      <c r="EJ69" s="72">
        <f t="shared" si="300"/>
        <v>0</v>
      </c>
      <c r="EK69" s="64"/>
      <c r="EL69" s="73"/>
      <c r="EM69" s="72">
        <f t="shared" si="301"/>
        <v>0</v>
      </c>
      <c r="EN69" s="64"/>
      <c r="EO69" s="73"/>
      <c r="EP69" s="72">
        <f t="shared" si="200"/>
        <v>0</v>
      </c>
      <c r="EQ69" s="64"/>
      <c r="ER69" s="73"/>
      <c r="ES69" s="72">
        <f t="shared" si="201"/>
        <v>0</v>
      </c>
      <c r="ET69" s="64"/>
      <c r="EU69" s="73"/>
      <c r="EV69" s="72">
        <f t="shared" si="202"/>
        <v>0</v>
      </c>
      <c r="EW69" s="64"/>
      <c r="EX69" s="73"/>
      <c r="EY69" s="72">
        <f t="shared" si="302"/>
        <v>0</v>
      </c>
      <c r="EZ69" s="64"/>
      <c r="FA69" s="73"/>
      <c r="FB69" s="72">
        <f t="shared" si="303"/>
        <v>0</v>
      </c>
      <c r="FC69" s="64"/>
      <c r="FD69" s="73"/>
      <c r="FE69" s="72">
        <f t="shared" si="203"/>
        <v>0</v>
      </c>
      <c r="FF69" s="64"/>
      <c r="FG69" s="73"/>
      <c r="FH69" s="72">
        <f t="shared" si="204"/>
        <v>0</v>
      </c>
      <c r="FI69" s="64"/>
      <c r="FJ69" s="73"/>
      <c r="FK69" s="72">
        <f t="shared" si="205"/>
        <v>0</v>
      </c>
      <c r="FL69" s="64"/>
      <c r="FM69" s="73"/>
      <c r="FN69" s="72">
        <f t="shared" si="304"/>
        <v>0</v>
      </c>
      <c r="FO69" s="64"/>
      <c r="FP69" s="73"/>
      <c r="FQ69" s="72">
        <f t="shared" si="305"/>
        <v>0</v>
      </c>
      <c r="FR69" s="64"/>
      <c r="FS69" s="73"/>
      <c r="FT69" s="72">
        <f t="shared" si="206"/>
        <v>0</v>
      </c>
      <c r="FU69" s="64"/>
      <c r="FV69" s="73"/>
      <c r="FW69" s="72">
        <f t="shared" si="207"/>
        <v>0</v>
      </c>
      <c r="FX69" s="64"/>
      <c r="FY69" s="73"/>
      <c r="FZ69" s="72">
        <f t="shared" si="208"/>
        <v>0</v>
      </c>
      <c r="GA69" s="64"/>
      <c r="GB69" s="73"/>
      <c r="GC69" s="72">
        <f t="shared" si="306"/>
        <v>0</v>
      </c>
      <c r="GD69" s="64"/>
      <c r="GE69" s="73"/>
      <c r="GF69" s="72">
        <f t="shared" si="307"/>
        <v>0</v>
      </c>
      <c r="GG69" s="64"/>
      <c r="GH69" s="73"/>
      <c r="GI69" s="72">
        <f t="shared" si="209"/>
        <v>0</v>
      </c>
      <c r="GJ69" s="64"/>
      <c r="GK69" s="73"/>
      <c r="GL69" s="72">
        <f t="shared" si="210"/>
        <v>0</v>
      </c>
      <c r="GM69" s="64"/>
      <c r="GN69" s="73"/>
      <c r="GO69" s="72">
        <f t="shared" si="211"/>
        <v>0</v>
      </c>
      <c r="GP69" s="64"/>
      <c r="GQ69" s="73"/>
      <c r="GR69" s="72">
        <f t="shared" si="308"/>
        <v>0</v>
      </c>
      <c r="GS69" s="64"/>
      <c r="GT69" s="73"/>
      <c r="GU69" s="72">
        <f t="shared" si="309"/>
        <v>0</v>
      </c>
      <c r="GV69" s="64"/>
      <c r="GW69" s="73"/>
      <c r="GX69" s="72">
        <f t="shared" si="212"/>
        <v>0</v>
      </c>
      <c r="GY69" s="64"/>
      <c r="GZ69" s="73"/>
      <c r="HA69" s="72">
        <f t="shared" si="213"/>
        <v>0</v>
      </c>
      <c r="HB69" s="64"/>
      <c r="HC69" s="73"/>
      <c r="HD69" s="72">
        <f t="shared" si="214"/>
        <v>0</v>
      </c>
      <c r="HE69" s="64"/>
      <c r="HF69" s="73"/>
      <c r="HG69" s="72">
        <f t="shared" si="310"/>
        <v>0</v>
      </c>
      <c r="HH69" s="64"/>
      <c r="HI69" s="73"/>
      <c r="HJ69" s="72">
        <f t="shared" si="311"/>
        <v>0</v>
      </c>
      <c r="HK69" s="64"/>
      <c r="HL69" s="73"/>
      <c r="HM69" s="72">
        <f t="shared" si="215"/>
        <v>0</v>
      </c>
      <c r="HN69" s="64"/>
      <c r="HO69" s="73"/>
      <c r="HP69" s="72">
        <f t="shared" si="216"/>
        <v>0</v>
      </c>
      <c r="HQ69" s="64"/>
      <c r="HR69" s="73"/>
      <c r="HS69" s="72">
        <f t="shared" si="217"/>
        <v>0</v>
      </c>
      <c r="HT69" s="64"/>
      <c r="HU69" s="73"/>
      <c r="HV69" s="72">
        <f t="shared" si="312"/>
        <v>0</v>
      </c>
      <c r="HW69" s="64"/>
      <c r="HX69" s="73"/>
      <c r="HY69" s="72">
        <f t="shared" si="313"/>
        <v>0</v>
      </c>
      <c r="HZ69" s="64"/>
      <c r="IA69" s="73"/>
      <c r="IB69" s="72">
        <f t="shared" si="218"/>
        <v>0</v>
      </c>
      <c r="IC69" s="64"/>
      <c r="ID69" s="73"/>
      <c r="IE69" s="72">
        <f t="shared" si="219"/>
        <v>0</v>
      </c>
      <c r="IF69" s="64"/>
      <c r="IG69" s="73"/>
      <c r="IH69" s="72">
        <f t="shared" si="220"/>
        <v>0</v>
      </c>
      <c r="II69" s="64"/>
      <c r="IJ69" s="73"/>
      <c r="IK69" s="72">
        <f t="shared" si="314"/>
        <v>0</v>
      </c>
      <c r="IL69" s="64"/>
      <c r="IM69" s="73"/>
      <c r="IN69" s="72">
        <f t="shared" si="315"/>
        <v>0</v>
      </c>
      <c r="IO69" s="64"/>
      <c r="IP69" s="73"/>
      <c r="IQ69" s="72">
        <f t="shared" si="221"/>
        <v>0</v>
      </c>
      <c r="IR69" s="64"/>
      <c r="IS69" s="73"/>
      <c r="IT69" s="72">
        <f t="shared" si="222"/>
        <v>0</v>
      </c>
      <c r="IU69" s="64"/>
      <c r="IV69" s="73"/>
      <c r="IW69" s="72">
        <f t="shared" si="223"/>
        <v>0</v>
      </c>
      <c r="IX69" s="64"/>
      <c r="IY69" s="73"/>
      <c r="IZ69" s="72">
        <f t="shared" si="316"/>
        <v>0</v>
      </c>
      <c r="JA69" s="64"/>
      <c r="JB69" s="73"/>
      <c r="JC69" s="72">
        <f t="shared" si="317"/>
        <v>0</v>
      </c>
      <c r="JD69" s="64"/>
      <c r="JE69" s="73"/>
      <c r="JF69" s="72">
        <f t="shared" si="224"/>
        <v>0</v>
      </c>
      <c r="JG69" s="64"/>
      <c r="JH69" s="73"/>
      <c r="JI69" s="72">
        <f t="shared" si="225"/>
        <v>0</v>
      </c>
      <c r="JJ69" s="64"/>
      <c r="JK69" s="73"/>
      <c r="JL69" s="72">
        <f t="shared" si="226"/>
        <v>0</v>
      </c>
      <c r="JM69" s="64"/>
      <c r="JN69" s="73"/>
      <c r="JO69" s="72">
        <f t="shared" si="318"/>
        <v>0</v>
      </c>
      <c r="JP69" s="64"/>
      <c r="JQ69" s="73"/>
      <c r="JR69" s="72">
        <f t="shared" si="319"/>
        <v>0</v>
      </c>
      <c r="JS69" s="64"/>
      <c r="JT69" s="73"/>
      <c r="JU69" s="72">
        <f t="shared" si="227"/>
        <v>0</v>
      </c>
      <c r="JV69" s="64"/>
      <c r="JW69" s="73"/>
      <c r="JX69" s="72">
        <f t="shared" si="228"/>
        <v>0</v>
      </c>
      <c r="JY69" s="64"/>
      <c r="JZ69" s="73"/>
      <c r="KA69" s="72">
        <f t="shared" si="229"/>
        <v>0</v>
      </c>
      <c r="KB69" s="64"/>
      <c r="KC69" s="73"/>
      <c r="KD69" s="72">
        <f t="shared" si="320"/>
        <v>0</v>
      </c>
      <c r="KE69" s="64"/>
      <c r="KF69" s="73"/>
      <c r="KG69" s="72">
        <f t="shared" si="321"/>
        <v>0</v>
      </c>
      <c r="KH69" s="64"/>
      <c r="KI69" s="73"/>
      <c r="KJ69" s="72">
        <f t="shared" si="230"/>
        <v>0</v>
      </c>
      <c r="KK69" s="64"/>
      <c r="KL69" s="73"/>
      <c r="KM69" s="72">
        <f t="shared" si="231"/>
        <v>0</v>
      </c>
      <c r="KN69" s="64"/>
      <c r="KO69" s="73"/>
      <c r="KP69" s="72">
        <f t="shared" si="232"/>
        <v>0</v>
      </c>
      <c r="KQ69" s="64"/>
      <c r="KR69" s="73"/>
      <c r="KS69" s="72">
        <f t="shared" si="322"/>
        <v>0</v>
      </c>
      <c r="KT69" s="64"/>
      <c r="KU69" s="73"/>
      <c r="KV69" s="72">
        <f t="shared" si="323"/>
        <v>0</v>
      </c>
      <c r="KW69" s="64"/>
      <c r="KX69" s="73"/>
      <c r="KY69" s="72">
        <f t="shared" si="233"/>
        <v>0</v>
      </c>
      <c r="KZ69" s="64"/>
      <c r="LA69" s="73"/>
      <c r="LB69" s="72">
        <f t="shared" si="234"/>
        <v>0</v>
      </c>
      <c r="LC69" s="64"/>
      <c r="LD69" s="73"/>
      <c r="LE69" s="72">
        <f t="shared" si="235"/>
        <v>0</v>
      </c>
      <c r="LF69" s="64"/>
    </row>
    <row r="70" spans="1:318" s="784" customFormat="1">
      <c r="A70" s="49"/>
      <c r="B70" s="49"/>
      <c r="C70" s="17"/>
      <c r="D70" s="17"/>
      <c r="E70" s="109"/>
      <c r="F70" s="443">
        <f t="shared" si="236"/>
        <v>15</v>
      </c>
      <c r="G70" s="443">
        <f ca="1">VLOOKUP(H70,Equipos!$Q$1:$R$25,2,0)</f>
        <v>16</v>
      </c>
      <c r="H70" s="444">
        <f ca="1">TRUNC(INDEX(WORLDCUP!$X$4:$X$147,MATCH(ADMIN!K70,WORLDCUP!$DT$4:$DT$147,0))+INDEX(Horarios!$R$3:$R$86,MATCH(Horarios!$C$3,Horarios!$P$3:$P$86,0))/24)</f>
        <v>46199</v>
      </c>
      <c r="I70" s="48">
        <v>1</v>
      </c>
      <c r="J70" s="93"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276"/>
        <v>0</v>
      </c>
      <c r="R70" s="49"/>
      <c r="S70" s="796" t="s">
        <v>1963</v>
      </c>
      <c r="T70" s="72">
        <f t="shared" si="285"/>
        <v>0</v>
      </c>
      <c r="U70" s="64"/>
      <c r="V70" s="73" t="s">
        <v>2007</v>
      </c>
      <c r="W70" s="72">
        <f t="shared" si="286"/>
        <v>0</v>
      </c>
      <c r="X70" s="64"/>
      <c r="Y70" s="796" t="s">
        <v>1963</v>
      </c>
      <c r="Z70" s="72">
        <f t="shared" ref="Z70:Z77" si="326">IFERROR(IF($M70=Y70,($D$8+$D$9+$D$10)*$I70,IF($N70=LEFT(Y70,1),($D$8+MAX(0,IF($D$50=1,$D$9*(1-(ABS($Q70-ABS(VALUE(MID(Y70,FIND("|",Y70)+1,FIND("-",Y70)-FIND("|",Y70)-1))-VALUE(MID(Y70,FIND("-",Y70)+1,10)))))*$D$50),$D$9*(1-(IF($N70="X",ABS($O70-VALUE(MID(Y70,FIND("|",Y70)+1,FIND("-",Y70)-FIND("|",Y70)-1))),ABS($Q70-ABS(VALUE(MID(Y70,FIND("|",Y70)+1,FIND("-",Y70)-FIND("|",Y70)-1))-VALUE(MID(Y70,FIND("-",Y70)+1,10)))))*$D$50)))))*$I70,0)),0)</f>
        <v>0</v>
      </c>
      <c r="AA70" s="64"/>
      <c r="AB70" s="796" t="s">
        <v>1949</v>
      </c>
      <c r="AC70" s="72">
        <f t="shared" ref="AC70:AC77" si="327">IFERROR(IF($M70=AB70,($D$8+$D$9+$D$10)*$I70,IF($N70=LEFT(AB70,1),($D$8+MAX(0,IF($D$50=1,$D$9*(1-(ABS($Q70-ABS(VALUE(MID(AB70,FIND("|",AB70)+1,FIND("-",AB70)-FIND("|",AB70)-1))-VALUE(MID(AB70,FIND("-",AB70)+1,10)))))*$D$50),$D$9*(1-(IF($N70="X",ABS($O70-VALUE(MID(AB70,FIND("|",AB70)+1,FIND("-",AB70)-FIND("|",AB70)-1))),ABS($Q70-ABS(VALUE(MID(AB70,FIND("|",AB70)+1,FIND("-",AB70)-FIND("|",AB70)-1))-VALUE(MID(AB70,FIND("-",AB70)+1,10)))))*$D$50)))))*$I70,0)),0)</f>
        <v>0</v>
      </c>
      <c r="AD70" s="64"/>
      <c r="AE70" s="796" t="s">
        <v>1963</v>
      </c>
      <c r="AF70" s="72">
        <f t="shared" si="325"/>
        <v>0</v>
      </c>
      <c r="AG70" s="64"/>
      <c r="AH70" s="796" t="s">
        <v>2007</v>
      </c>
      <c r="AI70" s="72">
        <f t="shared" si="288"/>
        <v>0</v>
      </c>
      <c r="AJ70" s="64"/>
      <c r="AK70" s="806" t="s">
        <v>1953</v>
      </c>
      <c r="AL70" s="72">
        <f t="shared" si="289"/>
        <v>0</v>
      </c>
      <c r="AM70" s="64"/>
      <c r="AN70" s="796" t="s">
        <v>1947</v>
      </c>
      <c r="AO70" s="72">
        <f t="shared" ref="AO70:AO77" si="328">IFERROR(IF($M70=AN70,($D$8+$D$9+$D$10)*$I70,IF($N70=LEFT(AN70,1),($D$8+MAX(0,IF($D$50=1,$D$9*(1-(ABS($Q70-ABS(VALUE(MID(AN70,FIND("|",AN70)+1,FIND("-",AN70)-FIND("|",AN70)-1))-VALUE(MID(AN70,FIND("-",AN70)+1,10)))))*$D$50),$D$9*(1-(IF($N70="X",ABS($O70-VALUE(MID(AN70,FIND("|",AN70)+1,FIND("-",AN70)-FIND("|",AN70)-1))),ABS($Q70-ABS(VALUE(MID(AN70,FIND("|",AN70)+1,FIND("-",AN70)-FIND("|",AN70)-1))-VALUE(MID(AN70,FIND("-",AN70)+1,10)))))*$D$50)))))*$I70,0)),0)</f>
        <v>0</v>
      </c>
      <c r="AP70" s="64"/>
      <c r="AQ70" s="806" t="s">
        <v>1963</v>
      </c>
      <c r="AR70" s="72">
        <f t="shared" ref="AR70:AR77" si="329">IFERROR(IF($M70=AQ70,($D$8+$D$9+$D$10)*$I70,IF($N70=LEFT(AQ70,1),($D$8+MAX(0,IF($D$50=1,$D$9*(1-(ABS($Q70-ABS(VALUE(MID(AQ70,FIND("|",AQ70)+1,FIND("-",AQ70)-FIND("|",AQ70)-1))-VALUE(MID(AQ70,FIND("-",AQ70)+1,10)))))*$D$50),$D$9*(1-(IF($N70="X",ABS($O70-VALUE(MID(AQ70,FIND("|",AQ70)+1,FIND("-",AQ70)-FIND("|",AQ70)-1))),ABS($Q70-ABS(VALUE(MID(AQ70,FIND("|",AQ70)+1,FIND("-",AQ70)-FIND("|",AQ70)-1))-VALUE(MID(AQ70,FIND("-",AQ70)+1,10)))))*$D$50)))))*$I70,0)),0)</f>
        <v>0</v>
      </c>
      <c r="AS70" s="64"/>
      <c r="AT70" s="796" t="s">
        <v>2288</v>
      </c>
      <c r="AU70" s="72">
        <f t="shared" ref="AU70:AU77" si="330">IFERROR(IF($M70=AT70,($D$8+$D$9+$D$10)*$I70,IF($N70=LEFT(AT70,1),($D$8+MAX(0,IF($D$50=1,$D$9*(1-(ABS($Q70-ABS(VALUE(MID(AT70,FIND("|",AT70)+1,FIND("-",AT70)-FIND("|",AT70)-1))-VALUE(MID(AT70,FIND("-",AT70)+1,10)))))*$D$50),$D$9*(1-(IF($N70="X",ABS($O70-VALUE(MID(AT70,FIND("|",AT70)+1,FIND("-",AT70)-FIND("|",AT70)-1))),ABS($Q70-ABS(VALUE(MID(AT70,FIND("|",AT70)+1,FIND("-",AT70)-FIND("|",AT70)-1))-VALUE(MID(AT70,FIND("-",AT70)+1,10)))))*$D$50)))))*$I70,0)),0)</f>
        <v>0</v>
      </c>
      <c r="AV70" s="64"/>
      <c r="AW70" s="796" t="s">
        <v>2007</v>
      </c>
      <c r="AX70" s="72">
        <f t="shared" si="290"/>
        <v>0</v>
      </c>
      <c r="AY70" s="64"/>
      <c r="AZ70" s="796" t="s">
        <v>1958</v>
      </c>
      <c r="BA70" s="72">
        <f t="shared" si="291"/>
        <v>0</v>
      </c>
      <c r="BB70" s="64"/>
      <c r="BC70" s="796" t="s">
        <v>1963</v>
      </c>
      <c r="BD70" s="72">
        <f t="shared" ref="BD70:BD77" si="331">IFERROR(IF($M70=BC70,($D$8+$D$9+$D$10)*$I70,IF($N70=LEFT(BC70,1),($D$8+MAX(0,IF($D$50=1,$D$9*(1-(ABS($Q70-ABS(VALUE(MID(BC70,FIND("|",BC70)+1,FIND("-",BC70)-FIND("|",BC70)-1))-VALUE(MID(BC70,FIND("-",BC70)+1,10)))))*$D$50),$D$9*(1-(IF($N70="X",ABS($O70-VALUE(MID(BC70,FIND("|",BC70)+1,FIND("-",BC70)-FIND("|",BC70)-1))),ABS($Q70-ABS(VALUE(MID(BC70,FIND("|",BC70)+1,FIND("-",BC70)-FIND("|",BC70)-1))-VALUE(MID(BC70,FIND("-",BC70)+1,10)))))*$D$50)))))*$I70,0)),0)</f>
        <v>0</v>
      </c>
      <c r="BE70" s="64"/>
      <c r="BF70" s="796" t="s">
        <v>1955</v>
      </c>
      <c r="BG70" s="72">
        <f t="shared" ref="BG70:BG77" si="332">IFERROR(IF($M70=BF70,($D$8+$D$9+$D$10)*$I70,IF($N70=LEFT(BF70,1),($D$8+MAX(0,IF($D$50=1,$D$9*(1-(ABS($Q70-ABS(VALUE(MID(BF70,FIND("|",BF70)+1,FIND("-",BF70)-FIND("|",BF70)-1))-VALUE(MID(BF70,FIND("-",BF70)+1,10)))))*$D$50),$D$9*(1-(IF($N70="X",ABS($O70-VALUE(MID(BF70,FIND("|",BF70)+1,FIND("-",BF70)-FIND("|",BF70)-1))),ABS($Q70-ABS(VALUE(MID(BF70,FIND("|",BF70)+1,FIND("-",BF70)-FIND("|",BF70)-1))-VALUE(MID(BF70,FIND("-",BF70)+1,10)))))*$D$50)))))*$I70,0)),0)</f>
        <v>0</v>
      </c>
      <c r="BH70" s="64"/>
      <c r="BI70" s="796" t="s">
        <v>1949</v>
      </c>
      <c r="BJ70" s="72">
        <f t="shared" ref="BJ70:BJ77" si="333">IFERROR(IF($M70=BI70,($D$8+$D$9+$D$10)*$I70,IF($N70=LEFT(BI70,1),($D$8+MAX(0,IF($D$50=1,$D$9*(1-(ABS($Q70-ABS(VALUE(MID(BI70,FIND("|",BI70)+1,FIND("-",BI70)-FIND("|",BI70)-1))-VALUE(MID(BI70,FIND("-",BI70)+1,10)))))*$D$50),$D$9*(1-(IF($N70="X",ABS($O70-VALUE(MID(BI70,FIND("|",BI70)+1,FIND("-",BI70)-FIND("|",BI70)-1))),ABS($Q70-ABS(VALUE(MID(BI70,FIND("|",BI70)+1,FIND("-",BI70)-FIND("|",BI70)-1))-VALUE(MID(BI70,FIND("-",BI70)+1,10)))))*$D$50)))))*$I70,0)),0)</f>
        <v>0</v>
      </c>
      <c r="BK70" s="64"/>
      <c r="BL70" s="796" t="s">
        <v>1955</v>
      </c>
      <c r="BM70" s="72">
        <f t="shared" si="292"/>
        <v>0</v>
      </c>
      <c r="BN70" s="64"/>
      <c r="BO70" s="816" t="s">
        <v>1953</v>
      </c>
      <c r="BP70" s="72">
        <f t="shared" si="293"/>
        <v>0</v>
      </c>
      <c r="BQ70" s="64"/>
      <c r="BR70" s="796" t="s">
        <v>2007</v>
      </c>
      <c r="BS70" s="72">
        <f t="shared" ref="BS70:BS77" si="334">IFERROR(IF($M70=BR70,($D$8+$D$9+$D$10)*$I70,IF($N70=LEFT(BR70,1),($D$8+MAX(0,IF($D$50=1,$D$9*(1-(ABS($Q70-ABS(VALUE(MID(BR70,FIND("|",BR70)+1,FIND("-",BR70)-FIND("|",BR70)-1))-VALUE(MID(BR70,FIND("-",BR70)+1,10)))))*$D$50),$D$9*(1-(IF($N70="X",ABS($O70-VALUE(MID(BR70,FIND("|",BR70)+1,FIND("-",BR70)-FIND("|",BR70)-1))),ABS($Q70-ABS(VALUE(MID(BR70,FIND("|",BR70)+1,FIND("-",BR70)-FIND("|",BR70)-1))-VALUE(MID(BR70,FIND("-",BR70)+1,10)))))*$D$50)))))*$I70,0)),0)</f>
        <v>0</v>
      </c>
      <c r="BT70" s="64"/>
      <c r="BU70" s="796" t="s">
        <v>1949</v>
      </c>
      <c r="BV70" s="72">
        <f t="shared" ref="BV70:BV77" si="335">IFERROR(IF($M70=BU70,($D$8+$D$9+$D$10)*$I70,IF($N70=LEFT(BU70,1),($D$8+MAX(0,IF($D$50=1,$D$9*(1-(ABS($Q70-ABS(VALUE(MID(BU70,FIND("|",BU70)+1,FIND("-",BU70)-FIND("|",BU70)-1))-VALUE(MID(BU70,FIND("-",BU70)+1,10)))))*$D$50),$D$9*(1-(IF($N70="X",ABS($O70-VALUE(MID(BU70,FIND("|",BU70)+1,FIND("-",BU70)-FIND("|",BU70)-1))),ABS($Q70-ABS(VALUE(MID(BU70,FIND("|",BU70)+1,FIND("-",BU70)-FIND("|",BU70)-1))-VALUE(MID(BU70,FIND("-",BU70)+1,10)))))*$D$50)))))*$I70,0)),0)</f>
        <v>0</v>
      </c>
      <c r="BW70" s="64"/>
      <c r="BX70" s="73" t="s">
        <v>1962</v>
      </c>
      <c r="BY70" s="72">
        <f t="shared" ref="BY70:BY77" si="336">IFERROR(IF($M70=BX70,($D$8+$D$9+$D$10)*$I70,IF($N70=LEFT(BX70,1),($D$8+MAX(0,IF($D$50=1,$D$9*(1-(ABS($Q70-ABS(VALUE(MID(BX70,FIND("|",BX70)+1,FIND("-",BX70)-FIND("|",BX70)-1))-VALUE(MID(BX70,FIND("-",BX70)+1,10)))))*$D$50),$D$9*(1-(IF($N70="X",ABS($O70-VALUE(MID(BX70,FIND("|",BX70)+1,FIND("-",BX70)-FIND("|",BX70)-1))),ABS($Q70-ABS(VALUE(MID(BX70,FIND("|",BX70)+1,FIND("-",BX70)-FIND("|",BX70)-1))-VALUE(MID(BX70,FIND("-",BX70)+1,10)))))*$D$50)))))*$I70,0)),0)</f>
        <v>0</v>
      </c>
      <c r="BZ70" s="64"/>
      <c r="CA70" s="816" t="s">
        <v>2288</v>
      </c>
      <c r="CB70" s="72">
        <f t="shared" si="294"/>
        <v>0</v>
      </c>
      <c r="CC70" s="64"/>
      <c r="CD70" s="825" t="s">
        <v>2007</v>
      </c>
      <c r="CE70" s="72">
        <f t="shared" si="295"/>
        <v>0</v>
      </c>
      <c r="CF70" s="64"/>
      <c r="CG70" s="796" t="s">
        <v>2007</v>
      </c>
      <c r="CH70" s="72">
        <f t="shared" ref="CH70:CH77" si="337">IFERROR(IF($M70=CG70,($D$8+$D$9+$D$10)*$I70,IF($N70=LEFT(CG70,1),($D$8+MAX(0,IF($D$50=1,$D$9*(1-(ABS($Q70-ABS(VALUE(MID(CG70,FIND("|",CG70)+1,FIND("-",CG70)-FIND("|",CG70)-1))-VALUE(MID(CG70,FIND("-",CG70)+1,10)))))*$D$50),$D$9*(1-(IF($N70="X",ABS($O70-VALUE(MID(CG70,FIND("|",CG70)+1,FIND("-",CG70)-FIND("|",CG70)-1))),ABS($Q70-ABS(VALUE(MID(CG70,FIND("|",CG70)+1,FIND("-",CG70)-FIND("|",CG70)-1))-VALUE(MID(CG70,FIND("-",CG70)+1,10)))))*$D$50)))))*$I70,0)),0)</f>
        <v>0</v>
      </c>
      <c r="CI70" s="64"/>
      <c r="CJ70" s="796" t="s">
        <v>1953</v>
      </c>
      <c r="CK70" s="72">
        <f t="shared" ref="CK70:CK77" si="338">IFERROR(IF($M70=CJ70,($D$8+$D$9+$D$10)*$I70,IF($N70=LEFT(CJ70,1),($D$8+MAX(0,IF($D$50=1,$D$9*(1-(ABS($Q70-ABS(VALUE(MID(CJ70,FIND("|",CJ70)+1,FIND("-",CJ70)-FIND("|",CJ70)-1))-VALUE(MID(CJ70,FIND("-",CJ70)+1,10)))))*$D$50),$D$9*(1-(IF($N70="X",ABS($O70-VALUE(MID(CJ70,FIND("|",CJ70)+1,FIND("-",CJ70)-FIND("|",CJ70)-1))),ABS($Q70-ABS(VALUE(MID(CJ70,FIND("|",CJ70)+1,FIND("-",CJ70)-FIND("|",CJ70)-1))-VALUE(MID(CJ70,FIND("-",CJ70)+1,10)))))*$D$50)))))*$I70,0)),0)</f>
        <v>0</v>
      </c>
      <c r="CL70" s="64"/>
      <c r="CM70" s="796" t="s">
        <v>1949</v>
      </c>
      <c r="CN70" s="72">
        <f t="shared" ref="CN70:CN77" si="339">IFERROR(IF($M70=CM70,($D$8+$D$9+$D$10)*$I70,IF($N70=LEFT(CM70,1),($D$8+MAX(0,IF($D$50=1,$D$9*(1-(ABS($Q70-ABS(VALUE(MID(CM70,FIND("|",CM70)+1,FIND("-",CM70)-FIND("|",CM70)-1))-VALUE(MID(CM70,FIND("-",CM70)+1,10)))))*$D$50),$D$9*(1-(IF($N70="X",ABS($O70-VALUE(MID(CM70,FIND("|",CM70)+1,FIND("-",CM70)-FIND("|",CM70)-1))),ABS($Q70-ABS(VALUE(MID(CM70,FIND("|",CM70)+1,FIND("-",CM70)-FIND("|",CM70)-1))-VALUE(MID(CM70,FIND("-",CM70)+1,10)))))*$D$50)))))*$I70,0)),0)</f>
        <v>0</v>
      </c>
      <c r="CO70" s="64"/>
      <c r="CP70" s="796" t="s">
        <v>1963</v>
      </c>
      <c r="CQ70" s="72">
        <f t="shared" si="296"/>
        <v>0</v>
      </c>
      <c r="CR70" s="64"/>
      <c r="CS70" s="796" t="s">
        <v>1963</v>
      </c>
      <c r="CT70" s="72">
        <f t="shared" si="297"/>
        <v>0</v>
      </c>
      <c r="CU70" s="64"/>
      <c r="CV70" s="796" t="s">
        <v>1963</v>
      </c>
      <c r="CW70" s="72">
        <f t="shared" ref="CW70:CW77" si="340">IFERROR(IF($M70=CV70,($D$8+$D$9+$D$10)*$I70,IF($N70=LEFT(CV70,1),($D$8+MAX(0,IF($D$50=1,$D$9*(1-(ABS($Q70-ABS(VALUE(MID(CV70,FIND("|",CV70)+1,FIND("-",CV70)-FIND("|",CV70)-1))-VALUE(MID(CV70,FIND("-",CV70)+1,10)))))*$D$50),$D$9*(1-(IF($N70="X",ABS($O70-VALUE(MID(CV70,FIND("|",CV70)+1,FIND("-",CV70)-FIND("|",CV70)-1))),ABS($Q70-ABS(VALUE(MID(CV70,FIND("|",CV70)+1,FIND("-",CV70)-FIND("|",CV70)-1))-VALUE(MID(CV70,FIND("-",CV70)+1,10)))))*$D$50)))))*$I70,0)),0)</f>
        <v>0</v>
      </c>
      <c r="CX70" s="64"/>
      <c r="CY70" s="796" t="s">
        <v>1963</v>
      </c>
      <c r="CZ70" s="72">
        <f t="shared" ref="CZ70:CZ77" si="341">IFERROR(IF($M70=CY70,($D$8+$D$9+$D$10)*$I70,IF($N70=LEFT(CY70,1),($D$8+MAX(0,IF($D$50=1,$D$9*(1-(ABS($Q70-ABS(VALUE(MID(CY70,FIND("|",CY70)+1,FIND("-",CY70)-FIND("|",CY70)-1))-VALUE(MID(CY70,FIND("-",CY70)+1,10)))))*$D$50),$D$9*(1-(IF($N70="X",ABS($O70-VALUE(MID(CY70,FIND("|",CY70)+1,FIND("-",CY70)-FIND("|",CY70)-1))),ABS($Q70-ABS(VALUE(MID(CY70,FIND("|",CY70)+1,FIND("-",CY70)-FIND("|",CY70)-1))-VALUE(MID(CY70,FIND("-",CY70)+1,10)))))*$D$50)))))*$I70,0)),0)</f>
        <v>0</v>
      </c>
      <c r="DA70" s="64"/>
      <c r="DB70" s="796" t="s">
        <v>1961</v>
      </c>
      <c r="DC70" s="72">
        <f t="shared" ref="DC70:DC77" si="342">IFERROR(IF($M70=DB70,($D$8+$D$9+$D$10)*$I70,IF($N70=LEFT(DB70,1),($D$8+MAX(0,IF($D$50=1,$D$9*(1-(ABS($Q70-ABS(VALUE(MID(DB70,FIND("|",DB70)+1,FIND("-",DB70)-FIND("|",DB70)-1))-VALUE(MID(DB70,FIND("-",DB70)+1,10)))))*$D$50),$D$9*(1-(IF($N70="X",ABS($O70-VALUE(MID(DB70,FIND("|",DB70)+1,FIND("-",DB70)-FIND("|",DB70)-1))),ABS($Q70-ABS(VALUE(MID(DB70,FIND("|",DB70)+1,FIND("-",DB70)-FIND("|",DB70)-1))-VALUE(MID(DB70,FIND("-",DB70)+1,10)))))*$D$50)))))*$I70,0)),0)</f>
        <v>0</v>
      </c>
      <c r="DD70" s="64"/>
      <c r="DE70" s="796" t="s">
        <v>2288</v>
      </c>
      <c r="DF70" s="72">
        <f t="shared" ref="DF70:DF77" si="343">IFERROR(IF($M70=DE70,($D$8+$D$9+$D$10)*$I70,IF($N70=LEFT(DE70,1),($D$8+MAX(0,IF($D$50=1,$D$9*(1-(ABS($Q70-ABS(VALUE(MID(DE70,FIND("|",DE70)+1,FIND("-",DE70)-FIND("|",DE70)-1))-VALUE(MID(DE70,FIND("-",DE70)+1,10)))))*$D$50),$D$9*(1-(IF($N70="X",ABS($O70-VALUE(MID(DE70,FIND("|",DE70)+1,FIND("-",DE70)-FIND("|",DE70)-1))),ABS($Q70-ABS(VALUE(MID(DE70,FIND("|",DE70)+1,FIND("-",DE70)-FIND("|",DE70)-1))-VALUE(MID(DE70,FIND("-",DE70)+1,10)))))*$D$50)))))*$I70,0)),0)</f>
        <v>0</v>
      </c>
      <c r="DG70" s="64"/>
      <c r="DH70" s="796" t="s">
        <v>2007</v>
      </c>
      <c r="DI70" s="72">
        <f t="shared" ref="DI70:DI77" si="344">IFERROR(IF($M70=DH70,($D$8+$D$9+$D$10)*$I70,IF($N70=LEFT(DH70,1),($D$8+MAX(0,IF($D$50=1,$D$9*(1-(ABS($Q70-ABS(VALUE(MID(DH70,FIND("|",DH70)+1,FIND("-",DH70)-FIND("|",DH70)-1))-VALUE(MID(DH70,FIND("-",DH70)+1,10)))))*$D$50),$D$9*(1-(IF($N70="X",ABS($O70-VALUE(MID(DH70,FIND("|",DH70)+1,FIND("-",DH70)-FIND("|",DH70)-1))),ABS($Q70-ABS(VALUE(MID(DH70,FIND("|",DH70)+1,FIND("-",DH70)-FIND("|",DH70)-1))-VALUE(MID(DH70,FIND("-",DH70)+1,10)))))*$D$50)))))*$I70,0)),0)</f>
        <v>0</v>
      </c>
      <c r="DJ70" s="64"/>
      <c r="DK70" s="796" t="s">
        <v>1953</v>
      </c>
      <c r="DL70" s="72">
        <f t="shared" ref="DL70:DL77" si="345">IFERROR(IF($M70=DK70,($D$8+$D$9+$D$10)*$I70,IF($N70=LEFT(DK70,1),($D$8+MAX(0,IF($D$50=1,$D$9*(1-(ABS($Q70-ABS(VALUE(MID(DK70,FIND("|",DK70)+1,FIND("-",DK70)-FIND("|",DK70)-1))-VALUE(MID(DK70,FIND("-",DK70)+1,10)))))*$D$50),$D$9*(1-(IF($N70="X",ABS($O70-VALUE(MID(DK70,FIND("|",DK70)+1,FIND("-",DK70)-FIND("|",DK70)-1))),ABS($Q70-ABS(VALUE(MID(DK70,FIND("|",DK70)+1,FIND("-",DK70)-FIND("|",DK70)-1))-VALUE(MID(DK70,FIND("-",DK70)+1,10)))))*$D$50)))))*$I70,0)),0)</f>
        <v>0</v>
      </c>
      <c r="DM70" s="64"/>
      <c r="DN70" s="73"/>
      <c r="DO70" s="72">
        <f t="shared" ref="DO70:DO77" si="346">IFERROR(IF($M70=DN70,($D$8+$D$9+$D$10)*$I70,IF($N70=LEFT(DN70,1),($D$8+MAX(0,IF($D$50=1,$D$9*(1-(ABS($Q70-ABS(VALUE(MID(DN70,FIND("|",DN70)+1,FIND("-",DN70)-FIND("|",DN70)-1))-VALUE(MID(DN70,FIND("-",DN70)+1,10)))))*$D$50),$D$9*(1-(IF($N70="X",ABS($O70-VALUE(MID(DN70,FIND("|",DN70)+1,FIND("-",DN70)-FIND("|",DN70)-1))),ABS($Q70-ABS(VALUE(MID(DN70,FIND("|",DN70)+1,FIND("-",DN70)-FIND("|",DN70)-1))-VALUE(MID(DN70,FIND("-",DN70)+1,10)))))*$D$50)))))*$I70,0)),0)</f>
        <v>0</v>
      </c>
      <c r="DP70" s="64"/>
      <c r="DQ70" s="796" t="s">
        <v>1949</v>
      </c>
      <c r="DR70" s="72">
        <f t="shared" ref="DR70:DR77" si="347">IFERROR(IF($M70=DQ70,($D$8+$D$9+$D$10)*$I70,IF($N70=LEFT(DQ70,1),($D$8+MAX(0,IF($D$50=1,$D$9*(1-(ABS($Q70-ABS(VALUE(MID(DQ70,FIND("|",DQ70)+1,FIND("-",DQ70)-FIND("|",DQ70)-1))-VALUE(MID(DQ70,FIND("-",DQ70)+1,10)))))*$D$50),$D$9*(1-(IF($N70="X",ABS($O70-VALUE(MID(DQ70,FIND("|",DQ70)+1,FIND("-",DQ70)-FIND("|",DQ70)-1))),ABS($Q70-ABS(VALUE(MID(DQ70,FIND("|",DQ70)+1,FIND("-",DQ70)-FIND("|",DQ70)-1))-VALUE(MID(DQ70,FIND("-",DQ70)+1,10)))))*$D$50)))))*$I70,0)),0)</f>
        <v>0</v>
      </c>
      <c r="DS70" s="64"/>
      <c r="DT70" s="73" t="s">
        <v>1949</v>
      </c>
      <c r="DU70" s="72">
        <f t="shared" si="298"/>
        <v>0</v>
      </c>
      <c r="DV70" s="64"/>
      <c r="DW70" s="73"/>
      <c r="DX70" s="72">
        <f t="shared" si="299"/>
        <v>0</v>
      </c>
      <c r="DY70" s="64"/>
      <c r="DZ70" s="73"/>
      <c r="EA70" s="72">
        <f t="shared" ref="EA70:EA77" si="348">IFERROR(IF($M70=DZ70,($D$8+$D$9+$D$10)*$I70,IF($N70=LEFT(DZ70,1),($D$8+MAX(0,IF($D$50=1,$D$9*(1-(ABS($Q70-ABS(VALUE(MID(DZ70,FIND("|",DZ70)+1,FIND("-",DZ70)-FIND("|",DZ70)-1))-VALUE(MID(DZ70,FIND("-",DZ70)+1,10)))))*$D$50),$D$9*(1-(IF($N70="X",ABS($O70-VALUE(MID(DZ70,FIND("|",DZ70)+1,FIND("-",DZ70)-FIND("|",DZ70)-1))),ABS($Q70-ABS(VALUE(MID(DZ70,FIND("|",DZ70)+1,FIND("-",DZ70)-FIND("|",DZ70)-1))-VALUE(MID(DZ70,FIND("-",DZ70)+1,10)))))*$D$50)))))*$I70,0)),0)</f>
        <v>0</v>
      </c>
      <c r="EB70" s="64"/>
      <c r="EC70" s="73"/>
      <c r="ED70" s="72">
        <f t="shared" ref="ED70:ED77" si="349">IFERROR(IF($M70=EC70,($D$8+$D$9+$D$10)*$I70,IF($N70=LEFT(EC70,1),($D$8+MAX(0,IF($D$50=1,$D$9*(1-(ABS($Q70-ABS(VALUE(MID(EC70,FIND("|",EC70)+1,FIND("-",EC70)-FIND("|",EC70)-1))-VALUE(MID(EC70,FIND("-",EC70)+1,10)))))*$D$50),$D$9*(1-(IF($N70="X",ABS($O70-VALUE(MID(EC70,FIND("|",EC70)+1,FIND("-",EC70)-FIND("|",EC70)-1))),ABS($Q70-ABS(VALUE(MID(EC70,FIND("|",EC70)+1,FIND("-",EC70)-FIND("|",EC70)-1))-VALUE(MID(EC70,FIND("-",EC70)+1,10)))))*$D$50)))))*$I70,0)),0)</f>
        <v>0</v>
      </c>
      <c r="EE70" s="64"/>
      <c r="EF70" s="73"/>
      <c r="EG70" s="72">
        <f t="shared" ref="EG70:EG77" si="350">IFERROR(IF($M70=EF70,($D$8+$D$9+$D$10)*$I70,IF($N70=LEFT(EF70,1),($D$8+MAX(0,IF($D$50=1,$D$9*(1-(ABS($Q70-ABS(VALUE(MID(EF70,FIND("|",EF70)+1,FIND("-",EF70)-FIND("|",EF70)-1))-VALUE(MID(EF70,FIND("-",EF70)+1,10)))))*$D$50),$D$9*(1-(IF($N70="X",ABS($O70-VALUE(MID(EF70,FIND("|",EF70)+1,FIND("-",EF70)-FIND("|",EF70)-1))),ABS($Q70-ABS(VALUE(MID(EF70,FIND("|",EF70)+1,FIND("-",EF70)-FIND("|",EF70)-1))-VALUE(MID(EF70,FIND("-",EF70)+1,10)))))*$D$50)))))*$I70,0)),0)</f>
        <v>0</v>
      </c>
      <c r="EH70" s="64"/>
      <c r="EI70" s="73"/>
      <c r="EJ70" s="72">
        <f t="shared" si="300"/>
        <v>0</v>
      </c>
      <c r="EK70" s="64"/>
      <c r="EL70" s="73"/>
      <c r="EM70" s="72">
        <f t="shared" si="301"/>
        <v>0</v>
      </c>
      <c r="EN70" s="64"/>
      <c r="EO70" s="73"/>
      <c r="EP70" s="72">
        <f t="shared" ref="EP70:EP77" si="351">IFERROR(IF($M70=EO70,($D$8+$D$9+$D$10)*$I70,IF($N70=LEFT(EO70,1),($D$8+MAX(0,IF($D$50=1,$D$9*(1-(ABS($Q70-ABS(VALUE(MID(EO70,FIND("|",EO70)+1,FIND("-",EO70)-FIND("|",EO70)-1))-VALUE(MID(EO70,FIND("-",EO70)+1,10)))))*$D$50),$D$9*(1-(IF($N70="X",ABS($O70-VALUE(MID(EO70,FIND("|",EO70)+1,FIND("-",EO70)-FIND("|",EO70)-1))),ABS($Q70-ABS(VALUE(MID(EO70,FIND("|",EO70)+1,FIND("-",EO70)-FIND("|",EO70)-1))-VALUE(MID(EO70,FIND("-",EO70)+1,10)))))*$D$50)))))*$I70,0)),0)</f>
        <v>0</v>
      </c>
      <c r="EQ70" s="64"/>
      <c r="ER70" s="73"/>
      <c r="ES70" s="72">
        <f t="shared" ref="ES70:ES77" si="352">IFERROR(IF($M70=ER70,($D$8+$D$9+$D$10)*$I70,IF($N70=LEFT(ER70,1),($D$8+MAX(0,IF($D$50=1,$D$9*(1-(ABS($Q70-ABS(VALUE(MID(ER70,FIND("|",ER70)+1,FIND("-",ER70)-FIND("|",ER70)-1))-VALUE(MID(ER70,FIND("-",ER70)+1,10)))))*$D$50),$D$9*(1-(IF($N70="X",ABS($O70-VALUE(MID(ER70,FIND("|",ER70)+1,FIND("-",ER70)-FIND("|",ER70)-1))),ABS($Q70-ABS(VALUE(MID(ER70,FIND("|",ER70)+1,FIND("-",ER70)-FIND("|",ER70)-1))-VALUE(MID(ER70,FIND("-",ER70)+1,10)))))*$D$50)))))*$I70,0)),0)</f>
        <v>0</v>
      </c>
      <c r="ET70" s="64"/>
      <c r="EU70" s="73"/>
      <c r="EV70" s="72">
        <f t="shared" ref="EV70:EV77" si="353">IFERROR(IF($M70=EU70,($D$8+$D$9+$D$10)*$I70,IF($N70=LEFT(EU70,1),($D$8+MAX(0,IF($D$50=1,$D$9*(1-(ABS($Q70-ABS(VALUE(MID(EU70,FIND("|",EU70)+1,FIND("-",EU70)-FIND("|",EU70)-1))-VALUE(MID(EU70,FIND("-",EU70)+1,10)))))*$D$50),$D$9*(1-(IF($N70="X",ABS($O70-VALUE(MID(EU70,FIND("|",EU70)+1,FIND("-",EU70)-FIND("|",EU70)-1))),ABS($Q70-ABS(VALUE(MID(EU70,FIND("|",EU70)+1,FIND("-",EU70)-FIND("|",EU70)-1))-VALUE(MID(EU70,FIND("-",EU70)+1,10)))))*$D$50)))))*$I70,0)),0)</f>
        <v>0</v>
      </c>
      <c r="EW70" s="64"/>
      <c r="EX70" s="73"/>
      <c r="EY70" s="72">
        <f t="shared" si="302"/>
        <v>0</v>
      </c>
      <c r="EZ70" s="64"/>
      <c r="FA70" s="73"/>
      <c r="FB70" s="72">
        <f t="shared" si="303"/>
        <v>0</v>
      </c>
      <c r="FC70" s="64"/>
      <c r="FD70" s="73"/>
      <c r="FE70" s="72">
        <f t="shared" ref="FE70:FE77" si="354">IFERROR(IF($M70=FD70,($D$8+$D$9+$D$10)*$I70,IF($N70=LEFT(FD70,1),($D$8+MAX(0,IF($D$50=1,$D$9*(1-(ABS($Q70-ABS(VALUE(MID(FD70,FIND("|",FD70)+1,FIND("-",FD70)-FIND("|",FD70)-1))-VALUE(MID(FD70,FIND("-",FD70)+1,10)))))*$D$50),$D$9*(1-(IF($N70="X",ABS($O70-VALUE(MID(FD70,FIND("|",FD70)+1,FIND("-",FD70)-FIND("|",FD70)-1))),ABS($Q70-ABS(VALUE(MID(FD70,FIND("|",FD70)+1,FIND("-",FD70)-FIND("|",FD70)-1))-VALUE(MID(FD70,FIND("-",FD70)+1,10)))))*$D$50)))))*$I70,0)),0)</f>
        <v>0</v>
      </c>
      <c r="FF70" s="64"/>
      <c r="FG70" s="73"/>
      <c r="FH70" s="72">
        <f t="shared" ref="FH70:FH77" si="355">IFERROR(IF($M70=FG70,($D$8+$D$9+$D$10)*$I70,IF($N70=LEFT(FG70,1),($D$8+MAX(0,IF($D$50=1,$D$9*(1-(ABS($Q70-ABS(VALUE(MID(FG70,FIND("|",FG70)+1,FIND("-",FG70)-FIND("|",FG70)-1))-VALUE(MID(FG70,FIND("-",FG70)+1,10)))))*$D$50),$D$9*(1-(IF($N70="X",ABS($O70-VALUE(MID(FG70,FIND("|",FG70)+1,FIND("-",FG70)-FIND("|",FG70)-1))),ABS($Q70-ABS(VALUE(MID(FG70,FIND("|",FG70)+1,FIND("-",FG70)-FIND("|",FG70)-1))-VALUE(MID(FG70,FIND("-",FG70)+1,10)))))*$D$50)))))*$I70,0)),0)</f>
        <v>0</v>
      </c>
      <c r="FI70" s="64"/>
      <c r="FJ70" s="73"/>
      <c r="FK70" s="72">
        <f t="shared" ref="FK70:FK77" si="356">IFERROR(IF($M70=FJ70,($D$8+$D$9+$D$10)*$I70,IF($N70=LEFT(FJ70,1),($D$8+MAX(0,IF($D$50=1,$D$9*(1-(ABS($Q70-ABS(VALUE(MID(FJ70,FIND("|",FJ70)+1,FIND("-",FJ70)-FIND("|",FJ70)-1))-VALUE(MID(FJ70,FIND("-",FJ70)+1,10)))))*$D$50),$D$9*(1-(IF($N70="X",ABS($O70-VALUE(MID(FJ70,FIND("|",FJ70)+1,FIND("-",FJ70)-FIND("|",FJ70)-1))),ABS($Q70-ABS(VALUE(MID(FJ70,FIND("|",FJ70)+1,FIND("-",FJ70)-FIND("|",FJ70)-1))-VALUE(MID(FJ70,FIND("-",FJ70)+1,10)))))*$D$50)))))*$I70,0)),0)</f>
        <v>0</v>
      </c>
      <c r="FL70" s="64"/>
      <c r="FM70" s="73"/>
      <c r="FN70" s="72">
        <f t="shared" si="304"/>
        <v>0</v>
      </c>
      <c r="FO70" s="64"/>
      <c r="FP70" s="73"/>
      <c r="FQ70" s="72">
        <f t="shared" si="305"/>
        <v>0</v>
      </c>
      <c r="FR70" s="64"/>
      <c r="FS70" s="73"/>
      <c r="FT70" s="72">
        <f t="shared" ref="FT70:FT77" si="357">IFERROR(IF($M70=FS70,($D$8+$D$9+$D$10)*$I70,IF($N70=LEFT(FS70,1),($D$8+MAX(0,IF($D$50=1,$D$9*(1-(ABS($Q70-ABS(VALUE(MID(FS70,FIND("|",FS70)+1,FIND("-",FS70)-FIND("|",FS70)-1))-VALUE(MID(FS70,FIND("-",FS70)+1,10)))))*$D$50),$D$9*(1-(IF($N70="X",ABS($O70-VALUE(MID(FS70,FIND("|",FS70)+1,FIND("-",FS70)-FIND("|",FS70)-1))),ABS($Q70-ABS(VALUE(MID(FS70,FIND("|",FS70)+1,FIND("-",FS70)-FIND("|",FS70)-1))-VALUE(MID(FS70,FIND("-",FS70)+1,10)))))*$D$50)))))*$I70,0)),0)</f>
        <v>0</v>
      </c>
      <c r="FU70" s="64"/>
      <c r="FV70" s="73"/>
      <c r="FW70" s="72">
        <f t="shared" ref="FW70:FW77" si="358">IFERROR(IF($M70=FV70,($D$8+$D$9+$D$10)*$I70,IF($N70=LEFT(FV70,1),($D$8+MAX(0,IF($D$50=1,$D$9*(1-(ABS($Q70-ABS(VALUE(MID(FV70,FIND("|",FV70)+1,FIND("-",FV70)-FIND("|",FV70)-1))-VALUE(MID(FV70,FIND("-",FV70)+1,10)))))*$D$50),$D$9*(1-(IF($N70="X",ABS($O70-VALUE(MID(FV70,FIND("|",FV70)+1,FIND("-",FV70)-FIND("|",FV70)-1))),ABS($Q70-ABS(VALUE(MID(FV70,FIND("|",FV70)+1,FIND("-",FV70)-FIND("|",FV70)-1))-VALUE(MID(FV70,FIND("-",FV70)+1,10)))))*$D$50)))))*$I70,0)),0)</f>
        <v>0</v>
      </c>
      <c r="FX70" s="64"/>
      <c r="FY70" s="73"/>
      <c r="FZ70" s="72">
        <f t="shared" ref="FZ70:FZ77" si="359">IFERROR(IF($M70=FY70,($D$8+$D$9+$D$10)*$I70,IF($N70=LEFT(FY70,1),($D$8+MAX(0,IF($D$50=1,$D$9*(1-(ABS($Q70-ABS(VALUE(MID(FY70,FIND("|",FY70)+1,FIND("-",FY70)-FIND("|",FY70)-1))-VALUE(MID(FY70,FIND("-",FY70)+1,10)))))*$D$50),$D$9*(1-(IF($N70="X",ABS($O70-VALUE(MID(FY70,FIND("|",FY70)+1,FIND("-",FY70)-FIND("|",FY70)-1))),ABS($Q70-ABS(VALUE(MID(FY70,FIND("|",FY70)+1,FIND("-",FY70)-FIND("|",FY70)-1))-VALUE(MID(FY70,FIND("-",FY70)+1,10)))))*$D$50)))))*$I70,0)),0)</f>
        <v>0</v>
      </c>
      <c r="GA70" s="64"/>
      <c r="GB70" s="73"/>
      <c r="GC70" s="72">
        <f t="shared" si="306"/>
        <v>0</v>
      </c>
      <c r="GD70" s="64"/>
      <c r="GE70" s="73"/>
      <c r="GF70" s="72">
        <f t="shared" si="307"/>
        <v>0</v>
      </c>
      <c r="GG70" s="64"/>
      <c r="GH70" s="73"/>
      <c r="GI70" s="72">
        <f t="shared" ref="GI70:GI77" si="360">IFERROR(IF($M70=GH70,($D$8+$D$9+$D$10)*$I70,IF($N70=LEFT(GH70,1),($D$8+MAX(0,IF($D$50=1,$D$9*(1-(ABS($Q70-ABS(VALUE(MID(GH70,FIND("|",GH70)+1,FIND("-",GH70)-FIND("|",GH70)-1))-VALUE(MID(GH70,FIND("-",GH70)+1,10)))))*$D$50),$D$9*(1-(IF($N70="X",ABS($O70-VALUE(MID(GH70,FIND("|",GH70)+1,FIND("-",GH70)-FIND("|",GH70)-1))),ABS($Q70-ABS(VALUE(MID(GH70,FIND("|",GH70)+1,FIND("-",GH70)-FIND("|",GH70)-1))-VALUE(MID(GH70,FIND("-",GH70)+1,10)))))*$D$50)))))*$I70,0)),0)</f>
        <v>0</v>
      </c>
      <c r="GJ70" s="64"/>
      <c r="GK70" s="73"/>
      <c r="GL70" s="72">
        <f t="shared" ref="GL70:GL77" si="361">IFERROR(IF($M70=GK70,($D$8+$D$9+$D$10)*$I70,IF($N70=LEFT(GK70,1),($D$8+MAX(0,IF($D$50=1,$D$9*(1-(ABS($Q70-ABS(VALUE(MID(GK70,FIND("|",GK70)+1,FIND("-",GK70)-FIND("|",GK70)-1))-VALUE(MID(GK70,FIND("-",GK70)+1,10)))))*$D$50),$D$9*(1-(IF($N70="X",ABS($O70-VALUE(MID(GK70,FIND("|",GK70)+1,FIND("-",GK70)-FIND("|",GK70)-1))),ABS($Q70-ABS(VALUE(MID(GK70,FIND("|",GK70)+1,FIND("-",GK70)-FIND("|",GK70)-1))-VALUE(MID(GK70,FIND("-",GK70)+1,10)))))*$D$50)))))*$I70,0)),0)</f>
        <v>0</v>
      </c>
      <c r="GM70" s="64"/>
      <c r="GN70" s="73"/>
      <c r="GO70" s="72">
        <f t="shared" ref="GO70:GO77" si="362">IFERROR(IF($M70=GN70,($D$8+$D$9+$D$10)*$I70,IF($N70=LEFT(GN70,1),($D$8+MAX(0,IF($D$50=1,$D$9*(1-(ABS($Q70-ABS(VALUE(MID(GN70,FIND("|",GN70)+1,FIND("-",GN70)-FIND("|",GN70)-1))-VALUE(MID(GN70,FIND("-",GN70)+1,10)))))*$D$50),$D$9*(1-(IF($N70="X",ABS($O70-VALUE(MID(GN70,FIND("|",GN70)+1,FIND("-",GN70)-FIND("|",GN70)-1))),ABS($Q70-ABS(VALUE(MID(GN70,FIND("|",GN70)+1,FIND("-",GN70)-FIND("|",GN70)-1))-VALUE(MID(GN70,FIND("-",GN70)+1,10)))))*$D$50)))))*$I70,0)),0)</f>
        <v>0</v>
      </c>
      <c r="GP70" s="64"/>
      <c r="GQ70" s="73"/>
      <c r="GR70" s="72">
        <f t="shared" si="308"/>
        <v>0</v>
      </c>
      <c r="GS70" s="64"/>
      <c r="GT70" s="73"/>
      <c r="GU70" s="72">
        <f t="shared" si="309"/>
        <v>0</v>
      </c>
      <c r="GV70" s="64"/>
      <c r="GW70" s="73"/>
      <c r="GX70" s="72">
        <f t="shared" ref="GX70:GX77" si="363">IFERROR(IF($M70=GW70,($D$8+$D$9+$D$10)*$I70,IF($N70=LEFT(GW70,1),($D$8+MAX(0,IF($D$50=1,$D$9*(1-(ABS($Q70-ABS(VALUE(MID(GW70,FIND("|",GW70)+1,FIND("-",GW70)-FIND("|",GW70)-1))-VALUE(MID(GW70,FIND("-",GW70)+1,10)))))*$D$50),$D$9*(1-(IF($N70="X",ABS($O70-VALUE(MID(GW70,FIND("|",GW70)+1,FIND("-",GW70)-FIND("|",GW70)-1))),ABS($Q70-ABS(VALUE(MID(GW70,FIND("|",GW70)+1,FIND("-",GW70)-FIND("|",GW70)-1))-VALUE(MID(GW70,FIND("-",GW70)+1,10)))))*$D$50)))))*$I70,0)),0)</f>
        <v>0</v>
      </c>
      <c r="GY70" s="64"/>
      <c r="GZ70" s="73"/>
      <c r="HA70" s="72">
        <f t="shared" ref="HA70:HA77" si="364">IFERROR(IF($M70=GZ70,($D$8+$D$9+$D$10)*$I70,IF($N70=LEFT(GZ70,1),($D$8+MAX(0,IF($D$50=1,$D$9*(1-(ABS($Q70-ABS(VALUE(MID(GZ70,FIND("|",GZ70)+1,FIND("-",GZ70)-FIND("|",GZ70)-1))-VALUE(MID(GZ70,FIND("-",GZ70)+1,10)))))*$D$50),$D$9*(1-(IF($N70="X",ABS($O70-VALUE(MID(GZ70,FIND("|",GZ70)+1,FIND("-",GZ70)-FIND("|",GZ70)-1))),ABS($Q70-ABS(VALUE(MID(GZ70,FIND("|",GZ70)+1,FIND("-",GZ70)-FIND("|",GZ70)-1))-VALUE(MID(GZ70,FIND("-",GZ70)+1,10)))))*$D$50)))))*$I70,0)),0)</f>
        <v>0</v>
      </c>
      <c r="HB70" s="64"/>
      <c r="HC70" s="73"/>
      <c r="HD70" s="72">
        <f t="shared" ref="HD70:HD77" si="365">IFERROR(IF($M70=HC70,($D$8+$D$9+$D$10)*$I70,IF($N70=LEFT(HC70,1),($D$8+MAX(0,IF($D$50=1,$D$9*(1-(ABS($Q70-ABS(VALUE(MID(HC70,FIND("|",HC70)+1,FIND("-",HC70)-FIND("|",HC70)-1))-VALUE(MID(HC70,FIND("-",HC70)+1,10)))))*$D$50),$D$9*(1-(IF($N70="X",ABS($O70-VALUE(MID(HC70,FIND("|",HC70)+1,FIND("-",HC70)-FIND("|",HC70)-1))),ABS($Q70-ABS(VALUE(MID(HC70,FIND("|",HC70)+1,FIND("-",HC70)-FIND("|",HC70)-1))-VALUE(MID(HC70,FIND("-",HC70)+1,10)))))*$D$50)))))*$I70,0)),0)</f>
        <v>0</v>
      </c>
      <c r="HE70" s="64"/>
      <c r="HF70" s="73"/>
      <c r="HG70" s="72">
        <f t="shared" si="310"/>
        <v>0</v>
      </c>
      <c r="HH70" s="64"/>
      <c r="HI70" s="73"/>
      <c r="HJ70" s="72">
        <f t="shared" si="311"/>
        <v>0</v>
      </c>
      <c r="HK70" s="64"/>
      <c r="HL70" s="73"/>
      <c r="HM70" s="72">
        <f t="shared" ref="HM70:HM77" si="366">IFERROR(IF($M70=HL70,($D$8+$D$9+$D$10)*$I70,IF($N70=LEFT(HL70,1),($D$8+MAX(0,IF($D$50=1,$D$9*(1-(ABS($Q70-ABS(VALUE(MID(HL70,FIND("|",HL70)+1,FIND("-",HL70)-FIND("|",HL70)-1))-VALUE(MID(HL70,FIND("-",HL70)+1,10)))))*$D$50),$D$9*(1-(IF($N70="X",ABS($O70-VALUE(MID(HL70,FIND("|",HL70)+1,FIND("-",HL70)-FIND("|",HL70)-1))),ABS($Q70-ABS(VALUE(MID(HL70,FIND("|",HL70)+1,FIND("-",HL70)-FIND("|",HL70)-1))-VALUE(MID(HL70,FIND("-",HL70)+1,10)))))*$D$50)))))*$I70,0)),0)</f>
        <v>0</v>
      </c>
      <c r="HN70" s="64"/>
      <c r="HO70" s="73"/>
      <c r="HP70" s="72">
        <f t="shared" ref="HP70:HP77" si="367">IFERROR(IF($M70=HO70,($D$8+$D$9+$D$10)*$I70,IF($N70=LEFT(HO70,1),($D$8+MAX(0,IF($D$50=1,$D$9*(1-(ABS($Q70-ABS(VALUE(MID(HO70,FIND("|",HO70)+1,FIND("-",HO70)-FIND("|",HO70)-1))-VALUE(MID(HO70,FIND("-",HO70)+1,10)))))*$D$50),$D$9*(1-(IF($N70="X",ABS($O70-VALUE(MID(HO70,FIND("|",HO70)+1,FIND("-",HO70)-FIND("|",HO70)-1))),ABS($Q70-ABS(VALUE(MID(HO70,FIND("|",HO70)+1,FIND("-",HO70)-FIND("|",HO70)-1))-VALUE(MID(HO70,FIND("-",HO70)+1,10)))))*$D$50)))))*$I70,0)),0)</f>
        <v>0</v>
      </c>
      <c r="HQ70" s="64"/>
      <c r="HR70" s="73"/>
      <c r="HS70" s="72">
        <f t="shared" ref="HS70:HS77" si="368">IFERROR(IF($M70=HR70,($D$8+$D$9+$D$10)*$I70,IF($N70=LEFT(HR70,1),($D$8+MAX(0,IF($D$50=1,$D$9*(1-(ABS($Q70-ABS(VALUE(MID(HR70,FIND("|",HR70)+1,FIND("-",HR70)-FIND("|",HR70)-1))-VALUE(MID(HR70,FIND("-",HR70)+1,10)))))*$D$50),$D$9*(1-(IF($N70="X",ABS($O70-VALUE(MID(HR70,FIND("|",HR70)+1,FIND("-",HR70)-FIND("|",HR70)-1))),ABS($Q70-ABS(VALUE(MID(HR70,FIND("|",HR70)+1,FIND("-",HR70)-FIND("|",HR70)-1))-VALUE(MID(HR70,FIND("-",HR70)+1,10)))))*$D$50)))))*$I70,0)),0)</f>
        <v>0</v>
      </c>
      <c r="HT70" s="64"/>
      <c r="HU70" s="73"/>
      <c r="HV70" s="72">
        <f t="shared" si="312"/>
        <v>0</v>
      </c>
      <c r="HW70" s="64"/>
      <c r="HX70" s="73"/>
      <c r="HY70" s="72">
        <f t="shared" si="313"/>
        <v>0</v>
      </c>
      <c r="HZ70" s="64"/>
      <c r="IA70" s="73"/>
      <c r="IB70" s="72">
        <f t="shared" ref="IB70:IB77" si="369">IFERROR(IF($M70=IA70,($D$8+$D$9+$D$10)*$I70,IF($N70=LEFT(IA70,1),($D$8+MAX(0,IF($D$50=1,$D$9*(1-(ABS($Q70-ABS(VALUE(MID(IA70,FIND("|",IA70)+1,FIND("-",IA70)-FIND("|",IA70)-1))-VALUE(MID(IA70,FIND("-",IA70)+1,10)))))*$D$50),$D$9*(1-(IF($N70="X",ABS($O70-VALUE(MID(IA70,FIND("|",IA70)+1,FIND("-",IA70)-FIND("|",IA70)-1))),ABS($Q70-ABS(VALUE(MID(IA70,FIND("|",IA70)+1,FIND("-",IA70)-FIND("|",IA70)-1))-VALUE(MID(IA70,FIND("-",IA70)+1,10)))))*$D$50)))))*$I70,0)),0)</f>
        <v>0</v>
      </c>
      <c r="IC70" s="64"/>
      <c r="ID70" s="73"/>
      <c r="IE70" s="72">
        <f t="shared" ref="IE70:IE77" si="370">IFERROR(IF($M70=ID70,($D$8+$D$9+$D$10)*$I70,IF($N70=LEFT(ID70,1),($D$8+MAX(0,IF($D$50=1,$D$9*(1-(ABS($Q70-ABS(VALUE(MID(ID70,FIND("|",ID70)+1,FIND("-",ID70)-FIND("|",ID70)-1))-VALUE(MID(ID70,FIND("-",ID70)+1,10)))))*$D$50),$D$9*(1-(IF($N70="X",ABS($O70-VALUE(MID(ID70,FIND("|",ID70)+1,FIND("-",ID70)-FIND("|",ID70)-1))),ABS($Q70-ABS(VALUE(MID(ID70,FIND("|",ID70)+1,FIND("-",ID70)-FIND("|",ID70)-1))-VALUE(MID(ID70,FIND("-",ID70)+1,10)))))*$D$50)))))*$I70,0)),0)</f>
        <v>0</v>
      </c>
      <c r="IF70" s="64"/>
      <c r="IG70" s="73"/>
      <c r="IH70" s="72">
        <f t="shared" ref="IH70:IH77" si="371">IFERROR(IF($M70=IG70,($D$8+$D$9+$D$10)*$I70,IF($N70=LEFT(IG70,1),($D$8+MAX(0,IF($D$50=1,$D$9*(1-(ABS($Q70-ABS(VALUE(MID(IG70,FIND("|",IG70)+1,FIND("-",IG70)-FIND("|",IG70)-1))-VALUE(MID(IG70,FIND("-",IG70)+1,10)))))*$D$50),$D$9*(1-(IF($N70="X",ABS($O70-VALUE(MID(IG70,FIND("|",IG70)+1,FIND("-",IG70)-FIND("|",IG70)-1))),ABS($Q70-ABS(VALUE(MID(IG70,FIND("|",IG70)+1,FIND("-",IG70)-FIND("|",IG70)-1))-VALUE(MID(IG70,FIND("-",IG70)+1,10)))))*$D$50)))))*$I70,0)),0)</f>
        <v>0</v>
      </c>
      <c r="II70" s="64"/>
      <c r="IJ70" s="73"/>
      <c r="IK70" s="72">
        <f t="shared" si="314"/>
        <v>0</v>
      </c>
      <c r="IL70" s="64"/>
      <c r="IM70" s="73"/>
      <c r="IN70" s="72">
        <f t="shared" si="315"/>
        <v>0</v>
      </c>
      <c r="IO70" s="64"/>
      <c r="IP70" s="73"/>
      <c r="IQ70" s="72">
        <f t="shared" ref="IQ70:IQ77" si="372">IFERROR(IF($M70=IP70,($D$8+$D$9+$D$10)*$I70,IF($N70=LEFT(IP70,1),($D$8+MAX(0,IF($D$50=1,$D$9*(1-(ABS($Q70-ABS(VALUE(MID(IP70,FIND("|",IP70)+1,FIND("-",IP70)-FIND("|",IP70)-1))-VALUE(MID(IP70,FIND("-",IP70)+1,10)))))*$D$50),$D$9*(1-(IF($N70="X",ABS($O70-VALUE(MID(IP70,FIND("|",IP70)+1,FIND("-",IP70)-FIND("|",IP70)-1))),ABS($Q70-ABS(VALUE(MID(IP70,FIND("|",IP70)+1,FIND("-",IP70)-FIND("|",IP70)-1))-VALUE(MID(IP70,FIND("-",IP70)+1,10)))))*$D$50)))))*$I70,0)),0)</f>
        <v>0</v>
      </c>
      <c r="IR70" s="64"/>
      <c r="IS70" s="73"/>
      <c r="IT70" s="72">
        <f t="shared" ref="IT70:IT77" si="373">IFERROR(IF($M70=IS70,($D$8+$D$9+$D$10)*$I70,IF($N70=LEFT(IS70,1),($D$8+MAX(0,IF($D$50=1,$D$9*(1-(ABS($Q70-ABS(VALUE(MID(IS70,FIND("|",IS70)+1,FIND("-",IS70)-FIND("|",IS70)-1))-VALUE(MID(IS70,FIND("-",IS70)+1,10)))))*$D$50),$D$9*(1-(IF($N70="X",ABS($O70-VALUE(MID(IS70,FIND("|",IS70)+1,FIND("-",IS70)-FIND("|",IS70)-1))),ABS($Q70-ABS(VALUE(MID(IS70,FIND("|",IS70)+1,FIND("-",IS70)-FIND("|",IS70)-1))-VALUE(MID(IS70,FIND("-",IS70)+1,10)))))*$D$50)))))*$I70,0)),0)</f>
        <v>0</v>
      </c>
      <c r="IU70" s="64"/>
      <c r="IV70" s="73"/>
      <c r="IW70" s="72">
        <f t="shared" ref="IW70:IW77" si="374">IFERROR(IF($M70=IV70,($D$8+$D$9+$D$10)*$I70,IF($N70=LEFT(IV70,1),($D$8+MAX(0,IF($D$50=1,$D$9*(1-(ABS($Q70-ABS(VALUE(MID(IV70,FIND("|",IV70)+1,FIND("-",IV70)-FIND("|",IV70)-1))-VALUE(MID(IV70,FIND("-",IV70)+1,10)))))*$D$50),$D$9*(1-(IF($N70="X",ABS($O70-VALUE(MID(IV70,FIND("|",IV70)+1,FIND("-",IV70)-FIND("|",IV70)-1))),ABS($Q70-ABS(VALUE(MID(IV70,FIND("|",IV70)+1,FIND("-",IV70)-FIND("|",IV70)-1))-VALUE(MID(IV70,FIND("-",IV70)+1,10)))))*$D$50)))))*$I70,0)),0)</f>
        <v>0</v>
      </c>
      <c r="IX70" s="64"/>
      <c r="IY70" s="73"/>
      <c r="IZ70" s="72">
        <f t="shared" si="316"/>
        <v>0</v>
      </c>
      <c r="JA70" s="64"/>
      <c r="JB70" s="73"/>
      <c r="JC70" s="72">
        <f t="shared" si="317"/>
        <v>0</v>
      </c>
      <c r="JD70" s="64"/>
      <c r="JE70" s="73"/>
      <c r="JF70" s="72">
        <f t="shared" ref="JF70:JF77" si="375">IFERROR(IF($M70=JE70,($D$8+$D$9+$D$10)*$I70,IF($N70=LEFT(JE70,1),($D$8+MAX(0,IF($D$50=1,$D$9*(1-(ABS($Q70-ABS(VALUE(MID(JE70,FIND("|",JE70)+1,FIND("-",JE70)-FIND("|",JE70)-1))-VALUE(MID(JE70,FIND("-",JE70)+1,10)))))*$D$50),$D$9*(1-(IF($N70="X",ABS($O70-VALUE(MID(JE70,FIND("|",JE70)+1,FIND("-",JE70)-FIND("|",JE70)-1))),ABS($Q70-ABS(VALUE(MID(JE70,FIND("|",JE70)+1,FIND("-",JE70)-FIND("|",JE70)-1))-VALUE(MID(JE70,FIND("-",JE70)+1,10)))))*$D$50)))))*$I70,0)),0)</f>
        <v>0</v>
      </c>
      <c r="JG70" s="64"/>
      <c r="JH70" s="73"/>
      <c r="JI70" s="72">
        <f t="shared" ref="JI70:JI77" si="376">IFERROR(IF($M70=JH70,($D$8+$D$9+$D$10)*$I70,IF($N70=LEFT(JH70,1),($D$8+MAX(0,IF($D$50=1,$D$9*(1-(ABS($Q70-ABS(VALUE(MID(JH70,FIND("|",JH70)+1,FIND("-",JH70)-FIND("|",JH70)-1))-VALUE(MID(JH70,FIND("-",JH70)+1,10)))))*$D$50),$D$9*(1-(IF($N70="X",ABS($O70-VALUE(MID(JH70,FIND("|",JH70)+1,FIND("-",JH70)-FIND("|",JH70)-1))),ABS($Q70-ABS(VALUE(MID(JH70,FIND("|",JH70)+1,FIND("-",JH70)-FIND("|",JH70)-1))-VALUE(MID(JH70,FIND("-",JH70)+1,10)))))*$D$50)))))*$I70,0)),0)</f>
        <v>0</v>
      </c>
      <c r="JJ70" s="64"/>
      <c r="JK70" s="73"/>
      <c r="JL70" s="72">
        <f t="shared" ref="JL70:JL77" si="377">IFERROR(IF($M70=JK70,($D$8+$D$9+$D$10)*$I70,IF($N70=LEFT(JK70,1),($D$8+MAX(0,IF($D$50=1,$D$9*(1-(ABS($Q70-ABS(VALUE(MID(JK70,FIND("|",JK70)+1,FIND("-",JK70)-FIND("|",JK70)-1))-VALUE(MID(JK70,FIND("-",JK70)+1,10)))))*$D$50),$D$9*(1-(IF($N70="X",ABS($O70-VALUE(MID(JK70,FIND("|",JK70)+1,FIND("-",JK70)-FIND("|",JK70)-1))),ABS($Q70-ABS(VALUE(MID(JK70,FIND("|",JK70)+1,FIND("-",JK70)-FIND("|",JK70)-1))-VALUE(MID(JK70,FIND("-",JK70)+1,10)))))*$D$50)))))*$I70,0)),0)</f>
        <v>0</v>
      </c>
      <c r="JM70" s="64"/>
      <c r="JN70" s="73"/>
      <c r="JO70" s="72">
        <f t="shared" si="318"/>
        <v>0</v>
      </c>
      <c r="JP70" s="64"/>
      <c r="JQ70" s="73"/>
      <c r="JR70" s="72">
        <f t="shared" si="319"/>
        <v>0</v>
      </c>
      <c r="JS70" s="64"/>
      <c r="JT70" s="73"/>
      <c r="JU70" s="72">
        <f t="shared" ref="JU70:JU77" si="378">IFERROR(IF($M70=JT70,($D$8+$D$9+$D$10)*$I70,IF($N70=LEFT(JT70,1),($D$8+MAX(0,IF($D$50=1,$D$9*(1-(ABS($Q70-ABS(VALUE(MID(JT70,FIND("|",JT70)+1,FIND("-",JT70)-FIND("|",JT70)-1))-VALUE(MID(JT70,FIND("-",JT70)+1,10)))))*$D$50),$D$9*(1-(IF($N70="X",ABS($O70-VALUE(MID(JT70,FIND("|",JT70)+1,FIND("-",JT70)-FIND("|",JT70)-1))),ABS($Q70-ABS(VALUE(MID(JT70,FIND("|",JT70)+1,FIND("-",JT70)-FIND("|",JT70)-1))-VALUE(MID(JT70,FIND("-",JT70)+1,10)))))*$D$50)))))*$I70,0)),0)</f>
        <v>0</v>
      </c>
      <c r="JV70" s="64"/>
      <c r="JW70" s="73"/>
      <c r="JX70" s="72">
        <f t="shared" ref="JX70:JX77" si="379">IFERROR(IF($M70=JW70,($D$8+$D$9+$D$10)*$I70,IF($N70=LEFT(JW70,1),($D$8+MAX(0,IF($D$50=1,$D$9*(1-(ABS($Q70-ABS(VALUE(MID(JW70,FIND("|",JW70)+1,FIND("-",JW70)-FIND("|",JW70)-1))-VALUE(MID(JW70,FIND("-",JW70)+1,10)))))*$D$50),$D$9*(1-(IF($N70="X",ABS($O70-VALUE(MID(JW70,FIND("|",JW70)+1,FIND("-",JW70)-FIND("|",JW70)-1))),ABS($Q70-ABS(VALUE(MID(JW70,FIND("|",JW70)+1,FIND("-",JW70)-FIND("|",JW70)-1))-VALUE(MID(JW70,FIND("-",JW70)+1,10)))))*$D$50)))))*$I70,0)),0)</f>
        <v>0</v>
      </c>
      <c r="JY70" s="64"/>
      <c r="JZ70" s="73"/>
      <c r="KA70" s="72">
        <f t="shared" ref="KA70:KA77" si="380">IFERROR(IF($M70=JZ70,($D$8+$D$9+$D$10)*$I70,IF($N70=LEFT(JZ70,1),($D$8+MAX(0,IF($D$50=1,$D$9*(1-(ABS($Q70-ABS(VALUE(MID(JZ70,FIND("|",JZ70)+1,FIND("-",JZ70)-FIND("|",JZ70)-1))-VALUE(MID(JZ70,FIND("-",JZ70)+1,10)))))*$D$50),$D$9*(1-(IF($N70="X",ABS($O70-VALUE(MID(JZ70,FIND("|",JZ70)+1,FIND("-",JZ70)-FIND("|",JZ70)-1))),ABS($Q70-ABS(VALUE(MID(JZ70,FIND("|",JZ70)+1,FIND("-",JZ70)-FIND("|",JZ70)-1))-VALUE(MID(JZ70,FIND("-",JZ70)+1,10)))))*$D$50)))))*$I70,0)),0)</f>
        <v>0</v>
      </c>
      <c r="KB70" s="64"/>
      <c r="KC70" s="73"/>
      <c r="KD70" s="72">
        <f t="shared" si="320"/>
        <v>0</v>
      </c>
      <c r="KE70" s="64"/>
      <c r="KF70" s="73"/>
      <c r="KG70" s="72">
        <f t="shared" si="321"/>
        <v>0</v>
      </c>
      <c r="KH70" s="64"/>
      <c r="KI70" s="73"/>
      <c r="KJ70" s="72">
        <f t="shared" ref="KJ70:KJ77" si="381">IFERROR(IF($M70=KI70,($D$8+$D$9+$D$10)*$I70,IF($N70=LEFT(KI70,1),($D$8+MAX(0,IF($D$50=1,$D$9*(1-(ABS($Q70-ABS(VALUE(MID(KI70,FIND("|",KI70)+1,FIND("-",KI70)-FIND("|",KI70)-1))-VALUE(MID(KI70,FIND("-",KI70)+1,10)))))*$D$50),$D$9*(1-(IF($N70="X",ABS($O70-VALUE(MID(KI70,FIND("|",KI70)+1,FIND("-",KI70)-FIND("|",KI70)-1))),ABS($Q70-ABS(VALUE(MID(KI70,FIND("|",KI70)+1,FIND("-",KI70)-FIND("|",KI70)-1))-VALUE(MID(KI70,FIND("-",KI70)+1,10)))))*$D$50)))))*$I70,0)),0)</f>
        <v>0</v>
      </c>
      <c r="KK70" s="64"/>
      <c r="KL70" s="73"/>
      <c r="KM70" s="72">
        <f t="shared" ref="KM70:KM77" si="382">IFERROR(IF($M70=KL70,($D$8+$D$9+$D$10)*$I70,IF($N70=LEFT(KL70,1),($D$8+MAX(0,IF($D$50=1,$D$9*(1-(ABS($Q70-ABS(VALUE(MID(KL70,FIND("|",KL70)+1,FIND("-",KL70)-FIND("|",KL70)-1))-VALUE(MID(KL70,FIND("-",KL70)+1,10)))))*$D$50),$D$9*(1-(IF($N70="X",ABS($O70-VALUE(MID(KL70,FIND("|",KL70)+1,FIND("-",KL70)-FIND("|",KL70)-1))),ABS($Q70-ABS(VALUE(MID(KL70,FIND("|",KL70)+1,FIND("-",KL70)-FIND("|",KL70)-1))-VALUE(MID(KL70,FIND("-",KL70)+1,10)))))*$D$50)))))*$I70,0)),0)</f>
        <v>0</v>
      </c>
      <c r="KN70" s="64"/>
      <c r="KO70" s="73"/>
      <c r="KP70" s="72">
        <f t="shared" ref="KP70:KP77" si="383">IFERROR(IF($M70=KO70,($D$8+$D$9+$D$10)*$I70,IF($N70=LEFT(KO70,1),($D$8+MAX(0,IF($D$50=1,$D$9*(1-(ABS($Q70-ABS(VALUE(MID(KO70,FIND("|",KO70)+1,FIND("-",KO70)-FIND("|",KO70)-1))-VALUE(MID(KO70,FIND("-",KO70)+1,10)))))*$D$50),$D$9*(1-(IF($N70="X",ABS($O70-VALUE(MID(KO70,FIND("|",KO70)+1,FIND("-",KO70)-FIND("|",KO70)-1))),ABS($Q70-ABS(VALUE(MID(KO70,FIND("|",KO70)+1,FIND("-",KO70)-FIND("|",KO70)-1))-VALUE(MID(KO70,FIND("-",KO70)+1,10)))))*$D$50)))))*$I70,0)),0)</f>
        <v>0</v>
      </c>
      <c r="KQ70" s="64"/>
      <c r="KR70" s="73"/>
      <c r="KS70" s="72">
        <f t="shared" si="322"/>
        <v>0</v>
      </c>
      <c r="KT70" s="64"/>
      <c r="KU70" s="73"/>
      <c r="KV70" s="72">
        <f t="shared" si="323"/>
        <v>0</v>
      </c>
      <c r="KW70" s="64"/>
      <c r="KX70" s="73"/>
      <c r="KY70" s="72">
        <f t="shared" ref="KY70:KY77" si="384">IFERROR(IF($M70=KX70,($D$8+$D$9+$D$10)*$I70,IF($N70=LEFT(KX70,1),($D$8+MAX(0,IF($D$50=1,$D$9*(1-(ABS($Q70-ABS(VALUE(MID(KX70,FIND("|",KX70)+1,FIND("-",KX70)-FIND("|",KX70)-1))-VALUE(MID(KX70,FIND("-",KX70)+1,10)))))*$D$50),$D$9*(1-(IF($N70="X",ABS($O70-VALUE(MID(KX70,FIND("|",KX70)+1,FIND("-",KX70)-FIND("|",KX70)-1))),ABS($Q70-ABS(VALUE(MID(KX70,FIND("|",KX70)+1,FIND("-",KX70)-FIND("|",KX70)-1))-VALUE(MID(KX70,FIND("-",KX70)+1,10)))))*$D$50)))))*$I70,0)),0)</f>
        <v>0</v>
      </c>
      <c r="KZ70" s="64"/>
      <c r="LA70" s="73"/>
      <c r="LB70" s="72">
        <f t="shared" ref="LB70:LB77" si="385">IFERROR(IF($M70=LA70,($D$8+$D$9+$D$10)*$I70,IF($N70=LEFT(LA70,1),($D$8+MAX(0,IF($D$50=1,$D$9*(1-(ABS($Q70-ABS(VALUE(MID(LA70,FIND("|",LA70)+1,FIND("-",LA70)-FIND("|",LA70)-1))-VALUE(MID(LA70,FIND("-",LA70)+1,10)))))*$D$50),$D$9*(1-(IF($N70="X",ABS($O70-VALUE(MID(LA70,FIND("|",LA70)+1,FIND("-",LA70)-FIND("|",LA70)-1))),ABS($Q70-ABS(VALUE(MID(LA70,FIND("|",LA70)+1,FIND("-",LA70)-FIND("|",LA70)-1))-VALUE(MID(LA70,FIND("-",LA70)+1,10)))))*$D$50)))))*$I70,0)),0)</f>
        <v>0</v>
      </c>
      <c r="LC70" s="64"/>
      <c r="LD70" s="73"/>
      <c r="LE70" s="72">
        <f t="shared" ref="LE70:LE77" si="386">IFERROR(IF($M70=LD70,($D$8+$D$9+$D$10)*$I70,IF($N70=LEFT(LD70,1),($D$8+MAX(0,IF($D$50=1,$D$9*(1-(ABS($Q70-ABS(VALUE(MID(LD70,FIND("|",LD70)+1,FIND("-",LD70)-FIND("|",LD70)-1))-VALUE(MID(LD70,FIND("-",LD70)+1,10)))))*$D$50),$D$9*(1-(IF($N70="X",ABS($O70-VALUE(MID(LD70,FIND("|",LD70)+1,FIND("-",LD70)-FIND("|",LD70)-1))),ABS($Q70-ABS(VALUE(MID(LD70,FIND("|",LD70)+1,FIND("-",LD70)-FIND("|",LD70)-1))-VALUE(MID(LD70,FIND("-",LD70)+1,10)))))*$D$50)))))*$I70,0)),0)</f>
        <v>0</v>
      </c>
      <c r="LF70" s="64"/>
    </row>
    <row r="71" spans="1:318" s="784" customFormat="1">
      <c r="A71" s="49"/>
      <c r="B71" s="49"/>
      <c r="C71" s="17"/>
      <c r="D71" s="17"/>
      <c r="E71" s="109"/>
      <c r="F71" s="443">
        <f t="shared" ref="F71:F77" si="387">SUM($D$8:$D$10)*I71</f>
        <v>15</v>
      </c>
      <c r="G71" s="443">
        <f ca="1">VLOOKUP(H71,Equipos!$Q$1:$R$25,2,0)</f>
        <v>16</v>
      </c>
      <c r="H71" s="444">
        <f ca="1">TRUNC(INDEX(WORLDCUP!$X$4:$X$147,MATCH(ADMIN!K71,WORLDCUP!$DT$4:$DT$147,0))+INDEX(Horarios!$R$3:$R$86,MATCH(Horarios!$C$3,Horarios!$P$3:$P$86,0))/24)</f>
        <v>46199</v>
      </c>
      <c r="I71" s="48">
        <v>1</v>
      </c>
      <c r="J71" s="93"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388">ABS(O71-P71)</f>
        <v>0</v>
      </c>
      <c r="R71" s="49"/>
      <c r="S71" s="796" t="s">
        <v>1956</v>
      </c>
      <c r="T71" s="72">
        <f t="shared" si="285"/>
        <v>0</v>
      </c>
      <c r="U71" s="64"/>
      <c r="V71" s="73" t="s">
        <v>1948</v>
      </c>
      <c r="W71" s="72">
        <f t="shared" si="286"/>
        <v>0</v>
      </c>
      <c r="X71" s="64"/>
      <c r="Y71" s="796" t="s">
        <v>1948</v>
      </c>
      <c r="Z71" s="72">
        <f t="shared" si="326"/>
        <v>0</v>
      </c>
      <c r="AA71" s="64"/>
      <c r="AB71" s="796" t="s">
        <v>1955</v>
      </c>
      <c r="AC71" s="72">
        <f t="shared" si="327"/>
        <v>0</v>
      </c>
      <c r="AD71" s="64"/>
      <c r="AE71" s="796" t="s">
        <v>1948</v>
      </c>
      <c r="AF71" s="72">
        <f t="shared" si="325"/>
        <v>0</v>
      </c>
      <c r="AG71" s="64"/>
      <c r="AH71" s="796" t="s">
        <v>1948</v>
      </c>
      <c r="AI71" s="72">
        <f t="shared" si="288"/>
        <v>0</v>
      </c>
      <c r="AJ71" s="64"/>
      <c r="AK71" s="806" t="s">
        <v>1948</v>
      </c>
      <c r="AL71" s="72">
        <f t="shared" si="289"/>
        <v>0</v>
      </c>
      <c r="AM71" s="64"/>
      <c r="AN71" s="796" t="s">
        <v>1955</v>
      </c>
      <c r="AO71" s="72">
        <f t="shared" si="328"/>
        <v>0</v>
      </c>
      <c r="AP71" s="64"/>
      <c r="AQ71" s="806" t="s">
        <v>1958</v>
      </c>
      <c r="AR71" s="72">
        <f t="shared" si="329"/>
        <v>0</v>
      </c>
      <c r="AS71" s="64"/>
      <c r="AT71" s="796" t="s">
        <v>1960</v>
      </c>
      <c r="AU71" s="72">
        <f t="shared" si="330"/>
        <v>0</v>
      </c>
      <c r="AV71" s="64"/>
      <c r="AW71" s="796" t="s">
        <v>1955</v>
      </c>
      <c r="AX71" s="72">
        <f t="shared" si="290"/>
        <v>0</v>
      </c>
      <c r="AY71" s="64"/>
      <c r="AZ71" s="796" t="s">
        <v>1950</v>
      </c>
      <c r="BA71" s="72">
        <f t="shared" si="291"/>
        <v>0</v>
      </c>
      <c r="BB71" s="64"/>
      <c r="BC71" s="796" t="s">
        <v>1955</v>
      </c>
      <c r="BD71" s="72">
        <f t="shared" si="331"/>
        <v>0</v>
      </c>
      <c r="BE71" s="64"/>
      <c r="BF71" s="796" t="s">
        <v>1957</v>
      </c>
      <c r="BG71" s="72">
        <f t="shared" si="332"/>
        <v>0</v>
      </c>
      <c r="BH71" s="64"/>
      <c r="BI71" s="796" t="s">
        <v>1955</v>
      </c>
      <c r="BJ71" s="72">
        <f t="shared" si="333"/>
        <v>0</v>
      </c>
      <c r="BK71" s="64"/>
      <c r="BL71" s="796" t="s">
        <v>1948</v>
      </c>
      <c r="BM71" s="72">
        <f t="shared" si="292"/>
        <v>0</v>
      </c>
      <c r="BN71" s="64"/>
      <c r="BO71" s="816" t="s">
        <v>1956</v>
      </c>
      <c r="BP71" s="72">
        <f t="shared" si="293"/>
        <v>0</v>
      </c>
      <c r="BQ71" s="64"/>
      <c r="BR71" s="796" t="s">
        <v>1956</v>
      </c>
      <c r="BS71" s="72">
        <f t="shared" si="334"/>
        <v>0</v>
      </c>
      <c r="BT71" s="64"/>
      <c r="BU71" s="796" t="s">
        <v>1958</v>
      </c>
      <c r="BV71" s="72">
        <f t="shared" si="335"/>
        <v>0</v>
      </c>
      <c r="BW71" s="64"/>
      <c r="BX71" s="73" t="s">
        <v>1948</v>
      </c>
      <c r="BY71" s="72">
        <f t="shared" si="336"/>
        <v>0</v>
      </c>
      <c r="BZ71" s="64"/>
      <c r="CA71" s="816" t="s">
        <v>1955</v>
      </c>
      <c r="CB71" s="72">
        <f t="shared" si="294"/>
        <v>0</v>
      </c>
      <c r="CC71" s="64"/>
      <c r="CD71" s="825" t="s">
        <v>1950</v>
      </c>
      <c r="CE71" s="72">
        <f t="shared" si="295"/>
        <v>0</v>
      </c>
      <c r="CF71" s="64"/>
      <c r="CG71" s="796" t="s">
        <v>1948</v>
      </c>
      <c r="CH71" s="72">
        <f t="shared" si="337"/>
        <v>0</v>
      </c>
      <c r="CI71" s="64"/>
      <c r="CJ71" s="796" t="s">
        <v>1948</v>
      </c>
      <c r="CK71" s="72">
        <f t="shared" si="338"/>
        <v>0</v>
      </c>
      <c r="CL71" s="64"/>
      <c r="CM71" s="796" t="s">
        <v>1958</v>
      </c>
      <c r="CN71" s="72">
        <f t="shared" si="339"/>
        <v>0</v>
      </c>
      <c r="CO71" s="64"/>
      <c r="CP71" s="796" t="s">
        <v>1957</v>
      </c>
      <c r="CQ71" s="72">
        <f t="shared" si="296"/>
        <v>0</v>
      </c>
      <c r="CR71" s="64"/>
      <c r="CS71" s="796" t="s">
        <v>1958</v>
      </c>
      <c r="CT71" s="72">
        <f t="shared" si="297"/>
        <v>0</v>
      </c>
      <c r="CU71" s="64"/>
      <c r="CV71" s="796" t="s">
        <v>1955</v>
      </c>
      <c r="CW71" s="72">
        <f t="shared" si="340"/>
        <v>0</v>
      </c>
      <c r="CX71" s="64"/>
      <c r="CY71" s="796" t="s">
        <v>1955</v>
      </c>
      <c r="CZ71" s="72">
        <f t="shared" si="341"/>
        <v>0</v>
      </c>
      <c r="DA71" s="64"/>
      <c r="DB71" s="796" t="s">
        <v>1960</v>
      </c>
      <c r="DC71" s="72">
        <f t="shared" si="342"/>
        <v>0</v>
      </c>
      <c r="DD71" s="64"/>
      <c r="DE71" s="796" t="s">
        <v>1948</v>
      </c>
      <c r="DF71" s="72">
        <f t="shared" si="343"/>
        <v>0</v>
      </c>
      <c r="DG71" s="64"/>
      <c r="DH71" s="796" t="s">
        <v>1956</v>
      </c>
      <c r="DI71" s="72">
        <f t="shared" si="344"/>
        <v>0</v>
      </c>
      <c r="DJ71" s="64"/>
      <c r="DK71" s="796" t="s">
        <v>1948</v>
      </c>
      <c r="DL71" s="72">
        <f t="shared" si="345"/>
        <v>0</v>
      </c>
      <c r="DM71" s="64"/>
      <c r="DN71" s="73"/>
      <c r="DO71" s="72">
        <f t="shared" si="346"/>
        <v>0</v>
      </c>
      <c r="DP71" s="64"/>
      <c r="DQ71" s="796" t="s">
        <v>1956</v>
      </c>
      <c r="DR71" s="72">
        <f t="shared" si="347"/>
        <v>0</v>
      </c>
      <c r="DS71" s="64"/>
      <c r="DT71" s="73" t="s">
        <v>1956</v>
      </c>
      <c r="DU71" s="72">
        <f t="shared" si="298"/>
        <v>0</v>
      </c>
      <c r="DV71" s="64"/>
      <c r="DW71" s="73"/>
      <c r="DX71" s="72">
        <f t="shared" si="299"/>
        <v>0</v>
      </c>
      <c r="DY71" s="64"/>
      <c r="DZ71" s="73"/>
      <c r="EA71" s="72">
        <f t="shared" si="348"/>
        <v>0</v>
      </c>
      <c r="EB71" s="64"/>
      <c r="EC71" s="73"/>
      <c r="ED71" s="72">
        <f t="shared" si="349"/>
        <v>0</v>
      </c>
      <c r="EE71" s="64"/>
      <c r="EF71" s="73"/>
      <c r="EG71" s="72">
        <f t="shared" si="350"/>
        <v>0</v>
      </c>
      <c r="EH71" s="64"/>
      <c r="EI71" s="73"/>
      <c r="EJ71" s="72">
        <f t="shared" si="300"/>
        <v>0</v>
      </c>
      <c r="EK71" s="64"/>
      <c r="EL71" s="73"/>
      <c r="EM71" s="72">
        <f t="shared" si="301"/>
        <v>0</v>
      </c>
      <c r="EN71" s="64"/>
      <c r="EO71" s="73"/>
      <c r="EP71" s="72">
        <f t="shared" si="351"/>
        <v>0</v>
      </c>
      <c r="EQ71" s="64"/>
      <c r="ER71" s="73"/>
      <c r="ES71" s="72">
        <f t="shared" si="352"/>
        <v>0</v>
      </c>
      <c r="ET71" s="64"/>
      <c r="EU71" s="73"/>
      <c r="EV71" s="72">
        <f t="shared" si="353"/>
        <v>0</v>
      </c>
      <c r="EW71" s="64"/>
      <c r="EX71" s="73"/>
      <c r="EY71" s="72">
        <f t="shared" si="302"/>
        <v>0</v>
      </c>
      <c r="EZ71" s="64"/>
      <c r="FA71" s="73"/>
      <c r="FB71" s="72">
        <f t="shared" si="303"/>
        <v>0</v>
      </c>
      <c r="FC71" s="64"/>
      <c r="FD71" s="73"/>
      <c r="FE71" s="72">
        <f t="shared" si="354"/>
        <v>0</v>
      </c>
      <c r="FF71" s="64"/>
      <c r="FG71" s="73"/>
      <c r="FH71" s="72">
        <f t="shared" si="355"/>
        <v>0</v>
      </c>
      <c r="FI71" s="64"/>
      <c r="FJ71" s="73"/>
      <c r="FK71" s="72">
        <f t="shared" si="356"/>
        <v>0</v>
      </c>
      <c r="FL71" s="64"/>
      <c r="FM71" s="73"/>
      <c r="FN71" s="72">
        <f t="shared" si="304"/>
        <v>0</v>
      </c>
      <c r="FO71" s="64"/>
      <c r="FP71" s="73"/>
      <c r="FQ71" s="72">
        <f t="shared" si="305"/>
        <v>0</v>
      </c>
      <c r="FR71" s="64"/>
      <c r="FS71" s="73"/>
      <c r="FT71" s="72">
        <f t="shared" si="357"/>
        <v>0</v>
      </c>
      <c r="FU71" s="64"/>
      <c r="FV71" s="73"/>
      <c r="FW71" s="72">
        <f t="shared" si="358"/>
        <v>0</v>
      </c>
      <c r="FX71" s="64"/>
      <c r="FY71" s="73"/>
      <c r="FZ71" s="72">
        <f t="shared" si="359"/>
        <v>0</v>
      </c>
      <c r="GA71" s="64"/>
      <c r="GB71" s="73"/>
      <c r="GC71" s="72">
        <f t="shared" si="306"/>
        <v>0</v>
      </c>
      <c r="GD71" s="64"/>
      <c r="GE71" s="73"/>
      <c r="GF71" s="72">
        <f t="shared" si="307"/>
        <v>0</v>
      </c>
      <c r="GG71" s="64"/>
      <c r="GH71" s="73"/>
      <c r="GI71" s="72">
        <f t="shared" si="360"/>
        <v>0</v>
      </c>
      <c r="GJ71" s="64"/>
      <c r="GK71" s="73"/>
      <c r="GL71" s="72">
        <f t="shared" si="361"/>
        <v>0</v>
      </c>
      <c r="GM71" s="64"/>
      <c r="GN71" s="73"/>
      <c r="GO71" s="72">
        <f t="shared" si="362"/>
        <v>0</v>
      </c>
      <c r="GP71" s="64"/>
      <c r="GQ71" s="73"/>
      <c r="GR71" s="72">
        <f t="shared" si="308"/>
        <v>0</v>
      </c>
      <c r="GS71" s="64"/>
      <c r="GT71" s="73"/>
      <c r="GU71" s="72">
        <f t="shared" si="309"/>
        <v>0</v>
      </c>
      <c r="GV71" s="64"/>
      <c r="GW71" s="73"/>
      <c r="GX71" s="72">
        <f t="shared" si="363"/>
        <v>0</v>
      </c>
      <c r="GY71" s="64"/>
      <c r="GZ71" s="73"/>
      <c r="HA71" s="72">
        <f t="shared" si="364"/>
        <v>0</v>
      </c>
      <c r="HB71" s="64"/>
      <c r="HC71" s="73"/>
      <c r="HD71" s="72">
        <f t="shared" si="365"/>
        <v>0</v>
      </c>
      <c r="HE71" s="64"/>
      <c r="HF71" s="73"/>
      <c r="HG71" s="72">
        <f t="shared" si="310"/>
        <v>0</v>
      </c>
      <c r="HH71" s="64"/>
      <c r="HI71" s="73"/>
      <c r="HJ71" s="72">
        <f t="shared" si="311"/>
        <v>0</v>
      </c>
      <c r="HK71" s="64"/>
      <c r="HL71" s="73"/>
      <c r="HM71" s="72">
        <f t="shared" si="366"/>
        <v>0</v>
      </c>
      <c r="HN71" s="64"/>
      <c r="HO71" s="73"/>
      <c r="HP71" s="72">
        <f t="shared" si="367"/>
        <v>0</v>
      </c>
      <c r="HQ71" s="64"/>
      <c r="HR71" s="73"/>
      <c r="HS71" s="72">
        <f t="shared" si="368"/>
        <v>0</v>
      </c>
      <c r="HT71" s="64"/>
      <c r="HU71" s="73"/>
      <c r="HV71" s="72">
        <f t="shared" si="312"/>
        <v>0</v>
      </c>
      <c r="HW71" s="64"/>
      <c r="HX71" s="73"/>
      <c r="HY71" s="72">
        <f t="shared" si="313"/>
        <v>0</v>
      </c>
      <c r="HZ71" s="64"/>
      <c r="IA71" s="73"/>
      <c r="IB71" s="72">
        <f t="shared" si="369"/>
        <v>0</v>
      </c>
      <c r="IC71" s="64"/>
      <c r="ID71" s="73"/>
      <c r="IE71" s="72">
        <f t="shared" si="370"/>
        <v>0</v>
      </c>
      <c r="IF71" s="64"/>
      <c r="IG71" s="73"/>
      <c r="IH71" s="72">
        <f t="shared" si="371"/>
        <v>0</v>
      </c>
      <c r="II71" s="64"/>
      <c r="IJ71" s="73"/>
      <c r="IK71" s="72">
        <f t="shared" si="314"/>
        <v>0</v>
      </c>
      <c r="IL71" s="64"/>
      <c r="IM71" s="73"/>
      <c r="IN71" s="72">
        <f t="shared" si="315"/>
        <v>0</v>
      </c>
      <c r="IO71" s="64"/>
      <c r="IP71" s="73"/>
      <c r="IQ71" s="72">
        <f t="shared" si="372"/>
        <v>0</v>
      </c>
      <c r="IR71" s="64"/>
      <c r="IS71" s="73"/>
      <c r="IT71" s="72">
        <f t="shared" si="373"/>
        <v>0</v>
      </c>
      <c r="IU71" s="64"/>
      <c r="IV71" s="73"/>
      <c r="IW71" s="72">
        <f t="shared" si="374"/>
        <v>0</v>
      </c>
      <c r="IX71" s="64"/>
      <c r="IY71" s="73"/>
      <c r="IZ71" s="72">
        <f t="shared" si="316"/>
        <v>0</v>
      </c>
      <c r="JA71" s="64"/>
      <c r="JB71" s="73"/>
      <c r="JC71" s="72">
        <f t="shared" si="317"/>
        <v>0</v>
      </c>
      <c r="JD71" s="64"/>
      <c r="JE71" s="73"/>
      <c r="JF71" s="72">
        <f t="shared" si="375"/>
        <v>0</v>
      </c>
      <c r="JG71" s="64"/>
      <c r="JH71" s="73"/>
      <c r="JI71" s="72">
        <f t="shared" si="376"/>
        <v>0</v>
      </c>
      <c r="JJ71" s="64"/>
      <c r="JK71" s="73"/>
      <c r="JL71" s="72">
        <f t="shared" si="377"/>
        <v>0</v>
      </c>
      <c r="JM71" s="64"/>
      <c r="JN71" s="73"/>
      <c r="JO71" s="72">
        <f t="shared" si="318"/>
        <v>0</v>
      </c>
      <c r="JP71" s="64"/>
      <c r="JQ71" s="73"/>
      <c r="JR71" s="72">
        <f t="shared" si="319"/>
        <v>0</v>
      </c>
      <c r="JS71" s="64"/>
      <c r="JT71" s="73"/>
      <c r="JU71" s="72">
        <f t="shared" si="378"/>
        <v>0</v>
      </c>
      <c r="JV71" s="64"/>
      <c r="JW71" s="73"/>
      <c r="JX71" s="72">
        <f t="shared" si="379"/>
        <v>0</v>
      </c>
      <c r="JY71" s="64"/>
      <c r="JZ71" s="73"/>
      <c r="KA71" s="72">
        <f t="shared" si="380"/>
        <v>0</v>
      </c>
      <c r="KB71" s="64"/>
      <c r="KC71" s="73"/>
      <c r="KD71" s="72">
        <f t="shared" si="320"/>
        <v>0</v>
      </c>
      <c r="KE71" s="64"/>
      <c r="KF71" s="73"/>
      <c r="KG71" s="72">
        <f t="shared" si="321"/>
        <v>0</v>
      </c>
      <c r="KH71" s="64"/>
      <c r="KI71" s="73"/>
      <c r="KJ71" s="72">
        <f t="shared" si="381"/>
        <v>0</v>
      </c>
      <c r="KK71" s="64"/>
      <c r="KL71" s="73"/>
      <c r="KM71" s="72">
        <f t="shared" si="382"/>
        <v>0</v>
      </c>
      <c r="KN71" s="64"/>
      <c r="KO71" s="73"/>
      <c r="KP71" s="72">
        <f t="shared" si="383"/>
        <v>0</v>
      </c>
      <c r="KQ71" s="64"/>
      <c r="KR71" s="73"/>
      <c r="KS71" s="72">
        <f t="shared" si="322"/>
        <v>0</v>
      </c>
      <c r="KT71" s="64"/>
      <c r="KU71" s="73"/>
      <c r="KV71" s="72">
        <f t="shared" si="323"/>
        <v>0</v>
      </c>
      <c r="KW71" s="64"/>
      <c r="KX71" s="73"/>
      <c r="KY71" s="72">
        <f t="shared" si="384"/>
        <v>0</v>
      </c>
      <c r="KZ71" s="64"/>
      <c r="LA71" s="73"/>
      <c r="LB71" s="72">
        <f t="shared" si="385"/>
        <v>0</v>
      </c>
      <c r="LC71" s="64"/>
      <c r="LD71" s="73"/>
      <c r="LE71" s="72">
        <f t="shared" si="386"/>
        <v>0</v>
      </c>
      <c r="LF71" s="64"/>
    </row>
    <row r="72" spans="1:318" s="784" customFormat="1">
      <c r="A72" s="49"/>
      <c r="B72" s="49"/>
      <c r="C72" s="17"/>
      <c r="D72" s="17"/>
      <c r="E72" s="109"/>
      <c r="F72" s="443">
        <f t="shared" si="387"/>
        <v>15</v>
      </c>
      <c r="G72" s="443">
        <f ca="1">VLOOKUP(H72,Equipos!$Q$1:$R$25,2,0)</f>
        <v>17</v>
      </c>
      <c r="H72" s="444">
        <f ca="1">TRUNC(INDEX(WORLDCUP!$X$4:$X$147,MATCH(ADMIN!K72,WORLDCUP!$DT$4:$DT$147,0))+INDEX(Horarios!$R$3:$R$86,MATCH(Horarios!$C$3,Horarios!$P$3:$P$86,0))/24)</f>
        <v>46200</v>
      </c>
      <c r="I72" s="48">
        <v>1</v>
      </c>
      <c r="J72" s="94"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388"/>
        <v>0</v>
      </c>
      <c r="R72" s="49"/>
      <c r="S72" s="796" t="s">
        <v>1962</v>
      </c>
      <c r="T72" s="72">
        <f t="shared" si="285"/>
        <v>0</v>
      </c>
      <c r="U72" s="64"/>
      <c r="V72" s="73" t="s">
        <v>1961</v>
      </c>
      <c r="W72" s="72">
        <f t="shared" si="286"/>
        <v>0</v>
      </c>
      <c r="X72" s="64"/>
      <c r="Y72" s="796" t="s">
        <v>1948</v>
      </c>
      <c r="Z72" s="72">
        <f t="shared" si="326"/>
        <v>0</v>
      </c>
      <c r="AA72" s="64"/>
      <c r="AB72" s="796" t="s">
        <v>2007</v>
      </c>
      <c r="AC72" s="72">
        <f t="shared" si="327"/>
        <v>0</v>
      </c>
      <c r="AD72" s="64"/>
      <c r="AE72" s="796" t="s">
        <v>1947</v>
      </c>
      <c r="AF72" s="72">
        <f t="shared" si="325"/>
        <v>0</v>
      </c>
      <c r="AG72" s="64"/>
      <c r="AH72" s="796" t="s">
        <v>1961</v>
      </c>
      <c r="AI72" s="72">
        <f t="shared" si="288"/>
        <v>0</v>
      </c>
      <c r="AJ72" s="64"/>
      <c r="AK72" s="806" t="s">
        <v>1948</v>
      </c>
      <c r="AL72" s="72">
        <f t="shared" si="289"/>
        <v>0</v>
      </c>
      <c r="AM72" s="64"/>
      <c r="AN72" s="796" t="s">
        <v>1962</v>
      </c>
      <c r="AO72" s="72">
        <f t="shared" si="328"/>
        <v>0</v>
      </c>
      <c r="AP72" s="64"/>
      <c r="AQ72" s="806" t="s">
        <v>1947</v>
      </c>
      <c r="AR72" s="72">
        <f t="shared" si="329"/>
        <v>0</v>
      </c>
      <c r="AS72" s="64"/>
      <c r="AT72" s="796" t="s">
        <v>2007</v>
      </c>
      <c r="AU72" s="72">
        <f t="shared" si="330"/>
        <v>0</v>
      </c>
      <c r="AV72" s="64"/>
      <c r="AW72" s="796" t="s">
        <v>1955</v>
      </c>
      <c r="AX72" s="72">
        <f t="shared" si="290"/>
        <v>0</v>
      </c>
      <c r="AY72" s="64"/>
      <c r="AZ72" s="796" t="s">
        <v>1954</v>
      </c>
      <c r="BA72" s="72">
        <f t="shared" si="291"/>
        <v>0</v>
      </c>
      <c r="BB72" s="64"/>
      <c r="BC72" s="796" t="s">
        <v>2007</v>
      </c>
      <c r="BD72" s="72">
        <f t="shared" si="331"/>
        <v>0</v>
      </c>
      <c r="BE72" s="64"/>
      <c r="BF72" s="796" t="s">
        <v>1953</v>
      </c>
      <c r="BG72" s="72">
        <f t="shared" si="332"/>
        <v>0</v>
      </c>
      <c r="BH72" s="64"/>
      <c r="BI72" s="796" t="s">
        <v>2007</v>
      </c>
      <c r="BJ72" s="72">
        <f t="shared" si="333"/>
        <v>0</v>
      </c>
      <c r="BK72" s="64"/>
      <c r="BL72" s="796" t="s">
        <v>1961</v>
      </c>
      <c r="BM72" s="72">
        <f t="shared" si="292"/>
        <v>0</v>
      </c>
      <c r="BN72" s="64"/>
      <c r="BO72" s="816" t="s">
        <v>1949</v>
      </c>
      <c r="BP72" s="72">
        <f t="shared" si="293"/>
        <v>0</v>
      </c>
      <c r="BQ72" s="64"/>
      <c r="BR72" s="796" t="s">
        <v>1961</v>
      </c>
      <c r="BS72" s="72">
        <f t="shared" si="334"/>
        <v>0</v>
      </c>
      <c r="BT72" s="64"/>
      <c r="BU72" s="796" t="s">
        <v>1962</v>
      </c>
      <c r="BV72" s="72">
        <f t="shared" si="335"/>
        <v>0</v>
      </c>
      <c r="BW72" s="64"/>
      <c r="BX72" s="73" t="s">
        <v>1955</v>
      </c>
      <c r="BY72" s="72">
        <f t="shared" si="336"/>
        <v>0</v>
      </c>
      <c r="BZ72" s="64"/>
      <c r="CA72" s="816" t="s">
        <v>1951</v>
      </c>
      <c r="CB72" s="72">
        <f t="shared" si="294"/>
        <v>0</v>
      </c>
      <c r="CC72" s="64"/>
      <c r="CD72" s="825" t="s">
        <v>1950</v>
      </c>
      <c r="CE72" s="72">
        <f t="shared" si="295"/>
        <v>0</v>
      </c>
      <c r="CF72" s="64"/>
      <c r="CG72" s="796" t="s">
        <v>1961</v>
      </c>
      <c r="CH72" s="72">
        <f t="shared" si="337"/>
        <v>0</v>
      </c>
      <c r="CI72" s="64"/>
      <c r="CJ72" s="796" t="s">
        <v>1950</v>
      </c>
      <c r="CK72" s="72">
        <f t="shared" si="338"/>
        <v>0</v>
      </c>
      <c r="CL72" s="64"/>
      <c r="CM72" s="796" t="s">
        <v>1961</v>
      </c>
      <c r="CN72" s="72">
        <f t="shared" si="339"/>
        <v>0</v>
      </c>
      <c r="CO72" s="64"/>
      <c r="CP72" s="796" t="s">
        <v>2007</v>
      </c>
      <c r="CQ72" s="72">
        <f t="shared" si="296"/>
        <v>0</v>
      </c>
      <c r="CR72" s="64"/>
      <c r="CS72" s="796" t="s">
        <v>1962</v>
      </c>
      <c r="CT72" s="72">
        <f t="shared" si="297"/>
        <v>0</v>
      </c>
      <c r="CU72" s="64"/>
      <c r="CV72" s="796" t="s">
        <v>1961</v>
      </c>
      <c r="CW72" s="72">
        <f t="shared" si="340"/>
        <v>0</v>
      </c>
      <c r="CX72" s="64"/>
      <c r="CY72" s="796" t="s">
        <v>1955</v>
      </c>
      <c r="CZ72" s="72">
        <f t="shared" si="341"/>
        <v>0</v>
      </c>
      <c r="DA72" s="64"/>
      <c r="DB72" s="796" t="s">
        <v>1947</v>
      </c>
      <c r="DC72" s="72">
        <f t="shared" si="342"/>
        <v>0</v>
      </c>
      <c r="DD72" s="64"/>
      <c r="DE72" s="796" t="s">
        <v>1947</v>
      </c>
      <c r="DF72" s="72">
        <f t="shared" si="343"/>
        <v>0</v>
      </c>
      <c r="DG72" s="64"/>
      <c r="DH72" s="796" t="s">
        <v>1949</v>
      </c>
      <c r="DI72" s="72">
        <f t="shared" si="344"/>
        <v>0</v>
      </c>
      <c r="DJ72" s="64"/>
      <c r="DK72" s="796" t="s">
        <v>1958</v>
      </c>
      <c r="DL72" s="72">
        <f t="shared" si="345"/>
        <v>0</v>
      </c>
      <c r="DM72" s="64"/>
      <c r="DN72" s="73"/>
      <c r="DO72" s="72">
        <f t="shared" si="346"/>
        <v>0</v>
      </c>
      <c r="DP72" s="64"/>
      <c r="DQ72" s="796" t="s">
        <v>1955</v>
      </c>
      <c r="DR72" s="72">
        <f t="shared" si="347"/>
        <v>0</v>
      </c>
      <c r="DS72" s="64"/>
      <c r="DT72" s="73" t="s">
        <v>1961</v>
      </c>
      <c r="DU72" s="72">
        <f t="shared" si="298"/>
        <v>0</v>
      </c>
      <c r="DV72" s="64"/>
      <c r="DW72" s="73"/>
      <c r="DX72" s="72">
        <f t="shared" si="299"/>
        <v>0</v>
      </c>
      <c r="DY72" s="64"/>
      <c r="DZ72" s="73"/>
      <c r="EA72" s="72">
        <f t="shared" si="348"/>
        <v>0</v>
      </c>
      <c r="EB72" s="64"/>
      <c r="EC72" s="73"/>
      <c r="ED72" s="72">
        <f t="shared" si="349"/>
        <v>0</v>
      </c>
      <c r="EE72" s="64"/>
      <c r="EF72" s="73"/>
      <c r="EG72" s="72">
        <f t="shared" si="350"/>
        <v>0</v>
      </c>
      <c r="EH72" s="64"/>
      <c r="EI72" s="73"/>
      <c r="EJ72" s="72">
        <f t="shared" si="300"/>
        <v>0</v>
      </c>
      <c r="EK72" s="64"/>
      <c r="EL72" s="73"/>
      <c r="EM72" s="72">
        <f t="shared" si="301"/>
        <v>0</v>
      </c>
      <c r="EN72" s="64"/>
      <c r="EO72" s="73"/>
      <c r="EP72" s="72">
        <f t="shared" si="351"/>
        <v>0</v>
      </c>
      <c r="EQ72" s="64"/>
      <c r="ER72" s="73"/>
      <c r="ES72" s="72">
        <f t="shared" si="352"/>
        <v>0</v>
      </c>
      <c r="ET72" s="64"/>
      <c r="EU72" s="73"/>
      <c r="EV72" s="72">
        <f t="shared" si="353"/>
        <v>0</v>
      </c>
      <c r="EW72" s="64"/>
      <c r="EX72" s="73"/>
      <c r="EY72" s="72">
        <f t="shared" si="302"/>
        <v>0</v>
      </c>
      <c r="EZ72" s="64"/>
      <c r="FA72" s="73"/>
      <c r="FB72" s="72">
        <f t="shared" si="303"/>
        <v>0</v>
      </c>
      <c r="FC72" s="64"/>
      <c r="FD72" s="73"/>
      <c r="FE72" s="72">
        <f t="shared" si="354"/>
        <v>0</v>
      </c>
      <c r="FF72" s="64"/>
      <c r="FG72" s="73"/>
      <c r="FH72" s="72">
        <f t="shared" si="355"/>
        <v>0</v>
      </c>
      <c r="FI72" s="64"/>
      <c r="FJ72" s="73"/>
      <c r="FK72" s="72">
        <f t="shared" si="356"/>
        <v>0</v>
      </c>
      <c r="FL72" s="64"/>
      <c r="FM72" s="73"/>
      <c r="FN72" s="72">
        <f t="shared" si="304"/>
        <v>0</v>
      </c>
      <c r="FO72" s="64"/>
      <c r="FP72" s="73"/>
      <c r="FQ72" s="72">
        <f t="shared" si="305"/>
        <v>0</v>
      </c>
      <c r="FR72" s="64"/>
      <c r="FS72" s="73"/>
      <c r="FT72" s="72">
        <f t="shared" si="357"/>
        <v>0</v>
      </c>
      <c r="FU72" s="64"/>
      <c r="FV72" s="73"/>
      <c r="FW72" s="72">
        <f t="shared" si="358"/>
        <v>0</v>
      </c>
      <c r="FX72" s="64"/>
      <c r="FY72" s="73"/>
      <c r="FZ72" s="72">
        <f t="shared" si="359"/>
        <v>0</v>
      </c>
      <c r="GA72" s="64"/>
      <c r="GB72" s="73"/>
      <c r="GC72" s="72">
        <f t="shared" si="306"/>
        <v>0</v>
      </c>
      <c r="GD72" s="64"/>
      <c r="GE72" s="73"/>
      <c r="GF72" s="72">
        <f t="shared" si="307"/>
        <v>0</v>
      </c>
      <c r="GG72" s="64"/>
      <c r="GH72" s="73"/>
      <c r="GI72" s="72">
        <f t="shared" si="360"/>
        <v>0</v>
      </c>
      <c r="GJ72" s="64"/>
      <c r="GK72" s="73"/>
      <c r="GL72" s="72">
        <f t="shared" si="361"/>
        <v>0</v>
      </c>
      <c r="GM72" s="64"/>
      <c r="GN72" s="73"/>
      <c r="GO72" s="72">
        <f t="shared" si="362"/>
        <v>0</v>
      </c>
      <c r="GP72" s="64"/>
      <c r="GQ72" s="73"/>
      <c r="GR72" s="72">
        <f t="shared" si="308"/>
        <v>0</v>
      </c>
      <c r="GS72" s="64"/>
      <c r="GT72" s="73"/>
      <c r="GU72" s="72">
        <f t="shared" si="309"/>
        <v>0</v>
      </c>
      <c r="GV72" s="64"/>
      <c r="GW72" s="73"/>
      <c r="GX72" s="72">
        <f t="shared" si="363"/>
        <v>0</v>
      </c>
      <c r="GY72" s="64"/>
      <c r="GZ72" s="73"/>
      <c r="HA72" s="72">
        <f t="shared" si="364"/>
        <v>0</v>
      </c>
      <c r="HB72" s="64"/>
      <c r="HC72" s="73"/>
      <c r="HD72" s="72">
        <f t="shared" si="365"/>
        <v>0</v>
      </c>
      <c r="HE72" s="64"/>
      <c r="HF72" s="73"/>
      <c r="HG72" s="72">
        <f t="shared" si="310"/>
        <v>0</v>
      </c>
      <c r="HH72" s="64"/>
      <c r="HI72" s="73"/>
      <c r="HJ72" s="72">
        <f t="shared" si="311"/>
        <v>0</v>
      </c>
      <c r="HK72" s="64"/>
      <c r="HL72" s="73"/>
      <c r="HM72" s="72">
        <f t="shared" si="366"/>
        <v>0</v>
      </c>
      <c r="HN72" s="64"/>
      <c r="HO72" s="73"/>
      <c r="HP72" s="72">
        <f t="shared" si="367"/>
        <v>0</v>
      </c>
      <c r="HQ72" s="64"/>
      <c r="HR72" s="73"/>
      <c r="HS72" s="72">
        <f t="shared" si="368"/>
        <v>0</v>
      </c>
      <c r="HT72" s="64"/>
      <c r="HU72" s="73"/>
      <c r="HV72" s="72">
        <f t="shared" si="312"/>
        <v>0</v>
      </c>
      <c r="HW72" s="64"/>
      <c r="HX72" s="73"/>
      <c r="HY72" s="72">
        <f t="shared" si="313"/>
        <v>0</v>
      </c>
      <c r="HZ72" s="64"/>
      <c r="IA72" s="73"/>
      <c r="IB72" s="72">
        <f t="shared" si="369"/>
        <v>0</v>
      </c>
      <c r="IC72" s="64"/>
      <c r="ID72" s="73"/>
      <c r="IE72" s="72">
        <f t="shared" si="370"/>
        <v>0</v>
      </c>
      <c r="IF72" s="64"/>
      <c r="IG72" s="73"/>
      <c r="IH72" s="72">
        <f t="shared" si="371"/>
        <v>0</v>
      </c>
      <c r="II72" s="64"/>
      <c r="IJ72" s="73"/>
      <c r="IK72" s="72">
        <f t="shared" si="314"/>
        <v>0</v>
      </c>
      <c r="IL72" s="64"/>
      <c r="IM72" s="73"/>
      <c r="IN72" s="72">
        <f t="shared" si="315"/>
        <v>0</v>
      </c>
      <c r="IO72" s="64"/>
      <c r="IP72" s="73"/>
      <c r="IQ72" s="72">
        <f t="shared" si="372"/>
        <v>0</v>
      </c>
      <c r="IR72" s="64"/>
      <c r="IS72" s="73"/>
      <c r="IT72" s="72">
        <f t="shared" si="373"/>
        <v>0</v>
      </c>
      <c r="IU72" s="64"/>
      <c r="IV72" s="73"/>
      <c r="IW72" s="72">
        <f t="shared" si="374"/>
        <v>0</v>
      </c>
      <c r="IX72" s="64"/>
      <c r="IY72" s="73"/>
      <c r="IZ72" s="72">
        <f t="shared" si="316"/>
        <v>0</v>
      </c>
      <c r="JA72" s="64"/>
      <c r="JB72" s="73"/>
      <c r="JC72" s="72">
        <f t="shared" si="317"/>
        <v>0</v>
      </c>
      <c r="JD72" s="64"/>
      <c r="JE72" s="73"/>
      <c r="JF72" s="72">
        <f t="shared" si="375"/>
        <v>0</v>
      </c>
      <c r="JG72" s="64"/>
      <c r="JH72" s="73"/>
      <c r="JI72" s="72">
        <f t="shared" si="376"/>
        <v>0</v>
      </c>
      <c r="JJ72" s="64"/>
      <c r="JK72" s="73"/>
      <c r="JL72" s="72">
        <f t="shared" si="377"/>
        <v>0</v>
      </c>
      <c r="JM72" s="64"/>
      <c r="JN72" s="73"/>
      <c r="JO72" s="72">
        <f t="shared" si="318"/>
        <v>0</v>
      </c>
      <c r="JP72" s="64"/>
      <c r="JQ72" s="73"/>
      <c r="JR72" s="72">
        <f t="shared" si="319"/>
        <v>0</v>
      </c>
      <c r="JS72" s="64"/>
      <c r="JT72" s="73"/>
      <c r="JU72" s="72">
        <f t="shared" si="378"/>
        <v>0</v>
      </c>
      <c r="JV72" s="64"/>
      <c r="JW72" s="73"/>
      <c r="JX72" s="72">
        <f t="shared" si="379"/>
        <v>0</v>
      </c>
      <c r="JY72" s="64"/>
      <c r="JZ72" s="73"/>
      <c r="KA72" s="72">
        <f t="shared" si="380"/>
        <v>0</v>
      </c>
      <c r="KB72" s="64"/>
      <c r="KC72" s="73"/>
      <c r="KD72" s="72">
        <f t="shared" si="320"/>
        <v>0</v>
      </c>
      <c r="KE72" s="64"/>
      <c r="KF72" s="73"/>
      <c r="KG72" s="72">
        <f t="shared" si="321"/>
        <v>0</v>
      </c>
      <c r="KH72" s="64"/>
      <c r="KI72" s="73"/>
      <c r="KJ72" s="72">
        <f t="shared" si="381"/>
        <v>0</v>
      </c>
      <c r="KK72" s="64"/>
      <c r="KL72" s="73"/>
      <c r="KM72" s="72">
        <f t="shared" si="382"/>
        <v>0</v>
      </c>
      <c r="KN72" s="64"/>
      <c r="KO72" s="73"/>
      <c r="KP72" s="72">
        <f t="shared" si="383"/>
        <v>0</v>
      </c>
      <c r="KQ72" s="64"/>
      <c r="KR72" s="73"/>
      <c r="KS72" s="72">
        <f t="shared" si="322"/>
        <v>0</v>
      </c>
      <c r="KT72" s="64"/>
      <c r="KU72" s="73"/>
      <c r="KV72" s="72">
        <f t="shared" si="323"/>
        <v>0</v>
      </c>
      <c r="KW72" s="64"/>
      <c r="KX72" s="73"/>
      <c r="KY72" s="72">
        <f t="shared" si="384"/>
        <v>0</v>
      </c>
      <c r="KZ72" s="64"/>
      <c r="LA72" s="73"/>
      <c r="LB72" s="72">
        <f t="shared" si="385"/>
        <v>0</v>
      </c>
      <c r="LC72" s="64"/>
      <c r="LD72" s="73"/>
      <c r="LE72" s="72">
        <f t="shared" si="386"/>
        <v>0</v>
      </c>
      <c r="LF72" s="64"/>
    </row>
    <row r="73" spans="1:318" s="784" customFormat="1">
      <c r="A73" s="49"/>
      <c r="B73" s="49"/>
      <c r="C73" s="49"/>
      <c r="D73" s="49"/>
      <c r="E73" s="109"/>
      <c r="F73" s="443">
        <f t="shared" si="387"/>
        <v>15</v>
      </c>
      <c r="G73" s="443">
        <f ca="1">VLOOKUP(H73,Equipos!$Q$1:$R$25,2,0)</f>
        <v>17</v>
      </c>
      <c r="H73" s="444">
        <f ca="1">TRUNC(INDEX(WORLDCUP!$X$4:$X$147,MATCH(ADMIN!K73,WORLDCUP!$DT$4:$DT$147,0))+INDEX(Horarios!$R$3:$R$86,MATCH(Horarios!$C$3,Horarios!$P$3:$P$86,0))/24)</f>
        <v>46200</v>
      </c>
      <c r="I73" s="48">
        <v>1</v>
      </c>
      <c r="J73" s="94"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388"/>
        <v>0</v>
      </c>
      <c r="R73" s="49"/>
      <c r="S73" s="796" t="s">
        <v>1959</v>
      </c>
      <c r="T73" s="72">
        <f t="shared" si="285"/>
        <v>0</v>
      </c>
      <c r="U73" s="64"/>
      <c r="V73" s="73" t="s">
        <v>1951</v>
      </c>
      <c r="W73" s="72">
        <f t="shared" si="286"/>
        <v>0</v>
      </c>
      <c r="X73" s="64"/>
      <c r="Y73" s="796" t="s">
        <v>1947</v>
      </c>
      <c r="Z73" s="72">
        <f t="shared" si="326"/>
        <v>0</v>
      </c>
      <c r="AA73" s="64"/>
      <c r="AB73" s="796" t="s">
        <v>1959</v>
      </c>
      <c r="AC73" s="72">
        <f t="shared" si="327"/>
        <v>0</v>
      </c>
      <c r="AD73" s="64"/>
      <c r="AE73" s="796" t="s">
        <v>1962</v>
      </c>
      <c r="AF73" s="72">
        <f t="shared" si="325"/>
        <v>0</v>
      </c>
      <c r="AG73" s="64"/>
      <c r="AH73" s="796" t="s">
        <v>1949</v>
      </c>
      <c r="AI73" s="72">
        <f t="shared" si="288"/>
        <v>0</v>
      </c>
      <c r="AJ73" s="64"/>
      <c r="AK73" s="806" t="s">
        <v>2008</v>
      </c>
      <c r="AL73" s="72">
        <f t="shared" si="289"/>
        <v>0</v>
      </c>
      <c r="AM73" s="64"/>
      <c r="AN73" s="796" t="s">
        <v>1951</v>
      </c>
      <c r="AO73" s="72">
        <f t="shared" si="328"/>
        <v>0</v>
      </c>
      <c r="AP73" s="64"/>
      <c r="AQ73" s="806" t="s">
        <v>1951</v>
      </c>
      <c r="AR73" s="72">
        <f t="shared" si="329"/>
        <v>0</v>
      </c>
      <c r="AS73" s="64"/>
      <c r="AT73" s="796" t="s">
        <v>1959</v>
      </c>
      <c r="AU73" s="72">
        <f t="shared" si="330"/>
        <v>0</v>
      </c>
      <c r="AV73" s="64"/>
      <c r="AW73" s="796" t="s">
        <v>2008</v>
      </c>
      <c r="AX73" s="72">
        <f t="shared" si="290"/>
        <v>0</v>
      </c>
      <c r="AY73" s="64"/>
      <c r="AZ73" s="796" t="s">
        <v>1954</v>
      </c>
      <c r="BA73" s="72">
        <f t="shared" si="291"/>
        <v>0</v>
      </c>
      <c r="BB73" s="64"/>
      <c r="BC73" s="796" t="s">
        <v>2008</v>
      </c>
      <c r="BD73" s="72">
        <f t="shared" si="331"/>
        <v>0</v>
      </c>
      <c r="BE73" s="64"/>
      <c r="BF73" s="796" t="s">
        <v>1959</v>
      </c>
      <c r="BG73" s="72">
        <f t="shared" si="332"/>
        <v>0</v>
      </c>
      <c r="BH73" s="64"/>
      <c r="BI73" s="796" t="s">
        <v>1963</v>
      </c>
      <c r="BJ73" s="72">
        <f t="shared" si="333"/>
        <v>0</v>
      </c>
      <c r="BK73" s="64"/>
      <c r="BL73" s="796" t="s">
        <v>2008</v>
      </c>
      <c r="BM73" s="72">
        <f t="shared" si="292"/>
        <v>0</v>
      </c>
      <c r="BN73" s="64"/>
      <c r="BO73" s="816" t="s">
        <v>1951</v>
      </c>
      <c r="BP73" s="72">
        <f t="shared" si="293"/>
        <v>0</v>
      </c>
      <c r="BQ73" s="64"/>
      <c r="BR73" s="796" t="s">
        <v>1951</v>
      </c>
      <c r="BS73" s="72">
        <f t="shared" si="334"/>
        <v>0</v>
      </c>
      <c r="BT73" s="64"/>
      <c r="BU73" s="796" t="s">
        <v>1951</v>
      </c>
      <c r="BV73" s="72">
        <f t="shared" si="335"/>
        <v>0</v>
      </c>
      <c r="BW73" s="64"/>
      <c r="BX73" s="73" t="s">
        <v>1951</v>
      </c>
      <c r="BY73" s="72">
        <f t="shared" si="336"/>
        <v>0</v>
      </c>
      <c r="BZ73" s="64"/>
      <c r="CA73" s="816" t="s">
        <v>1949</v>
      </c>
      <c r="CB73" s="72">
        <f t="shared" si="294"/>
        <v>0</v>
      </c>
      <c r="CC73" s="64"/>
      <c r="CD73" s="825" t="s">
        <v>1951</v>
      </c>
      <c r="CE73" s="72">
        <f t="shared" si="295"/>
        <v>0</v>
      </c>
      <c r="CF73" s="64"/>
      <c r="CG73" s="796" t="s">
        <v>1949</v>
      </c>
      <c r="CH73" s="72">
        <f t="shared" si="337"/>
        <v>0</v>
      </c>
      <c r="CI73" s="64"/>
      <c r="CJ73" s="796" t="s">
        <v>1951</v>
      </c>
      <c r="CK73" s="72">
        <f t="shared" si="338"/>
        <v>0</v>
      </c>
      <c r="CL73" s="64"/>
      <c r="CM73" s="796" t="s">
        <v>1962</v>
      </c>
      <c r="CN73" s="72">
        <f t="shared" si="339"/>
        <v>0</v>
      </c>
      <c r="CO73" s="64"/>
      <c r="CP73" s="796" t="s">
        <v>1959</v>
      </c>
      <c r="CQ73" s="72">
        <f t="shared" si="296"/>
        <v>0</v>
      </c>
      <c r="CR73" s="64"/>
      <c r="CS73" s="796" t="s">
        <v>1959</v>
      </c>
      <c r="CT73" s="72">
        <f t="shared" si="297"/>
        <v>0</v>
      </c>
      <c r="CU73" s="64"/>
      <c r="CV73" s="796" t="s">
        <v>1951</v>
      </c>
      <c r="CW73" s="72">
        <f t="shared" si="340"/>
        <v>0</v>
      </c>
      <c r="CX73" s="64"/>
      <c r="CY73" s="796" t="s">
        <v>1959</v>
      </c>
      <c r="CZ73" s="72">
        <f t="shared" si="341"/>
        <v>0</v>
      </c>
      <c r="DA73" s="64"/>
      <c r="DB73" s="796" t="s">
        <v>1951</v>
      </c>
      <c r="DC73" s="72">
        <f t="shared" si="342"/>
        <v>0</v>
      </c>
      <c r="DD73" s="64"/>
      <c r="DE73" s="796" t="s">
        <v>2008</v>
      </c>
      <c r="DF73" s="72">
        <f t="shared" si="343"/>
        <v>0</v>
      </c>
      <c r="DG73" s="64"/>
      <c r="DH73" s="796" t="s">
        <v>1959</v>
      </c>
      <c r="DI73" s="72">
        <f t="shared" si="344"/>
        <v>0</v>
      </c>
      <c r="DJ73" s="64"/>
      <c r="DK73" s="796" t="s">
        <v>1951</v>
      </c>
      <c r="DL73" s="72">
        <f t="shared" si="345"/>
        <v>0</v>
      </c>
      <c r="DM73" s="64"/>
      <c r="DN73" s="73"/>
      <c r="DO73" s="72">
        <f t="shared" si="346"/>
        <v>0</v>
      </c>
      <c r="DP73" s="64"/>
      <c r="DQ73" s="796" t="s">
        <v>1962</v>
      </c>
      <c r="DR73" s="72">
        <f t="shared" si="347"/>
        <v>0</v>
      </c>
      <c r="DS73" s="64"/>
      <c r="DT73" s="73" t="s">
        <v>1951</v>
      </c>
      <c r="DU73" s="72">
        <f t="shared" si="298"/>
        <v>0</v>
      </c>
      <c r="DV73" s="64"/>
      <c r="DW73" s="73"/>
      <c r="DX73" s="72">
        <f t="shared" si="299"/>
        <v>0</v>
      </c>
      <c r="DY73" s="64"/>
      <c r="DZ73" s="73"/>
      <c r="EA73" s="72">
        <f t="shared" si="348"/>
        <v>0</v>
      </c>
      <c r="EB73" s="64"/>
      <c r="EC73" s="73"/>
      <c r="ED73" s="72">
        <f t="shared" si="349"/>
        <v>0</v>
      </c>
      <c r="EE73" s="64"/>
      <c r="EF73" s="73"/>
      <c r="EG73" s="72">
        <f t="shared" si="350"/>
        <v>0</v>
      </c>
      <c r="EH73" s="64"/>
      <c r="EI73" s="73"/>
      <c r="EJ73" s="72">
        <f t="shared" si="300"/>
        <v>0</v>
      </c>
      <c r="EK73" s="64"/>
      <c r="EL73" s="73"/>
      <c r="EM73" s="72">
        <f t="shared" si="301"/>
        <v>0</v>
      </c>
      <c r="EN73" s="64"/>
      <c r="EO73" s="73"/>
      <c r="EP73" s="72">
        <f t="shared" si="351"/>
        <v>0</v>
      </c>
      <c r="EQ73" s="64"/>
      <c r="ER73" s="73"/>
      <c r="ES73" s="72">
        <f t="shared" si="352"/>
        <v>0</v>
      </c>
      <c r="ET73" s="64"/>
      <c r="EU73" s="73"/>
      <c r="EV73" s="72">
        <f t="shared" si="353"/>
        <v>0</v>
      </c>
      <c r="EW73" s="64"/>
      <c r="EX73" s="73"/>
      <c r="EY73" s="72">
        <f t="shared" si="302"/>
        <v>0</v>
      </c>
      <c r="EZ73" s="64"/>
      <c r="FA73" s="73"/>
      <c r="FB73" s="72">
        <f t="shared" si="303"/>
        <v>0</v>
      </c>
      <c r="FC73" s="64"/>
      <c r="FD73" s="73"/>
      <c r="FE73" s="72">
        <f t="shared" si="354"/>
        <v>0</v>
      </c>
      <c r="FF73" s="64"/>
      <c r="FG73" s="73"/>
      <c r="FH73" s="72">
        <f t="shared" si="355"/>
        <v>0</v>
      </c>
      <c r="FI73" s="64"/>
      <c r="FJ73" s="73"/>
      <c r="FK73" s="72">
        <f t="shared" si="356"/>
        <v>0</v>
      </c>
      <c r="FL73" s="64"/>
      <c r="FM73" s="73"/>
      <c r="FN73" s="72">
        <f t="shared" si="304"/>
        <v>0</v>
      </c>
      <c r="FO73" s="64"/>
      <c r="FP73" s="73"/>
      <c r="FQ73" s="72">
        <f t="shared" si="305"/>
        <v>0</v>
      </c>
      <c r="FR73" s="64"/>
      <c r="FS73" s="73"/>
      <c r="FT73" s="72">
        <f t="shared" si="357"/>
        <v>0</v>
      </c>
      <c r="FU73" s="64"/>
      <c r="FV73" s="73"/>
      <c r="FW73" s="72">
        <f t="shared" si="358"/>
        <v>0</v>
      </c>
      <c r="FX73" s="64"/>
      <c r="FY73" s="73"/>
      <c r="FZ73" s="72">
        <f t="shared" si="359"/>
        <v>0</v>
      </c>
      <c r="GA73" s="64"/>
      <c r="GB73" s="73"/>
      <c r="GC73" s="72">
        <f t="shared" si="306"/>
        <v>0</v>
      </c>
      <c r="GD73" s="64"/>
      <c r="GE73" s="73"/>
      <c r="GF73" s="72">
        <f t="shared" si="307"/>
        <v>0</v>
      </c>
      <c r="GG73" s="64"/>
      <c r="GH73" s="73"/>
      <c r="GI73" s="72">
        <f t="shared" si="360"/>
        <v>0</v>
      </c>
      <c r="GJ73" s="64"/>
      <c r="GK73" s="73"/>
      <c r="GL73" s="72">
        <f t="shared" si="361"/>
        <v>0</v>
      </c>
      <c r="GM73" s="64"/>
      <c r="GN73" s="73"/>
      <c r="GO73" s="72">
        <f t="shared" si="362"/>
        <v>0</v>
      </c>
      <c r="GP73" s="64"/>
      <c r="GQ73" s="73"/>
      <c r="GR73" s="72">
        <f t="shared" si="308"/>
        <v>0</v>
      </c>
      <c r="GS73" s="64"/>
      <c r="GT73" s="73"/>
      <c r="GU73" s="72">
        <f t="shared" si="309"/>
        <v>0</v>
      </c>
      <c r="GV73" s="64"/>
      <c r="GW73" s="73"/>
      <c r="GX73" s="72">
        <f t="shared" si="363"/>
        <v>0</v>
      </c>
      <c r="GY73" s="64"/>
      <c r="GZ73" s="73"/>
      <c r="HA73" s="72">
        <f t="shared" si="364"/>
        <v>0</v>
      </c>
      <c r="HB73" s="64"/>
      <c r="HC73" s="73"/>
      <c r="HD73" s="72">
        <f t="shared" si="365"/>
        <v>0</v>
      </c>
      <c r="HE73" s="64"/>
      <c r="HF73" s="73"/>
      <c r="HG73" s="72">
        <f t="shared" si="310"/>
        <v>0</v>
      </c>
      <c r="HH73" s="64"/>
      <c r="HI73" s="73"/>
      <c r="HJ73" s="72">
        <f t="shared" si="311"/>
        <v>0</v>
      </c>
      <c r="HK73" s="64"/>
      <c r="HL73" s="73"/>
      <c r="HM73" s="72">
        <f t="shared" si="366"/>
        <v>0</v>
      </c>
      <c r="HN73" s="64"/>
      <c r="HO73" s="73"/>
      <c r="HP73" s="72">
        <f t="shared" si="367"/>
        <v>0</v>
      </c>
      <c r="HQ73" s="64"/>
      <c r="HR73" s="73"/>
      <c r="HS73" s="72">
        <f t="shared" si="368"/>
        <v>0</v>
      </c>
      <c r="HT73" s="64"/>
      <c r="HU73" s="73"/>
      <c r="HV73" s="72">
        <f t="shared" si="312"/>
        <v>0</v>
      </c>
      <c r="HW73" s="64"/>
      <c r="HX73" s="73"/>
      <c r="HY73" s="72">
        <f t="shared" si="313"/>
        <v>0</v>
      </c>
      <c r="HZ73" s="64"/>
      <c r="IA73" s="73"/>
      <c r="IB73" s="72">
        <f t="shared" si="369"/>
        <v>0</v>
      </c>
      <c r="IC73" s="64"/>
      <c r="ID73" s="73"/>
      <c r="IE73" s="72">
        <f t="shared" si="370"/>
        <v>0</v>
      </c>
      <c r="IF73" s="64"/>
      <c r="IG73" s="73"/>
      <c r="IH73" s="72">
        <f t="shared" si="371"/>
        <v>0</v>
      </c>
      <c r="II73" s="64"/>
      <c r="IJ73" s="73"/>
      <c r="IK73" s="72">
        <f t="shared" si="314"/>
        <v>0</v>
      </c>
      <c r="IL73" s="64"/>
      <c r="IM73" s="73"/>
      <c r="IN73" s="72">
        <f t="shared" si="315"/>
        <v>0</v>
      </c>
      <c r="IO73" s="64"/>
      <c r="IP73" s="73"/>
      <c r="IQ73" s="72">
        <f t="shared" si="372"/>
        <v>0</v>
      </c>
      <c r="IR73" s="64"/>
      <c r="IS73" s="73"/>
      <c r="IT73" s="72">
        <f t="shared" si="373"/>
        <v>0</v>
      </c>
      <c r="IU73" s="64"/>
      <c r="IV73" s="73"/>
      <c r="IW73" s="72">
        <f t="shared" si="374"/>
        <v>0</v>
      </c>
      <c r="IX73" s="64"/>
      <c r="IY73" s="73"/>
      <c r="IZ73" s="72">
        <f t="shared" si="316"/>
        <v>0</v>
      </c>
      <c r="JA73" s="64"/>
      <c r="JB73" s="73"/>
      <c r="JC73" s="72">
        <f t="shared" si="317"/>
        <v>0</v>
      </c>
      <c r="JD73" s="64"/>
      <c r="JE73" s="73"/>
      <c r="JF73" s="72">
        <f t="shared" si="375"/>
        <v>0</v>
      </c>
      <c r="JG73" s="64"/>
      <c r="JH73" s="73"/>
      <c r="JI73" s="72">
        <f t="shared" si="376"/>
        <v>0</v>
      </c>
      <c r="JJ73" s="64"/>
      <c r="JK73" s="73"/>
      <c r="JL73" s="72">
        <f t="shared" si="377"/>
        <v>0</v>
      </c>
      <c r="JM73" s="64"/>
      <c r="JN73" s="73"/>
      <c r="JO73" s="72">
        <f t="shared" si="318"/>
        <v>0</v>
      </c>
      <c r="JP73" s="64"/>
      <c r="JQ73" s="73"/>
      <c r="JR73" s="72">
        <f t="shared" si="319"/>
        <v>0</v>
      </c>
      <c r="JS73" s="64"/>
      <c r="JT73" s="73"/>
      <c r="JU73" s="72">
        <f t="shared" si="378"/>
        <v>0</v>
      </c>
      <c r="JV73" s="64"/>
      <c r="JW73" s="73"/>
      <c r="JX73" s="72">
        <f t="shared" si="379"/>
        <v>0</v>
      </c>
      <c r="JY73" s="64"/>
      <c r="JZ73" s="73"/>
      <c r="KA73" s="72">
        <f t="shared" si="380"/>
        <v>0</v>
      </c>
      <c r="KB73" s="64"/>
      <c r="KC73" s="73"/>
      <c r="KD73" s="72">
        <f t="shared" si="320"/>
        <v>0</v>
      </c>
      <c r="KE73" s="64"/>
      <c r="KF73" s="73"/>
      <c r="KG73" s="72">
        <f t="shared" si="321"/>
        <v>0</v>
      </c>
      <c r="KH73" s="64"/>
      <c r="KI73" s="73"/>
      <c r="KJ73" s="72">
        <f t="shared" si="381"/>
        <v>0</v>
      </c>
      <c r="KK73" s="64"/>
      <c r="KL73" s="73"/>
      <c r="KM73" s="72">
        <f t="shared" si="382"/>
        <v>0</v>
      </c>
      <c r="KN73" s="64"/>
      <c r="KO73" s="73"/>
      <c r="KP73" s="72">
        <f t="shared" si="383"/>
        <v>0</v>
      </c>
      <c r="KQ73" s="64"/>
      <c r="KR73" s="73"/>
      <c r="KS73" s="72">
        <f t="shared" si="322"/>
        <v>0</v>
      </c>
      <c r="KT73" s="64"/>
      <c r="KU73" s="73"/>
      <c r="KV73" s="72">
        <f t="shared" si="323"/>
        <v>0</v>
      </c>
      <c r="KW73" s="64"/>
      <c r="KX73" s="73"/>
      <c r="KY73" s="72">
        <f t="shared" si="384"/>
        <v>0</v>
      </c>
      <c r="KZ73" s="64"/>
      <c r="LA73" s="73"/>
      <c r="LB73" s="72">
        <f t="shared" si="385"/>
        <v>0</v>
      </c>
      <c r="LC73" s="64"/>
      <c r="LD73" s="73"/>
      <c r="LE73" s="72">
        <f t="shared" si="386"/>
        <v>0</v>
      </c>
      <c r="LF73" s="64"/>
    </row>
    <row r="74" spans="1:318" s="784" customFormat="1">
      <c r="A74" s="49"/>
      <c r="B74" s="49"/>
      <c r="C74" s="49"/>
      <c r="D74" s="49"/>
      <c r="E74" s="109"/>
      <c r="F74" s="443">
        <f t="shared" si="387"/>
        <v>15</v>
      </c>
      <c r="G74" s="443">
        <f ca="1">VLOOKUP(H74,Equipos!$Q$1:$R$25,2,0)</f>
        <v>17</v>
      </c>
      <c r="H74" s="444">
        <f ca="1">TRUNC(INDEX(WORLDCUP!$X$4:$X$147,MATCH(ADMIN!K74,WORLDCUP!$DT$4:$DT$147,0))+INDEX(Horarios!$R$3:$R$86,MATCH(Horarios!$C$3,Horarios!$P$3:$P$86,0))/24)</f>
        <v>46200</v>
      </c>
      <c r="I74" s="48">
        <v>1</v>
      </c>
      <c r="J74" s="93"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388"/>
        <v>0</v>
      </c>
      <c r="R74" s="49"/>
      <c r="S74" s="796" t="s">
        <v>1949</v>
      </c>
      <c r="T74" s="72">
        <f>IFERROR(IF($M74=S74,($D$8+$D$9+$D$10)*$I74,IF($N74=LEFT(S74,1),($D$8+MAX(0,IF($D$50=1,$D$9*(1-(ABS($Q74-ABS(VALUE(MID(S74,FIND("|",S74)+1,FIND("-",S74)-FIND("|",S74)-1))-VALUE(MID(S74,FIND("-",S74)+1,10)))))*$D$50),$D$9*(1-(IF($N74="X",ABS($O74-VALUE(MID(S74,FIND("|",S74)+1,FIND("-",S74)-FIND("|",S74)-1))),ABS($Q74-ABS(VALUE(MID(S74,FIND("|",S74)+1,FIND("-",S74)-FIND("|",S74)-1))-VALUE(MID(S74,FIND("-",S74)+1,10)))))*$D$50)))))*$I74,0)),0)</f>
        <v>0</v>
      </c>
      <c r="U74" s="64"/>
      <c r="V74" s="73" t="s">
        <v>1961</v>
      </c>
      <c r="W74" s="72">
        <f>IFERROR(IF($M74=V74,($D$8+$D$9+$D$10)*$I74,IF($N74=LEFT(V74,1),($D$8+MAX(0,IF($D$50=1,$D$9*(1-(ABS($Q74-ABS(VALUE(MID(V74,FIND("|",V74)+1,FIND("-",V74)-FIND("|",V74)-1))-VALUE(MID(V74,FIND("-",V74)+1,10)))))*$D$50),$D$9*(1-(IF($N74="X",ABS($O74-VALUE(MID(V74,FIND("|",V74)+1,FIND("-",V74)-FIND("|",V74)-1))),ABS($Q74-ABS(VALUE(MID(V74,FIND("|",V74)+1,FIND("-",V74)-FIND("|",V74)-1))-VALUE(MID(V74,FIND("-",V74)+1,10)))))*$D$50)))))*$I74,0)),0)</f>
        <v>0</v>
      </c>
      <c r="X74" s="64"/>
      <c r="Y74" s="796" t="s">
        <v>2007</v>
      </c>
      <c r="Z74" s="72">
        <f t="shared" si="326"/>
        <v>0</v>
      </c>
      <c r="AA74" s="64"/>
      <c r="AB74" s="796" t="s">
        <v>2007</v>
      </c>
      <c r="AC74" s="72">
        <f t="shared" si="327"/>
        <v>0</v>
      </c>
      <c r="AD74" s="64"/>
      <c r="AE74" s="796" t="s">
        <v>1949</v>
      </c>
      <c r="AF74" s="72">
        <f t="shared" si="325"/>
        <v>0</v>
      </c>
      <c r="AG74" s="64"/>
      <c r="AH74" s="796" t="s">
        <v>1961</v>
      </c>
      <c r="AI74" s="72">
        <f>IFERROR(IF($M74=AH74,($D$8+$D$9+$D$10)*$I74,IF($N74=LEFT(AH74,1),($D$8+MAX(0,IF($D$50=1,$D$9*(1-(ABS($Q74-ABS(VALUE(MID(AH74,FIND("|",AH74)+1,FIND("-",AH74)-FIND("|",AH74)-1))-VALUE(MID(AH74,FIND("-",AH74)+1,10)))))*$D$50),$D$9*(1-(IF($N74="X",ABS($O74-VALUE(MID(AH74,FIND("|",AH74)+1,FIND("-",AH74)-FIND("|",AH74)-1))),ABS($Q74-ABS(VALUE(MID(AH74,FIND("|",AH74)+1,FIND("-",AH74)-FIND("|",AH74)-1))-VALUE(MID(AH74,FIND("-",AH74)+1,10)))))*$D$50)))))*$I74,0)),0)</f>
        <v>0</v>
      </c>
      <c r="AJ74" s="64"/>
      <c r="AK74" s="806" t="s">
        <v>2007</v>
      </c>
      <c r="AL74" s="72">
        <f>IFERROR(IF($M74=AK74,($D$8+$D$9+$D$10)*$I74,IF($N74=LEFT(AK74,1),($D$8+MAX(0,IF($D$50=1,$D$9*(1-(ABS($Q74-ABS(VALUE(MID(AK74,FIND("|",AK74)+1,FIND("-",AK74)-FIND("|",AK74)-1))-VALUE(MID(AK74,FIND("-",AK74)+1,10)))))*$D$50),$D$9*(1-(IF($N74="X",ABS($O74-VALUE(MID(AK74,FIND("|",AK74)+1,FIND("-",AK74)-FIND("|",AK74)-1))),ABS($Q74-ABS(VALUE(MID(AK74,FIND("|",AK74)+1,FIND("-",AK74)-FIND("|",AK74)-1))-VALUE(MID(AK74,FIND("-",AK74)+1,10)))))*$D$50)))))*$I74,0)),0)</f>
        <v>0</v>
      </c>
      <c r="AM74" s="64"/>
      <c r="AN74" s="796" t="s">
        <v>1949</v>
      </c>
      <c r="AO74" s="72">
        <f t="shared" si="328"/>
        <v>0</v>
      </c>
      <c r="AP74" s="64"/>
      <c r="AQ74" s="806" t="s">
        <v>1949</v>
      </c>
      <c r="AR74" s="72">
        <f t="shared" si="329"/>
        <v>0</v>
      </c>
      <c r="AS74" s="64"/>
      <c r="AT74" s="796" t="s">
        <v>1953</v>
      </c>
      <c r="AU74" s="72">
        <f t="shared" si="330"/>
        <v>0</v>
      </c>
      <c r="AV74" s="64"/>
      <c r="AW74" s="796" t="s">
        <v>1949</v>
      </c>
      <c r="AX74" s="72">
        <f>IFERROR(IF($M74=AW74,($D$8+$D$9+$D$10)*$I74,IF($N74=LEFT(AW74,1),($D$8+MAX(0,IF($D$50=1,$D$9*(1-(ABS($Q74-ABS(VALUE(MID(AW74,FIND("|",AW74)+1,FIND("-",AW74)-FIND("|",AW74)-1))-VALUE(MID(AW74,FIND("-",AW74)+1,10)))))*$D$50),$D$9*(1-(IF($N74="X",ABS($O74-VALUE(MID(AW74,FIND("|",AW74)+1,FIND("-",AW74)-FIND("|",AW74)-1))),ABS($Q74-ABS(VALUE(MID(AW74,FIND("|",AW74)+1,FIND("-",AW74)-FIND("|",AW74)-1))-VALUE(MID(AW74,FIND("-",AW74)+1,10)))))*$D$50)))))*$I74,0)),0)</f>
        <v>0</v>
      </c>
      <c r="AY74" s="64"/>
      <c r="AZ74" s="796" t="s">
        <v>1950</v>
      </c>
      <c r="BA74" s="72">
        <f>IFERROR(IF($M74=AZ74,($D$8+$D$9+$D$10)*$I74,IF($N74=LEFT(AZ74,1),($D$8+MAX(0,IF($D$50=1,$D$9*(1-(ABS($Q74-ABS(VALUE(MID(AZ74,FIND("|",AZ74)+1,FIND("-",AZ74)-FIND("|",AZ74)-1))-VALUE(MID(AZ74,FIND("-",AZ74)+1,10)))))*$D$50),$D$9*(1-(IF($N74="X",ABS($O74-VALUE(MID(AZ74,FIND("|",AZ74)+1,FIND("-",AZ74)-FIND("|",AZ74)-1))),ABS($Q74-ABS(VALUE(MID(AZ74,FIND("|",AZ74)+1,FIND("-",AZ74)-FIND("|",AZ74)-1))-VALUE(MID(AZ74,FIND("-",AZ74)+1,10)))))*$D$50)))))*$I74,0)),0)</f>
        <v>0</v>
      </c>
      <c r="BB74" s="64"/>
      <c r="BC74" s="796" t="s">
        <v>1949</v>
      </c>
      <c r="BD74" s="72">
        <f t="shared" si="331"/>
        <v>0</v>
      </c>
      <c r="BE74" s="64"/>
      <c r="BF74" s="796" t="s">
        <v>1953</v>
      </c>
      <c r="BG74" s="72">
        <f t="shared" si="332"/>
        <v>0</v>
      </c>
      <c r="BH74" s="64"/>
      <c r="BI74" s="796" t="s">
        <v>2007</v>
      </c>
      <c r="BJ74" s="72">
        <f t="shared" si="333"/>
        <v>0</v>
      </c>
      <c r="BK74" s="64"/>
      <c r="BL74" s="796" t="s">
        <v>1961</v>
      </c>
      <c r="BM74" s="72">
        <f>IFERROR(IF($M74=BL74,($D$8+$D$9+$D$10)*$I74,IF($N74=LEFT(BL74,1),($D$8+MAX(0,IF($D$50=1,$D$9*(1-(ABS($Q74-ABS(VALUE(MID(BL74,FIND("|",BL74)+1,FIND("-",BL74)-FIND("|",BL74)-1))-VALUE(MID(BL74,FIND("-",BL74)+1,10)))))*$D$50),$D$9*(1-(IF($N74="X",ABS($O74-VALUE(MID(BL74,FIND("|",BL74)+1,FIND("-",BL74)-FIND("|",BL74)-1))),ABS($Q74-ABS(VALUE(MID(BL74,FIND("|",BL74)+1,FIND("-",BL74)-FIND("|",BL74)-1))-VALUE(MID(BL74,FIND("-",BL74)+1,10)))))*$D$50)))))*$I74,0)),0)</f>
        <v>0</v>
      </c>
      <c r="BN74" s="64"/>
      <c r="BO74" s="816" t="s">
        <v>2288</v>
      </c>
      <c r="BP74" s="72">
        <f>IFERROR(IF($M74=BO74,($D$8+$D$9+$D$10)*$I74,IF($N74=LEFT(BO74,1),($D$8+MAX(0,IF($D$50=1,$D$9*(1-(ABS($Q74-ABS(VALUE(MID(BO74,FIND("|",BO74)+1,FIND("-",BO74)-FIND("|",BO74)-1))-VALUE(MID(BO74,FIND("-",BO74)+1,10)))))*$D$50),$D$9*(1-(IF($N74="X",ABS($O74-VALUE(MID(BO74,FIND("|",BO74)+1,FIND("-",BO74)-FIND("|",BO74)-1))),ABS($Q74-ABS(VALUE(MID(BO74,FIND("|",BO74)+1,FIND("-",BO74)-FIND("|",BO74)-1))-VALUE(MID(BO74,FIND("-",BO74)+1,10)))))*$D$50)))))*$I74,0)),0)</f>
        <v>0</v>
      </c>
      <c r="BQ74" s="64"/>
      <c r="BR74" s="796" t="s">
        <v>1949</v>
      </c>
      <c r="BS74" s="72">
        <f t="shared" si="334"/>
        <v>0</v>
      </c>
      <c r="BT74" s="64"/>
      <c r="BU74" s="796" t="s">
        <v>2007</v>
      </c>
      <c r="BV74" s="72">
        <f t="shared" si="335"/>
        <v>0</v>
      </c>
      <c r="BW74" s="64"/>
      <c r="BX74" s="73" t="s">
        <v>1949</v>
      </c>
      <c r="BY74" s="72">
        <f t="shared" si="336"/>
        <v>0</v>
      </c>
      <c r="BZ74" s="64"/>
      <c r="CA74" s="816" t="s">
        <v>1951</v>
      </c>
      <c r="CB74" s="72">
        <f>IFERROR(IF($M74=CA74,($D$8+$D$9+$D$10)*$I74,IF($N74=LEFT(CA74,1),($D$8+MAX(0,IF($D$50=1,$D$9*(1-(ABS($Q74-ABS(VALUE(MID(CA74,FIND("|",CA74)+1,FIND("-",CA74)-FIND("|",CA74)-1))-VALUE(MID(CA74,FIND("-",CA74)+1,10)))))*$D$50),$D$9*(1-(IF($N74="X",ABS($O74-VALUE(MID(CA74,FIND("|",CA74)+1,FIND("-",CA74)-FIND("|",CA74)-1))),ABS($Q74-ABS(VALUE(MID(CA74,FIND("|",CA74)+1,FIND("-",CA74)-FIND("|",CA74)-1))-VALUE(MID(CA74,FIND("-",CA74)+1,10)))))*$D$50)))))*$I74,0)),0)</f>
        <v>0</v>
      </c>
      <c r="CC74" s="64"/>
      <c r="CD74" s="825" t="s">
        <v>1953</v>
      </c>
      <c r="CE74" s="72">
        <f>IFERROR(IF($M74=CD74,($D$8+$D$9+$D$10)*$I74,IF($N74=LEFT(CD74,1),($D$8+MAX(0,IF($D$50=1,$D$9*(1-(ABS($Q74-ABS(VALUE(MID(CD74,FIND("|",CD74)+1,FIND("-",CD74)-FIND("|",CD74)-1))-VALUE(MID(CD74,FIND("-",CD74)+1,10)))))*$D$50),$D$9*(1-(IF($N74="X",ABS($O74-VALUE(MID(CD74,FIND("|",CD74)+1,FIND("-",CD74)-FIND("|",CD74)-1))),ABS($Q74-ABS(VALUE(MID(CD74,FIND("|",CD74)+1,FIND("-",CD74)-FIND("|",CD74)-1))-VALUE(MID(CD74,FIND("-",CD74)+1,10)))))*$D$50)))))*$I74,0)),0)</f>
        <v>0</v>
      </c>
      <c r="CF74" s="64"/>
      <c r="CG74" s="796" t="s">
        <v>1949</v>
      </c>
      <c r="CH74" s="72">
        <f t="shared" si="337"/>
        <v>0</v>
      </c>
      <c r="CI74" s="64"/>
      <c r="CJ74" s="796" t="s">
        <v>1953</v>
      </c>
      <c r="CK74" s="72">
        <f t="shared" si="338"/>
        <v>0</v>
      </c>
      <c r="CL74" s="64"/>
      <c r="CM74" s="796" t="s">
        <v>2007</v>
      </c>
      <c r="CN74" s="72">
        <f t="shared" si="339"/>
        <v>0</v>
      </c>
      <c r="CO74" s="64"/>
      <c r="CP74" s="796" t="s">
        <v>1953</v>
      </c>
      <c r="CQ74" s="72">
        <f>IFERROR(IF($M74=CP74,($D$8+$D$9+$D$10)*$I74,IF($N74=LEFT(CP74,1),($D$8+MAX(0,IF($D$50=1,$D$9*(1-(ABS($Q74-ABS(VALUE(MID(CP74,FIND("|",CP74)+1,FIND("-",CP74)-FIND("|",CP74)-1))-VALUE(MID(CP74,FIND("-",CP74)+1,10)))))*$D$50),$D$9*(1-(IF($N74="X",ABS($O74-VALUE(MID(CP74,FIND("|",CP74)+1,FIND("-",CP74)-FIND("|",CP74)-1))),ABS($Q74-ABS(VALUE(MID(CP74,FIND("|",CP74)+1,FIND("-",CP74)-FIND("|",CP74)-1))-VALUE(MID(CP74,FIND("-",CP74)+1,10)))))*$D$50)))))*$I74,0)),0)</f>
        <v>0</v>
      </c>
      <c r="CR74" s="64"/>
      <c r="CS74" s="796" t="s">
        <v>2007</v>
      </c>
      <c r="CT74" s="72">
        <f>IFERROR(IF($M74=CS74,($D$8+$D$9+$D$10)*$I74,IF($N74=LEFT(CS74,1),($D$8+MAX(0,IF($D$50=1,$D$9*(1-(ABS($Q74-ABS(VALUE(MID(CS74,FIND("|",CS74)+1,FIND("-",CS74)-FIND("|",CS74)-1))-VALUE(MID(CS74,FIND("-",CS74)+1,10)))))*$D$50),$D$9*(1-(IF($N74="X",ABS($O74-VALUE(MID(CS74,FIND("|",CS74)+1,FIND("-",CS74)-FIND("|",CS74)-1))),ABS($Q74-ABS(VALUE(MID(CS74,FIND("|",CS74)+1,FIND("-",CS74)-FIND("|",CS74)-1))-VALUE(MID(CS74,FIND("-",CS74)+1,10)))))*$D$50)))))*$I74,0)),0)</f>
        <v>0</v>
      </c>
      <c r="CU74" s="64"/>
      <c r="CV74" s="796" t="s">
        <v>1961</v>
      </c>
      <c r="CW74" s="72">
        <f t="shared" si="340"/>
        <v>0</v>
      </c>
      <c r="CX74" s="64"/>
      <c r="CY74" s="796" t="s">
        <v>1949</v>
      </c>
      <c r="CZ74" s="72">
        <f t="shared" si="341"/>
        <v>0</v>
      </c>
      <c r="DA74" s="64"/>
      <c r="DB74" s="796" t="s">
        <v>1961</v>
      </c>
      <c r="DC74" s="72">
        <f t="shared" si="342"/>
        <v>0</v>
      </c>
      <c r="DD74" s="64"/>
      <c r="DE74" s="796" t="s">
        <v>1963</v>
      </c>
      <c r="DF74" s="72">
        <f t="shared" si="343"/>
        <v>0</v>
      </c>
      <c r="DG74" s="64"/>
      <c r="DH74" s="796" t="s">
        <v>1949</v>
      </c>
      <c r="DI74" s="72">
        <f t="shared" si="344"/>
        <v>0</v>
      </c>
      <c r="DJ74" s="64"/>
      <c r="DK74" s="796" t="s">
        <v>1961</v>
      </c>
      <c r="DL74" s="72">
        <f t="shared" si="345"/>
        <v>0</v>
      </c>
      <c r="DM74" s="64"/>
      <c r="DN74" s="73"/>
      <c r="DO74" s="72">
        <f t="shared" si="346"/>
        <v>0</v>
      </c>
      <c r="DP74" s="64"/>
      <c r="DQ74" s="796" t="s">
        <v>1953</v>
      </c>
      <c r="DR74" s="72">
        <f t="shared" si="347"/>
        <v>0</v>
      </c>
      <c r="DS74" s="64"/>
      <c r="DT74" s="73" t="s">
        <v>1961</v>
      </c>
      <c r="DU74" s="72">
        <f>IFERROR(IF($M74=DT74,($D$8+$D$9+$D$10)*$I74,IF($N74=LEFT(DT74,1),($D$8+MAX(0,IF($D$50=1,$D$9*(1-(ABS($Q74-ABS(VALUE(MID(DT74,FIND("|",DT74)+1,FIND("-",DT74)-FIND("|",DT74)-1))-VALUE(MID(DT74,FIND("-",DT74)+1,10)))))*$D$50),$D$9*(1-(IF($N74="X",ABS($O74-VALUE(MID(DT74,FIND("|",DT74)+1,FIND("-",DT74)-FIND("|",DT74)-1))),ABS($Q74-ABS(VALUE(MID(DT74,FIND("|",DT74)+1,FIND("-",DT74)-FIND("|",DT74)-1))-VALUE(MID(DT74,FIND("-",DT74)+1,10)))))*$D$50)))))*$I74,0)),0)</f>
        <v>0</v>
      </c>
      <c r="DV74" s="64"/>
      <c r="DW74" s="73"/>
      <c r="DX74" s="72">
        <f>IFERROR(IF($M74=DW74,($D$8+$D$9+$D$10)*$I74,IF($N74=LEFT(DW74,1),($D$8+MAX(0,IF($D$50=1,$D$9*(1-(ABS($Q74-ABS(VALUE(MID(DW74,FIND("|",DW74)+1,FIND("-",DW74)-FIND("|",DW74)-1))-VALUE(MID(DW74,FIND("-",DW74)+1,10)))))*$D$50),$D$9*(1-(IF($N74="X",ABS($O74-VALUE(MID(DW74,FIND("|",DW74)+1,FIND("-",DW74)-FIND("|",DW74)-1))),ABS($Q74-ABS(VALUE(MID(DW74,FIND("|",DW74)+1,FIND("-",DW74)-FIND("|",DW74)-1))-VALUE(MID(DW74,FIND("-",DW74)+1,10)))))*$D$50)))))*$I74,0)),0)</f>
        <v>0</v>
      </c>
      <c r="DY74" s="64"/>
      <c r="DZ74" s="73"/>
      <c r="EA74" s="72">
        <f t="shared" si="348"/>
        <v>0</v>
      </c>
      <c r="EB74" s="64"/>
      <c r="EC74" s="73"/>
      <c r="ED74" s="72">
        <f t="shared" si="349"/>
        <v>0</v>
      </c>
      <c r="EE74" s="64"/>
      <c r="EF74" s="73"/>
      <c r="EG74" s="72">
        <f t="shared" si="350"/>
        <v>0</v>
      </c>
      <c r="EH74" s="64"/>
      <c r="EI74" s="73"/>
      <c r="EJ74" s="72">
        <f>IFERROR(IF($M74=EI74,($D$8+$D$9+$D$10)*$I74,IF($N74=LEFT(EI74,1),($D$8+MAX(0,IF($D$50=1,$D$9*(1-(ABS($Q74-ABS(VALUE(MID(EI74,FIND("|",EI74)+1,FIND("-",EI74)-FIND("|",EI74)-1))-VALUE(MID(EI74,FIND("-",EI74)+1,10)))))*$D$50),$D$9*(1-(IF($N74="X",ABS($O74-VALUE(MID(EI74,FIND("|",EI74)+1,FIND("-",EI74)-FIND("|",EI74)-1))),ABS($Q74-ABS(VALUE(MID(EI74,FIND("|",EI74)+1,FIND("-",EI74)-FIND("|",EI74)-1))-VALUE(MID(EI74,FIND("-",EI74)+1,10)))))*$D$50)))))*$I74,0)),0)</f>
        <v>0</v>
      </c>
      <c r="EK74" s="64"/>
      <c r="EL74" s="73"/>
      <c r="EM74" s="72">
        <f>IFERROR(IF($M74=EL74,($D$8+$D$9+$D$10)*$I74,IF($N74=LEFT(EL74,1),($D$8+MAX(0,IF($D$50=1,$D$9*(1-(ABS($Q74-ABS(VALUE(MID(EL74,FIND("|",EL74)+1,FIND("-",EL74)-FIND("|",EL74)-1))-VALUE(MID(EL74,FIND("-",EL74)+1,10)))))*$D$50),$D$9*(1-(IF($N74="X",ABS($O74-VALUE(MID(EL74,FIND("|",EL74)+1,FIND("-",EL74)-FIND("|",EL74)-1))),ABS($Q74-ABS(VALUE(MID(EL74,FIND("|",EL74)+1,FIND("-",EL74)-FIND("|",EL74)-1))-VALUE(MID(EL74,FIND("-",EL74)+1,10)))))*$D$50)))))*$I74,0)),0)</f>
        <v>0</v>
      </c>
      <c r="EN74" s="64"/>
      <c r="EO74" s="73"/>
      <c r="EP74" s="72">
        <f t="shared" si="351"/>
        <v>0</v>
      </c>
      <c r="EQ74" s="64"/>
      <c r="ER74" s="73"/>
      <c r="ES74" s="72">
        <f t="shared" si="352"/>
        <v>0</v>
      </c>
      <c r="ET74" s="64"/>
      <c r="EU74" s="73"/>
      <c r="EV74" s="72">
        <f t="shared" si="353"/>
        <v>0</v>
      </c>
      <c r="EW74" s="64"/>
      <c r="EX74" s="73"/>
      <c r="EY74" s="72">
        <f>IFERROR(IF($M74=EX74,($D$8+$D$9+$D$10)*$I74,IF($N74=LEFT(EX74,1),($D$8+MAX(0,IF($D$50=1,$D$9*(1-(ABS($Q74-ABS(VALUE(MID(EX74,FIND("|",EX74)+1,FIND("-",EX74)-FIND("|",EX74)-1))-VALUE(MID(EX74,FIND("-",EX74)+1,10)))))*$D$50),$D$9*(1-(IF($N74="X",ABS($O74-VALUE(MID(EX74,FIND("|",EX74)+1,FIND("-",EX74)-FIND("|",EX74)-1))),ABS($Q74-ABS(VALUE(MID(EX74,FIND("|",EX74)+1,FIND("-",EX74)-FIND("|",EX74)-1))-VALUE(MID(EX74,FIND("-",EX74)+1,10)))))*$D$50)))))*$I74,0)),0)</f>
        <v>0</v>
      </c>
      <c r="EZ74" s="64"/>
      <c r="FA74" s="73"/>
      <c r="FB74" s="72">
        <f>IFERROR(IF($M74=FA74,($D$8+$D$9+$D$10)*$I74,IF($N74=LEFT(FA74,1),($D$8+MAX(0,IF($D$50=1,$D$9*(1-(ABS($Q74-ABS(VALUE(MID(FA74,FIND("|",FA74)+1,FIND("-",FA74)-FIND("|",FA74)-1))-VALUE(MID(FA74,FIND("-",FA74)+1,10)))))*$D$50),$D$9*(1-(IF($N74="X",ABS($O74-VALUE(MID(FA74,FIND("|",FA74)+1,FIND("-",FA74)-FIND("|",FA74)-1))),ABS($Q74-ABS(VALUE(MID(FA74,FIND("|",FA74)+1,FIND("-",FA74)-FIND("|",FA74)-1))-VALUE(MID(FA74,FIND("-",FA74)+1,10)))))*$D$50)))))*$I74,0)),0)</f>
        <v>0</v>
      </c>
      <c r="FC74" s="64"/>
      <c r="FD74" s="73"/>
      <c r="FE74" s="72">
        <f t="shared" si="354"/>
        <v>0</v>
      </c>
      <c r="FF74" s="64"/>
      <c r="FG74" s="73"/>
      <c r="FH74" s="72">
        <f t="shared" si="355"/>
        <v>0</v>
      </c>
      <c r="FI74" s="64"/>
      <c r="FJ74" s="73"/>
      <c r="FK74" s="72">
        <f t="shared" si="356"/>
        <v>0</v>
      </c>
      <c r="FL74" s="64"/>
      <c r="FM74" s="73"/>
      <c r="FN74" s="72">
        <f>IFERROR(IF($M74=FM74,($D$8+$D$9+$D$10)*$I74,IF($N74=LEFT(FM74,1),($D$8+MAX(0,IF($D$50=1,$D$9*(1-(ABS($Q74-ABS(VALUE(MID(FM74,FIND("|",FM74)+1,FIND("-",FM74)-FIND("|",FM74)-1))-VALUE(MID(FM74,FIND("-",FM74)+1,10)))))*$D$50),$D$9*(1-(IF($N74="X",ABS($O74-VALUE(MID(FM74,FIND("|",FM74)+1,FIND("-",FM74)-FIND("|",FM74)-1))),ABS($Q74-ABS(VALUE(MID(FM74,FIND("|",FM74)+1,FIND("-",FM74)-FIND("|",FM74)-1))-VALUE(MID(FM74,FIND("-",FM74)+1,10)))))*$D$50)))))*$I74,0)),0)</f>
        <v>0</v>
      </c>
      <c r="FO74" s="64"/>
      <c r="FP74" s="73"/>
      <c r="FQ74" s="72">
        <f>IFERROR(IF($M74=FP74,($D$8+$D$9+$D$10)*$I74,IF($N74=LEFT(FP74,1),($D$8+MAX(0,IF($D$50=1,$D$9*(1-(ABS($Q74-ABS(VALUE(MID(FP74,FIND("|",FP74)+1,FIND("-",FP74)-FIND("|",FP74)-1))-VALUE(MID(FP74,FIND("-",FP74)+1,10)))))*$D$50),$D$9*(1-(IF($N74="X",ABS($O74-VALUE(MID(FP74,FIND("|",FP74)+1,FIND("-",FP74)-FIND("|",FP74)-1))),ABS($Q74-ABS(VALUE(MID(FP74,FIND("|",FP74)+1,FIND("-",FP74)-FIND("|",FP74)-1))-VALUE(MID(FP74,FIND("-",FP74)+1,10)))))*$D$50)))))*$I74,0)),0)</f>
        <v>0</v>
      </c>
      <c r="FR74" s="64"/>
      <c r="FS74" s="73"/>
      <c r="FT74" s="72">
        <f t="shared" si="357"/>
        <v>0</v>
      </c>
      <c r="FU74" s="64"/>
      <c r="FV74" s="73"/>
      <c r="FW74" s="72">
        <f t="shared" si="358"/>
        <v>0</v>
      </c>
      <c r="FX74" s="64"/>
      <c r="FY74" s="73"/>
      <c r="FZ74" s="72">
        <f t="shared" si="359"/>
        <v>0</v>
      </c>
      <c r="GA74" s="64"/>
      <c r="GB74" s="73"/>
      <c r="GC74" s="72">
        <f>IFERROR(IF($M74=GB74,($D$8+$D$9+$D$10)*$I74,IF($N74=LEFT(GB74,1),($D$8+MAX(0,IF($D$50=1,$D$9*(1-(ABS($Q74-ABS(VALUE(MID(GB74,FIND("|",GB74)+1,FIND("-",GB74)-FIND("|",GB74)-1))-VALUE(MID(GB74,FIND("-",GB74)+1,10)))))*$D$50),$D$9*(1-(IF($N74="X",ABS($O74-VALUE(MID(GB74,FIND("|",GB74)+1,FIND("-",GB74)-FIND("|",GB74)-1))),ABS($Q74-ABS(VALUE(MID(GB74,FIND("|",GB74)+1,FIND("-",GB74)-FIND("|",GB74)-1))-VALUE(MID(GB74,FIND("-",GB74)+1,10)))))*$D$50)))))*$I74,0)),0)</f>
        <v>0</v>
      </c>
      <c r="GD74" s="64"/>
      <c r="GE74" s="73"/>
      <c r="GF74" s="72">
        <f>IFERROR(IF($M74=GE74,($D$8+$D$9+$D$10)*$I74,IF($N74=LEFT(GE74,1),($D$8+MAX(0,IF($D$50=1,$D$9*(1-(ABS($Q74-ABS(VALUE(MID(GE74,FIND("|",GE74)+1,FIND("-",GE74)-FIND("|",GE74)-1))-VALUE(MID(GE74,FIND("-",GE74)+1,10)))))*$D$50),$D$9*(1-(IF($N74="X",ABS($O74-VALUE(MID(GE74,FIND("|",GE74)+1,FIND("-",GE74)-FIND("|",GE74)-1))),ABS($Q74-ABS(VALUE(MID(GE74,FIND("|",GE74)+1,FIND("-",GE74)-FIND("|",GE74)-1))-VALUE(MID(GE74,FIND("-",GE74)+1,10)))))*$D$50)))))*$I74,0)),0)</f>
        <v>0</v>
      </c>
      <c r="GG74" s="64"/>
      <c r="GH74" s="73"/>
      <c r="GI74" s="72">
        <f t="shared" si="360"/>
        <v>0</v>
      </c>
      <c r="GJ74" s="64"/>
      <c r="GK74" s="73"/>
      <c r="GL74" s="72">
        <f t="shared" si="361"/>
        <v>0</v>
      </c>
      <c r="GM74" s="64"/>
      <c r="GN74" s="73"/>
      <c r="GO74" s="72">
        <f t="shared" si="362"/>
        <v>0</v>
      </c>
      <c r="GP74" s="64"/>
      <c r="GQ74" s="73"/>
      <c r="GR74" s="72">
        <f>IFERROR(IF($M74=GQ74,($D$8+$D$9+$D$10)*$I74,IF($N74=LEFT(GQ74,1),($D$8+MAX(0,IF($D$50=1,$D$9*(1-(ABS($Q74-ABS(VALUE(MID(GQ74,FIND("|",GQ74)+1,FIND("-",GQ74)-FIND("|",GQ74)-1))-VALUE(MID(GQ74,FIND("-",GQ74)+1,10)))))*$D$50),$D$9*(1-(IF($N74="X",ABS($O74-VALUE(MID(GQ74,FIND("|",GQ74)+1,FIND("-",GQ74)-FIND("|",GQ74)-1))),ABS($Q74-ABS(VALUE(MID(GQ74,FIND("|",GQ74)+1,FIND("-",GQ74)-FIND("|",GQ74)-1))-VALUE(MID(GQ74,FIND("-",GQ74)+1,10)))))*$D$50)))))*$I74,0)),0)</f>
        <v>0</v>
      </c>
      <c r="GS74" s="64"/>
      <c r="GT74" s="73"/>
      <c r="GU74" s="72">
        <f>IFERROR(IF($M74=GT74,($D$8+$D$9+$D$10)*$I74,IF($N74=LEFT(GT74,1),($D$8+MAX(0,IF($D$50=1,$D$9*(1-(ABS($Q74-ABS(VALUE(MID(GT74,FIND("|",GT74)+1,FIND("-",GT74)-FIND("|",GT74)-1))-VALUE(MID(GT74,FIND("-",GT74)+1,10)))))*$D$50),$D$9*(1-(IF($N74="X",ABS($O74-VALUE(MID(GT74,FIND("|",GT74)+1,FIND("-",GT74)-FIND("|",GT74)-1))),ABS($Q74-ABS(VALUE(MID(GT74,FIND("|",GT74)+1,FIND("-",GT74)-FIND("|",GT74)-1))-VALUE(MID(GT74,FIND("-",GT74)+1,10)))))*$D$50)))))*$I74,0)),0)</f>
        <v>0</v>
      </c>
      <c r="GV74" s="64"/>
      <c r="GW74" s="73"/>
      <c r="GX74" s="72">
        <f t="shared" si="363"/>
        <v>0</v>
      </c>
      <c r="GY74" s="64"/>
      <c r="GZ74" s="73"/>
      <c r="HA74" s="72">
        <f t="shared" si="364"/>
        <v>0</v>
      </c>
      <c r="HB74" s="64"/>
      <c r="HC74" s="73"/>
      <c r="HD74" s="72">
        <f t="shared" si="365"/>
        <v>0</v>
      </c>
      <c r="HE74" s="64"/>
      <c r="HF74" s="73"/>
      <c r="HG74" s="72">
        <f>IFERROR(IF($M74=HF74,($D$8+$D$9+$D$10)*$I74,IF($N74=LEFT(HF74,1),($D$8+MAX(0,IF($D$50=1,$D$9*(1-(ABS($Q74-ABS(VALUE(MID(HF74,FIND("|",HF74)+1,FIND("-",HF74)-FIND("|",HF74)-1))-VALUE(MID(HF74,FIND("-",HF74)+1,10)))))*$D$50),$D$9*(1-(IF($N74="X",ABS($O74-VALUE(MID(HF74,FIND("|",HF74)+1,FIND("-",HF74)-FIND("|",HF74)-1))),ABS($Q74-ABS(VALUE(MID(HF74,FIND("|",HF74)+1,FIND("-",HF74)-FIND("|",HF74)-1))-VALUE(MID(HF74,FIND("-",HF74)+1,10)))))*$D$50)))))*$I74,0)),0)</f>
        <v>0</v>
      </c>
      <c r="HH74" s="64"/>
      <c r="HI74" s="73"/>
      <c r="HJ74" s="72">
        <f>IFERROR(IF($M74=HI74,($D$8+$D$9+$D$10)*$I74,IF($N74=LEFT(HI74,1),($D$8+MAX(0,IF($D$50=1,$D$9*(1-(ABS($Q74-ABS(VALUE(MID(HI74,FIND("|",HI74)+1,FIND("-",HI74)-FIND("|",HI74)-1))-VALUE(MID(HI74,FIND("-",HI74)+1,10)))))*$D$50),$D$9*(1-(IF($N74="X",ABS($O74-VALUE(MID(HI74,FIND("|",HI74)+1,FIND("-",HI74)-FIND("|",HI74)-1))),ABS($Q74-ABS(VALUE(MID(HI74,FIND("|",HI74)+1,FIND("-",HI74)-FIND("|",HI74)-1))-VALUE(MID(HI74,FIND("-",HI74)+1,10)))))*$D$50)))))*$I74,0)),0)</f>
        <v>0</v>
      </c>
      <c r="HK74" s="64"/>
      <c r="HL74" s="73"/>
      <c r="HM74" s="72">
        <f t="shared" si="366"/>
        <v>0</v>
      </c>
      <c r="HN74" s="64"/>
      <c r="HO74" s="73"/>
      <c r="HP74" s="72">
        <f t="shared" si="367"/>
        <v>0</v>
      </c>
      <c r="HQ74" s="64"/>
      <c r="HR74" s="73"/>
      <c r="HS74" s="72">
        <f t="shared" si="368"/>
        <v>0</v>
      </c>
      <c r="HT74" s="64"/>
      <c r="HU74" s="73"/>
      <c r="HV74" s="72">
        <f>IFERROR(IF($M74=HU74,($D$8+$D$9+$D$10)*$I74,IF($N74=LEFT(HU74,1),($D$8+MAX(0,IF($D$50=1,$D$9*(1-(ABS($Q74-ABS(VALUE(MID(HU74,FIND("|",HU74)+1,FIND("-",HU74)-FIND("|",HU74)-1))-VALUE(MID(HU74,FIND("-",HU74)+1,10)))))*$D$50),$D$9*(1-(IF($N74="X",ABS($O74-VALUE(MID(HU74,FIND("|",HU74)+1,FIND("-",HU74)-FIND("|",HU74)-1))),ABS($Q74-ABS(VALUE(MID(HU74,FIND("|",HU74)+1,FIND("-",HU74)-FIND("|",HU74)-1))-VALUE(MID(HU74,FIND("-",HU74)+1,10)))))*$D$50)))))*$I74,0)),0)</f>
        <v>0</v>
      </c>
      <c r="HW74" s="64"/>
      <c r="HX74" s="73"/>
      <c r="HY74" s="72">
        <f>IFERROR(IF($M74=HX74,($D$8+$D$9+$D$10)*$I74,IF($N74=LEFT(HX74,1),($D$8+MAX(0,IF($D$50=1,$D$9*(1-(ABS($Q74-ABS(VALUE(MID(HX74,FIND("|",HX74)+1,FIND("-",HX74)-FIND("|",HX74)-1))-VALUE(MID(HX74,FIND("-",HX74)+1,10)))))*$D$50),$D$9*(1-(IF($N74="X",ABS($O74-VALUE(MID(HX74,FIND("|",HX74)+1,FIND("-",HX74)-FIND("|",HX74)-1))),ABS($Q74-ABS(VALUE(MID(HX74,FIND("|",HX74)+1,FIND("-",HX74)-FIND("|",HX74)-1))-VALUE(MID(HX74,FIND("-",HX74)+1,10)))))*$D$50)))))*$I74,0)),0)</f>
        <v>0</v>
      </c>
      <c r="HZ74" s="64"/>
      <c r="IA74" s="73"/>
      <c r="IB74" s="72">
        <f t="shared" si="369"/>
        <v>0</v>
      </c>
      <c r="IC74" s="64"/>
      <c r="ID74" s="73"/>
      <c r="IE74" s="72">
        <f t="shared" si="370"/>
        <v>0</v>
      </c>
      <c r="IF74" s="64"/>
      <c r="IG74" s="73"/>
      <c r="IH74" s="72">
        <f t="shared" si="371"/>
        <v>0</v>
      </c>
      <c r="II74" s="64"/>
      <c r="IJ74" s="73"/>
      <c r="IK74" s="72">
        <f>IFERROR(IF($M74=IJ74,($D$8+$D$9+$D$10)*$I74,IF($N74=LEFT(IJ74,1),($D$8+MAX(0,IF($D$50=1,$D$9*(1-(ABS($Q74-ABS(VALUE(MID(IJ74,FIND("|",IJ74)+1,FIND("-",IJ74)-FIND("|",IJ74)-1))-VALUE(MID(IJ74,FIND("-",IJ74)+1,10)))))*$D$50),$D$9*(1-(IF($N74="X",ABS($O74-VALUE(MID(IJ74,FIND("|",IJ74)+1,FIND("-",IJ74)-FIND("|",IJ74)-1))),ABS($Q74-ABS(VALUE(MID(IJ74,FIND("|",IJ74)+1,FIND("-",IJ74)-FIND("|",IJ74)-1))-VALUE(MID(IJ74,FIND("-",IJ74)+1,10)))))*$D$50)))))*$I74,0)),0)</f>
        <v>0</v>
      </c>
      <c r="IL74" s="64"/>
      <c r="IM74" s="73"/>
      <c r="IN74" s="72">
        <f>IFERROR(IF($M74=IM74,($D$8+$D$9+$D$10)*$I74,IF($N74=LEFT(IM74,1),($D$8+MAX(0,IF($D$50=1,$D$9*(1-(ABS($Q74-ABS(VALUE(MID(IM74,FIND("|",IM74)+1,FIND("-",IM74)-FIND("|",IM74)-1))-VALUE(MID(IM74,FIND("-",IM74)+1,10)))))*$D$50),$D$9*(1-(IF($N74="X",ABS($O74-VALUE(MID(IM74,FIND("|",IM74)+1,FIND("-",IM74)-FIND("|",IM74)-1))),ABS($Q74-ABS(VALUE(MID(IM74,FIND("|",IM74)+1,FIND("-",IM74)-FIND("|",IM74)-1))-VALUE(MID(IM74,FIND("-",IM74)+1,10)))))*$D$50)))))*$I74,0)),0)</f>
        <v>0</v>
      </c>
      <c r="IO74" s="64"/>
      <c r="IP74" s="73"/>
      <c r="IQ74" s="72">
        <f t="shared" si="372"/>
        <v>0</v>
      </c>
      <c r="IR74" s="64"/>
      <c r="IS74" s="73"/>
      <c r="IT74" s="72">
        <f t="shared" si="373"/>
        <v>0</v>
      </c>
      <c r="IU74" s="64"/>
      <c r="IV74" s="73"/>
      <c r="IW74" s="72">
        <f t="shared" si="374"/>
        <v>0</v>
      </c>
      <c r="IX74" s="64"/>
      <c r="IY74" s="73"/>
      <c r="IZ74" s="72">
        <f>IFERROR(IF($M74=IY74,($D$8+$D$9+$D$10)*$I74,IF($N74=LEFT(IY74,1),($D$8+MAX(0,IF($D$50=1,$D$9*(1-(ABS($Q74-ABS(VALUE(MID(IY74,FIND("|",IY74)+1,FIND("-",IY74)-FIND("|",IY74)-1))-VALUE(MID(IY74,FIND("-",IY74)+1,10)))))*$D$50),$D$9*(1-(IF($N74="X",ABS($O74-VALUE(MID(IY74,FIND("|",IY74)+1,FIND("-",IY74)-FIND("|",IY74)-1))),ABS($Q74-ABS(VALUE(MID(IY74,FIND("|",IY74)+1,FIND("-",IY74)-FIND("|",IY74)-1))-VALUE(MID(IY74,FIND("-",IY74)+1,10)))))*$D$50)))))*$I74,0)),0)</f>
        <v>0</v>
      </c>
      <c r="JA74" s="64"/>
      <c r="JB74" s="73"/>
      <c r="JC74" s="72">
        <f>IFERROR(IF($M74=JB74,($D$8+$D$9+$D$10)*$I74,IF($N74=LEFT(JB74,1),($D$8+MAX(0,IF($D$50=1,$D$9*(1-(ABS($Q74-ABS(VALUE(MID(JB74,FIND("|",JB74)+1,FIND("-",JB74)-FIND("|",JB74)-1))-VALUE(MID(JB74,FIND("-",JB74)+1,10)))))*$D$50),$D$9*(1-(IF($N74="X",ABS($O74-VALUE(MID(JB74,FIND("|",JB74)+1,FIND("-",JB74)-FIND("|",JB74)-1))),ABS($Q74-ABS(VALUE(MID(JB74,FIND("|",JB74)+1,FIND("-",JB74)-FIND("|",JB74)-1))-VALUE(MID(JB74,FIND("-",JB74)+1,10)))))*$D$50)))))*$I74,0)),0)</f>
        <v>0</v>
      </c>
      <c r="JD74" s="64"/>
      <c r="JE74" s="73"/>
      <c r="JF74" s="72">
        <f t="shared" si="375"/>
        <v>0</v>
      </c>
      <c r="JG74" s="64"/>
      <c r="JH74" s="73"/>
      <c r="JI74" s="72">
        <f t="shared" si="376"/>
        <v>0</v>
      </c>
      <c r="JJ74" s="64"/>
      <c r="JK74" s="73"/>
      <c r="JL74" s="72">
        <f t="shared" si="377"/>
        <v>0</v>
      </c>
      <c r="JM74" s="64"/>
      <c r="JN74" s="73"/>
      <c r="JO74" s="72">
        <f>IFERROR(IF($M74=JN74,($D$8+$D$9+$D$10)*$I74,IF($N74=LEFT(JN74,1),($D$8+MAX(0,IF($D$50=1,$D$9*(1-(ABS($Q74-ABS(VALUE(MID(JN74,FIND("|",JN74)+1,FIND("-",JN74)-FIND("|",JN74)-1))-VALUE(MID(JN74,FIND("-",JN74)+1,10)))))*$D$50),$D$9*(1-(IF($N74="X",ABS($O74-VALUE(MID(JN74,FIND("|",JN74)+1,FIND("-",JN74)-FIND("|",JN74)-1))),ABS($Q74-ABS(VALUE(MID(JN74,FIND("|",JN74)+1,FIND("-",JN74)-FIND("|",JN74)-1))-VALUE(MID(JN74,FIND("-",JN74)+1,10)))))*$D$50)))))*$I74,0)),0)</f>
        <v>0</v>
      </c>
      <c r="JP74" s="64"/>
      <c r="JQ74" s="73"/>
      <c r="JR74" s="72">
        <f>IFERROR(IF($M74=JQ74,($D$8+$D$9+$D$10)*$I74,IF($N74=LEFT(JQ74,1),($D$8+MAX(0,IF($D$50=1,$D$9*(1-(ABS($Q74-ABS(VALUE(MID(JQ74,FIND("|",JQ74)+1,FIND("-",JQ74)-FIND("|",JQ74)-1))-VALUE(MID(JQ74,FIND("-",JQ74)+1,10)))))*$D$50),$D$9*(1-(IF($N74="X",ABS($O74-VALUE(MID(JQ74,FIND("|",JQ74)+1,FIND("-",JQ74)-FIND("|",JQ74)-1))),ABS($Q74-ABS(VALUE(MID(JQ74,FIND("|",JQ74)+1,FIND("-",JQ74)-FIND("|",JQ74)-1))-VALUE(MID(JQ74,FIND("-",JQ74)+1,10)))))*$D$50)))))*$I74,0)),0)</f>
        <v>0</v>
      </c>
      <c r="JS74" s="64"/>
      <c r="JT74" s="73"/>
      <c r="JU74" s="72">
        <f t="shared" si="378"/>
        <v>0</v>
      </c>
      <c r="JV74" s="64"/>
      <c r="JW74" s="73"/>
      <c r="JX74" s="72">
        <f t="shared" si="379"/>
        <v>0</v>
      </c>
      <c r="JY74" s="64"/>
      <c r="JZ74" s="73"/>
      <c r="KA74" s="72">
        <f t="shared" si="380"/>
        <v>0</v>
      </c>
      <c r="KB74" s="64"/>
      <c r="KC74" s="73"/>
      <c r="KD74" s="72">
        <f>IFERROR(IF($M74=KC74,($D$8+$D$9+$D$10)*$I74,IF($N74=LEFT(KC74,1),($D$8+MAX(0,IF($D$50=1,$D$9*(1-(ABS($Q74-ABS(VALUE(MID(KC74,FIND("|",KC74)+1,FIND("-",KC74)-FIND("|",KC74)-1))-VALUE(MID(KC74,FIND("-",KC74)+1,10)))))*$D$50),$D$9*(1-(IF($N74="X",ABS($O74-VALUE(MID(KC74,FIND("|",KC74)+1,FIND("-",KC74)-FIND("|",KC74)-1))),ABS($Q74-ABS(VALUE(MID(KC74,FIND("|",KC74)+1,FIND("-",KC74)-FIND("|",KC74)-1))-VALUE(MID(KC74,FIND("-",KC74)+1,10)))))*$D$50)))))*$I74,0)),0)</f>
        <v>0</v>
      </c>
      <c r="KE74" s="64"/>
      <c r="KF74" s="73"/>
      <c r="KG74" s="72">
        <f>IFERROR(IF($M74=KF74,($D$8+$D$9+$D$10)*$I74,IF($N74=LEFT(KF74,1),($D$8+MAX(0,IF($D$50=1,$D$9*(1-(ABS($Q74-ABS(VALUE(MID(KF74,FIND("|",KF74)+1,FIND("-",KF74)-FIND("|",KF74)-1))-VALUE(MID(KF74,FIND("-",KF74)+1,10)))))*$D$50),$D$9*(1-(IF($N74="X",ABS($O74-VALUE(MID(KF74,FIND("|",KF74)+1,FIND("-",KF74)-FIND("|",KF74)-1))),ABS($Q74-ABS(VALUE(MID(KF74,FIND("|",KF74)+1,FIND("-",KF74)-FIND("|",KF74)-1))-VALUE(MID(KF74,FIND("-",KF74)+1,10)))))*$D$50)))))*$I74,0)),0)</f>
        <v>0</v>
      </c>
      <c r="KH74" s="64"/>
      <c r="KI74" s="73"/>
      <c r="KJ74" s="72">
        <f t="shared" si="381"/>
        <v>0</v>
      </c>
      <c r="KK74" s="64"/>
      <c r="KL74" s="73"/>
      <c r="KM74" s="72">
        <f t="shared" si="382"/>
        <v>0</v>
      </c>
      <c r="KN74" s="64"/>
      <c r="KO74" s="73"/>
      <c r="KP74" s="72">
        <f t="shared" si="383"/>
        <v>0</v>
      </c>
      <c r="KQ74" s="64"/>
      <c r="KR74" s="73"/>
      <c r="KS74" s="72">
        <f>IFERROR(IF($M74=KR74,($D$8+$D$9+$D$10)*$I74,IF($N74=LEFT(KR74,1),($D$8+MAX(0,IF($D$50=1,$D$9*(1-(ABS($Q74-ABS(VALUE(MID(KR74,FIND("|",KR74)+1,FIND("-",KR74)-FIND("|",KR74)-1))-VALUE(MID(KR74,FIND("-",KR74)+1,10)))))*$D$50),$D$9*(1-(IF($N74="X",ABS($O74-VALUE(MID(KR74,FIND("|",KR74)+1,FIND("-",KR74)-FIND("|",KR74)-1))),ABS($Q74-ABS(VALUE(MID(KR74,FIND("|",KR74)+1,FIND("-",KR74)-FIND("|",KR74)-1))-VALUE(MID(KR74,FIND("-",KR74)+1,10)))))*$D$50)))))*$I74,0)),0)</f>
        <v>0</v>
      </c>
      <c r="KT74" s="64"/>
      <c r="KU74" s="73"/>
      <c r="KV74" s="72">
        <f>IFERROR(IF($M74=KU74,($D$8+$D$9+$D$10)*$I74,IF($N74=LEFT(KU74,1),($D$8+MAX(0,IF($D$50=1,$D$9*(1-(ABS($Q74-ABS(VALUE(MID(KU74,FIND("|",KU74)+1,FIND("-",KU74)-FIND("|",KU74)-1))-VALUE(MID(KU74,FIND("-",KU74)+1,10)))))*$D$50),$D$9*(1-(IF($N74="X",ABS($O74-VALUE(MID(KU74,FIND("|",KU74)+1,FIND("-",KU74)-FIND("|",KU74)-1))),ABS($Q74-ABS(VALUE(MID(KU74,FIND("|",KU74)+1,FIND("-",KU74)-FIND("|",KU74)-1))-VALUE(MID(KU74,FIND("-",KU74)+1,10)))))*$D$50)))))*$I74,0)),0)</f>
        <v>0</v>
      </c>
      <c r="KW74" s="64"/>
      <c r="KX74" s="73"/>
      <c r="KY74" s="72">
        <f t="shared" si="384"/>
        <v>0</v>
      </c>
      <c r="KZ74" s="64"/>
      <c r="LA74" s="73"/>
      <c r="LB74" s="72">
        <f t="shared" si="385"/>
        <v>0</v>
      </c>
      <c r="LC74" s="64"/>
      <c r="LD74" s="73"/>
      <c r="LE74" s="72">
        <f t="shared" si="386"/>
        <v>0</v>
      </c>
      <c r="LF74" s="64"/>
    </row>
    <row r="75" spans="1:318" s="784" customFormat="1">
      <c r="A75" s="49"/>
      <c r="B75" s="49"/>
      <c r="C75" s="49"/>
      <c r="D75" s="49"/>
      <c r="E75" s="109"/>
      <c r="F75" s="443">
        <f t="shared" si="387"/>
        <v>15</v>
      </c>
      <c r="G75" s="443">
        <f ca="1">VLOOKUP(H75,Equipos!$Q$1:$R$25,2,0)</f>
        <v>17</v>
      </c>
      <c r="H75" s="444">
        <f ca="1">TRUNC(INDEX(WORLDCUP!$X$4:$X$147,MATCH(ADMIN!K75,WORLDCUP!$DT$4:$DT$147,0))+INDEX(Horarios!$R$3:$R$86,MATCH(Horarios!$C$3,Horarios!$P$3:$P$86,0))/24)</f>
        <v>46200</v>
      </c>
      <c r="I75" s="48">
        <v>1</v>
      </c>
      <c r="J75" s="93"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388"/>
        <v>0</v>
      </c>
      <c r="R75" s="49"/>
      <c r="S75" s="796" t="s">
        <v>1948</v>
      </c>
      <c r="T75" s="72">
        <f t="shared" ref="T75:T77" si="389">IFERROR(IF($M75=S75,($D$8+$D$9+$D$10)*$I75,IF($N75=LEFT(S75,1),($D$8+MAX(0,IF($D$50=1,$D$9*(1-(ABS($Q75-ABS(VALUE(MID(S75,FIND("|",S75)+1,FIND("-",S75)-FIND("|",S75)-1))-VALUE(MID(S75,FIND("-",S75)+1,10)))))*$D$50),$D$9*(1-(IF($N75="X",ABS($O75-VALUE(MID(S75,FIND("|",S75)+1,FIND("-",S75)-FIND("|",S75)-1))),ABS($Q75-ABS(VALUE(MID(S75,FIND("|",S75)+1,FIND("-",S75)-FIND("|",S75)-1))-VALUE(MID(S75,FIND("-",S75)+1,10)))))*$D$50)))))*$I75,0)),0)</f>
        <v>0</v>
      </c>
      <c r="U75" s="64"/>
      <c r="V75" s="73" t="s">
        <v>1963</v>
      </c>
      <c r="W75" s="72">
        <f t="shared" ref="W75:W77" si="390">IFERROR(IF($M75=V75,($D$8+$D$9+$D$10)*$I75,IF($N75=LEFT(V75,1),($D$8+MAX(0,IF($D$50=1,$D$9*(1-(ABS($Q75-ABS(VALUE(MID(V75,FIND("|",V75)+1,FIND("-",V75)-FIND("|",V75)-1))-VALUE(MID(V75,FIND("-",V75)+1,10)))))*$D$50),$D$9*(1-(IF($N75="X",ABS($O75-VALUE(MID(V75,FIND("|",V75)+1,FIND("-",V75)-FIND("|",V75)-1))),ABS($Q75-ABS(VALUE(MID(V75,FIND("|",V75)+1,FIND("-",V75)-FIND("|",V75)-1))-VALUE(MID(V75,FIND("-",V75)+1,10)))))*$D$50)))))*$I75,0)),0)</f>
        <v>0</v>
      </c>
      <c r="X75" s="64"/>
      <c r="Y75" s="796" t="s">
        <v>1949</v>
      </c>
      <c r="Z75" s="72">
        <f t="shared" si="326"/>
        <v>0</v>
      </c>
      <c r="AA75" s="64"/>
      <c r="AB75" s="796" t="s">
        <v>1961</v>
      </c>
      <c r="AC75" s="72">
        <f t="shared" si="327"/>
        <v>0</v>
      </c>
      <c r="AD75" s="64"/>
      <c r="AE75" s="796" t="s">
        <v>1961</v>
      </c>
      <c r="AF75" s="72">
        <f t="shared" si="325"/>
        <v>0</v>
      </c>
      <c r="AG75" s="64"/>
      <c r="AH75" s="796" t="s">
        <v>1962</v>
      </c>
      <c r="AI75" s="72">
        <f t="shared" ref="AI75:AI77" si="391">IFERROR(IF($M75=AH75,($D$8+$D$9+$D$10)*$I75,IF($N75=LEFT(AH75,1),($D$8+MAX(0,IF($D$50=1,$D$9*(1-(ABS($Q75-ABS(VALUE(MID(AH75,FIND("|",AH75)+1,FIND("-",AH75)-FIND("|",AH75)-1))-VALUE(MID(AH75,FIND("-",AH75)+1,10)))))*$D$50),$D$9*(1-(IF($N75="X",ABS($O75-VALUE(MID(AH75,FIND("|",AH75)+1,FIND("-",AH75)-FIND("|",AH75)-1))),ABS($Q75-ABS(VALUE(MID(AH75,FIND("|",AH75)+1,FIND("-",AH75)-FIND("|",AH75)-1))-VALUE(MID(AH75,FIND("-",AH75)+1,10)))))*$D$50)))))*$I75,0)),0)</f>
        <v>0</v>
      </c>
      <c r="AJ75" s="64"/>
      <c r="AK75" s="806" t="s">
        <v>1955</v>
      </c>
      <c r="AL75" s="72">
        <f t="shared" ref="AL75:AL77" si="392">IFERROR(IF($M75=AK75,($D$8+$D$9+$D$10)*$I75,IF($N75=LEFT(AK75,1),($D$8+MAX(0,IF($D$50=1,$D$9*(1-(ABS($Q75-ABS(VALUE(MID(AK75,FIND("|",AK75)+1,FIND("-",AK75)-FIND("|",AK75)-1))-VALUE(MID(AK75,FIND("-",AK75)+1,10)))))*$D$50),$D$9*(1-(IF($N75="X",ABS($O75-VALUE(MID(AK75,FIND("|",AK75)+1,FIND("-",AK75)-FIND("|",AK75)-1))),ABS($Q75-ABS(VALUE(MID(AK75,FIND("|",AK75)+1,FIND("-",AK75)-FIND("|",AK75)-1))-VALUE(MID(AK75,FIND("-",AK75)+1,10)))))*$D$50)))))*$I75,0)),0)</f>
        <v>0</v>
      </c>
      <c r="AM75" s="64"/>
      <c r="AN75" s="796" t="s">
        <v>1950</v>
      </c>
      <c r="AO75" s="72">
        <f t="shared" si="328"/>
        <v>0</v>
      </c>
      <c r="AP75" s="64"/>
      <c r="AQ75" s="806" t="s">
        <v>1958</v>
      </c>
      <c r="AR75" s="72">
        <f t="shared" si="329"/>
        <v>0</v>
      </c>
      <c r="AS75" s="64"/>
      <c r="AT75" s="796" t="s">
        <v>2007</v>
      </c>
      <c r="AU75" s="72">
        <f t="shared" si="330"/>
        <v>0</v>
      </c>
      <c r="AV75" s="64"/>
      <c r="AW75" s="796" t="s">
        <v>1963</v>
      </c>
      <c r="AX75" s="72">
        <f t="shared" ref="AX75:AX77" si="393">IFERROR(IF($M75=AW75,($D$8+$D$9+$D$10)*$I75,IF($N75=LEFT(AW75,1),($D$8+MAX(0,IF($D$50=1,$D$9*(1-(ABS($Q75-ABS(VALUE(MID(AW75,FIND("|",AW75)+1,FIND("-",AW75)-FIND("|",AW75)-1))-VALUE(MID(AW75,FIND("-",AW75)+1,10)))))*$D$50),$D$9*(1-(IF($N75="X",ABS($O75-VALUE(MID(AW75,FIND("|",AW75)+1,FIND("-",AW75)-FIND("|",AW75)-1))),ABS($Q75-ABS(VALUE(MID(AW75,FIND("|",AW75)+1,FIND("-",AW75)-FIND("|",AW75)-1))-VALUE(MID(AW75,FIND("-",AW75)+1,10)))))*$D$50)))))*$I75,0)),0)</f>
        <v>0</v>
      </c>
      <c r="AY75" s="64"/>
      <c r="AZ75" s="796" t="s">
        <v>2340</v>
      </c>
      <c r="BA75" s="72">
        <f t="shared" ref="BA75:BA77" si="394">IFERROR(IF($M75=AZ75,($D$8+$D$9+$D$10)*$I75,IF($N75=LEFT(AZ75,1),($D$8+MAX(0,IF($D$50=1,$D$9*(1-(ABS($Q75-ABS(VALUE(MID(AZ75,FIND("|",AZ75)+1,FIND("-",AZ75)-FIND("|",AZ75)-1))-VALUE(MID(AZ75,FIND("-",AZ75)+1,10)))))*$D$50),$D$9*(1-(IF($N75="X",ABS($O75-VALUE(MID(AZ75,FIND("|",AZ75)+1,FIND("-",AZ75)-FIND("|",AZ75)-1))),ABS($Q75-ABS(VALUE(MID(AZ75,FIND("|",AZ75)+1,FIND("-",AZ75)-FIND("|",AZ75)-1))-VALUE(MID(AZ75,FIND("-",AZ75)+1,10)))))*$D$50)))))*$I75,0)),0)</f>
        <v>0</v>
      </c>
      <c r="BB75" s="64"/>
      <c r="BC75" s="796" t="s">
        <v>1950</v>
      </c>
      <c r="BD75" s="72">
        <f t="shared" si="331"/>
        <v>0</v>
      </c>
      <c r="BE75" s="64"/>
      <c r="BF75" s="796" t="s">
        <v>1962</v>
      </c>
      <c r="BG75" s="72">
        <f t="shared" si="332"/>
        <v>0</v>
      </c>
      <c r="BH75" s="64"/>
      <c r="BI75" s="796" t="s">
        <v>1955</v>
      </c>
      <c r="BJ75" s="72">
        <f t="shared" si="333"/>
        <v>0</v>
      </c>
      <c r="BK75" s="64"/>
      <c r="BL75" s="796" t="s">
        <v>1947</v>
      </c>
      <c r="BM75" s="72">
        <f t="shared" ref="BM75:BM77" si="395">IFERROR(IF($M75=BL75,($D$8+$D$9+$D$10)*$I75,IF($N75=LEFT(BL75,1),($D$8+MAX(0,IF($D$50=1,$D$9*(1-(ABS($Q75-ABS(VALUE(MID(BL75,FIND("|",BL75)+1,FIND("-",BL75)-FIND("|",BL75)-1))-VALUE(MID(BL75,FIND("-",BL75)+1,10)))))*$D$50),$D$9*(1-(IF($N75="X",ABS($O75-VALUE(MID(BL75,FIND("|",BL75)+1,FIND("-",BL75)-FIND("|",BL75)-1))),ABS($Q75-ABS(VALUE(MID(BL75,FIND("|",BL75)+1,FIND("-",BL75)-FIND("|",BL75)-1))-VALUE(MID(BL75,FIND("-",BL75)+1,10)))))*$D$50)))))*$I75,0)),0)</f>
        <v>0</v>
      </c>
      <c r="BN75" s="64"/>
      <c r="BO75" s="816" t="s">
        <v>2007</v>
      </c>
      <c r="BP75" s="72">
        <f t="shared" ref="BP75:BP77" si="396">IFERROR(IF($M75=BO75,($D$8+$D$9+$D$10)*$I75,IF($N75=LEFT(BO75,1),($D$8+MAX(0,IF($D$50=1,$D$9*(1-(ABS($Q75-ABS(VALUE(MID(BO75,FIND("|",BO75)+1,FIND("-",BO75)-FIND("|",BO75)-1))-VALUE(MID(BO75,FIND("-",BO75)+1,10)))))*$D$50),$D$9*(1-(IF($N75="X",ABS($O75-VALUE(MID(BO75,FIND("|",BO75)+1,FIND("-",BO75)-FIND("|",BO75)-1))),ABS($Q75-ABS(VALUE(MID(BO75,FIND("|",BO75)+1,FIND("-",BO75)-FIND("|",BO75)-1))-VALUE(MID(BO75,FIND("-",BO75)+1,10)))))*$D$50)))))*$I75,0)),0)</f>
        <v>0</v>
      </c>
      <c r="BQ75" s="64"/>
      <c r="BR75" s="796" t="s">
        <v>1961</v>
      </c>
      <c r="BS75" s="72">
        <f t="shared" si="334"/>
        <v>0</v>
      </c>
      <c r="BT75" s="64"/>
      <c r="BU75" s="796" t="s">
        <v>1955</v>
      </c>
      <c r="BV75" s="72">
        <f t="shared" si="335"/>
        <v>0</v>
      </c>
      <c r="BW75" s="64"/>
      <c r="BX75" s="73" t="s">
        <v>1949</v>
      </c>
      <c r="BY75" s="72">
        <f t="shared" si="336"/>
        <v>0</v>
      </c>
      <c r="BZ75" s="64"/>
      <c r="CA75" s="816" t="s">
        <v>1958</v>
      </c>
      <c r="CB75" s="72">
        <f t="shared" ref="CB75:CB77" si="397">IFERROR(IF($M75=CA75,($D$8+$D$9+$D$10)*$I75,IF($N75=LEFT(CA75,1),($D$8+MAX(0,IF($D$50=1,$D$9*(1-(ABS($Q75-ABS(VALUE(MID(CA75,FIND("|",CA75)+1,FIND("-",CA75)-FIND("|",CA75)-1))-VALUE(MID(CA75,FIND("-",CA75)+1,10)))))*$D$50),$D$9*(1-(IF($N75="X",ABS($O75-VALUE(MID(CA75,FIND("|",CA75)+1,FIND("-",CA75)-FIND("|",CA75)-1))),ABS($Q75-ABS(VALUE(MID(CA75,FIND("|",CA75)+1,FIND("-",CA75)-FIND("|",CA75)-1))-VALUE(MID(CA75,FIND("-",CA75)+1,10)))))*$D$50)))))*$I75,0)),0)</f>
        <v>0</v>
      </c>
      <c r="CC75" s="64"/>
      <c r="CD75" s="825" t="s">
        <v>1950</v>
      </c>
      <c r="CE75" s="72">
        <f t="shared" ref="CE75:CE77" si="398">IFERROR(IF($M75=CD75,($D$8+$D$9+$D$10)*$I75,IF($N75=LEFT(CD75,1),($D$8+MAX(0,IF($D$50=1,$D$9*(1-(ABS($Q75-ABS(VALUE(MID(CD75,FIND("|",CD75)+1,FIND("-",CD75)-FIND("|",CD75)-1))-VALUE(MID(CD75,FIND("-",CD75)+1,10)))))*$D$50),$D$9*(1-(IF($N75="X",ABS($O75-VALUE(MID(CD75,FIND("|",CD75)+1,FIND("-",CD75)-FIND("|",CD75)-1))),ABS($Q75-ABS(VALUE(MID(CD75,FIND("|",CD75)+1,FIND("-",CD75)-FIND("|",CD75)-1))-VALUE(MID(CD75,FIND("-",CD75)+1,10)))))*$D$50)))))*$I75,0)),0)</f>
        <v>0</v>
      </c>
      <c r="CF75" s="64"/>
      <c r="CG75" s="796" t="s">
        <v>1961</v>
      </c>
      <c r="CH75" s="72">
        <f t="shared" si="337"/>
        <v>0</v>
      </c>
      <c r="CI75" s="64"/>
      <c r="CJ75" s="796" t="s">
        <v>1961</v>
      </c>
      <c r="CK75" s="72">
        <f t="shared" si="338"/>
        <v>0</v>
      </c>
      <c r="CL75" s="64"/>
      <c r="CM75" s="796" t="s">
        <v>1961</v>
      </c>
      <c r="CN75" s="72">
        <f t="shared" si="339"/>
        <v>0</v>
      </c>
      <c r="CO75" s="64"/>
      <c r="CP75" s="796" t="s">
        <v>1949</v>
      </c>
      <c r="CQ75" s="72">
        <f t="shared" ref="CQ75:CQ77" si="399">IFERROR(IF($M75=CP75,($D$8+$D$9+$D$10)*$I75,IF($N75=LEFT(CP75,1),($D$8+MAX(0,IF($D$50=1,$D$9*(1-(ABS($Q75-ABS(VALUE(MID(CP75,FIND("|",CP75)+1,FIND("-",CP75)-FIND("|",CP75)-1))-VALUE(MID(CP75,FIND("-",CP75)+1,10)))))*$D$50),$D$9*(1-(IF($N75="X",ABS($O75-VALUE(MID(CP75,FIND("|",CP75)+1,FIND("-",CP75)-FIND("|",CP75)-1))),ABS($Q75-ABS(VALUE(MID(CP75,FIND("|",CP75)+1,FIND("-",CP75)-FIND("|",CP75)-1))-VALUE(MID(CP75,FIND("-",CP75)+1,10)))))*$D$50)))))*$I75,0)),0)</f>
        <v>0</v>
      </c>
      <c r="CR75" s="64"/>
      <c r="CS75" s="796" t="s">
        <v>1961</v>
      </c>
      <c r="CT75" s="72">
        <f t="shared" ref="CT75:CT77" si="400">IFERROR(IF($M75=CS75,($D$8+$D$9+$D$10)*$I75,IF($N75=LEFT(CS75,1),($D$8+MAX(0,IF($D$50=1,$D$9*(1-(ABS($Q75-ABS(VALUE(MID(CS75,FIND("|",CS75)+1,FIND("-",CS75)-FIND("|",CS75)-1))-VALUE(MID(CS75,FIND("-",CS75)+1,10)))))*$D$50),$D$9*(1-(IF($N75="X",ABS($O75-VALUE(MID(CS75,FIND("|",CS75)+1,FIND("-",CS75)-FIND("|",CS75)-1))),ABS($Q75-ABS(VALUE(MID(CS75,FIND("|",CS75)+1,FIND("-",CS75)-FIND("|",CS75)-1))-VALUE(MID(CS75,FIND("-",CS75)+1,10)))))*$D$50)))))*$I75,0)),0)</f>
        <v>0</v>
      </c>
      <c r="CU75" s="64"/>
      <c r="CV75" s="796" t="s">
        <v>1961</v>
      </c>
      <c r="CW75" s="72">
        <f t="shared" si="340"/>
        <v>0</v>
      </c>
      <c r="CX75" s="64"/>
      <c r="CY75" s="796" t="s">
        <v>1961</v>
      </c>
      <c r="CZ75" s="72">
        <f t="shared" si="341"/>
        <v>0</v>
      </c>
      <c r="DA75" s="64"/>
      <c r="DB75" s="796" t="s">
        <v>1958</v>
      </c>
      <c r="DC75" s="72">
        <f t="shared" si="342"/>
        <v>0</v>
      </c>
      <c r="DD75" s="64"/>
      <c r="DE75" s="796" t="s">
        <v>1949</v>
      </c>
      <c r="DF75" s="72">
        <f t="shared" si="343"/>
        <v>0</v>
      </c>
      <c r="DG75" s="64"/>
      <c r="DH75" s="796" t="s">
        <v>1949</v>
      </c>
      <c r="DI75" s="72">
        <f t="shared" si="344"/>
        <v>0</v>
      </c>
      <c r="DJ75" s="64"/>
      <c r="DK75" s="796" t="s">
        <v>1950</v>
      </c>
      <c r="DL75" s="72">
        <f t="shared" si="345"/>
        <v>0</v>
      </c>
      <c r="DM75" s="64"/>
      <c r="DN75" s="73"/>
      <c r="DO75" s="72">
        <f t="shared" si="346"/>
        <v>0</v>
      </c>
      <c r="DP75" s="64"/>
      <c r="DQ75" s="796" t="s">
        <v>1961</v>
      </c>
      <c r="DR75" s="72">
        <f t="shared" si="347"/>
        <v>0</v>
      </c>
      <c r="DS75" s="64"/>
      <c r="DT75" s="73" t="s">
        <v>1949</v>
      </c>
      <c r="DU75" s="72">
        <f t="shared" ref="DU75:DU77" si="401">IFERROR(IF($M75=DT75,($D$8+$D$9+$D$10)*$I75,IF($N75=LEFT(DT75,1),($D$8+MAX(0,IF($D$50=1,$D$9*(1-(ABS($Q75-ABS(VALUE(MID(DT75,FIND("|",DT75)+1,FIND("-",DT75)-FIND("|",DT75)-1))-VALUE(MID(DT75,FIND("-",DT75)+1,10)))))*$D$50),$D$9*(1-(IF($N75="X",ABS($O75-VALUE(MID(DT75,FIND("|",DT75)+1,FIND("-",DT75)-FIND("|",DT75)-1))),ABS($Q75-ABS(VALUE(MID(DT75,FIND("|",DT75)+1,FIND("-",DT75)-FIND("|",DT75)-1))-VALUE(MID(DT75,FIND("-",DT75)+1,10)))))*$D$50)))))*$I75,0)),0)</f>
        <v>0</v>
      </c>
      <c r="DV75" s="64"/>
      <c r="DW75" s="73"/>
      <c r="DX75" s="72">
        <f t="shared" ref="DX75:DX77" si="402">IFERROR(IF($M75=DW75,($D$8+$D$9+$D$10)*$I75,IF($N75=LEFT(DW75,1),($D$8+MAX(0,IF($D$50=1,$D$9*(1-(ABS($Q75-ABS(VALUE(MID(DW75,FIND("|",DW75)+1,FIND("-",DW75)-FIND("|",DW75)-1))-VALUE(MID(DW75,FIND("-",DW75)+1,10)))))*$D$50),$D$9*(1-(IF($N75="X",ABS($O75-VALUE(MID(DW75,FIND("|",DW75)+1,FIND("-",DW75)-FIND("|",DW75)-1))),ABS($Q75-ABS(VALUE(MID(DW75,FIND("|",DW75)+1,FIND("-",DW75)-FIND("|",DW75)-1))-VALUE(MID(DW75,FIND("-",DW75)+1,10)))))*$D$50)))))*$I75,0)),0)</f>
        <v>0</v>
      </c>
      <c r="DY75" s="64"/>
      <c r="DZ75" s="73"/>
      <c r="EA75" s="72">
        <f t="shared" si="348"/>
        <v>0</v>
      </c>
      <c r="EB75" s="64"/>
      <c r="EC75" s="73"/>
      <c r="ED75" s="72">
        <f t="shared" si="349"/>
        <v>0</v>
      </c>
      <c r="EE75" s="64"/>
      <c r="EF75" s="73"/>
      <c r="EG75" s="72">
        <f t="shared" si="350"/>
        <v>0</v>
      </c>
      <c r="EH75" s="64"/>
      <c r="EI75" s="73"/>
      <c r="EJ75" s="72">
        <f t="shared" ref="EJ75:EJ77" si="403">IFERROR(IF($M75=EI75,($D$8+$D$9+$D$10)*$I75,IF($N75=LEFT(EI75,1),($D$8+MAX(0,IF($D$50=1,$D$9*(1-(ABS($Q75-ABS(VALUE(MID(EI75,FIND("|",EI75)+1,FIND("-",EI75)-FIND("|",EI75)-1))-VALUE(MID(EI75,FIND("-",EI75)+1,10)))))*$D$50),$D$9*(1-(IF($N75="X",ABS($O75-VALUE(MID(EI75,FIND("|",EI75)+1,FIND("-",EI75)-FIND("|",EI75)-1))),ABS($Q75-ABS(VALUE(MID(EI75,FIND("|",EI75)+1,FIND("-",EI75)-FIND("|",EI75)-1))-VALUE(MID(EI75,FIND("-",EI75)+1,10)))))*$D$50)))))*$I75,0)),0)</f>
        <v>0</v>
      </c>
      <c r="EK75" s="64"/>
      <c r="EL75" s="73"/>
      <c r="EM75" s="72">
        <f t="shared" ref="EM75:EM77" si="404">IFERROR(IF($M75=EL75,($D$8+$D$9+$D$10)*$I75,IF($N75=LEFT(EL75,1),($D$8+MAX(0,IF($D$50=1,$D$9*(1-(ABS($Q75-ABS(VALUE(MID(EL75,FIND("|",EL75)+1,FIND("-",EL75)-FIND("|",EL75)-1))-VALUE(MID(EL75,FIND("-",EL75)+1,10)))))*$D$50),$D$9*(1-(IF($N75="X",ABS($O75-VALUE(MID(EL75,FIND("|",EL75)+1,FIND("-",EL75)-FIND("|",EL75)-1))),ABS($Q75-ABS(VALUE(MID(EL75,FIND("|",EL75)+1,FIND("-",EL75)-FIND("|",EL75)-1))-VALUE(MID(EL75,FIND("-",EL75)+1,10)))))*$D$50)))))*$I75,0)),0)</f>
        <v>0</v>
      </c>
      <c r="EN75" s="64"/>
      <c r="EO75" s="73"/>
      <c r="EP75" s="72">
        <f t="shared" si="351"/>
        <v>0</v>
      </c>
      <c r="EQ75" s="64"/>
      <c r="ER75" s="73"/>
      <c r="ES75" s="72">
        <f t="shared" si="352"/>
        <v>0</v>
      </c>
      <c r="ET75" s="64"/>
      <c r="EU75" s="73"/>
      <c r="EV75" s="72">
        <f t="shared" si="353"/>
        <v>0</v>
      </c>
      <c r="EW75" s="64"/>
      <c r="EX75" s="73"/>
      <c r="EY75" s="72">
        <f t="shared" ref="EY75:EY77" si="405">IFERROR(IF($M75=EX75,($D$8+$D$9+$D$10)*$I75,IF($N75=LEFT(EX75,1),($D$8+MAX(0,IF($D$50=1,$D$9*(1-(ABS($Q75-ABS(VALUE(MID(EX75,FIND("|",EX75)+1,FIND("-",EX75)-FIND("|",EX75)-1))-VALUE(MID(EX75,FIND("-",EX75)+1,10)))))*$D$50),$D$9*(1-(IF($N75="X",ABS($O75-VALUE(MID(EX75,FIND("|",EX75)+1,FIND("-",EX75)-FIND("|",EX75)-1))),ABS($Q75-ABS(VALUE(MID(EX75,FIND("|",EX75)+1,FIND("-",EX75)-FIND("|",EX75)-1))-VALUE(MID(EX75,FIND("-",EX75)+1,10)))))*$D$50)))))*$I75,0)),0)</f>
        <v>0</v>
      </c>
      <c r="EZ75" s="64"/>
      <c r="FA75" s="73"/>
      <c r="FB75" s="72">
        <f t="shared" ref="FB75:FB77" si="406">IFERROR(IF($M75=FA75,($D$8+$D$9+$D$10)*$I75,IF($N75=LEFT(FA75,1),($D$8+MAX(0,IF($D$50=1,$D$9*(1-(ABS($Q75-ABS(VALUE(MID(FA75,FIND("|",FA75)+1,FIND("-",FA75)-FIND("|",FA75)-1))-VALUE(MID(FA75,FIND("-",FA75)+1,10)))))*$D$50),$D$9*(1-(IF($N75="X",ABS($O75-VALUE(MID(FA75,FIND("|",FA75)+1,FIND("-",FA75)-FIND("|",FA75)-1))),ABS($Q75-ABS(VALUE(MID(FA75,FIND("|",FA75)+1,FIND("-",FA75)-FIND("|",FA75)-1))-VALUE(MID(FA75,FIND("-",FA75)+1,10)))))*$D$50)))))*$I75,0)),0)</f>
        <v>0</v>
      </c>
      <c r="FC75" s="64"/>
      <c r="FD75" s="73"/>
      <c r="FE75" s="72">
        <f t="shared" si="354"/>
        <v>0</v>
      </c>
      <c r="FF75" s="64"/>
      <c r="FG75" s="73"/>
      <c r="FH75" s="72">
        <f t="shared" si="355"/>
        <v>0</v>
      </c>
      <c r="FI75" s="64"/>
      <c r="FJ75" s="73"/>
      <c r="FK75" s="72">
        <f t="shared" si="356"/>
        <v>0</v>
      </c>
      <c r="FL75" s="64"/>
      <c r="FM75" s="73"/>
      <c r="FN75" s="72">
        <f t="shared" ref="FN75:FN77" si="407">IFERROR(IF($M75=FM75,($D$8+$D$9+$D$10)*$I75,IF($N75=LEFT(FM75,1),($D$8+MAX(0,IF($D$50=1,$D$9*(1-(ABS($Q75-ABS(VALUE(MID(FM75,FIND("|",FM75)+1,FIND("-",FM75)-FIND("|",FM75)-1))-VALUE(MID(FM75,FIND("-",FM75)+1,10)))))*$D$50),$D$9*(1-(IF($N75="X",ABS($O75-VALUE(MID(FM75,FIND("|",FM75)+1,FIND("-",FM75)-FIND("|",FM75)-1))),ABS($Q75-ABS(VALUE(MID(FM75,FIND("|",FM75)+1,FIND("-",FM75)-FIND("|",FM75)-1))-VALUE(MID(FM75,FIND("-",FM75)+1,10)))))*$D$50)))))*$I75,0)),0)</f>
        <v>0</v>
      </c>
      <c r="FO75" s="64"/>
      <c r="FP75" s="73"/>
      <c r="FQ75" s="72">
        <f t="shared" ref="FQ75:FQ77" si="408">IFERROR(IF($M75=FP75,($D$8+$D$9+$D$10)*$I75,IF($N75=LEFT(FP75,1),($D$8+MAX(0,IF($D$50=1,$D$9*(1-(ABS($Q75-ABS(VALUE(MID(FP75,FIND("|",FP75)+1,FIND("-",FP75)-FIND("|",FP75)-1))-VALUE(MID(FP75,FIND("-",FP75)+1,10)))))*$D$50),$D$9*(1-(IF($N75="X",ABS($O75-VALUE(MID(FP75,FIND("|",FP75)+1,FIND("-",FP75)-FIND("|",FP75)-1))),ABS($Q75-ABS(VALUE(MID(FP75,FIND("|",FP75)+1,FIND("-",FP75)-FIND("|",FP75)-1))-VALUE(MID(FP75,FIND("-",FP75)+1,10)))))*$D$50)))))*$I75,0)),0)</f>
        <v>0</v>
      </c>
      <c r="FR75" s="64"/>
      <c r="FS75" s="73"/>
      <c r="FT75" s="72">
        <f t="shared" si="357"/>
        <v>0</v>
      </c>
      <c r="FU75" s="64"/>
      <c r="FV75" s="73"/>
      <c r="FW75" s="72">
        <f t="shared" si="358"/>
        <v>0</v>
      </c>
      <c r="FX75" s="64"/>
      <c r="FY75" s="73"/>
      <c r="FZ75" s="72">
        <f t="shared" si="359"/>
        <v>0</v>
      </c>
      <c r="GA75" s="64"/>
      <c r="GB75" s="73"/>
      <c r="GC75" s="72">
        <f t="shared" ref="GC75:GC77" si="409">IFERROR(IF($M75=GB75,($D$8+$D$9+$D$10)*$I75,IF($N75=LEFT(GB75,1),($D$8+MAX(0,IF($D$50=1,$D$9*(1-(ABS($Q75-ABS(VALUE(MID(GB75,FIND("|",GB75)+1,FIND("-",GB75)-FIND("|",GB75)-1))-VALUE(MID(GB75,FIND("-",GB75)+1,10)))))*$D$50),$D$9*(1-(IF($N75="X",ABS($O75-VALUE(MID(GB75,FIND("|",GB75)+1,FIND("-",GB75)-FIND("|",GB75)-1))),ABS($Q75-ABS(VALUE(MID(GB75,FIND("|",GB75)+1,FIND("-",GB75)-FIND("|",GB75)-1))-VALUE(MID(GB75,FIND("-",GB75)+1,10)))))*$D$50)))))*$I75,0)),0)</f>
        <v>0</v>
      </c>
      <c r="GD75" s="64"/>
      <c r="GE75" s="73"/>
      <c r="GF75" s="72">
        <f t="shared" ref="GF75:GF77" si="410">IFERROR(IF($M75=GE75,($D$8+$D$9+$D$10)*$I75,IF($N75=LEFT(GE75,1),($D$8+MAX(0,IF($D$50=1,$D$9*(1-(ABS($Q75-ABS(VALUE(MID(GE75,FIND("|",GE75)+1,FIND("-",GE75)-FIND("|",GE75)-1))-VALUE(MID(GE75,FIND("-",GE75)+1,10)))))*$D$50),$D$9*(1-(IF($N75="X",ABS($O75-VALUE(MID(GE75,FIND("|",GE75)+1,FIND("-",GE75)-FIND("|",GE75)-1))),ABS($Q75-ABS(VALUE(MID(GE75,FIND("|",GE75)+1,FIND("-",GE75)-FIND("|",GE75)-1))-VALUE(MID(GE75,FIND("-",GE75)+1,10)))))*$D$50)))))*$I75,0)),0)</f>
        <v>0</v>
      </c>
      <c r="GG75" s="64"/>
      <c r="GH75" s="73"/>
      <c r="GI75" s="72">
        <f t="shared" si="360"/>
        <v>0</v>
      </c>
      <c r="GJ75" s="64"/>
      <c r="GK75" s="73"/>
      <c r="GL75" s="72">
        <f t="shared" si="361"/>
        <v>0</v>
      </c>
      <c r="GM75" s="64"/>
      <c r="GN75" s="73"/>
      <c r="GO75" s="72">
        <f t="shared" si="362"/>
        <v>0</v>
      </c>
      <c r="GP75" s="64"/>
      <c r="GQ75" s="73"/>
      <c r="GR75" s="72">
        <f t="shared" ref="GR75:GR77" si="411">IFERROR(IF($M75=GQ75,($D$8+$D$9+$D$10)*$I75,IF($N75=LEFT(GQ75,1),($D$8+MAX(0,IF($D$50=1,$D$9*(1-(ABS($Q75-ABS(VALUE(MID(GQ75,FIND("|",GQ75)+1,FIND("-",GQ75)-FIND("|",GQ75)-1))-VALUE(MID(GQ75,FIND("-",GQ75)+1,10)))))*$D$50),$D$9*(1-(IF($N75="X",ABS($O75-VALUE(MID(GQ75,FIND("|",GQ75)+1,FIND("-",GQ75)-FIND("|",GQ75)-1))),ABS($Q75-ABS(VALUE(MID(GQ75,FIND("|",GQ75)+1,FIND("-",GQ75)-FIND("|",GQ75)-1))-VALUE(MID(GQ75,FIND("-",GQ75)+1,10)))))*$D$50)))))*$I75,0)),0)</f>
        <v>0</v>
      </c>
      <c r="GS75" s="64"/>
      <c r="GT75" s="73"/>
      <c r="GU75" s="72">
        <f t="shared" ref="GU75:GU77" si="412">IFERROR(IF($M75=GT75,($D$8+$D$9+$D$10)*$I75,IF($N75=LEFT(GT75,1),($D$8+MAX(0,IF($D$50=1,$D$9*(1-(ABS($Q75-ABS(VALUE(MID(GT75,FIND("|",GT75)+1,FIND("-",GT75)-FIND("|",GT75)-1))-VALUE(MID(GT75,FIND("-",GT75)+1,10)))))*$D$50),$D$9*(1-(IF($N75="X",ABS($O75-VALUE(MID(GT75,FIND("|",GT75)+1,FIND("-",GT75)-FIND("|",GT75)-1))),ABS($Q75-ABS(VALUE(MID(GT75,FIND("|",GT75)+1,FIND("-",GT75)-FIND("|",GT75)-1))-VALUE(MID(GT75,FIND("-",GT75)+1,10)))))*$D$50)))))*$I75,0)),0)</f>
        <v>0</v>
      </c>
      <c r="GV75" s="64"/>
      <c r="GW75" s="73"/>
      <c r="GX75" s="72">
        <f t="shared" si="363"/>
        <v>0</v>
      </c>
      <c r="GY75" s="64"/>
      <c r="GZ75" s="73"/>
      <c r="HA75" s="72">
        <f t="shared" si="364"/>
        <v>0</v>
      </c>
      <c r="HB75" s="64"/>
      <c r="HC75" s="73"/>
      <c r="HD75" s="72">
        <f t="shared" si="365"/>
        <v>0</v>
      </c>
      <c r="HE75" s="64"/>
      <c r="HF75" s="73"/>
      <c r="HG75" s="72">
        <f t="shared" ref="HG75:HG77" si="413">IFERROR(IF($M75=HF75,($D$8+$D$9+$D$10)*$I75,IF($N75=LEFT(HF75,1),($D$8+MAX(0,IF($D$50=1,$D$9*(1-(ABS($Q75-ABS(VALUE(MID(HF75,FIND("|",HF75)+1,FIND("-",HF75)-FIND("|",HF75)-1))-VALUE(MID(HF75,FIND("-",HF75)+1,10)))))*$D$50),$D$9*(1-(IF($N75="X",ABS($O75-VALUE(MID(HF75,FIND("|",HF75)+1,FIND("-",HF75)-FIND("|",HF75)-1))),ABS($Q75-ABS(VALUE(MID(HF75,FIND("|",HF75)+1,FIND("-",HF75)-FIND("|",HF75)-1))-VALUE(MID(HF75,FIND("-",HF75)+1,10)))))*$D$50)))))*$I75,0)),0)</f>
        <v>0</v>
      </c>
      <c r="HH75" s="64"/>
      <c r="HI75" s="73"/>
      <c r="HJ75" s="72">
        <f t="shared" ref="HJ75:HJ77" si="414">IFERROR(IF($M75=HI75,($D$8+$D$9+$D$10)*$I75,IF($N75=LEFT(HI75,1),($D$8+MAX(0,IF($D$50=1,$D$9*(1-(ABS($Q75-ABS(VALUE(MID(HI75,FIND("|",HI75)+1,FIND("-",HI75)-FIND("|",HI75)-1))-VALUE(MID(HI75,FIND("-",HI75)+1,10)))))*$D$50),$D$9*(1-(IF($N75="X",ABS($O75-VALUE(MID(HI75,FIND("|",HI75)+1,FIND("-",HI75)-FIND("|",HI75)-1))),ABS($Q75-ABS(VALUE(MID(HI75,FIND("|",HI75)+1,FIND("-",HI75)-FIND("|",HI75)-1))-VALUE(MID(HI75,FIND("-",HI75)+1,10)))))*$D$50)))))*$I75,0)),0)</f>
        <v>0</v>
      </c>
      <c r="HK75" s="64"/>
      <c r="HL75" s="73"/>
      <c r="HM75" s="72">
        <f t="shared" si="366"/>
        <v>0</v>
      </c>
      <c r="HN75" s="64"/>
      <c r="HO75" s="73"/>
      <c r="HP75" s="72">
        <f t="shared" si="367"/>
        <v>0</v>
      </c>
      <c r="HQ75" s="64"/>
      <c r="HR75" s="73"/>
      <c r="HS75" s="72">
        <f t="shared" si="368"/>
        <v>0</v>
      </c>
      <c r="HT75" s="64"/>
      <c r="HU75" s="73"/>
      <c r="HV75" s="72">
        <f t="shared" ref="HV75:HV77" si="415">IFERROR(IF($M75=HU75,($D$8+$D$9+$D$10)*$I75,IF($N75=LEFT(HU75,1),($D$8+MAX(0,IF($D$50=1,$D$9*(1-(ABS($Q75-ABS(VALUE(MID(HU75,FIND("|",HU75)+1,FIND("-",HU75)-FIND("|",HU75)-1))-VALUE(MID(HU75,FIND("-",HU75)+1,10)))))*$D$50),$D$9*(1-(IF($N75="X",ABS($O75-VALUE(MID(HU75,FIND("|",HU75)+1,FIND("-",HU75)-FIND("|",HU75)-1))),ABS($Q75-ABS(VALUE(MID(HU75,FIND("|",HU75)+1,FIND("-",HU75)-FIND("|",HU75)-1))-VALUE(MID(HU75,FIND("-",HU75)+1,10)))))*$D$50)))))*$I75,0)),0)</f>
        <v>0</v>
      </c>
      <c r="HW75" s="64"/>
      <c r="HX75" s="73"/>
      <c r="HY75" s="72">
        <f t="shared" ref="HY75:HY77" si="416">IFERROR(IF($M75=HX75,($D$8+$D$9+$D$10)*$I75,IF($N75=LEFT(HX75,1),($D$8+MAX(0,IF($D$50=1,$D$9*(1-(ABS($Q75-ABS(VALUE(MID(HX75,FIND("|",HX75)+1,FIND("-",HX75)-FIND("|",HX75)-1))-VALUE(MID(HX75,FIND("-",HX75)+1,10)))))*$D$50),$D$9*(1-(IF($N75="X",ABS($O75-VALUE(MID(HX75,FIND("|",HX75)+1,FIND("-",HX75)-FIND("|",HX75)-1))),ABS($Q75-ABS(VALUE(MID(HX75,FIND("|",HX75)+1,FIND("-",HX75)-FIND("|",HX75)-1))-VALUE(MID(HX75,FIND("-",HX75)+1,10)))))*$D$50)))))*$I75,0)),0)</f>
        <v>0</v>
      </c>
      <c r="HZ75" s="64"/>
      <c r="IA75" s="73"/>
      <c r="IB75" s="72">
        <f t="shared" si="369"/>
        <v>0</v>
      </c>
      <c r="IC75" s="64"/>
      <c r="ID75" s="73"/>
      <c r="IE75" s="72">
        <f t="shared" si="370"/>
        <v>0</v>
      </c>
      <c r="IF75" s="64"/>
      <c r="IG75" s="73"/>
      <c r="IH75" s="72">
        <f t="shared" si="371"/>
        <v>0</v>
      </c>
      <c r="II75" s="64"/>
      <c r="IJ75" s="73"/>
      <c r="IK75" s="72">
        <f t="shared" ref="IK75:IK77" si="417">IFERROR(IF($M75=IJ75,($D$8+$D$9+$D$10)*$I75,IF($N75=LEFT(IJ75,1),($D$8+MAX(0,IF($D$50=1,$D$9*(1-(ABS($Q75-ABS(VALUE(MID(IJ75,FIND("|",IJ75)+1,FIND("-",IJ75)-FIND("|",IJ75)-1))-VALUE(MID(IJ75,FIND("-",IJ75)+1,10)))))*$D$50),$D$9*(1-(IF($N75="X",ABS($O75-VALUE(MID(IJ75,FIND("|",IJ75)+1,FIND("-",IJ75)-FIND("|",IJ75)-1))),ABS($Q75-ABS(VALUE(MID(IJ75,FIND("|",IJ75)+1,FIND("-",IJ75)-FIND("|",IJ75)-1))-VALUE(MID(IJ75,FIND("-",IJ75)+1,10)))))*$D$50)))))*$I75,0)),0)</f>
        <v>0</v>
      </c>
      <c r="IL75" s="64"/>
      <c r="IM75" s="73"/>
      <c r="IN75" s="72">
        <f t="shared" ref="IN75:IN77" si="418">IFERROR(IF($M75=IM75,($D$8+$D$9+$D$10)*$I75,IF($N75=LEFT(IM75,1),($D$8+MAX(0,IF($D$50=1,$D$9*(1-(ABS($Q75-ABS(VALUE(MID(IM75,FIND("|",IM75)+1,FIND("-",IM75)-FIND("|",IM75)-1))-VALUE(MID(IM75,FIND("-",IM75)+1,10)))))*$D$50),$D$9*(1-(IF($N75="X",ABS($O75-VALUE(MID(IM75,FIND("|",IM75)+1,FIND("-",IM75)-FIND("|",IM75)-1))),ABS($Q75-ABS(VALUE(MID(IM75,FIND("|",IM75)+1,FIND("-",IM75)-FIND("|",IM75)-1))-VALUE(MID(IM75,FIND("-",IM75)+1,10)))))*$D$50)))))*$I75,0)),0)</f>
        <v>0</v>
      </c>
      <c r="IO75" s="64"/>
      <c r="IP75" s="73"/>
      <c r="IQ75" s="72">
        <f t="shared" si="372"/>
        <v>0</v>
      </c>
      <c r="IR75" s="64"/>
      <c r="IS75" s="73"/>
      <c r="IT75" s="72">
        <f t="shared" si="373"/>
        <v>0</v>
      </c>
      <c r="IU75" s="64"/>
      <c r="IV75" s="73"/>
      <c r="IW75" s="72">
        <f t="shared" si="374"/>
        <v>0</v>
      </c>
      <c r="IX75" s="64"/>
      <c r="IY75" s="73"/>
      <c r="IZ75" s="72">
        <f t="shared" ref="IZ75:IZ77" si="419">IFERROR(IF($M75=IY75,($D$8+$D$9+$D$10)*$I75,IF($N75=LEFT(IY75,1),($D$8+MAX(0,IF($D$50=1,$D$9*(1-(ABS($Q75-ABS(VALUE(MID(IY75,FIND("|",IY75)+1,FIND("-",IY75)-FIND("|",IY75)-1))-VALUE(MID(IY75,FIND("-",IY75)+1,10)))))*$D$50),$D$9*(1-(IF($N75="X",ABS($O75-VALUE(MID(IY75,FIND("|",IY75)+1,FIND("-",IY75)-FIND("|",IY75)-1))),ABS($Q75-ABS(VALUE(MID(IY75,FIND("|",IY75)+1,FIND("-",IY75)-FIND("|",IY75)-1))-VALUE(MID(IY75,FIND("-",IY75)+1,10)))))*$D$50)))))*$I75,0)),0)</f>
        <v>0</v>
      </c>
      <c r="JA75" s="64"/>
      <c r="JB75" s="73"/>
      <c r="JC75" s="72">
        <f t="shared" ref="JC75:JC77" si="420">IFERROR(IF($M75=JB75,($D$8+$D$9+$D$10)*$I75,IF($N75=LEFT(JB75,1),($D$8+MAX(0,IF($D$50=1,$D$9*(1-(ABS($Q75-ABS(VALUE(MID(JB75,FIND("|",JB75)+1,FIND("-",JB75)-FIND("|",JB75)-1))-VALUE(MID(JB75,FIND("-",JB75)+1,10)))))*$D$50),$D$9*(1-(IF($N75="X",ABS($O75-VALUE(MID(JB75,FIND("|",JB75)+1,FIND("-",JB75)-FIND("|",JB75)-1))),ABS($Q75-ABS(VALUE(MID(JB75,FIND("|",JB75)+1,FIND("-",JB75)-FIND("|",JB75)-1))-VALUE(MID(JB75,FIND("-",JB75)+1,10)))))*$D$50)))))*$I75,0)),0)</f>
        <v>0</v>
      </c>
      <c r="JD75" s="64"/>
      <c r="JE75" s="73"/>
      <c r="JF75" s="72">
        <f t="shared" si="375"/>
        <v>0</v>
      </c>
      <c r="JG75" s="64"/>
      <c r="JH75" s="73"/>
      <c r="JI75" s="72">
        <f t="shared" si="376"/>
        <v>0</v>
      </c>
      <c r="JJ75" s="64"/>
      <c r="JK75" s="73"/>
      <c r="JL75" s="72">
        <f t="shared" si="377"/>
        <v>0</v>
      </c>
      <c r="JM75" s="64"/>
      <c r="JN75" s="73"/>
      <c r="JO75" s="72">
        <f t="shared" ref="JO75:JO77" si="421">IFERROR(IF($M75=JN75,($D$8+$D$9+$D$10)*$I75,IF($N75=LEFT(JN75,1),($D$8+MAX(0,IF($D$50=1,$D$9*(1-(ABS($Q75-ABS(VALUE(MID(JN75,FIND("|",JN75)+1,FIND("-",JN75)-FIND("|",JN75)-1))-VALUE(MID(JN75,FIND("-",JN75)+1,10)))))*$D$50),$D$9*(1-(IF($N75="X",ABS($O75-VALUE(MID(JN75,FIND("|",JN75)+1,FIND("-",JN75)-FIND("|",JN75)-1))),ABS($Q75-ABS(VALUE(MID(JN75,FIND("|",JN75)+1,FIND("-",JN75)-FIND("|",JN75)-1))-VALUE(MID(JN75,FIND("-",JN75)+1,10)))))*$D$50)))))*$I75,0)),0)</f>
        <v>0</v>
      </c>
      <c r="JP75" s="64"/>
      <c r="JQ75" s="73"/>
      <c r="JR75" s="72">
        <f t="shared" ref="JR75:JR77" si="422">IFERROR(IF($M75=JQ75,($D$8+$D$9+$D$10)*$I75,IF($N75=LEFT(JQ75,1),($D$8+MAX(0,IF($D$50=1,$D$9*(1-(ABS($Q75-ABS(VALUE(MID(JQ75,FIND("|",JQ75)+1,FIND("-",JQ75)-FIND("|",JQ75)-1))-VALUE(MID(JQ75,FIND("-",JQ75)+1,10)))))*$D$50),$D$9*(1-(IF($N75="X",ABS($O75-VALUE(MID(JQ75,FIND("|",JQ75)+1,FIND("-",JQ75)-FIND("|",JQ75)-1))),ABS($Q75-ABS(VALUE(MID(JQ75,FIND("|",JQ75)+1,FIND("-",JQ75)-FIND("|",JQ75)-1))-VALUE(MID(JQ75,FIND("-",JQ75)+1,10)))))*$D$50)))))*$I75,0)),0)</f>
        <v>0</v>
      </c>
      <c r="JS75" s="64"/>
      <c r="JT75" s="73"/>
      <c r="JU75" s="72">
        <f t="shared" si="378"/>
        <v>0</v>
      </c>
      <c r="JV75" s="64"/>
      <c r="JW75" s="73"/>
      <c r="JX75" s="72">
        <f t="shared" si="379"/>
        <v>0</v>
      </c>
      <c r="JY75" s="64"/>
      <c r="JZ75" s="73"/>
      <c r="KA75" s="72">
        <f t="shared" si="380"/>
        <v>0</v>
      </c>
      <c r="KB75" s="64"/>
      <c r="KC75" s="73"/>
      <c r="KD75" s="72">
        <f t="shared" ref="KD75:KD77" si="423">IFERROR(IF($M75=KC75,($D$8+$D$9+$D$10)*$I75,IF($N75=LEFT(KC75,1),($D$8+MAX(0,IF($D$50=1,$D$9*(1-(ABS($Q75-ABS(VALUE(MID(KC75,FIND("|",KC75)+1,FIND("-",KC75)-FIND("|",KC75)-1))-VALUE(MID(KC75,FIND("-",KC75)+1,10)))))*$D$50),$D$9*(1-(IF($N75="X",ABS($O75-VALUE(MID(KC75,FIND("|",KC75)+1,FIND("-",KC75)-FIND("|",KC75)-1))),ABS($Q75-ABS(VALUE(MID(KC75,FIND("|",KC75)+1,FIND("-",KC75)-FIND("|",KC75)-1))-VALUE(MID(KC75,FIND("-",KC75)+1,10)))))*$D$50)))))*$I75,0)),0)</f>
        <v>0</v>
      </c>
      <c r="KE75" s="64"/>
      <c r="KF75" s="73"/>
      <c r="KG75" s="72">
        <f t="shared" ref="KG75:KG77" si="424">IFERROR(IF($M75=KF75,($D$8+$D$9+$D$10)*$I75,IF($N75=LEFT(KF75,1),($D$8+MAX(0,IF($D$50=1,$D$9*(1-(ABS($Q75-ABS(VALUE(MID(KF75,FIND("|",KF75)+1,FIND("-",KF75)-FIND("|",KF75)-1))-VALUE(MID(KF75,FIND("-",KF75)+1,10)))))*$D$50),$D$9*(1-(IF($N75="X",ABS($O75-VALUE(MID(KF75,FIND("|",KF75)+1,FIND("-",KF75)-FIND("|",KF75)-1))),ABS($Q75-ABS(VALUE(MID(KF75,FIND("|",KF75)+1,FIND("-",KF75)-FIND("|",KF75)-1))-VALUE(MID(KF75,FIND("-",KF75)+1,10)))))*$D$50)))))*$I75,0)),0)</f>
        <v>0</v>
      </c>
      <c r="KH75" s="64"/>
      <c r="KI75" s="73"/>
      <c r="KJ75" s="72">
        <f t="shared" si="381"/>
        <v>0</v>
      </c>
      <c r="KK75" s="64"/>
      <c r="KL75" s="73"/>
      <c r="KM75" s="72">
        <f t="shared" si="382"/>
        <v>0</v>
      </c>
      <c r="KN75" s="64"/>
      <c r="KO75" s="73"/>
      <c r="KP75" s="72">
        <f t="shared" si="383"/>
        <v>0</v>
      </c>
      <c r="KQ75" s="64"/>
      <c r="KR75" s="73"/>
      <c r="KS75" s="72">
        <f t="shared" ref="KS75:KS77" si="425">IFERROR(IF($M75=KR75,($D$8+$D$9+$D$10)*$I75,IF($N75=LEFT(KR75,1),($D$8+MAX(0,IF($D$50=1,$D$9*(1-(ABS($Q75-ABS(VALUE(MID(KR75,FIND("|",KR75)+1,FIND("-",KR75)-FIND("|",KR75)-1))-VALUE(MID(KR75,FIND("-",KR75)+1,10)))))*$D$50),$D$9*(1-(IF($N75="X",ABS($O75-VALUE(MID(KR75,FIND("|",KR75)+1,FIND("-",KR75)-FIND("|",KR75)-1))),ABS($Q75-ABS(VALUE(MID(KR75,FIND("|",KR75)+1,FIND("-",KR75)-FIND("|",KR75)-1))-VALUE(MID(KR75,FIND("-",KR75)+1,10)))))*$D$50)))))*$I75,0)),0)</f>
        <v>0</v>
      </c>
      <c r="KT75" s="64"/>
      <c r="KU75" s="73"/>
      <c r="KV75" s="72">
        <f t="shared" ref="KV75:KV77" si="426">IFERROR(IF($M75=KU75,($D$8+$D$9+$D$10)*$I75,IF($N75=LEFT(KU75,1),($D$8+MAX(0,IF($D$50=1,$D$9*(1-(ABS($Q75-ABS(VALUE(MID(KU75,FIND("|",KU75)+1,FIND("-",KU75)-FIND("|",KU75)-1))-VALUE(MID(KU75,FIND("-",KU75)+1,10)))))*$D$50),$D$9*(1-(IF($N75="X",ABS($O75-VALUE(MID(KU75,FIND("|",KU75)+1,FIND("-",KU75)-FIND("|",KU75)-1))),ABS($Q75-ABS(VALUE(MID(KU75,FIND("|",KU75)+1,FIND("-",KU75)-FIND("|",KU75)-1))-VALUE(MID(KU75,FIND("-",KU75)+1,10)))))*$D$50)))))*$I75,0)),0)</f>
        <v>0</v>
      </c>
      <c r="KW75" s="64"/>
      <c r="KX75" s="73"/>
      <c r="KY75" s="72">
        <f t="shared" si="384"/>
        <v>0</v>
      </c>
      <c r="KZ75" s="64"/>
      <c r="LA75" s="73"/>
      <c r="LB75" s="72">
        <f t="shared" si="385"/>
        <v>0</v>
      </c>
      <c r="LC75" s="64"/>
      <c r="LD75" s="73"/>
      <c r="LE75" s="72">
        <f t="shared" si="386"/>
        <v>0</v>
      </c>
      <c r="LF75" s="64"/>
    </row>
    <row r="76" spans="1:318" s="784" customFormat="1">
      <c r="A76" s="49"/>
      <c r="B76" s="49"/>
      <c r="C76" s="17"/>
      <c r="D76" s="17"/>
      <c r="E76" s="109"/>
      <c r="F76" s="443">
        <f t="shared" si="387"/>
        <v>15</v>
      </c>
      <c r="G76" s="443">
        <f ca="1">VLOOKUP(H76,Equipos!$Q$1:$R$25,2,0)</f>
        <v>17</v>
      </c>
      <c r="H76" s="444">
        <f ca="1">TRUNC(INDEX(WORLDCUP!$X$4:$X$147,MATCH(ADMIN!K76,WORLDCUP!$DT$4:$DT$147,0))+INDEX(Horarios!$R$3:$R$86,MATCH(Horarios!$C$3,Horarios!$P$3:$P$86,0))/24)</f>
        <v>46200</v>
      </c>
      <c r="I76" s="48">
        <v>1</v>
      </c>
      <c r="J76" s="94"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388"/>
        <v>0</v>
      </c>
      <c r="R76" s="49"/>
      <c r="S76" s="796" t="s">
        <v>1963</v>
      </c>
      <c r="T76" s="72">
        <f t="shared" si="389"/>
        <v>0</v>
      </c>
      <c r="U76" s="64"/>
      <c r="V76" s="73" t="s">
        <v>2008</v>
      </c>
      <c r="W76" s="72">
        <f t="shared" si="390"/>
        <v>0</v>
      </c>
      <c r="X76" s="64"/>
      <c r="Y76" s="796" t="s">
        <v>1963</v>
      </c>
      <c r="Z76" s="72">
        <f t="shared" si="326"/>
        <v>0</v>
      </c>
      <c r="AA76" s="64"/>
      <c r="AB76" s="796" t="s">
        <v>2006</v>
      </c>
      <c r="AC76" s="72">
        <f t="shared" si="327"/>
        <v>0</v>
      </c>
      <c r="AD76" s="64"/>
      <c r="AE76" s="796" t="s">
        <v>1951</v>
      </c>
      <c r="AF76" s="72">
        <f t="shared" si="325"/>
        <v>0</v>
      </c>
      <c r="AG76" s="64"/>
      <c r="AH76" s="796" t="s">
        <v>1963</v>
      </c>
      <c r="AI76" s="72">
        <f t="shared" si="391"/>
        <v>0</v>
      </c>
      <c r="AJ76" s="64"/>
      <c r="AK76" s="806" t="s">
        <v>1951</v>
      </c>
      <c r="AL76" s="72">
        <f t="shared" si="392"/>
        <v>0</v>
      </c>
      <c r="AM76" s="64"/>
      <c r="AN76" s="796" t="s">
        <v>1951</v>
      </c>
      <c r="AO76" s="72">
        <f t="shared" si="328"/>
        <v>0</v>
      </c>
      <c r="AP76" s="64"/>
      <c r="AQ76" s="806" t="s">
        <v>1962</v>
      </c>
      <c r="AR76" s="72">
        <f t="shared" si="329"/>
        <v>0</v>
      </c>
      <c r="AS76" s="64"/>
      <c r="AT76" s="796" t="s">
        <v>2006</v>
      </c>
      <c r="AU76" s="72">
        <f t="shared" si="330"/>
        <v>0</v>
      </c>
      <c r="AV76" s="64"/>
      <c r="AW76" s="796" t="s">
        <v>1962</v>
      </c>
      <c r="AX76" s="72">
        <f t="shared" si="393"/>
        <v>0</v>
      </c>
      <c r="AY76" s="64"/>
      <c r="AZ76" s="796" t="s">
        <v>2351</v>
      </c>
      <c r="BA76" s="72">
        <f t="shared" si="394"/>
        <v>0</v>
      </c>
      <c r="BB76" s="64"/>
      <c r="BC76" s="796" t="s">
        <v>1959</v>
      </c>
      <c r="BD76" s="72">
        <f t="shared" si="331"/>
        <v>0</v>
      </c>
      <c r="BE76" s="64"/>
      <c r="BF76" s="796" t="s">
        <v>2288</v>
      </c>
      <c r="BG76" s="72">
        <f t="shared" si="332"/>
        <v>0</v>
      </c>
      <c r="BH76" s="64"/>
      <c r="BI76" s="796" t="s">
        <v>1963</v>
      </c>
      <c r="BJ76" s="72">
        <f t="shared" si="333"/>
        <v>0</v>
      </c>
      <c r="BK76" s="64"/>
      <c r="BL76" s="796" t="s">
        <v>1962</v>
      </c>
      <c r="BM76" s="72">
        <f t="shared" si="395"/>
        <v>0</v>
      </c>
      <c r="BN76" s="64"/>
      <c r="BO76" s="816" t="s">
        <v>2498</v>
      </c>
      <c r="BP76" s="72">
        <f t="shared" si="396"/>
        <v>0</v>
      </c>
      <c r="BQ76" s="64"/>
      <c r="BR76" s="796" t="s">
        <v>2008</v>
      </c>
      <c r="BS76" s="72">
        <f t="shared" si="334"/>
        <v>0</v>
      </c>
      <c r="BT76" s="64"/>
      <c r="BU76" s="796" t="s">
        <v>1951</v>
      </c>
      <c r="BV76" s="72">
        <f t="shared" si="335"/>
        <v>0</v>
      </c>
      <c r="BW76" s="64"/>
      <c r="BX76" s="73" t="s">
        <v>2556</v>
      </c>
      <c r="BY76" s="72">
        <f t="shared" si="336"/>
        <v>0</v>
      </c>
      <c r="BZ76" s="64"/>
      <c r="CA76" s="816" t="s">
        <v>1963</v>
      </c>
      <c r="CB76" s="72">
        <f t="shared" si="397"/>
        <v>0</v>
      </c>
      <c r="CC76" s="64"/>
      <c r="CD76" s="825" t="s">
        <v>1951</v>
      </c>
      <c r="CE76" s="72">
        <f t="shared" si="398"/>
        <v>0</v>
      </c>
      <c r="CF76" s="64"/>
      <c r="CG76" s="796" t="s">
        <v>1947</v>
      </c>
      <c r="CH76" s="72">
        <f t="shared" si="337"/>
        <v>0</v>
      </c>
      <c r="CI76" s="64"/>
      <c r="CJ76" s="796" t="s">
        <v>1962</v>
      </c>
      <c r="CK76" s="72">
        <f t="shared" si="338"/>
        <v>0</v>
      </c>
      <c r="CL76" s="64"/>
      <c r="CM76" s="796" t="s">
        <v>1950</v>
      </c>
      <c r="CN76" s="72">
        <f t="shared" si="339"/>
        <v>0</v>
      </c>
      <c r="CO76" s="64"/>
      <c r="CP76" s="796" t="s">
        <v>1951</v>
      </c>
      <c r="CQ76" s="72">
        <f t="shared" si="399"/>
        <v>0</v>
      </c>
      <c r="CR76" s="64"/>
      <c r="CS76" s="796" t="s">
        <v>1947</v>
      </c>
      <c r="CT76" s="72">
        <f t="shared" si="400"/>
        <v>0</v>
      </c>
      <c r="CU76" s="64"/>
      <c r="CV76" s="796" t="s">
        <v>1962</v>
      </c>
      <c r="CW76" s="72">
        <f t="shared" si="340"/>
        <v>0</v>
      </c>
      <c r="CX76" s="64"/>
      <c r="CY76" s="796" t="s">
        <v>1947</v>
      </c>
      <c r="CZ76" s="72">
        <f t="shared" si="341"/>
        <v>0</v>
      </c>
      <c r="DA76" s="64"/>
      <c r="DB76" s="796" t="s">
        <v>1947</v>
      </c>
      <c r="DC76" s="72">
        <f t="shared" si="342"/>
        <v>0</v>
      </c>
      <c r="DD76" s="64"/>
      <c r="DE76" s="796" t="s">
        <v>2008</v>
      </c>
      <c r="DF76" s="72">
        <f t="shared" si="343"/>
        <v>0</v>
      </c>
      <c r="DG76" s="64"/>
      <c r="DH76" s="796" t="s">
        <v>2008</v>
      </c>
      <c r="DI76" s="72">
        <f t="shared" si="344"/>
        <v>0</v>
      </c>
      <c r="DJ76" s="64"/>
      <c r="DK76" s="796" t="s">
        <v>1951</v>
      </c>
      <c r="DL76" s="72">
        <f t="shared" si="345"/>
        <v>0</v>
      </c>
      <c r="DM76" s="64"/>
      <c r="DN76" s="73"/>
      <c r="DO76" s="72">
        <f t="shared" si="346"/>
        <v>0</v>
      </c>
      <c r="DP76" s="64"/>
      <c r="DQ76" s="796" t="s">
        <v>1962</v>
      </c>
      <c r="DR76" s="72">
        <f t="shared" si="347"/>
        <v>0</v>
      </c>
      <c r="DS76" s="64"/>
      <c r="DT76" s="73" t="s">
        <v>1962</v>
      </c>
      <c r="DU76" s="72">
        <f t="shared" si="401"/>
        <v>0</v>
      </c>
      <c r="DV76" s="64"/>
      <c r="DW76" s="73"/>
      <c r="DX76" s="72">
        <f t="shared" si="402"/>
        <v>0</v>
      </c>
      <c r="DY76" s="64"/>
      <c r="DZ76" s="73"/>
      <c r="EA76" s="72">
        <f t="shared" si="348"/>
        <v>0</v>
      </c>
      <c r="EB76" s="64"/>
      <c r="EC76" s="73"/>
      <c r="ED76" s="72">
        <f t="shared" si="349"/>
        <v>0</v>
      </c>
      <c r="EE76" s="64"/>
      <c r="EF76" s="73"/>
      <c r="EG76" s="72">
        <f t="shared" si="350"/>
        <v>0</v>
      </c>
      <c r="EH76" s="64"/>
      <c r="EI76" s="73"/>
      <c r="EJ76" s="72">
        <f t="shared" si="403"/>
        <v>0</v>
      </c>
      <c r="EK76" s="64"/>
      <c r="EL76" s="73"/>
      <c r="EM76" s="72">
        <f t="shared" si="404"/>
        <v>0</v>
      </c>
      <c r="EN76" s="64"/>
      <c r="EO76" s="73"/>
      <c r="EP76" s="72">
        <f t="shared" si="351"/>
        <v>0</v>
      </c>
      <c r="EQ76" s="64"/>
      <c r="ER76" s="73"/>
      <c r="ES76" s="72">
        <f t="shared" si="352"/>
        <v>0</v>
      </c>
      <c r="ET76" s="64"/>
      <c r="EU76" s="73"/>
      <c r="EV76" s="72">
        <f t="shared" si="353"/>
        <v>0</v>
      </c>
      <c r="EW76" s="64"/>
      <c r="EX76" s="73"/>
      <c r="EY76" s="72">
        <f t="shared" si="405"/>
        <v>0</v>
      </c>
      <c r="EZ76" s="64"/>
      <c r="FA76" s="73"/>
      <c r="FB76" s="72">
        <f t="shared" si="406"/>
        <v>0</v>
      </c>
      <c r="FC76" s="64"/>
      <c r="FD76" s="73"/>
      <c r="FE76" s="72">
        <f t="shared" si="354"/>
        <v>0</v>
      </c>
      <c r="FF76" s="64"/>
      <c r="FG76" s="73"/>
      <c r="FH76" s="72">
        <f t="shared" si="355"/>
        <v>0</v>
      </c>
      <c r="FI76" s="64"/>
      <c r="FJ76" s="73"/>
      <c r="FK76" s="72">
        <f t="shared" si="356"/>
        <v>0</v>
      </c>
      <c r="FL76" s="64"/>
      <c r="FM76" s="73"/>
      <c r="FN76" s="72">
        <f t="shared" si="407"/>
        <v>0</v>
      </c>
      <c r="FO76" s="64"/>
      <c r="FP76" s="73"/>
      <c r="FQ76" s="72">
        <f t="shared" si="408"/>
        <v>0</v>
      </c>
      <c r="FR76" s="64"/>
      <c r="FS76" s="73"/>
      <c r="FT76" s="72">
        <f t="shared" si="357"/>
        <v>0</v>
      </c>
      <c r="FU76" s="64"/>
      <c r="FV76" s="73"/>
      <c r="FW76" s="72">
        <f t="shared" si="358"/>
        <v>0</v>
      </c>
      <c r="FX76" s="64"/>
      <c r="FY76" s="73"/>
      <c r="FZ76" s="72">
        <f t="shared" si="359"/>
        <v>0</v>
      </c>
      <c r="GA76" s="64"/>
      <c r="GB76" s="73"/>
      <c r="GC76" s="72">
        <f t="shared" si="409"/>
        <v>0</v>
      </c>
      <c r="GD76" s="64"/>
      <c r="GE76" s="73"/>
      <c r="GF76" s="72">
        <f t="shared" si="410"/>
        <v>0</v>
      </c>
      <c r="GG76" s="64"/>
      <c r="GH76" s="73"/>
      <c r="GI76" s="72">
        <f t="shared" si="360"/>
        <v>0</v>
      </c>
      <c r="GJ76" s="64"/>
      <c r="GK76" s="73"/>
      <c r="GL76" s="72">
        <f t="shared" si="361"/>
        <v>0</v>
      </c>
      <c r="GM76" s="64"/>
      <c r="GN76" s="73"/>
      <c r="GO76" s="72">
        <f t="shared" si="362"/>
        <v>0</v>
      </c>
      <c r="GP76" s="64"/>
      <c r="GQ76" s="73"/>
      <c r="GR76" s="72">
        <f t="shared" si="411"/>
        <v>0</v>
      </c>
      <c r="GS76" s="64"/>
      <c r="GT76" s="73"/>
      <c r="GU76" s="72">
        <f t="shared" si="412"/>
        <v>0</v>
      </c>
      <c r="GV76" s="64"/>
      <c r="GW76" s="73"/>
      <c r="GX76" s="72">
        <f t="shared" si="363"/>
        <v>0</v>
      </c>
      <c r="GY76" s="64"/>
      <c r="GZ76" s="73"/>
      <c r="HA76" s="72">
        <f t="shared" si="364"/>
        <v>0</v>
      </c>
      <c r="HB76" s="64"/>
      <c r="HC76" s="73"/>
      <c r="HD76" s="72">
        <f t="shared" si="365"/>
        <v>0</v>
      </c>
      <c r="HE76" s="64"/>
      <c r="HF76" s="73"/>
      <c r="HG76" s="72">
        <f t="shared" si="413"/>
        <v>0</v>
      </c>
      <c r="HH76" s="64"/>
      <c r="HI76" s="73"/>
      <c r="HJ76" s="72">
        <f t="shared" si="414"/>
        <v>0</v>
      </c>
      <c r="HK76" s="64"/>
      <c r="HL76" s="73"/>
      <c r="HM76" s="72">
        <f t="shared" si="366"/>
        <v>0</v>
      </c>
      <c r="HN76" s="64"/>
      <c r="HO76" s="73"/>
      <c r="HP76" s="72">
        <f t="shared" si="367"/>
        <v>0</v>
      </c>
      <c r="HQ76" s="64"/>
      <c r="HR76" s="73"/>
      <c r="HS76" s="72">
        <f t="shared" si="368"/>
        <v>0</v>
      </c>
      <c r="HT76" s="64"/>
      <c r="HU76" s="73"/>
      <c r="HV76" s="72">
        <f t="shared" si="415"/>
        <v>0</v>
      </c>
      <c r="HW76" s="64"/>
      <c r="HX76" s="73"/>
      <c r="HY76" s="72">
        <f t="shared" si="416"/>
        <v>0</v>
      </c>
      <c r="HZ76" s="64"/>
      <c r="IA76" s="73"/>
      <c r="IB76" s="72">
        <f t="shared" si="369"/>
        <v>0</v>
      </c>
      <c r="IC76" s="64"/>
      <c r="ID76" s="73"/>
      <c r="IE76" s="72">
        <f t="shared" si="370"/>
        <v>0</v>
      </c>
      <c r="IF76" s="64"/>
      <c r="IG76" s="73"/>
      <c r="IH76" s="72">
        <f t="shared" si="371"/>
        <v>0</v>
      </c>
      <c r="II76" s="64"/>
      <c r="IJ76" s="73"/>
      <c r="IK76" s="72">
        <f t="shared" si="417"/>
        <v>0</v>
      </c>
      <c r="IL76" s="64"/>
      <c r="IM76" s="73"/>
      <c r="IN76" s="72">
        <f t="shared" si="418"/>
        <v>0</v>
      </c>
      <c r="IO76" s="64"/>
      <c r="IP76" s="73"/>
      <c r="IQ76" s="72">
        <f t="shared" si="372"/>
        <v>0</v>
      </c>
      <c r="IR76" s="64"/>
      <c r="IS76" s="73"/>
      <c r="IT76" s="72">
        <f t="shared" si="373"/>
        <v>0</v>
      </c>
      <c r="IU76" s="64"/>
      <c r="IV76" s="73"/>
      <c r="IW76" s="72">
        <f t="shared" si="374"/>
        <v>0</v>
      </c>
      <c r="IX76" s="64"/>
      <c r="IY76" s="73"/>
      <c r="IZ76" s="72">
        <f t="shared" si="419"/>
        <v>0</v>
      </c>
      <c r="JA76" s="64"/>
      <c r="JB76" s="73"/>
      <c r="JC76" s="72">
        <f t="shared" si="420"/>
        <v>0</v>
      </c>
      <c r="JD76" s="64"/>
      <c r="JE76" s="73"/>
      <c r="JF76" s="72">
        <f t="shared" si="375"/>
        <v>0</v>
      </c>
      <c r="JG76" s="64"/>
      <c r="JH76" s="73"/>
      <c r="JI76" s="72">
        <f t="shared" si="376"/>
        <v>0</v>
      </c>
      <c r="JJ76" s="64"/>
      <c r="JK76" s="73"/>
      <c r="JL76" s="72">
        <f t="shared" si="377"/>
        <v>0</v>
      </c>
      <c r="JM76" s="64"/>
      <c r="JN76" s="73"/>
      <c r="JO76" s="72">
        <f t="shared" si="421"/>
        <v>0</v>
      </c>
      <c r="JP76" s="64"/>
      <c r="JQ76" s="73"/>
      <c r="JR76" s="72">
        <f t="shared" si="422"/>
        <v>0</v>
      </c>
      <c r="JS76" s="64"/>
      <c r="JT76" s="73"/>
      <c r="JU76" s="72">
        <f t="shared" si="378"/>
        <v>0</v>
      </c>
      <c r="JV76" s="64"/>
      <c r="JW76" s="73"/>
      <c r="JX76" s="72">
        <f t="shared" si="379"/>
        <v>0</v>
      </c>
      <c r="JY76" s="64"/>
      <c r="JZ76" s="73"/>
      <c r="KA76" s="72">
        <f t="shared" si="380"/>
        <v>0</v>
      </c>
      <c r="KB76" s="64"/>
      <c r="KC76" s="73"/>
      <c r="KD76" s="72">
        <f t="shared" si="423"/>
        <v>0</v>
      </c>
      <c r="KE76" s="64"/>
      <c r="KF76" s="73"/>
      <c r="KG76" s="72">
        <f t="shared" si="424"/>
        <v>0</v>
      </c>
      <c r="KH76" s="64"/>
      <c r="KI76" s="73"/>
      <c r="KJ76" s="72">
        <f t="shared" si="381"/>
        <v>0</v>
      </c>
      <c r="KK76" s="64"/>
      <c r="KL76" s="73"/>
      <c r="KM76" s="72">
        <f t="shared" si="382"/>
        <v>0</v>
      </c>
      <c r="KN76" s="64"/>
      <c r="KO76" s="73"/>
      <c r="KP76" s="72">
        <f t="shared" si="383"/>
        <v>0</v>
      </c>
      <c r="KQ76" s="64"/>
      <c r="KR76" s="73"/>
      <c r="KS76" s="72">
        <f t="shared" si="425"/>
        <v>0</v>
      </c>
      <c r="KT76" s="64"/>
      <c r="KU76" s="73"/>
      <c r="KV76" s="72">
        <f t="shared" si="426"/>
        <v>0</v>
      </c>
      <c r="KW76" s="64"/>
      <c r="KX76" s="73"/>
      <c r="KY76" s="72">
        <f t="shared" si="384"/>
        <v>0</v>
      </c>
      <c r="KZ76" s="64"/>
      <c r="LA76" s="73"/>
      <c r="LB76" s="72">
        <f t="shared" si="385"/>
        <v>0</v>
      </c>
      <c r="LC76" s="64"/>
      <c r="LD76" s="73"/>
      <c r="LE76" s="72">
        <f t="shared" si="386"/>
        <v>0</v>
      </c>
      <c r="LF76" s="64"/>
    </row>
    <row r="77" spans="1:318" s="784" customFormat="1">
      <c r="A77" s="49"/>
      <c r="B77" s="49"/>
      <c r="C77" s="17"/>
      <c r="D77" s="17"/>
      <c r="E77" s="109"/>
      <c r="F77" s="443">
        <f t="shared" si="387"/>
        <v>15</v>
      </c>
      <c r="G77" s="443">
        <f ca="1">VLOOKUP(H77,Equipos!$Q$1:$R$25,2,0)</f>
        <v>17</v>
      </c>
      <c r="H77" s="444">
        <f ca="1">TRUNC(INDEX(WORLDCUP!$X$4:$X$147,MATCH(ADMIN!K77,WORLDCUP!$DT$4:$DT$147,0))+INDEX(Horarios!$R$3:$R$86,MATCH(Horarios!$C$3,Horarios!$P$3:$P$86,0))/24)</f>
        <v>46200</v>
      </c>
      <c r="I77" s="48">
        <v>1</v>
      </c>
      <c r="J77" s="94" t="s">
        <v>1198</v>
      </c>
      <c r="K77" s="113" t="str">
        <f ca="1">CONCATENATE(WORLDCUP!AA97,"-",WORLDCUP!AF97)</f>
        <v>Croacia-Ghana</v>
      </c>
      <c r="L77" s="113"/>
      <c r="M77" s="114" t="str">
        <f>IF(OR(WORLDCUP!AC97="",WORLDCUP!AD97=""),"-",N77&amp;"|"&amp;O77&amp;"-"&amp;P77)</f>
        <v>-</v>
      </c>
      <c r="N77" s="25" t="str">
        <f>IF(OR(WORLDCUP!AC97="",WORLDCUP!AD97=""),"",IF(WORLDCUP!AC97&gt;WORLDCUP!AD97,"1",IF(WORLDCUP!AC97&lt;WORLDCUP!AD97,"2","X")))</f>
        <v/>
      </c>
      <c r="O77" s="25">
        <f>WORLDCUP!AC97</f>
        <v>0</v>
      </c>
      <c r="P77" s="25">
        <f>WORLDCUP!AD97</f>
        <v>0</v>
      </c>
      <c r="Q77" s="25">
        <f t="shared" si="388"/>
        <v>0</v>
      </c>
      <c r="R77" s="49"/>
      <c r="S77" s="796" t="s">
        <v>1948</v>
      </c>
      <c r="T77" s="80">
        <f t="shared" si="389"/>
        <v>0</v>
      </c>
      <c r="U77" s="64"/>
      <c r="V77" s="79" t="s">
        <v>1961</v>
      </c>
      <c r="W77" s="80">
        <f t="shared" si="390"/>
        <v>0</v>
      </c>
      <c r="X77" s="64"/>
      <c r="Y77" s="796" t="s">
        <v>1955</v>
      </c>
      <c r="Z77" s="80">
        <f t="shared" si="326"/>
        <v>0</v>
      </c>
      <c r="AA77" s="64"/>
      <c r="AB77" s="796" t="s">
        <v>1961</v>
      </c>
      <c r="AC77" s="80">
        <f t="shared" si="327"/>
        <v>0</v>
      </c>
      <c r="AD77" s="64"/>
      <c r="AE77" s="796" t="s">
        <v>1955</v>
      </c>
      <c r="AF77" s="80">
        <f t="shared" si="325"/>
        <v>0</v>
      </c>
      <c r="AG77" s="64"/>
      <c r="AH77" s="796" t="s">
        <v>1955</v>
      </c>
      <c r="AI77" s="80">
        <f t="shared" si="391"/>
        <v>0</v>
      </c>
      <c r="AJ77" s="64"/>
      <c r="AK77" s="806" t="s">
        <v>1960</v>
      </c>
      <c r="AL77" s="80">
        <f t="shared" si="392"/>
        <v>0</v>
      </c>
      <c r="AM77" s="64"/>
      <c r="AN77" s="796" t="s">
        <v>1955</v>
      </c>
      <c r="AO77" s="80">
        <f t="shared" si="328"/>
        <v>0</v>
      </c>
      <c r="AP77" s="64"/>
      <c r="AQ77" s="806" t="s">
        <v>1955</v>
      </c>
      <c r="AR77" s="80">
        <f t="shared" si="329"/>
        <v>0</v>
      </c>
      <c r="AS77" s="64"/>
      <c r="AT77" s="796" t="s">
        <v>1954</v>
      </c>
      <c r="AU77" s="80">
        <f t="shared" si="330"/>
        <v>0</v>
      </c>
      <c r="AV77" s="64"/>
      <c r="AW77" s="796" t="s">
        <v>1961</v>
      </c>
      <c r="AX77" s="80">
        <f t="shared" si="393"/>
        <v>0</v>
      </c>
      <c r="AY77" s="64"/>
      <c r="AZ77" s="796" t="s">
        <v>1961</v>
      </c>
      <c r="BA77" s="80">
        <f t="shared" si="394"/>
        <v>0</v>
      </c>
      <c r="BB77" s="64"/>
      <c r="BC77" s="796" t="s">
        <v>1948</v>
      </c>
      <c r="BD77" s="80">
        <f t="shared" si="331"/>
        <v>0</v>
      </c>
      <c r="BE77" s="64"/>
      <c r="BF77" s="796" t="s">
        <v>1949</v>
      </c>
      <c r="BG77" s="80">
        <f t="shared" si="332"/>
        <v>0</v>
      </c>
      <c r="BH77" s="64"/>
      <c r="BI77" s="796" t="s">
        <v>1955</v>
      </c>
      <c r="BJ77" s="80">
        <f t="shared" si="333"/>
        <v>0</v>
      </c>
      <c r="BK77" s="64"/>
      <c r="BL77" s="796" t="s">
        <v>1961</v>
      </c>
      <c r="BM77" s="80">
        <f t="shared" si="395"/>
        <v>0</v>
      </c>
      <c r="BN77" s="64"/>
      <c r="BO77" s="816" t="s">
        <v>1955</v>
      </c>
      <c r="BP77" s="80">
        <f t="shared" si="396"/>
        <v>0</v>
      </c>
      <c r="BQ77" s="64"/>
      <c r="BR77" s="796" t="s">
        <v>1955</v>
      </c>
      <c r="BS77" s="80">
        <f t="shared" si="334"/>
        <v>0</v>
      </c>
      <c r="BT77" s="64"/>
      <c r="BU77" s="796" t="s">
        <v>1948</v>
      </c>
      <c r="BV77" s="80">
        <f t="shared" si="335"/>
        <v>0</v>
      </c>
      <c r="BW77" s="64"/>
      <c r="BX77" s="79" t="s">
        <v>1955</v>
      </c>
      <c r="BY77" s="80">
        <f t="shared" si="336"/>
        <v>0</v>
      </c>
      <c r="BZ77" s="64"/>
      <c r="CA77" s="816" t="s">
        <v>1948</v>
      </c>
      <c r="CB77" s="80">
        <f t="shared" si="397"/>
        <v>0</v>
      </c>
      <c r="CC77" s="64"/>
      <c r="CD77" s="825" t="s">
        <v>1956</v>
      </c>
      <c r="CE77" s="80">
        <f t="shared" si="398"/>
        <v>0</v>
      </c>
      <c r="CF77" s="64"/>
      <c r="CG77" s="796" t="s">
        <v>1958</v>
      </c>
      <c r="CH77" s="80">
        <f t="shared" si="337"/>
        <v>0</v>
      </c>
      <c r="CI77" s="64"/>
      <c r="CJ77" s="796" t="s">
        <v>1948</v>
      </c>
      <c r="CK77" s="80">
        <f t="shared" si="338"/>
        <v>0</v>
      </c>
      <c r="CL77" s="64"/>
      <c r="CM77" s="796" t="s">
        <v>1948</v>
      </c>
      <c r="CN77" s="80">
        <f t="shared" si="339"/>
        <v>0</v>
      </c>
      <c r="CO77" s="64"/>
      <c r="CP77" s="796" t="s">
        <v>1948</v>
      </c>
      <c r="CQ77" s="80">
        <f t="shared" si="399"/>
        <v>0</v>
      </c>
      <c r="CR77" s="64"/>
      <c r="CS77" s="796" t="s">
        <v>1961</v>
      </c>
      <c r="CT77" s="80">
        <f t="shared" si="400"/>
        <v>0</v>
      </c>
      <c r="CU77" s="64"/>
      <c r="CV77" s="796" t="s">
        <v>1958</v>
      </c>
      <c r="CW77" s="80">
        <f t="shared" si="340"/>
        <v>0</v>
      </c>
      <c r="CX77" s="64"/>
      <c r="CY77" s="796" t="s">
        <v>1961</v>
      </c>
      <c r="CZ77" s="80">
        <f t="shared" si="341"/>
        <v>0</v>
      </c>
      <c r="DA77" s="64"/>
      <c r="DB77" s="796" t="s">
        <v>1948</v>
      </c>
      <c r="DC77" s="80">
        <f t="shared" si="342"/>
        <v>0</v>
      </c>
      <c r="DD77" s="64"/>
      <c r="DE77" s="796" t="s">
        <v>1948</v>
      </c>
      <c r="DF77" s="80">
        <f t="shared" si="343"/>
        <v>0</v>
      </c>
      <c r="DG77" s="64"/>
      <c r="DH77" s="796" t="s">
        <v>1955</v>
      </c>
      <c r="DI77" s="80">
        <f t="shared" si="344"/>
        <v>0</v>
      </c>
      <c r="DJ77" s="64"/>
      <c r="DK77" s="796" t="s">
        <v>1955</v>
      </c>
      <c r="DL77" s="80">
        <f t="shared" si="345"/>
        <v>0</v>
      </c>
      <c r="DM77" s="64"/>
      <c r="DN77" s="79"/>
      <c r="DO77" s="80">
        <f t="shared" si="346"/>
        <v>0</v>
      </c>
      <c r="DP77" s="64"/>
      <c r="DQ77" s="796" t="s">
        <v>1958</v>
      </c>
      <c r="DR77" s="80">
        <f t="shared" si="347"/>
        <v>0</v>
      </c>
      <c r="DS77" s="64"/>
      <c r="DT77" s="79" t="s">
        <v>1958</v>
      </c>
      <c r="DU77" s="80">
        <f t="shared" si="401"/>
        <v>0</v>
      </c>
      <c r="DV77" s="64"/>
      <c r="DW77" s="79"/>
      <c r="DX77" s="80">
        <f t="shared" si="402"/>
        <v>0</v>
      </c>
      <c r="DY77" s="64"/>
      <c r="DZ77" s="79"/>
      <c r="EA77" s="80">
        <f t="shared" si="348"/>
        <v>0</v>
      </c>
      <c r="EB77" s="64"/>
      <c r="EC77" s="79"/>
      <c r="ED77" s="80">
        <f t="shared" si="349"/>
        <v>0</v>
      </c>
      <c r="EE77" s="64"/>
      <c r="EF77" s="79"/>
      <c r="EG77" s="80">
        <f t="shared" si="350"/>
        <v>0</v>
      </c>
      <c r="EH77" s="64"/>
      <c r="EI77" s="79"/>
      <c r="EJ77" s="80">
        <f t="shared" si="403"/>
        <v>0</v>
      </c>
      <c r="EK77" s="64"/>
      <c r="EL77" s="79"/>
      <c r="EM77" s="80">
        <f t="shared" si="404"/>
        <v>0</v>
      </c>
      <c r="EN77" s="64"/>
      <c r="EO77" s="79"/>
      <c r="EP77" s="80">
        <f t="shared" si="351"/>
        <v>0</v>
      </c>
      <c r="EQ77" s="64"/>
      <c r="ER77" s="79"/>
      <c r="ES77" s="80">
        <f t="shared" si="352"/>
        <v>0</v>
      </c>
      <c r="ET77" s="64"/>
      <c r="EU77" s="79"/>
      <c r="EV77" s="80">
        <f t="shared" si="353"/>
        <v>0</v>
      </c>
      <c r="EW77" s="64"/>
      <c r="EX77" s="79"/>
      <c r="EY77" s="80">
        <f t="shared" si="405"/>
        <v>0</v>
      </c>
      <c r="EZ77" s="64"/>
      <c r="FA77" s="79"/>
      <c r="FB77" s="80">
        <f t="shared" si="406"/>
        <v>0</v>
      </c>
      <c r="FC77" s="64"/>
      <c r="FD77" s="79"/>
      <c r="FE77" s="80">
        <f t="shared" si="354"/>
        <v>0</v>
      </c>
      <c r="FF77" s="64"/>
      <c r="FG77" s="79"/>
      <c r="FH77" s="80">
        <f t="shared" si="355"/>
        <v>0</v>
      </c>
      <c r="FI77" s="64"/>
      <c r="FJ77" s="79"/>
      <c r="FK77" s="80">
        <f t="shared" si="356"/>
        <v>0</v>
      </c>
      <c r="FL77" s="64"/>
      <c r="FM77" s="79"/>
      <c r="FN77" s="80">
        <f t="shared" si="407"/>
        <v>0</v>
      </c>
      <c r="FO77" s="64"/>
      <c r="FP77" s="79"/>
      <c r="FQ77" s="80">
        <f t="shared" si="408"/>
        <v>0</v>
      </c>
      <c r="FR77" s="64"/>
      <c r="FS77" s="79"/>
      <c r="FT77" s="80">
        <f t="shared" si="357"/>
        <v>0</v>
      </c>
      <c r="FU77" s="64"/>
      <c r="FV77" s="79"/>
      <c r="FW77" s="80">
        <f t="shared" si="358"/>
        <v>0</v>
      </c>
      <c r="FX77" s="64"/>
      <c r="FY77" s="79"/>
      <c r="FZ77" s="80">
        <f t="shared" si="359"/>
        <v>0</v>
      </c>
      <c r="GA77" s="64"/>
      <c r="GB77" s="79"/>
      <c r="GC77" s="80">
        <f t="shared" si="409"/>
        <v>0</v>
      </c>
      <c r="GD77" s="64"/>
      <c r="GE77" s="79"/>
      <c r="GF77" s="80">
        <f t="shared" si="410"/>
        <v>0</v>
      </c>
      <c r="GG77" s="64"/>
      <c r="GH77" s="79"/>
      <c r="GI77" s="80">
        <f t="shared" si="360"/>
        <v>0</v>
      </c>
      <c r="GJ77" s="64"/>
      <c r="GK77" s="79"/>
      <c r="GL77" s="80">
        <f t="shared" si="361"/>
        <v>0</v>
      </c>
      <c r="GM77" s="64"/>
      <c r="GN77" s="79"/>
      <c r="GO77" s="80">
        <f t="shared" si="362"/>
        <v>0</v>
      </c>
      <c r="GP77" s="64"/>
      <c r="GQ77" s="79"/>
      <c r="GR77" s="80">
        <f t="shared" si="411"/>
        <v>0</v>
      </c>
      <c r="GS77" s="64"/>
      <c r="GT77" s="79"/>
      <c r="GU77" s="80">
        <f t="shared" si="412"/>
        <v>0</v>
      </c>
      <c r="GV77" s="64"/>
      <c r="GW77" s="79"/>
      <c r="GX77" s="80">
        <f t="shared" si="363"/>
        <v>0</v>
      </c>
      <c r="GY77" s="64"/>
      <c r="GZ77" s="79"/>
      <c r="HA77" s="80">
        <f t="shared" si="364"/>
        <v>0</v>
      </c>
      <c r="HB77" s="64"/>
      <c r="HC77" s="79"/>
      <c r="HD77" s="80">
        <f t="shared" si="365"/>
        <v>0</v>
      </c>
      <c r="HE77" s="64"/>
      <c r="HF77" s="79"/>
      <c r="HG77" s="80">
        <f t="shared" si="413"/>
        <v>0</v>
      </c>
      <c r="HH77" s="64"/>
      <c r="HI77" s="79"/>
      <c r="HJ77" s="80">
        <f t="shared" si="414"/>
        <v>0</v>
      </c>
      <c r="HK77" s="64"/>
      <c r="HL77" s="79"/>
      <c r="HM77" s="80">
        <f t="shared" si="366"/>
        <v>0</v>
      </c>
      <c r="HN77" s="64"/>
      <c r="HO77" s="79"/>
      <c r="HP77" s="80">
        <f t="shared" si="367"/>
        <v>0</v>
      </c>
      <c r="HQ77" s="64"/>
      <c r="HR77" s="79"/>
      <c r="HS77" s="80">
        <f t="shared" si="368"/>
        <v>0</v>
      </c>
      <c r="HT77" s="64"/>
      <c r="HU77" s="79"/>
      <c r="HV77" s="80">
        <f t="shared" si="415"/>
        <v>0</v>
      </c>
      <c r="HW77" s="64"/>
      <c r="HX77" s="79"/>
      <c r="HY77" s="80">
        <f t="shared" si="416"/>
        <v>0</v>
      </c>
      <c r="HZ77" s="64"/>
      <c r="IA77" s="79"/>
      <c r="IB77" s="80">
        <f t="shared" si="369"/>
        <v>0</v>
      </c>
      <c r="IC77" s="64"/>
      <c r="ID77" s="79"/>
      <c r="IE77" s="80">
        <f t="shared" si="370"/>
        <v>0</v>
      </c>
      <c r="IF77" s="64"/>
      <c r="IG77" s="79"/>
      <c r="IH77" s="80">
        <f t="shared" si="371"/>
        <v>0</v>
      </c>
      <c r="II77" s="64"/>
      <c r="IJ77" s="79"/>
      <c r="IK77" s="80">
        <f t="shared" si="417"/>
        <v>0</v>
      </c>
      <c r="IL77" s="64"/>
      <c r="IM77" s="79"/>
      <c r="IN77" s="80">
        <f t="shared" si="418"/>
        <v>0</v>
      </c>
      <c r="IO77" s="64"/>
      <c r="IP77" s="79"/>
      <c r="IQ77" s="80">
        <f t="shared" si="372"/>
        <v>0</v>
      </c>
      <c r="IR77" s="64"/>
      <c r="IS77" s="79"/>
      <c r="IT77" s="80">
        <f t="shared" si="373"/>
        <v>0</v>
      </c>
      <c r="IU77" s="64"/>
      <c r="IV77" s="79"/>
      <c r="IW77" s="80">
        <f t="shared" si="374"/>
        <v>0</v>
      </c>
      <c r="IX77" s="64"/>
      <c r="IY77" s="79"/>
      <c r="IZ77" s="80">
        <f t="shared" si="419"/>
        <v>0</v>
      </c>
      <c r="JA77" s="64"/>
      <c r="JB77" s="79"/>
      <c r="JC77" s="80">
        <f t="shared" si="420"/>
        <v>0</v>
      </c>
      <c r="JD77" s="64"/>
      <c r="JE77" s="79"/>
      <c r="JF77" s="80">
        <f t="shared" si="375"/>
        <v>0</v>
      </c>
      <c r="JG77" s="64"/>
      <c r="JH77" s="79"/>
      <c r="JI77" s="80">
        <f t="shared" si="376"/>
        <v>0</v>
      </c>
      <c r="JJ77" s="64"/>
      <c r="JK77" s="79"/>
      <c r="JL77" s="80">
        <f t="shared" si="377"/>
        <v>0</v>
      </c>
      <c r="JM77" s="64"/>
      <c r="JN77" s="79"/>
      <c r="JO77" s="80">
        <f t="shared" si="421"/>
        <v>0</v>
      </c>
      <c r="JP77" s="64"/>
      <c r="JQ77" s="79"/>
      <c r="JR77" s="80">
        <f t="shared" si="422"/>
        <v>0</v>
      </c>
      <c r="JS77" s="64"/>
      <c r="JT77" s="79"/>
      <c r="JU77" s="80">
        <f t="shared" si="378"/>
        <v>0</v>
      </c>
      <c r="JV77" s="64"/>
      <c r="JW77" s="79"/>
      <c r="JX77" s="80">
        <f t="shared" si="379"/>
        <v>0</v>
      </c>
      <c r="JY77" s="64"/>
      <c r="JZ77" s="79"/>
      <c r="KA77" s="80">
        <f t="shared" si="380"/>
        <v>0</v>
      </c>
      <c r="KB77" s="64"/>
      <c r="KC77" s="79"/>
      <c r="KD77" s="80">
        <f t="shared" si="423"/>
        <v>0</v>
      </c>
      <c r="KE77" s="64"/>
      <c r="KF77" s="79"/>
      <c r="KG77" s="80">
        <f t="shared" si="424"/>
        <v>0</v>
      </c>
      <c r="KH77" s="64"/>
      <c r="KI77" s="79"/>
      <c r="KJ77" s="80">
        <f t="shared" si="381"/>
        <v>0</v>
      </c>
      <c r="KK77" s="64"/>
      <c r="KL77" s="79"/>
      <c r="KM77" s="80">
        <f t="shared" si="382"/>
        <v>0</v>
      </c>
      <c r="KN77" s="64"/>
      <c r="KO77" s="79"/>
      <c r="KP77" s="80">
        <f t="shared" si="383"/>
        <v>0</v>
      </c>
      <c r="KQ77" s="64"/>
      <c r="KR77" s="79"/>
      <c r="KS77" s="80">
        <f t="shared" si="425"/>
        <v>0</v>
      </c>
      <c r="KT77" s="64"/>
      <c r="KU77" s="79"/>
      <c r="KV77" s="80">
        <f t="shared" si="426"/>
        <v>0</v>
      </c>
      <c r="KW77" s="64"/>
      <c r="KX77" s="79"/>
      <c r="KY77" s="80">
        <f t="shared" si="384"/>
        <v>0</v>
      </c>
      <c r="KZ77" s="64"/>
      <c r="LA77" s="79"/>
      <c r="LB77" s="80">
        <f t="shared" si="385"/>
        <v>0</v>
      </c>
      <c r="LC77" s="64"/>
      <c r="LD77" s="79"/>
      <c r="LE77" s="80">
        <f t="shared" si="386"/>
        <v>0</v>
      </c>
      <c r="LF77" s="64"/>
    </row>
    <row r="78" spans="1:318" s="784" customFormat="1">
      <c r="A78" s="49"/>
      <c r="B78" s="49"/>
      <c r="C78" s="49"/>
      <c r="D78" s="49"/>
      <c r="E78" s="109"/>
      <c r="F78" s="125"/>
      <c r="G78" s="443"/>
      <c r="H78" s="64"/>
      <c r="I78" s="60"/>
      <c r="J78" s="95"/>
      <c r="K78" s="430" t="str">
        <f>Idiomas!D455</f>
        <v>F. Grupos</v>
      </c>
      <c r="L78" s="431"/>
      <c r="M78" s="430" t="str">
        <f>"Max: "&amp;SUM($D$8:$D$10)*SUM($I$6:$I$77)</f>
        <v>Max: 1080</v>
      </c>
      <c r="N78" s="25"/>
      <c r="O78" s="25"/>
      <c r="P78" s="25"/>
      <c r="Q78" s="25"/>
      <c r="R78" s="108"/>
      <c r="S78" s="797"/>
      <c r="T78" s="82">
        <f>SUM(T6:T77)</f>
        <v>7</v>
      </c>
      <c r="U78" s="63"/>
      <c r="V78" s="81"/>
      <c r="W78" s="82">
        <f>SUM(W6:W77)</f>
        <v>37</v>
      </c>
      <c r="X78" s="63"/>
      <c r="Y78" s="797"/>
      <c r="Z78" s="82">
        <f t="shared" ref="Z78" si="427">SUM(Z6:Z77)</f>
        <v>14</v>
      </c>
      <c r="AA78" s="63"/>
      <c r="AB78" s="797"/>
      <c r="AC78" s="82">
        <f t="shared" ref="AC78" si="428">SUM(AC6:AC77)</f>
        <v>15</v>
      </c>
      <c r="AD78" s="63"/>
      <c r="AE78" s="797"/>
      <c r="AF78" s="82">
        <f t="shared" ref="AF78" si="429">SUM(AF6:AF77)</f>
        <v>29</v>
      </c>
      <c r="AG78" s="63"/>
      <c r="AH78" s="797"/>
      <c r="AI78" s="82">
        <f>SUM(AI6:AI77)</f>
        <v>14</v>
      </c>
      <c r="AJ78" s="63"/>
      <c r="AK78" s="802"/>
      <c r="AL78" s="82">
        <f>SUM(AL6:AL77)</f>
        <v>22</v>
      </c>
      <c r="AM78" s="63"/>
      <c r="AN78" s="797"/>
      <c r="AO78" s="82">
        <f t="shared" ref="AO78" si="430">SUM(AO6:AO77)</f>
        <v>30</v>
      </c>
      <c r="AP78" s="63"/>
      <c r="AQ78" s="802"/>
      <c r="AR78" s="82">
        <f t="shared" ref="AR78" si="431">SUM(AR6:AR77)</f>
        <v>22</v>
      </c>
      <c r="AS78" s="63"/>
      <c r="AT78" s="797"/>
      <c r="AU78" s="82">
        <f t="shared" ref="AU78" si="432">SUM(AU6:AU77)</f>
        <v>22</v>
      </c>
      <c r="AV78" s="63"/>
      <c r="AW78" s="797"/>
      <c r="AX78" s="82">
        <f>SUM(AX6:AX77)</f>
        <v>29</v>
      </c>
      <c r="AY78" s="63"/>
      <c r="AZ78" s="797"/>
      <c r="BA78" s="82">
        <f>SUM(BA6:BA77)</f>
        <v>14</v>
      </c>
      <c r="BB78" s="63"/>
      <c r="BC78" s="797"/>
      <c r="BD78" s="82">
        <f t="shared" ref="BD78" si="433">SUM(BD6:BD77)</f>
        <v>7</v>
      </c>
      <c r="BE78" s="63"/>
      <c r="BF78" s="797"/>
      <c r="BG78" s="82">
        <f t="shared" ref="BG78" si="434">SUM(BG6:BG77)</f>
        <v>7</v>
      </c>
      <c r="BH78" s="63"/>
      <c r="BI78" s="797"/>
      <c r="BJ78" s="82">
        <f t="shared" ref="BJ78" si="435">SUM(BJ6:BJ77)</f>
        <v>29</v>
      </c>
      <c r="BK78" s="63"/>
      <c r="BL78" s="797"/>
      <c r="BM78" s="82">
        <f>SUM(BM6:BM77)</f>
        <v>7</v>
      </c>
      <c r="BN78" s="63"/>
      <c r="BO78" s="812"/>
      <c r="BP78" s="82">
        <f>SUM(BP6:BP77)</f>
        <v>22</v>
      </c>
      <c r="BQ78" s="63"/>
      <c r="BR78" s="797"/>
      <c r="BS78" s="82">
        <f t="shared" ref="BS78" si="436">SUM(BS6:BS77)</f>
        <v>22</v>
      </c>
      <c r="BT78" s="63"/>
      <c r="BU78" s="797"/>
      <c r="BV78" s="82">
        <f t="shared" ref="BV78" si="437">SUM(BV6:BV77)</f>
        <v>21</v>
      </c>
      <c r="BW78" s="63"/>
      <c r="BX78" s="81"/>
      <c r="BY78" s="82">
        <f t="shared" ref="BY78" si="438">SUM(BY6:BY77)</f>
        <v>29</v>
      </c>
      <c r="BZ78" s="63"/>
      <c r="CA78" s="812"/>
      <c r="CB78" s="82">
        <f>SUM(CB6:CB77)</f>
        <v>29</v>
      </c>
      <c r="CC78" s="63"/>
      <c r="CD78" s="821"/>
      <c r="CE78" s="82">
        <f>SUM(CE6:CE77)</f>
        <v>21</v>
      </c>
      <c r="CF78" s="63"/>
      <c r="CG78" s="797"/>
      <c r="CH78" s="82">
        <f t="shared" ref="CH78" si="439">SUM(CH6:CH77)</f>
        <v>22</v>
      </c>
      <c r="CI78" s="63"/>
      <c r="CJ78" s="797"/>
      <c r="CK78" s="82">
        <f t="shared" ref="CK78" si="440">SUM(CK6:CK77)</f>
        <v>7</v>
      </c>
      <c r="CL78" s="63"/>
      <c r="CM78" s="797"/>
      <c r="CN78" s="82">
        <f t="shared" ref="CN78" si="441">SUM(CN6:CN77)</f>
        <v>22</v>
      </c>
      <c r="CO78" s="63"/>
      <c r="CP78" s="797"/>
      <c r="CQ78" s="82">
        <f>SUM(CQ6:CQ77)</f>
        <v>15</v>
      </c>
      <c r="CR78" s="63"/>
      <c r="CS78" s="797"/>
      <c r="CT78" s="82">
        <f>SUM(CT6:CT77)</f>
        <v>14</v>
      </c>
      <c r="CU78" s="63"/>
      <c r="CV78" s="797"/>
      <c r="CW78" s="82">
        <f t="shared" ref="CW78" si="442">SUM(CW6:CW77)</f>
        <v>14</v>
      </c>
      <c r="CX78" s="63"/>
      <c r="CY78" s="797"/>
      <c r="CZ78" s="82">
        <f t="shared" ref="CZ78" si="443">SUM(CZ6:CZ77)</f>
        <v>14</v>
      </c>
      <c r="DA78" s="63"/>
      <c r="DB78" s="797"/>
      <c r="DC78" s="82">
        <f t="shared" ref="DC78" si="444">SUM(DC6:DC77)</f>
        <v>14</v>
      </c>
      <c r="DD78" s="63"/>
      <c r="DE78" s="797"/>
      <c r="DF78" s="82">
        <f>SUM(DF6:DF77)</f>
        <v>29</v>
      </c>
      <c r="DG78" s="63"/>
      <c r="DH78" s="797"/>
      <c r="DI78" s="82">
        <f>SUM(DI6:DI77)</f>
        <v>14</v>
      </c>
      <c r="DJ78" s="63"/>
      <c r="DK78" s="797"/>
      <c r="DL78" s="82">
        <f t="shared" ref="DL78" si="445">SUM(DL6:DL77)</f>
        <v>7</v>
      </c>
      <c r="DM78" s="63"/>
      <c r="DN78" s="81"/>
      <c r="DO78" s="82">
        <f t="shared" ref="DO78" si="446">SUM(DO6:DO77)</f>
        <v>7</v>
      </c>
      <c r="DP78" s="63"/>
      <c r="DQ78" s="797"/>
      <c r="DR78" s="82">
        <f t="shared" ref="DR78" si="447">SUM(DR6:DR77)</f>
        <v>7</v>
      </c>
      <c r="DS78" s="63"/>
      <c r="DT78" s="81"/>
      <c r="DU78" s="82">
        <f>SUM(DU6:DU77)</f>
        <v>7</v>
      </c>
      <c r="DV78" s="63"/>
      <c r="DW78" s="81"/>
      <c r="DX78" s="82">
        <f>SUM(DX6:DX77)</f>
        <v>0</v>
      </c>
      <c r="DY78" s="63"/>
      <c r="DZ78" s="81"/>
      <c r="EA78" s="82">
        <f t="shared" ref="EA78" si="448">SUM(EA6:EA77)</f>
        <v>0</v>
      </c>
      <c r="EB78" s="63"/>
      <c r="EC78" s="81"/>
      <c r="ED78" s="82">
        <f t="shared" ref="ED78" si="449">SUM(ED6:ED77)</f>
        <v>0</v>
      </c>
      <c r="EE78" s="63"/>
      <c r="EF78" s="81"/>
      <c r="EG78" s="82">
        <f t="shared" ref="EG78" si="450">SUM(EG6:EG77)</f>
        <v>0</v>
      </c>
      <c r="EH78" s="63"/>
      <c r="EI78" s="81"/>
      <c r="EJ78" s="82">
        <f>SUM(EJ6:EJ77)</f>
        <v>0</v>
      </c>
      <c r="EK78" s="63"/>
      <c r="EL78" s="81"/>
      <c r="EM78" s="82">
        <f>SUM(EM6:EM77)</f>
        <v>0</v>
      </c>
      <c r="EN78" s="63"/>
      <c r="EO78" s="81"/>
      <c r="EP78" s="82">
        <f t="shared" ref="EP78" si="451">SUM(EP6:EP77)</f>
        <v>0</v>
      </c>
      <c r="EQ78" s="63"/>
      <c r="ER78" s="81"/>
      <c r="ES78" s="82">
        <f t="shared" ref="ES78" si="452">SUM(ES6:ES77)</f>
        <v>0</v>
      </c>
      <c r="ET78" s="63"/>
      <c r="EU78" s="81"/>
      <c r="EV78" s="82">
        <f t="shared" ref="EV78" si="453">SUM(EV6:EV77)</f>
        <v>0</v>
      </c>
      <c r="EW78" s="63"/>
      <c r="EX78" s="81"/>
      <c r="EY78" s="82">
        <f>SUM(EY6:EY77)</f>
        <v>0</v>
      </c>
      <c r="EZ78" s="63"/>
      <c r="FA78" s="81"/>
      <c r="FB78" s="82">
        <f>SUM(FB6:FB77)</f>
        <v>0</v>
      </c>
      <c r="FC78" s="63"/>
      <c r="FD78" s="81"/>
      <c r="FE78" s="82">
        <f t="shared" ref="FE78" si="454">SUM(FE6:FE77)</f>
        <v>0</v>
      </c>
      <c r="FF78" s="63"/>
      <c r="FG78" s="81"/>
      <c r="FH78" s="82">
        <f t="shared" ref="FH78" si="455">SUM(FH6:FH77)</f>
        <v>0</v>
      </c>
      <c r="FI78" s="63"/>
      <c r="FJ78" s="81"/>
      <c r="FK78" s="82">
        <f t="shared" ref="FK78" si="456">SUM(FK6:FK77)</f>
        <v>0</v>
      </c>
      <c r="FL78" s="63"/>
      <c r="FM78" s="81"/>
      <c r="FN78" s="82">
        <f>SUM(FN6:FN77)</f>
        <v>0</v>
      </c>
      <c r="FO78" s="63"/>
      <c r="FP78" s="81"/>
      <c r="FQ78" s="82">
        <f>SUM(FQ6:FQ77)</f>
        <v>0</v>
      </c>
      <c r="FR78" s="63"/>
      <c r="FS78" s="81"/>
      <c r="FT78" s="82">
        <f t="shared" ref="FT78" si="457">SUM(FT6:FT77)</f>
        <v>0</v>
      </c>
      <c r="FU78" s="63"/>
      <c r="FV78" s="81"/>
      <c r="FW78" s="82">
        <f t="shared" ref="FW78" si="458">SUM(FW6:FW77)</f>
        <v>0</v>
      </c>
      <c r="FX78" s="63"/>
      <c r="FY78" s="81"/>
      <c r="FZ78" s="82">
        <f t="shared" ref="FZ78" si="459">SUM(FZ6:FZ77)</f>
        <v>0</v>
      </c>
      <c r="GA78" s="63"/>
      <c r="GB78" s="81"/>
      <c r="GC78" s="82">
        <f>SUM(GC6:GC77)</f>
        <v>0</v>
      </c>
      <c r="GD78" s="63"/>
      <c r="GE78" s="81"/>
      <c r="GF78" s="82">
        <f>SUM(GF6:GF77)</f>
        <v>0</v>
      </c>
      <c r="GG78" s="63"/>
      <c r="GH78" s="81"/>
      <c r="GI78" s="82">
        <f t="shared" ref="GI78" si="460">SUM(GI6:GI77)</f>
        <v>0</v>
      </c>
      <c r="GJ78" s="63"/>
      <c r="GK78" s="81"/>
      <c r="GL78" s="82">
        <f t="shared" ref="GL78" si="461">SUM(GL6:GL77)</f>
        <v>0</v>
      </c>
      <c r="GM78" s="63"/>
      <c r="GN78" s="81"/>
      <c r="GO78" s="82">
        <f t="shared" ref="GO78" si="462">SUM(GO6:GO77)</f>
        <v>0</v>
      </c>
      <c r="GP78" s="63"/>
      <c r="GQ78" s="81"/>
      <c r="GR78" s="82">
        <f>SUM(GR6:GR77)</f>
        <v>0</v>
      </c>
      <c r="GS78" s="63"/>
      <c r="GT78" s="81"/>
      <c r="GU78" s="82">
        <f>SUM(GU6:GU77)</f>
        <v>0</v>
      </c>
      <c r="GV78" s="63"/>
      <c r="GW78" s="81"/>
      <c r="GX78" s="82">
        <f t="shared" ref="GX78" si="463">SUM(GX6:GX77)</f>
        <v>0</v>
      </c>
      <c r="GY78" s="63"/>
      <c r="GZ78" s="81"/>
      <c r="HA78" s="82">
        <f t="shared" ref="HA78" si="464">SUM(HA6:HA77)</f>
        <v>0</v>
      </c>
      <c r="HB78" s="63"/>
      <c r="HC78" s="81"/>
      <c r="HD78" s="82">
        <f t="shared" ref="HD78" si="465">SUM(HD6:HD77)</f>
        <v>0</v>
      </c>
      <c r="HE78" s="63"/>
      <c r="HF78" s="81"/>
      <c r="HG78" s="82">
        <f>SUM(HG6:HG77)</f>
        <v>0</v>
      </c>
      <c r="HH78" s="63"/>
      <c r="HI78" s="81"/>
      <c r="HJ78" s="82">
        <f>SUM(HJ6:HJ77)</f>
        <v>0</v>
      </c>
      <c r="HK78" s="63"/>
      <c r="HL78" s="81"/>
      <c r="HM78" s="82">
        <f t="shared" ref="HM78" si="466">SUM(HM6:HM77)</f>
        <v>0</v>
      </c>
      <c r="HN78" s="63"/>
      <c r="HO78" s="81"/>
      <c r="HP78" s="82">
        <f t="shared" ref="HP78" si="467">SUM(HP6:HP77)</f>
        <v>0</v>
      </c>
      <c r="HQ78" s="63"/>
      <c r="HR78" s="81"/>
      <c r="HS78" s="82">
        <f t="shared" ref="HS78" si="468">SUM(HS6:HS77)</f>
        <v>0</v>
      </c>
      <c r="HT78" s="63"/>
      <c r="HU78" s="81"/>
      <c r="HV78" s="82">
        <f>SUM(HV6:HV77)</f>
        <v>0</v>
      </c>
      <c r="HW78" s="63"/>
      <c r="HX78" s="81"/>
      <c r="HY78" s="82">
        <f>SUM(HY6:HY77)</f>
        <v>0</v>
      </c>
      <c r="HZ78" s="63"/>
      <c r="IA78" s="81"/>
      <c r="IB78" s="82">
        <f t="shared" ref="IB78" si="469">SUM(IB6:IB77)</f>
        <v>0</v>
      </c>
      <c r="IC78" s="63"/>
      <c r="ID78" s="81"/>
      <c r="IE78" s="82">
        <f t="shared" ref="IE78" si="470">SUM(IE6:IE77)</f>
        <v>0</v>
      </c>
      <c r="IF78" s="63"/>
      <c r="IG78" s="81"/>
      <c r="IH78" s="82">
        <f t="shared" ref="IH78" si="471">SUM(IH6:IH77)</f>
        <v>0</v>
      </c>
      <c r="II78" s="63"/>
      <c r="IJ78" s="81"/>
      <c r="IK78" s="82">
        <f>SUM(IK6:IK77)</f>
        <v>0</v>
      </c>
      <c r="IL78" s="63"/>
      <c r="IM78" s="81"/>
      <c r="IN78" s="82">
        <f>SUM(IN6:IN77)</f>
        <v>0</v>
      </c>
      <c r="IO78" s="63"/>
      <c r="IP78" s="81"/>
      <c r="IQ78" s="82">
        <f t="shared" ref="IQ78" si="472">SUM(IQ6:IQ77)</f>
        <v>0</v>
      </c>
      <c r="IR78" s="63"/>
      <c r="IS78" s="81"/>
      <c r="IT78" s="82">
        <f t="shared" ref="IT78" si="473">SUM(IT6:IT77)</f>
        <v>0</v>
      </c>
      <c r="IU78" s="63"/>
      <c r="IV78" s="81"/>
      <c r="IW78" s="82">
        <f t="shared" ref="IW78" si="474">SUM(IW6:IW77)</f>
        <v>0</v>
      </c>
      <c r="IX78" s="63"/>
      <c r="IY78" s="81"/>
      <c r="IZ78" s="82">
        <f>SUM(IZ6:IZ77)</f>
        <v>0</v>
      </c>
      <c r="JA78" s="63"/>
      <c r="JB78" s="81"/>
      <c r="JC78" s="82">
        <f>SUM(JC6:JC77)</f>
        <v>0</v>
      </c>
      <c r="JD78" s="63"/>
      <c r="JE78" s="81"/>
      <c r="JF78" s="82">
        <f t="shared" ref="JF78" si="475">SUM(JF6:JF77)</f>
        <v>0</v>
      </c>
      <c r="JG78" s="63"/>
      <c r="JH78" s="81"/>
      <c r="JI78" s="82">
        <f t="shared" ref="JI78" si="476">SUM(JI6:JI77)</f>
        <v>0</v>
      </c>
      <c r="JJ78" s="63"/>
      <c r="JK78" s="81"/>
      <c r="JL78" s="82">
        <f t="shared" ref="JL78" si="477">SUM(JL6:JL77)</f>
        <v>0</v>
      </c>
      <c r="JM78" s="63"/>
      <c r="JN78" s="81"/>
      <c r="JO78" s="82">
        <f>SUM(JO6:JO77)</f>
        <v>0</v>
      </c>
      <c r="JP78" s="63"/>
      <c r="JQ78" s="81"/>
      <c r="JR78" s="82">
        <f>SUM(JR6:JR77)</f>
        <v>0</v>
      </c>
      <c r="JS78" s="63"/>
      <c r="JT78" s="81"/>
      <c r="JU78" s="82">
        <f t="shared" ref="JU78" si="478">SUM(JU6:JU77)</f>
        <v>0</v>
      </c>
      <c r="JV78" s="63"/>
      <c r="JW78" s="81"/>
      <c r="JX78" s="82">
        <f t="shared" ref="JX78" si="479">SUM(JX6:JX77)</f>
        <v>0</v>
      </c>
      <c r="JY78" s="63"/>
      <c r="JZ78" s="81"/>
      <c r="KA78" s="82">
        <f t="shared" ref="KA78" si="480">SUM(KA6:KA77)</f>
        <v>0</v>
      </c>
      <c r="KB78" s="63"/>
      <c r="KC78" s="81"/>
      <c r="KD78" s="82">
        <f>SUM(KD6:KD77)</f>
        <v>0</v>
      </c>
      <c r="KE78" s="63"/>
      <c r="KF78" s="81"/>
      <c r="KG78" s="82">
        <f>SUM(KG6:KG77)</f>
        <v>0</v>
      </c>
      <c r="KH78" s="63"/>
      <c r="KI78" s="81"/>
      <c r="KJ78" s="82">
        <f t="shared" ref="KJ78" si="481">SUM(KJ6:KJ77)</f>
        <v>0</v>
      </c>
      <c r="KK78" s="63"/>
      <c r="KL78" s="81"/>
      <c r="KM78" s="82">
        <f t="shared" ref="KM78" si="482">SUM(KM6:KM77)</f>
        <v>0</v>
      </c>
      <c r="KN78" s="63"/>
      <c r="KO78" s="81"/>
      <c r="KP78" s="82">
        <f t="shared" ref="KP78" si="483">SUM(KP6:KP77)</f>
        <v>0</v>
      </c>
      <c r="KQ78" s="63"/>
      <c r="KR78" s="81"/>
      <c r="KS78" s="82">
        <f>SUM(KS6:KS77)</f>
        <v>0</v>
      </c>
      <c r="KT78" s="63"/>
      <c r="KU78" s="81"/>
      <c r="KV78" s="82">
        <f>SUM(KV6:KV77)</f>
        <v>0</v>
      </c>
      <c r="KW78" s="63"/>
      <c r="KX78" s="81"/>
      <c r="KY78" s="82">
        <f t="shared" ref="KY78" si="484">SUM(KY6:KY77)</f>
        <v>0</v>
      </c>
      <c r="KZ78" s="63"/>
      <c r="LA78" s="81"/>
      <c r="LB78" s="82">
        <f t="shared" ref="LB78" si="485">SUM(LB6:LB77)</f>
        <v>0</v>
      </c>
      <c r="LC78" s="63"/>
      <c r="LD78" s="81"/>
      <c r="LE78" s="82">
        <f t="shared" ref="LE78" si="486">SUM(LE6:LE77)</f>
        <v>0</v>
      </c>
      <c r="LF78" s="63"/>
    </row>
    <row r="79" spans="1:318" s="784" customFormat="1">
      <c r="A79" s="49"/>
      <c r="B79" s="49"/>
      <c r="C79" s="49"/>
      <c r="D79" s="49"/>
      <c r="E79" s="109"/>
      <c r="F79" s="125"/>
      <c r="G79" s="443"/>
      <c r="H79" s="64"/>
      <c r="I79" s="60"/>
      <c r="J79" s="95"/>
      <c r="K79" s="116" t="str">
        <f>Idiomas!D136</f>
        <v>POSICIÓN GRUPOS</v>
      </c>
      <c r="L79" s="60"/>
      <c r="M79" s="82"/>
      <c r="N79" s="25"/>
      <c r="O79" s="25"/>
      <c r="P79" s="25"/>
      <c r="Q79" s="25"/>
      <c r="R79" s="108"/>
      <c r="S79" s="797"/>
      <c r="T79" s="82"/>
      <c r="U79" s="63"/>
      <c r="V79" s="81"/>
      <c r="W79" s="82"/>
      <c r="X79" s="63"/>
      <c r="Y79" s="797"/>
      <c r="Z79" s="82"/>
      <c r="AA79" s="63"/>
      <c r="AB79" s="797"/>
      <c r="AC79" s="82"/>
      <c r="AD79" s="63"/>
      <c r="AE79" s="797"/>
      <c r="AF79" s="82"/>
      <c r="AG79" s="63"/>
      <c r="AH79" s="797"/>
      <c r="AI79" s="82"/>
      <c r="AJ79" s="63"/>
      <c r="AK79" s="802"/>
      <c r="AL79" s="82"/>
      <c r="AM79" s="63"/>
      <c r="AN79" s="797"/>
      <c r="AO79" s="82"/>
      <c r="AP79" s="63"/>
      <c r="AQ79" s="802"/>
      <c r="AR79" s="82"/>
      <c r="AS79" s="63"/>
      <c r="AT79" s="797"/>
      <c r="AU79" s="82"/>
      <c r="AV79" s="63"/>
      <c r="AW79" s="797"/>
      <c r="AX79" s="82"/>
      <c r="AY79" s="63"/>
      <c r="AZ79" s="797"/>
      <c r="BA79" s="82"/>
      <c r="BB79" s="63"/>
      <c r="BC79" s="797"/>
      <c r="BD79" s="82"/>
      <c r="BE79" s="63"/>
      <c r="BF79" s="797"/>
      <c r="BG79" s="82"/>
      <c r="BH79" s="63"/>
      <c r="BI79" s="797"/>
      <c r="BJ79" s="82"/>
      <c r="BK79" s="63"/>
      <c r="BL79" s="797"/>
      <c r="BM79" s="82"/>
      <c r="BN79" s="63"/>
      <c r="BO79" s="812"/>
      <c r="BP79" s="82"/>
      <c r="BQ79" s="63"/>
      <c r="BR79" s="797"/>
      <c r="BS79" s="82"/>
      <c r="BT79" s="63"/>
      <c r="BU79" s="797"/>
      <c r="BV79" s="82"/>
      <c r="BW79" s="63"/>
      <c r="BX79" s="81"/>
      <c r="BY79" s="82"/>
      <c r="BZ79" s="63"/>
      <c r="CA79" s="812"/>
      <c r="CB79" s="82"/>
      <c r="CC79" s="63"/>
      <c r="CD79" s="821"/>
      <c r="CE79" s="82"/>
      <c r="CF79" s="63"/>
      <c r="CG79" s="797"/>
      <c r="CH79" s="82"/>
      <c r="CI79" s="63"/>
      <c r="CJ79" s="797"/>
      <c r="CK79" s="82"/>
      <c r="CL79" s="63"/>
      <c r="CM79" s="797"/>
      <c r="CN79" s="82"/>
      <c r="CO79" s="63"/>
      <c r="CP79" s="797"/>
      <c r="CQ79" s="82"/>
      <c r="CR79" s="63"/>
      <c r="CS79" s="797"/>
      <c r="CT79" s="82"/>
      <c r="CU79" s="63"/>
      <c r="CV79" s="797"/>
      <c r="CW79" s="82"/>
      <c r="CX79" s="63"/>
      <c r="CY79" s="797"/>
      <c r="CZ79" s="82"/>
      <c r="DA79" s="63"/>
      <c r="DB79" s="797"/>
      <c r="DC79" s="82"/>
      <c r="DD79" s="63"/>
      <c r="DE79" s="797"/>
      <c r="DF79" s="82"/>
      <c r="DG79" s="63"/>
      <c r="DH79" s="797"/>
      <c r="DI79" s="82"/>
      <c r="DJ79" s="63"/>
      <c r="DK79" s="797"/>
      <c r="DL79" s="82"/>
      <c r="DM79" s="63"/>
      <c r="DN79" s="81"/>
      <c r="DO79" s="82"/>
      <c r="DP79" s="63"/>
      <c r="DQ79" s="797"/>
      <c r="DR79" s="82"/>
      <c r="DS79" s="63"/>
      <c r="DT79" s="81"/>
      <c r="DU79" s="82"/>
      <c r="DV79" s="63"/>
      <c r="DW79" s="81"/>
      <c r="DX79" s="82"/>
      <c r="DY79" s="63"/>
      <c r="DZ79" s="81"/>
      <c r="EA79" s="82"/>
      <c r="EB79" s="63"/>
      <c r="EC79" s="81"/>
      <c r="ED79" s="82"/>
      <c r="EE79" s="63"/>
      <c r="EF79" s="81"/>
      <c r="EG79" s="82"/>
      <c r="EH79" s="63"/>
      <c r="EI79" s="81"/>
      <c r="EJ79" s="82"/>
      <c r="EK79" s="63"/>
      <c r="EL79" s="81"/>
      <c r="EM79" s="82"/>
      <c r="EN79" s="63"/>
      <c r="EO79" s="81"/>
      <c r="EP79" s="82"/>
      <c r="EQ79" s="63"/>
      <c r="ER79" s="81"/>
      <c r="ES79" s="82"/>
      <c r="ET79" s="63"/>
      <c r="EU79" s="81"/>
      <c r="EV79" s="82"/>
      <c r="EW79" s="63"/>
      <c r="EX79" s="81"/>
      <c r="EY79" s="82"/>
      <c r="EZ79" s="63"/>
      <c r="FA79" s="81"/>
      <c r="FB79" s="82"/>
      <c r="FC79" s="63"/>
      <c r="FD79" s="81"/>
      <c r="FE79" s="82"/>
      <c r="FF79" s="63"/>
      <c r="FG79" s="81"/>
      <c r="FH79" s="82"/>
      <c r="FI79" s="63"/>
      <c r="FJ79" s="81"/>
      <c r="FK79" s="82"/>
      <c r="FL79" s="63"/>
      <c r="FM79" s="81"/>
      <c r="FN79" s="82"/>
      <c r="FO79" s="63"/>
      <c r="FP79" s="81"/>
      <c r="FQ79" s="82"/>
      <c r="FR79" s="63"/>
      <c r="FS79" s="81"/>
      <c r="FT79" s="82"/>
      <c r="FU79" s="63"/>
      <c r="FV79" s="81"/>
      <c r="FW79" s="82"/>
      <c r="FX79" s="63"/>
      <c r="FY79" s="81"/>
      <c r="FZ79" s="82"/>
      <c r="GA79" s="63"/>
      <c r="GB79" s="81"/>
      <c r="GC79" s="82"/>
      <c r="GD79" s="63"/>
      <c r="GE79" s="81"/>
      <c r="GF79" s="82"/>
      <c r="GG79" s="63"/>
      <c r="GH79" s="81"/>
      <c r="GI79" s="82"/>
      <c r="GJ79" s="63"/>
      <c r="GK79" s="81"/>
      <c r="GL79" s="82"/>
      <c r="GM79" s="63"/>
      <c r="GN79" s="81"/>
      <c r="GO79" s="82"/>
      <c r="GP79" s="63"/>
      <c r="GQ79" s="81"/>
      <c r="GR79" s="82"/>
      <c r="GS79" s="63"/>
      <c r="GT79" s="81"/>
      <c r="GU79" s="82"/>
      <c r="GV79" s="63"/>
      <c r="GW79" s="81"/>
      <c r="GX79" s="82"/>
      <c r="GY79" s="63"/>
      <c r="GZ79" s="81"/>
      <c r="HA79" s="82"/>
      <c r="HB79" s="63"/>
      <c r="HC79" s="81"/>
      <c r="HD79" s="82"/>
      <c r="HE79" s="63"/>
      <c r="HF79" s="81"/>
      <c r="HG79" s="82"/>
      <c r="HH79" s="63"/>
      <c r="HI79" s="81"/>
      <c r="HJ79" s="82"/>
      <c r="HK79" s="63"/>
      <c r="HL79" s="81"/>
      <c r="HM79" s="82"/>
      <c r="HN79" s="63"/>
      <c r="HO79" s="81"/>
      <c r="HP79" s="82"/>
      <c r="HQ79" s="63"/>
      <c r="HR79" s="81"/>
      <c r="HS79" s="82"/>
      <c r="HT79" s="63"/>
      <c r="HU79" s="81"/>
      <c r="HV79" s="82"/>
      <c r="HW79" s="63"/>
      <c r="HX79" s="81"/>
      <c r="HY79" s="82"/>
      <c r="HZ79" s="63"/>
      <c r="IA79" s="81"/>
      <c r="IB79" s="82"/>
      <c r="IC79" s="63"/>
      <c r="ID79" s="81"/>
      <c r="IE79" s="82"/>
      <c r="IF79" s="63"/>
      <c r="IG79" s="81"/>
      <c r="IH79" s="82"/>
      <c r="II79" s="63"/>
      <c r="IJ79" s="81"/>
      <c r="IK79" s="82"/>
      <c r="IL79" s="63"/>
      <c r="IM79" s="81"/>
      <c r="IN79" s="82"/>
      <c r="IO79" s="63"/>
      <c r="IP79" s="81"/>
      <c r="IQ79" s="82"/>
      <c r="IR79" s="63"/>
      <c r="IS79" s="81"/>
      <c r="IT79" s="82"/>
      <c r="IU79" s="63"/>
      <c r="IV79" s="81"/>
      <c r="IW79" s="82"/>
      <c r="IX79" s="63"/>
      <c r="IY79" s="81"/>
      <c r="IZ79" s="82"/>
      <c r="JA79" s="63"/>
      <c r="JB79" s="81"/>
      <c r="JC79" s="82"/>
      <c r="JD79" s="63"/>
      <c r="JE79" s="81"/>
      <c r="JF79" s="82"/>
      <c r="JG79" s="63"/>
      <c r="JH79" s="81"/>
      <c r="JI79" s="82"/>
      <c r="JJ79" s="63"/>
      <c r="JK79" s="81"/>
      <c r="JL79" s="82"/>
      <c r="JM79" s="63"/>
      <c r="JN79" s="81"/>
      <c r="JO79" s="82"/>
      <c r="JP79" s="63"/>
      <c r="JQ79" s="81"/>
      <c r="JR79" s="82"/>
      <c r="JS79" s="63"/>
      <c r="JT79" s="81"/>
      <c r="JU79" s="82"/>
      <c r="JV79" s="63"/>
      <c r="JW79" s="81"/>
      <c r="JX79" s="82"/>
      <c r="JY79" s="63"/>
      <c r="JZ79" s="81"/>
      <c r="KA79" s="82"/>
      <c r="KB79" s="63"/>
      <c r="KC79" s="81"/>
      <c r="KD79" s="82"/>
      <c r="KE79" s="63"/>
      <c r="KF79" s="81"/>
      <c r="KG79" s="82"/>
      <c r="KH79" s="63"/>
      <c r="KI79" s="81"/>
      <c r="KJ79" s="82"/>
      <c r="KK79" s="63"/>
      <c r="KL79" s="81"/>
      <c r="KM79" s="82"/>
      <c r="KN79" s="63"/>
      <c r="KO79" s="81"/>
      <c r="KP79" s="82"/>
      <c r="KQ79" s="63"/>
      <c r="KR79" s="81"/>
      <c r="KS79" s="82"/>
      <c r="KT79" s="63"/>
      <c r="KU79" s="81"/>
      <c r="KV79" s="82"/>
      <c r="KW79" s="63"/>
      <c r="KX79" s="81"/>
      <c r="KY79" s="82"/>
      <c r="KZ79" s="63"/>
      <c r="LA79" s="81"/>
      <c r="LB79" s="82"/>
      <c r="LC79" s="63"/>
      <c r="LD79" s="81"/>
      <c r="LE79" s="82"/>
      <c r="LF79" s="63"/>
    </row>
    <row r="80" spans="1:318" s="784" customFormat="1">
      <c r="A80" s="49"/>
      <c r="B80" s="49"/>
      <c r="C80" s="49"/>
      <c r="D80" s="49"/>
      <c r="E80" s="109"/>
      <c r="F80" s="125">
        <f>$D$11</f>
        <v>20</v>
      </c>
      <c r="G80" s="443">
        <f ca="1">VLOOKUP(H80,Equipos!$Q$1:$R$25,2,0)</f>
        <v>14</v>
      </c>
      <c r="H80" s="444">
        <f ca="1">$H$54</f>
        <v>46197</v>
      </c>
      <c r="I80" s="50"/>
      <c r="J80" s="846" t="s">
        <v>0</v>
      </c>
      <c r="K80" s="53" t="str">
        <f>Idiomas!D150</f>
        <v>1º GRUPO A</v>
      </c>
      <c r="L80" s="53"/>
      <c r="M80" s="55" t="str">
        <f ca="1">IF(OR(SUM(WORLDCUP!$AN$6:$AN$9)=12,WORLDCUP!$AJ$99=144),WORLDCUP!AL6,LEFT(K80,1)&amp;RIGHT(K80,1))</f>
        <v>1A</v>
      </c>
      <c r="N80" s="25"/>
      <c r="O80" s="25"/>
      <c r="P80" s="25"/>
      <c r="Q80" s="25"/>
      <c r="R80" s="108"/>
      <c r="S80" s="796" t="s">
        <v>1260</v>
      </c>
      <c r="T80" s="76">
        <f t="shared" ref="T80" ca="1" si="487">($M80=S80)*$D$11</f>
        <v>0</v>
      </c>
      <c r="U80" s="63"/>
      <c r="V80" s="75" t="s">
        <v>1265</v>
      </c>
      <c r="W80" s="76">
        <f t="shared" ref="W80" ca="1" si="488">($M80=V80)*$D$11</f>
        <v>0</v>
      </c>
      <c r="X80" s="63"/>
      <c r="Y80" s="796" t="s">
        <v>1260</v>
      </c>
      <c r="Z80" s="76">
        <f t="shared" ref="Z80" ca="1" si="489">($M80=Y80)*$D$11</f>
        <v>0</v>
      </c>
      <c r="AA80" s="63"/>
      <c r="AB80" s="796" t="s">
        <v>1265</v>
      </c>
      <c r="AC80" s="76">
        <f t="shared" ref="AC80" ca="1" si="490">($M80=AB80)*$D$11</f>
        <v>0</v>
      </c>
      <c r="AD80" s="63"/>
      <c r="AE80" s="796" t="s">
        <v>1260</v>
      </c>
      <c r="AF80" s="76">
        <f t="shared" ref="AF80" ca="1" si="491">($M80=AE80)*$D$11</f>
        <v>0</v>
      </c>
      <c r="AG80" s="63"/>
      <c r="AH80" s="796" t="s">
        <v>1260</v>
      </c>
      <c r="AI80" s="76">
        <f t="shared" ref="AI80" ca="1" si="492">($M80=AH80)*$D$11</f>
        <v>0</v>
      </c>
      <c r="AJ80" s="63"/>
      <c r="AK80" s="806" t="s">
        <v>1265</v>
      </c>
      <c r="AL80" s="76">
        <f t="shared" ref="AL80" ca="1" si="493">($M80=AK80)*$D$11</f>
        <v>0</v>
      </c>
      <c r="AM80" s="63"/>
      <c r="AN80" s="796" t="s">
        <v>1265</v>
      </c>
      <c r="AO80" s="76">
        <f t="shared" ref="AO80" ca="1" si="494">($M80=AN80)*$D$11</f>
        <v>0</v>
      </c>
      <c r="AP80" s="63"/>
      <c r="AQ80" s="806" t="s">
        <v>1843</v>
      </c>
      <c r="AR80" s="76">
        <f t="shared" ref="AR80" ca="1" si="495">($M80=AQ80)*$D$11</f>
        <v>0</v>
      </c>
      <c r="AS80" s="63"/>
      <c r="AT80" s="796" t="s">
        <v>1260</v>
      </c>
      <c r="AU80" s="76">
        <f t="shared" ref="AU80" ca="1" si="496">($M80=AT80)*$D$11</f>
        <v>0</v>
      </c>
      <c r="AV80" s="63"/>
      <c r="AW80" s="796" t="s">
        <v>1265</v>
      </c>
      <c r="AX80" s="76">
        <f t="shared" ref="AX80" ca="1" si="497">($M80=AW80)*$D$11</f>
        <v>0</v>
      </c>
      <c r="AY80" s="63"/>
      <c r="AZ80" s="796" t="s">
        <v>1630</v>
      </c>
      <c r="BA80" s="76">
        <f t="shared" ref="BA80" ca="1" si="498">($M80=AZ80)*$D$11</f>
        <v>0</v>
      </c>
      <c r="BB80" s="63"/>
      <c r="BC80" s="796" t="s">
        <v>1630</v>
      </c>
      <c r="BD80" s="76">
        <f t="shared" ref="BD80" ca="1" si="499">($M80=BC80)*$D$11</f>
        <v>0</v>
      </c>
      <c r="BE80" s="63"/>
      <c r="BF80" s="796" t="s">
        <v>1265</v>
      </c>
      <c r="BG80" s="76">
        <f t="shared" ref="BG80" ca="1" si="500">($M80=BF80)*$D$11</f>
        <v>0</v>
      </c>
      <c r="BH80" s="63"/>
      <c r="BI80" s="796" t="s">
        <v>1265</v>
      </c>
      <c r="BJ80" s="76">
        <f t="shared" ref="BJ80" ca="1" si="501">($M80=BI80)*$D$11</f>
        <v>0</v>
      </c>
      <c r="BK80" s="63"/>
      <c r="BL80" s="796" t="s">
        <v>1265</v>
      </c>
      <c r="BM80" s="76">
        <f t="shared" ref="BM80" ca="1" si="502">($M80=BL80)*$D$11</f>
        <v>0</v>
      </c>
      <c r="BN80" s="63"/>
      <c r="BO80" s="816" t="s">
        <v>1265</v>
      </c>
      <c r="BP80" s="76">
        <f t="shared" ref="BP80" ca="1" si="503">($M80=BO80)*$D$11</f>
        <v>0</v>
      </c>
      <c r="BQ80" s="63"/>
      <c r="BR80" s="796" t="s">
        <v>1260</v>
      </c>
      <c r="BS80" s="76">
        <f t="shared" ref="BS80" ca="1" si="504">($M80=BR80)*$D$11</f>
        <v>0</v>
      </c>
      <c r="BT80" s="63"/>
      <c r="BU80" s="796" t="s">
        <v>1265</v>
      </c>
      <c r="BV80" s="76">
        <f t="shared" ref="BV80" ca="1" si="505">($M80=BU80)*$D$11</f>
        <v>0</v>
      </c>
      <c r="BW80" s="63"/>
      <c r="BX80" s="75" t="s">
        <v>1260</v>
      </c>
      <c r="BY80" s="76">
        <f t="shared" ref="BY80" ca="1" si="506">($M80=BX80)*$D$11</f>
        <v>0</v>
      </c>
      <c r="BZ80" s="63"/>
      <c r="CA80" s="816" t="s">
        <v>1265</v>
      </c>
      <c r="CB80" s="76">
        <f t="shared" ref="CB80" ca="1" si="507">($M80=CA80)*$D$11</f>
        <v>0</v>
      </c>
      <c r="CC80" s="63"/>
      <c r="CD80" s="825" t="s">
        <v>1843</v>
      </c>
      <c r="CE80" s="76">
        <f t="shared" ref="CE80" ca="1" si="508">($M80=CD80)*$D$11</f>
        <v>0</v>
      </c>
      <c r="CF80" s="63"/>
      <c r="CG80" s="796" t="s">
        <v>1260</v>
      </c>
      <c r="CH80" s="76">
        <f t="shared" ref="CH80" ca="1" si="509">($M80=CG80)*$D$11</f>
        <v>0</v>
      </c>
      <c r="CI80" s="63"/>
      <c r="CJ80" s="796" t="s">
        <v>1843</v>
      </c>
      <c r="CK80" s="76">
        <f t="shared" ref="CK80" ca="1" si="510">($M80=CJ80)*$D$11</f>
        <v>0</v>
      </c>
      <c r="CL80" s="63"/>
      <c r="CM80" s="796" t="s">
        <v>1265</v>
      </c>
      <c r="CN80" s="76">
        <f t="shared" ref="CN80" ca="1" si="511">($M80=CM80)*$D$11</f>
        <v>0</v>
      </c>
      <c r="CO80" s="63"/>
      <c r="CP80" s="796" t="s">
        <v>1260</v>
      </c>
      <c r="CQ80" s="76">
        <f t="shared" ref="CQ80" ca="1" si="512">($M80=CP80)*$D$11</f>
        <v>0</v>
      </c>
      <c r="CR80" s="63"/>
      <c r="CS80" s="796" t="s">
        <v>1265</v>
      </c>
      <c r="CT80" s="76">
        <f t="shared" ref="CT80" ca="1" si="513">($M80=CS80)*$D$11</f>
        <v>0</v>
      </c>
      <c r="CU80" s="63"/>
      <c r="CV80" s="796" t="s">
        <v>1265</v>
      </c>
      <c r="CW80" s="76">
        <f t="shared" ref="CW80" ca="1" si="514">($M80=CV80)*$D$11</f>
        <v>0</v>
      </c>
      <c r="CX80" s="63"/>
      <c r="CY80" s="796" t="s">
        <v>1260</v>
      </c>
      <c r="CZ80" s="76">
        <f t="shared" ref="CZ80" ca="1" si="515">($M80=CY80)*$D$11</f>
        <v>0</v>
      </c>
      <c r="DA80" s="63"/>
      <c r="DB80" s="796" t="s">
        <v>1265</v>
      </c>
      <c r="DC80" s="76">
        <f t="shared" ref="DC80" ca="1" si="516">($M80=DB80)*$D$11</f>
        <v>0</v>
      </c>
      <c r="DD80" s="63"/>
      <c r="DE80" s="796" t="s">
        <v>1260</v>
      </c>
      <c r="DF80" s="76">
        <f ca="1">($M80=DE80)*$D$11</f>
        <v>0</v>
      </c>
      <c r="DG80" s="63"/>
      <c r="DH80" s="796" t="s">
        <v>1843</v>
      </c>
      <c r="DI80" s="76">
        <f ca="1">($M80=DH80)*$D$11</f>
        <v>0</v>
      </c>
      <c r="DJ80" s="63"/>
      <c r="DK80" s="796" t="s">
        <v>1265</v>
      </c>
      <c r="DL80" s="76">
        <f ca="1">($M80=DK80)*$D$11</f>
        <v>0</v>
      </c>
      <c r="DM80" s="63"/>
      <c r="DN80" s="75"/>
      <c r="DO80" s="76">
        <f t="shared" ref="DO80" ca="1" si="517">($M80=DN80)*$D$11</f>
        <v>0</v>
      </c>
      <c r="DP80" s="63"/>
      <c r="DQ80" s="796" t="s">
        <v>1260</v>
      </c>
      <c r="DR80" s="76">
        <f t="shared" ref="DR80" ca="1" si="518">($M80=DQ80)*$D$11</f>
        <v>0</v>
      </c>
      <c r="DS80" s="63"/>
      <c r="DT80" s="75" t="s">
        <v>1265</v>
      </c>
      <c r="DU80" s="76">
        <f t="shared" ref="DU80" ca="1" si="519">($M80=DT80)*$D$11</f>
        <v>0</v>
      </c>
      <c r="DV80" s="63"/>
      <c r="DW80" s="75"/>
      <c r="DX80" s="76">
        <f t="shared" ref="DX80" ca="1" si="520">($M80=DW80)*$D$11</f>
        <v>0</v>
      </c>
      <c r="DY80" s="63"/>
      <c r="DZ80" s="75"/>
      <c r="EA80" s="76">
        <f ca="1">($M80=DZ80)*$D$11</f>
        <v>0</v>
      </c>
      <c r="EB80" s="63"/>
      <c r="EC80" s="75"/>
      <c r="ED80" s="76">
        <f t="shared" ref="ED80" ca="1" si="521">($M80=EC80)*$D$11</f>
        <v>0</v>
      </c>
      <c r="EE80" s="63"/>
      <c r="EF80" s="75"/>
      <c r="EG80" s="76">
        <f t="shared" ref="EG80" ca="1" si="522">($M80=EF80)*$D$11</f>
        <v>0</v>
      </c>
      <c r="EH80" s="63"/>
      <c r="EI80" s="75"/>
      <c r="EJ80" s="76">
        <f t="shared" ref="EJ80" ca="1" si="523">($M80=EI80)*$D$11</f>
        <v>0</v>
      </c>
      <c r="EK80" s="63"/>
      <c r="EL80" s="75"/>
      <c r="EM80" s="76">
        <f t="shared" ref="EM80" ca="1" si="524">($M80=EL80)*$D$11</f>
        <v>0</v>
      </c>
      <c r="EN80" s="63"/>
      <c r="EO80" s="75"/>
      <c r="EP80" s="76">
        <f t="shared" ref="EP80" ca="1" si="525">($M80=EO80)*$D$11</f>
        <v>0</v>
      </c>
      <c r="EQ80" s="63"/>
      <c r="ER80" s="75"/>
      <c r="ES80" s="76">
        <f t="shared" ref="ES80" ca="1" si="526">($M80=ER80)*$D$11</f>
        <v>0</v>
      </c>
      <c r="ET80" s="63"/>
      <c r="EU80" s="75"/>
      <c r="EV80" s="76">
        <f t="shared" ref="EV80" ca="1" si="527">($M80=EU80)*$D$11</f>
        <v>0</v>
      </c>
      <c r="EW80" s="63"/>
      <c r="EX80" s="75"/>
      <c r="EY80" s="76">
        <f t="shared" ref="EY80" ca="1" si="528">($M80=EX80)*$D$11</f>
        <v>0</v>
      </c>
      <c r="EZ80" s="63"/>
      <c r="FA80" s="75"/>
      <c r="FB80" s="76">
        <f t="shared" ref="FB80" ca="1" si="529">($M80=FA80)*$D$11</f>
        <v>0</v>
      </c>
      <c r="FC80" s="63"/>
      <c r="FD80" s="75"/>
      <c r="FE80" s="76">
        <f t="shared" ref="FE80" ca="1" si="530">($M80=FD80)*$D$11</f>
        <v>0</v>
      </c>
      <c r="FF80" s="63"/>
      <c r="FG80" s="75"/>
      <c r="FH80" s="76">
        <f t="shared" ref="FH80" ca="1" si="531">($M80=FG80)*$D$11</f>
        <v>0</v>
      </c>
      <c r="FI80" s="63"/>
      <c r="FJ80" s="75"/>
      <c r="FK80" s="76">
        <f t="shared" ref="FK80" ca="1" si="532">($M80=FJ80)*$D$11</f>
        <v>0</v>
      </c>
      <c r="FL80" s="63"/>
      <c r="FM80" s="75"/>
      <c r="FN80" s="76">
        <f t="shared" ref="FN80" ca="1" si="533">($M80=FM80)*$D$11</f>
        <v>0</v>
      </c>
      <c r="FO80" s="63"/>
      <c r="FP80" s="75"/>
      <c r="FQ80" s="76">
        <f t="shared" ref="FQ80" ca="1" si="534">($M80=FP80)*$D$11</f>
        <v>0</v>
      </c>
      <c r="FR80" s="63"/>
      <c r="FS80" s="75"/>
      <c r="FT80" s="76">
        <f t="shared" ref="FT80" ca="1" si="535">($M80=FS80)*$D$11</f>
        <v>0</v>
      </c>
      <c r="FU80" s="63"/>
      <c r="FV80" s="75"/>
      <c r="FW80" s="76">
        <f t="shared" ref="FW80" ca="1" si="536">($M80=FV80)*$D$11</f>
        <v>0</v>
      </c>
      <c r="FX80" s="63"/>
      <c r="FY80" s="75"/>
      <c r="FZ80" s="76">
        <f t="shared" ref="FZ80" ca="1" si="537">($M80=FY80)*$D$11</f>
        <v>0</v>
      </c>
      <c r="GA80" s="63"/>
      <c r="GB80" s="75"/>
      <c r="GC80" s="76">
        <f t="shared" ref="GC80" ca="1" si="538">($M80=GB80)*$D$11</f>
        <v>0</v>
      </c>
      <c r="GD80" s="63"/>
      <c r="GE80" s="75"/>
      <c r="GF80" s="76">
        <f t="shared" ref="GF80" ca="1" si="539">($M80=GE80)*$D$11</f>
        <v>0</v>
      </c>
      <c r="GG80" s="63"/>
      <c r="GH80" s="75"/>
      <c r="GI80" s="76">
        <f t="shared" ref="GI80" ca="1" si="540">($M80=GH80)*$D$11</f>
        <v>0</v>
      </c>
      <c r="GJ80" s="63"/>
      <c r="GK80" s="75"/>
      <c r="GL80" s="76">
        <f t="shared" ref="GL80" ca="1" si="541">($M80=GK80)*$D$11</f>
        <v>0</v>
      </c>
      <c r="GM80" s="63"/>
      <c r="GN80" s="75"/>
      <c r="GO80" s="76">
        <f t="shared" ref="GO80" ca="1" si="542">($M80=GN80)*$D$11</f>
        <v>0</v>
      </c>
      <c r="GP80" s="63"/>
      <c r="GQ80" s="75"/>
      <c r="GR80" s="76">
        <f t="shared" ref="GR80" ca="1" si="543">($M80=GQ80)*$D$11</f>
        <v>0</v>
      </c>
      <c r="GS80" s="63"/>
      <c r="GT80" s="75"/>
      <c r="GU80" s="76">
        <f t="shared" ref="GU80" ca="1" si="544">($M80=GT80)*$D$11</f>
        <v>0</v>
      </c>
      <c r="GV80" s="63"/>
      <c r="GW80" s="75"/>
      <c r="GX80" s="76">
        <f t="shared" ref="GX80" ca="1" si="545">($M80=GW80)*$D$11</f>
        <v>0</v>
      </c>
      <c r="GY80" s="63"/>
      <c r="GZ80" s="75"/>
      <c r="HA80" s="76">
        <f t="shared" ref="HA80" ca="1" si="546">($M80=GZ80)*$D$11</f>
        <v>0</v>
      </c>
      <c r="HB80" s="63"/>
      <c r="HC80" s="75"/>
      <c r="HD80" s="76">
        <f t="shared" ref="HD80" ca="1" si="547">($M80=HC80)*$D$11</f>
        <v>0</v>
      </c>
      <c r="HE80" s="63"/>
      <c r="HF80" s="75"/>
      <c r="HG80" s="76">
        <f t="shared" ref="HG80" ca="1" si="548">($M80=HF80)*$D$11</f>
        <v>0</v>
      </c>
      <c r="HH80" s="63"/>
      <c r="HI80" s="75"/>
      <c r="HJ80" s="76">
        <f t="shared" ref="HJ80" ca="1" si="549">($M80=HI80)*$D$11</f>
        <v>0</v>
      </c>
      <c r="HK80" s="63"/>
      <c r="HL80" s="75"/>
      <c r="HM80" s="76">
        <f t="shared" ref="HM80" ca="1" si="550">($M80=HL80)*$D$11</f>
        <v>0</v>
      </c>
      <c r="HN80" s="63"/>
      <c r="HO80" s="75"/>
      <c r="HP80" s="76">
        <f t="shared" ref="HP80" ca="1" si="551">($M80=HO80)*$D$11</f>
        <v>0</v>
      </c>
      <c r="HQ80" s="63"/>
      <c r="HR80" s="75"/>
      <c r="HS80" s="76">
        <f t="shared" ref="HS80" ca="1" si="552">($M80=HR80)*$D$11</f>
        <v>0</v>
      </c>
      <c r="HT80" s="63"/>
      <c r="HU80" s="75"/>
      <c r="HV80" s="76">
        <f t="shared" ref="HV80" ca="1" si="553">($M80=HU80)*$D$11</f>
        <v>0</v>
      </c>
      <c r="HW80" s="63"/>
      <c r="HX80" s="75"/>
      <c r="HY80" s="76">
        <f t="shared" ref="HY80" ca="1" si="554">($M80=HX80)*$D$11</f>
        <v>0</v>
      </c>
      <c r="HZ80" s="63"/>
      <c r="IA80" s="75"/>
      <c r="IB80" s="76">
        <f t="shared" ref="IB80" ca="1" si="555">($M80=IA80)*$D$11</f>
        <v>0</v>
      </c>
      <c r="IC80" s="63"/>
      <c r="ID80" s="75"/>
      <c r="IE80" s="76">
        <f t="shared" ref="IE80" ca="1" si="556">($M80=ID80)*$D$11</f>
        <v>0</v>
      </c>
      <c r="IF80" s="63"/>
      <c r="IG80" s="75"/>
      <c r="IH80" s="76">
        <f t="shared" ref="IH80" ca="1" si="557">($M80=IG80)*$D$11</f>
        <v>0</v>
      </c>
      <c r="II80" s="63"/>
      <c r="IJ80" s="75"/>
      <c r="IK80" s="76">
        <f t="shared" ref="IK80" ca="1" si="558">($M80=IJ80)*$D$11</f>
        <v>0</v>
      </c>
      <c r="IL80" s="63"/>
      <c r="IM80" s="75"/>
      <c r="IN80" s="76">
        <f t="shared" ref="IN80" ca="1" si="559">($M80=IM80)*$D$11</f>
        <v>0</v>
      </c>
      <c r="IO80" s="63"/>
      <c r="IP80" s="75"/>
      <c r="IQ80" s="76">
        <f t="shared" ref="IQ80" ca="1" si="560">($M80=IP80)*$D$11</f>
        <v>0</v>
      </c>
      <c r="IR80" s="63"/>
      <c r="IS80" s="75"/>
      <c r="IT80" s="76">
        <f t="shared" ref="IT80" ca="1" si="561">($M80=IS80)*$D$11</f>
        <v>0</v>
      </c>
      <c r="IU80" s="63"/>
      <c r="IV80" s="75"/>
      <c r="IW80" s="76">
        <f t="shared" ref="IW80" ca="1" si="562">($M80=IV80)*$D$11</f>
        <v>0</v>
      </c>
      <c r="IX80" s="63"/>
      <c r="IY80" s="75"/>
      <c r="IZ80" s="76">
        <f t="shared" ref="IZ80" ca="1" si="563">($M80=IY80)*$D$11</f>
        <v>0</v>
      </c>
      <c r="JA80" s="63"/>
      <c r="JB80" s="75"/>
      <c r="JC80" s="76">
        <f t="shared" ref="JC80" ca="1" si="564">($M80=JB80)*$D$11</f>
        <v>0</v>
      </c>
      <c r="JD80" s="63"/>
      <c r="JE80" s="75"/>
      <c r="JF80" s="76">
        <f t="shared" ref="JF80" ca="1" si="565">($M80=JE80)*$D$11</f>
        <v>0</v>
      </c>
      <c r="JG80" s="63"/>
      <c r="JH80" s="75"/>
      <c r="JI80" s="76">
        <f t="shared" ref="JI80" ca="1" si="566">($M80=JH80)*$D$11</f>
        <v>0</v>
      </c>
      <c r="JJ80" s="63"/>
      <c r="JK80" s="75"/>
      <c r="JL80" s="76">
        <f t="shared" ref="JL80" ca="1" si="567">($M80=JK80)*$D$11</f>
        <v>0</v>
      </c>
      <c r="JM80" s="63"/>
      <c r="JN80" s="75"/>
      <c r="JO80" s="76">
        <f t="shared" ref="JO80" ca="1" si="568">($M80=JN80)*$D$11</f>
        <v>0</v>
      </c>
      <c r="JP80" s="63"/>
      <c r="JQ80" s="75"/>
      <c r="JR80" s="76">
        <f t="shared" ref="JR80" ca="1" si="569">($M80=JQ80)*$D$11</f>
        <v>0</v>
      </c>
      <c r="JS80" s="63"/>
      <c r="JT80" s="75"/>
      <c r="JU80" s="76">
        <f t="shared" ref="JU80" ca="1" si="570">($M80=JT80)*$D$11</f>
        <v>0</v>
      </c>
      <c r="JV80" s="63"/>
      <c r="JW80" s="75"/>
      <c r="JX80" s="76">
        <f t="shared" ref="JX80" ca="1" si="571">($M80=JW80)*$D$11</f>
        <v>0</v>
      </c>
      <c r="JY80" s="63"/>
      <c r="JZ80" s="75"/>
      <c r="KA80" s="76">
        <f t="shared" ref="KA80" ca="1" si="572">($M80=JZ80)*$D$11</f>
        <v>0</v>
      </c>
      <c r="KB80" s="63"/>
      <c r="KC80" s="75"/>
      <c r="KD80" s="76">
        <f t="shared" ref="KD80" ca="1" si="573">($M80=KC80)*$D$11</f>
        <v>0</v>
      </c>
      <c r="KE80" s="63"/>
      <c r="KF80" s="75"/>
      <c r="KG80" s="76">
        <f t="shared" ref="KG80" ca="1" si="574">($M80=KF80)*$D$11</f>
        <v>0</v>
      </c>
      <c r="KH80" s="63"/>
      <c r="KI80" s="75"/>
      <c r="KJ80" s="76">
        <f t="shared" ref="KJ80" ca="1" si="575">($M80=KI80)*$D$11</f>
        <v>0</v>
      </c>
      <c r="KK80" s="63"/>
      <c r="KL80" s="75"/>
      <c r="KM80" s="76">
        <f t="shared" ref="KM80" ca="1" si="576">($M80=KL80)*$D$11</f>
        <v>0</v>
      </c>
      <c r="KN80" s="63"/>
      <c r="KO80" s="75"/>
      <c r="KP80" s="76">
        <f t="shared" ref="KP80" ca="1" si="577">($M80=KO80)*$D$11</f>
        <v>0</v>
      </c>
      <c r="KQ80" s="63"/>
      <c r="KR80" s="75"/>
      <c r="KS80" s="76">
        <f t="shared" ref="KS80" ca="1" si="578">($M80=KR80)*$D$11</f>
        <v>0</v>
      </c>
      <c r="KT80" s="63"/>
      <c r="KU80" s="75"/>
      <c r="KV80" s="76">
        <f t="shared" ref="KV80" ca="1" si="579">($M80=KU80)*$D$11</f>
        <v>0</v>
      </c>
      <c r="KW80" s="63"/>
      <c r="KX80" s="75"/>
      <c r="KY80" s="76">
        <f t="shared" ref="KY80" ca="1" si="580">($M80=KX80)*$D$11</f>
        <v>0</v>
      </c>
      <c r="KZ80" s="63"/>
      <c r="LA80" s="75"/>
      <c r="LB80" s="76">
        <f t="shared" ref="LB80" ca="1" si="581">($M80=LA80)*$D$11</f>
        <v>0</v>
      </c>
      <c r="LC80" s="63"/>
      <c r="LD80" s="75"/>
      <c r="LE80" s="76">
        <f t="shared" ref="LE80" ca="1" si="582">($M80=LD80)*$D$11</f>
        <v>0</v>
      </c>
      <c r="LF80" s="63"/>
    </row>
    <row r="81" spans="1:318" s="784" customFormat="1">
      <c r="A81" s="49"/>
      <c r="B81" s="49"/>
      <c r="C81" s="49"/>
      <c r="D81" s="49"/>
      <c r="E81" s="109"/>
      <c r="F81" s="125">
        <f>$D$12</f>
        <v>20</v>
      </c>
      <c r="G81" s="443">
        <f ca="1">VLOOKUP(H81,Equipos!$Q$1:$R$25,2,0)</f>
        <v>14</v>
      </c>
      <c r="H81" s="444">
        <f ca="1">$H$54</f>
        <v>46197</v>
      </c>
      <c r="I81" s="50"/>
      <c r="J81" s="846"/>
      <c r="K81" s="56" t="str">
        <f>Idiomas!D151</f>
        <v>2º GRUPO A</v>
      </c>
      <c r="L81" s="53"/>
      <c r="M81" s="55" t="str">
        <f ca="1">IF(OR(SUM(WORLDCUP!$AN$6:$AN$9)=12,WORLDCUP!$AJ$99=144),WORLDCUP!AL7,LEFT(K81,1)&amp;RIGHT(K81,1))</f>
        <v>2A</v>
      </c>
      <c r="N81" s="25"/>
      <c r="O81" s="25"/>
      <c r="P81" s="25"/>
      <c r="Q81" s="25"/>
      <c r="R81" s="108"/>
      <c r="S81" s="796" t="s">
        <v>1265</v>
      </c>
      <c r="T81" s="72">
        <f t="shared" ref="T81" ca="1" si="583">($M81=S81)*$D$12</f>
        <v>0</v>
      </c>
      <c r="U81" s="63"/>
      <c r="V81" s="73" t="s">
        <v>1260</v>
      </c>
      <c r="W81" s="72">
        <f t="shared" ref="W81" ca="1" si="584">($M81=V81)*$D$12</f>
        <v>0</v>
      </c>
      <c r="X81" s="63"/>
      <c r="Y81" s="796" t="s">
        <v>1265</v>
      </c>
      <c r="Z81" s="72">
        <f t="shared" ref="Z81" ca="1" si="585">($M81=Y81)*$D$12</f>
        <v>0</v>
      </c>
      <c r="AA81" s="63"/>
      <c r="AB81" s="796" t="s">
        <v>1843</v>
      </c>
      <c r="AC81" s="72">
        <f t="shared" ref="AC81" ca="1" si="586">($M81=AB81)*$D$12</f>
        <v>0</v>
      </c>
      <c r="AD81" s="63"/>
      <c r="AE81" s="796" t="s">
        <v>1265</v>
      </c>
      <c r="AF81" s="72">
        <f t="shared" ref="AF81" ca="1" si="587">($M81=AE81)*$D$12</f>
        <v>0</v>
      </c>
      <c r="AG81" s="63"/>
      <c r="AH81" s="796" t="s">
        <v>1843</v>
      </c>
      <c r="AI81" s="72">
        <f t="shared" ref="AI81" ca="1" si="588">($M81=AH81)*$D$12</f>
        <v>0</v>
      </c>
      <c r="AJ81" s="63"/>
      <c r="AK81" s="806" t="s">
        <v>1260</v>
      </c>
      <c r="AL81" s="72">
        <f t="shared" ref="AL81" ca="1" si="589">($M81=AK81)*$D$12</f>
        <v>0</v>
      </c>
      <c r="AM81" s="63"/>
      <c r="AN81" s="796" t="s">
        <v>1260</v>
      </c>
      <c r="AO81" s="72">
        <f t="shared" ref="AO81" ca="1" si="590">($M81=AN81)*$D$12</f>
        <v>0</v>
      </c>
      <c r="AP81" s="63"/>
      <c r="AQ81" s="806" t="s">
        <v>1265</v>
      </c>
      <c r="AR81" s="72">
        <f t="shared" ref="AR81" ca="1" si="591">($M81=AQ81)*$D$12</f>
        <v>0</v>
      </c>
      <c r="AS81" s="63"/>
      <c r="AT81" s="796" t="s">
        <v>1265</v>
      </c>
      <c r="AU81" s="72">
        <f t="shared" ref="AU81" ca="1" si="592">($M81=AT81)*$D$12</f>
        <v>0</v>
      </c>
      <c r="AV81" s="63"/>
      <c r="AW81" s="796" t="s">
        <v>1843</v>
      </c>
      <c r="AX81" s="72">
        <f t="shared" ref="AX81" ca="1" si="593">($M81=AW81)*$D$12</f>
        <v>0</v>
      </c>
      <c r="AY81" s="63"/>
      <c r="AZ81" s="796" t="s">
        <v>1260</v>
      </c>
      <c r="BA81" s="72">
        <f t="shared" ref="BA81" ca="1" si="594">($M81=AZ81)*$D$12</f>
        <v>0</v>
      </c>
      <c r="BB81" s="63"/>
      <c r="BC81" s="796" t="s">
        <v>1265</v>
      </c>
      <c r="BD81" s="72">
        <f t="shared" ref="BD81" ca="1" si="595">($M81=BC81)*$D$12</f>
        <v>0</v>
      </c>
      <c r="BE81" s="63"/>
      <c r="BF81" s="796" t="s">
        <v>1260</v>
      </c>
      <c r="BG81" s="72">
        <f t="shared" ref="BG81" ca="1" si="596">($M81=BF81)*$D$12</f>
        <v>0</v>
      </c>
      <c r="BH81" s="63"/>
      <c r="BI81" s="796" t="s">
        <v>1843</v>
      </c>
      <c r="BJ81" s="72">
        <f t="shared" ref="BJ81" ca="1" si="597">($M81=BI81)*$D$12</f>
        <v>0</v>
      </c>
      <c r="BK81" s="63"/>
      <c r="BL81" s="796" t="s">
        <v>1843</v>
      </c>
      <c r="BM81" s="72">
        <f t="shared" ref="BM81" ca="1" si="598">($M81=BL81)*$D$12</f>
        <v>0</v>
      </c>
      <c r="BN81" s="63"/>
      <c r="BO81" s="816" t="s">
        <v>1843</v>
      </c>
      <c r="BP81" s="72">
        <f t="shared" ref="BP81" ca="1" si="599">($M81=BO81)*$D$12</f>
        <v>0</v>
      </c>
      <c r="BQ81" s="63"/>
      <c r="BR81" s="796" t="s">
        <v>1265</v>
      </c>
      <c r="BS81" s="72">
        <f t="shared" ref="BS81" ca="1" si="600">($M81=BR81)*$D$12</f>
        <v>0</v>
      </c>
      <c r="BT81" s="63"/>
      <c r="BU81" s="796" t="s">
        <v>1260</v>
      </c>
      <c r="BV81" s="72">
        <f t="shared" ref="BV81" ca="1" si="601">($M81=BU81)*$D$12</f>
        <v>0</v>
      </c>
      <c r="BW81" s="63"/>
      <c r="BX81" s="73" t="s">
        <v>1265</v>
      </c>
      <c r="BY81" s="72">
        <f t="shared" ref="BY81" ca="1" si="602">($M81=BX81)*$D$12</f>
        <v>0</v>
      </c>
      <c r="BZ81" s="63"/>
      <c r="CA81" s="816" t="s">
        <v>1260</v>
      </c>
      <c r="CB81" s="72">
        <f t="shared" ref="CB81" ca="1" si="603">($M81=CA81)*$D$12</f>
        <v>0</v>
      </c>
      <c r="CC81" s="63"/>
      <c r="CD81" s="825" t="s">
        <v>1260</v>
      </c>
      <c r="CE81" s="72">
        <f t="shared" ref="CE81" ca="1" si="604">($M81=CD81)*$D$12</f>
        <v>0</v>
      </c>
      <c r="CF81" s="63"/>
      <c r="CG81" s="796" t="s">
        <v>1265</v>
      </c>
      <c r="CH81" s="72">
        <f t="shared" ref="CH81" ca="1" si="605">($M81=CG81)*$D$12</f>
        <v>0</v>
      </c>
      <c r="CI81" s="63"/>
      <c r="CJ81" s="796" t="s">
        <v>1265</v>
      </c>
      <c r="CK81" s="72">
        <f t="shared" ref="CK81" ca="1" si="606">($M81=CJ81)*$D$12</f>
        <v>0</v>
      </c>
      <c r="CL81" s="63"/>
      <c r="CM81" s="796" t="s">
        <v>1843</v>
      </c>
      <c r="CN81" s="72">
        <f t="shared" ref="CN81" ca="1" si="607">($M81=CM81)*$D$12</f>
        <v>0</v>
      </c>
      <c r="CO81" s="63"/>
      <c r="CP81" s="796" t="s">
        <v>1843</v>
      </c>
      <c r="CQ81" s="72">
        <f t="shared" ref="CQ81" ca="1" si="608">($M81=CP81)*$D$12</f>
        <v>0</v>
      </c>
      <c r="CR81" s="63"/>
      <c r="CS81" s="796" t="s">
        <v>1260</v>
      </c>
      <c r="CT81" s="72">
        <f t="shared" ref="CT81" ca="1" si="609">($M81=CS81)*$D$12</f>
        <v>0</v>
      </c>
      <c r="CU81" s="63"/>
      <c r="CV81" s="796" t="s">
        <v>1260</v>
      </c>
      <c r="CW81" s="72">
        <f t="shared" ref="CW81" ca="1" si="610">($M81=CV81)*$D$12</f>
        <v>0</v>
      </c>
      <c r="CX81" s="63"/>
      <c r="CY81" s="796" t="s">
        <v>1265</v>
      </c>
      <c r="CZ81" s="72">
        <f t="shared" ref="CZ81" ca="1" si="611">($M81=CY81)*$D$12</f>
        <v>0</v>
      </c>
      <c r="DA81" s="63"/>
      <c r="DB81" s="796" t="s">
        <v>1260</v>
      </c>
      <c r="DC81" s="72">
        <f t="shared" ref="DC81" ca="1" si="612">($M81=DB81)*$D$12</f>
        <v>0</v>
      </c>
      <c r="DD81" s="63"/>
      <c r="DE81" s="796" t="s">
        <v>1265</v>
      </c>
      <c r="DF81" s="72">
        <f ca="1">($M81=DE81)*$D$12</f>
        <v>0</v>
      </c>
      <c r="DG81" s="63"/>
      <c r="DH81" s="796" t="s">
        <v>1265</v>
      </c>
      <c r="DI81" s="72">
        <f ca="1">($M81=DH81)*$D$12</f>
        <v>0</v>
      </c>
      <c r="DJ81" s="63"/>
      <c r="DK81" s="796" t="s">
        <v>1260</v>
      </c>
      <c r="DL81" s="72">
        <f ca="1">($M81=DK81)*$D$12</f>
        <v>0</v>
      </c>
      <c r="DM81" s="63"/>
      <c r="DN81" s="73"/>
      <c r="DO81" s="72">
        <f t="shared" ref="DO81" ca="1" si="613">($M81=DN81)*$D$12</f>
        <v>0</v>
      </c>
      <c r="DP81" s="63"/>
      <c r="DQ81" s="796" t="s">
        <v>1843</v>
      </c>
      <c r="DR81" s="72">
        <f t="shared" ref="DR81" ca="1" si="614">($M81=DQ81)*$D$12</f>
        <v>0</v>
      </c>
      <c r="DS81" s="63"/>
      <c r="DT81" s="73" t="s">
        <v>1260</v>
      </c>
      <c r="DU81" s="72">
        <f t="shared" ref="DU81" ca="1" si="615">($M81=DT81)*$D$12</f>
        <v>0</v>
      </c>
      <c r="DV81" s="63"/>
      <c r="DW81" s="73"/>
      <c r="DX81" s="72">
        <f t="shared" ref="DX81" ca="1" si="616">($M81=DW81)*$D$12</f>
        <v>0</v>
      </c>
      <c r="DY81" s="63"/>
      <c r="DZ81" s="73"/>
      <c r="EA81" s="72">
        <f ca="1">($M81=DZ81)*$D$12</f>
        <v>0</v>
      </c>
      <c r="EB81" s="63"/>
      <c r="EC81" s="73"/>
      <c r="ED81" s="72">
        <f t="shared" ref="ED81" ca="1" si="617">($M81=EC81)*$D$12</f>
        <v>0</v>
      </c>
      <c r="EE81" s="63"/>
      <c r="EF81" s="73"/>
      <c r="EG81" s="72">
        <f t="shared" ref="EG81" ca="1" si="618">($M81=EF81)*$D$12</f>
        <v>0</v>
      </c>
      <c r="EH81" s="63"/>
      <c r="EI81" s="73"/>
      <c r="EJ81" s="72">
        <f t="shared" ref="EJ81" ca="1" si="619">($M81=EI81)*$D$12</f>
        <v>0</v>
      </c>
      <c r="EK81" s="63"/>
      <c r="EL81" s="73"/>
      <c r="EM81" s="72">
        <f t="shared" ref="EM81" ca="1" si="620">($M81=EL81)*$D$12</f>
        <v>0</v>
      </c>
      <c r="EN81" s="63"/>
      <c r="EO81" s="73"/>
      <c r="EP81" s="72">
        <f t="shared" ref="EP81" ca="1" si="621">($M81=EO81)*$D$12</f>
        <v>0</v>
      </c>
      <c r="EQ81" s="63"/>
      <c r="ER81" s="73"/>
      <c r="ES81" s="72">
        <f t="shared" ref="ES81" ca="1" si="622">($M81=ER81)*$D$12</f>
        <v>0</v>
      </c>
      <c r="ET81" s="63"/>
      <c r="EU81" s="73"/>
      <c r="EV81" s="72">
        <f t="shared" ref="EV81" ca="1" si="623">($M81=EU81)*$D$12</f>
        <v>0</v>
      </c>
      <c r="EW81" s="63"/>
      <c r="EX81" s="73"/>
      <c r="EY81" s="72">
        <f t="shared" ref="EY81" ca="1" si="624">($M81=EX81)*$D$12</f>
        <v>0</v>
      </c>
      <c r="EZ81" s="63"/>
      <c r="FA81" s="73"/>
      <c r="FB81" s="72">
        <f t="shared" ref="FB81" ca="1" si="625">($M81=FA81)*$D$12</f>
        <v>0</v>
      </c>
      <c r="FC81" s="63"/>
      <c r="FD81" s="73"/>
      <c r="FE81" s="72">
        <f t="shared" ref="FE81" ca="1" si="626">($M81=FD81)*$D$12</f>
        <v>0</v>
      </c>
      <c r="FF81" s="63"/>
      <c r="FG81" s="73"/>
      <c r="FH81" s="72">
        <f t="shared" ref="FH81" ca="1" si="627">($M81=FG81)*$D$12</f>
        <v>0</v>
      </c>
      <c r="FI81" s="63"/>
      <c r="FJ81" s="73"/>
      <c r="FK81" s="72">
        <f t="shared" ref="FK81" ca="1" si="628">($M81=FJ81)*$D$12</f>
        <v>0</v>
      </c>
      <c r="FL81" s="63"/>
      <c r="FM81" s="73"/>
      <c r="FN81" s="72">
        <f t="shared" ref="FN81" ca="1" si="629">($M81=FM81)*$D$12</f>
        <v>0</v>
      </c>
      <c r="FO81" s="63"/>
      <c r="FP81" s="73"/>
      <c r="FQ81" s="72">
        <f t="shared" ref="FQ81" ca="1" si="630">($M81=FP81)*$D$12</f>
        <v>0</v>
      </c>
      <c r="FR81" s="63"/>
      <c r="FS81" s="73"/>
      <c r="FT81" s="72">
        <f t="shared" ref="FT81" ca="1" si="631">($M81=FS81)*$D$12</f>
        <v>0</v>
      </c>
      <c r="FU81" s="63"/>
      <c r="FV81" s="73"/>
      <c r="FW81" s="72">
        <f t="shared" ref="FW81" ca="1" si="632">($M81=FV81)*$D$12</f>
        <v>0</v>
      </c>
      <c r="FX81" s="63"/>
      <c r="FY81" s="73"/>
      <c r="FZ81" s="72">
        <f t="shared" ref="FZ81" ca="1" si="633">($M81=FY81)*$D$12</f>
        <v>0</v>
      </c>
      <c r="GA81" s="63"/>
      <c r="GB81" s="73"/>
      <c r="GC81" s="72">
        <f t="shared" ref="GC81" ca="1" si="634">($M81=GB81)*$D$12</f>
        <v>0</v>
      </c>
      <c r="GD81" s="63"/>
      <c r="GE81" s="73"/>
      <c r="GF81" s="72">
        <f t="shared" ref="GF81" ca="1" si="635">($M81=GE81)*$D$12</f>
        <v>0</v>
      </c>
      <c r="GG81" s="63"/>
      <c r="GH81" s="73"/>
      <c r="GI81" s="72">
        <f t="shared" ref="GI81" ca="1" si="636">($M81=GH81)*$D$12</f>
        <v>0</v>
      </c>
      <c r="GJ81" s="63"/>
      <c r="GK81" s="73"/>
      <c r="GL81" s="72">
        <f t="shared" ref="GL81" ca="1" si="637">($M81=GK81)*$D$12</f>
        <v>0</v>
      </c>
      <c r="GM81" s="63"/>
      <c r="GN81" s="73"/>
      <c r="GO81" s="72">
        <f t="shared" ref="GO81" ca="1" si="638">($M81=GN81)*$D$12</f>
        <v>0</v>
      </c>
      <c r="GP81" s="63"/>
      <c r="GQ81" s="73"/>
      <c r="GR81" s="72">
        <f t="shared" ref="GR81" ca="1" si="639">($M81=GQ81)*$D$12</f>
        <v>0</v>
      </c>
      <c r="GS81" s="63"/>
      <c r="GT81" s="73"/>
      <c r="GU81" s="72">
        <f t="shared" ref="GU81" ca="1" si="640">($M81=GT81)*$D$12</f>
        <v>0</v>
      </c>
      <c r="GV81" s="63"/>
      <c r="GW81" s="73"/>
      <c r="GX81" s="72">
        <f t="shared" ref="GX81" ca="1" si="641">($M81=GW81)*$D$12</f>
        <v>0</v>
      </c>
      <c r="GY81" s="63"/>
      <c r="GZ81" s="73"/>
      <c r="HA81" s="72">
        <f t="shared" ref="HA81" ca="1" si="642">($M81=GZ81)*$D$12</f>
        <v>0</v>
      </c>
      <c r="HB81" s="63"/>
      <c r="HC81" s="73"/>
      <c r="HD81" s="72">
        <f t="shared" ref="HD81" ca="1" si="643">($M81=HC81)*$D$12</f>
        <v>0</v>
      </c>
      <c r="HE81" s="63"/>
      <c r="HF81" s="73"/>
      <c r="HG81" s="72">
        <f t="shared" ref="HG81" ca="1" si="644">($M81=HF81)*$D$12</f>
        <v>0</v>
      </c>
      <c r="HH81" s="63"/>
      <c r="HI81" s="73"/>
      <c r="HJ81" s="72">
        <f t="shared" ref="HJ81" ca="1" si="645">($M81=HI81)*$D$12</f>
        <v>0</v>
      </c>
      <c r="HK81" s="63"/>
      <c r="HL81" s="73"/>
      <c r="HM81" s="72">
        <f t="shared" ref="HM81" ca="1" si="646">($M81=HL81)*$D$12</f>
        <v>0</v>
      </c>
      <c r="HN81" s="63"/>
      <c r="HO81" s="73"/>
      <c r="HP81" s="72">
        <f t="shared" ref="HP81" ca="1" si="647">($M81=HO81)*$D$12</f>
        <v>0</v>
      </c>
      <c r="HQ81" s="63"/>
      <c r="HR81" s="73"/>
      <c r="HS81" s="72">
        <f t="shared" ref="HS81" ca="1" si="648">($M81=HR81)*$D$12</f>
        <v>0</v>
      </c>
      <c r="HT81" s="63"/>
      <c r="HU81" s="73"/>
      <c r="HV81" s="72">
        <f t="shared" ref="HV81" ca="1" si="649">($M81=HU81)*$D$12</f>
        <v>0</v>
      </c>
      <c r="HW81" s="63"/>
      <c r="HX81" s="73"/>
      <c r="HY81" s="72">
        <f t="shared" ref="HY81" ca="1" si="650">($M81=HX81)*$D$12</f>
        <v>0</v>
      </c>
      <c r="HZ81" s="63"/>
      <c r="IA81" s="73"/>
      <c r="IB81" s="72">
        <f t="shared" ref="IB81" ca="1" si="651">($M81=IA81)*$D$12</f>
        <v>0</v>
      </c>
      <c r="IC81" s="63"/>
      <c r="ID81" s="73"/>
      <c r="IE81" s="72">
        <f t="shared" ref="IE81" ca="1" si="652">($M81=ID81)*$D$12</f>
        <v>0</v>
      </c>
      <c r="IF81" s="63"/>
      <c r="IG81" s="73"/>
      <c r="IH81" s="72">
        <f t="shared" ref="IH81" ca="1" si="653">($M81=IG81)*$D$12</f>
        <v>0</v>
      </c>
      <c r="II81" s="63"/>
      <c r="IJ81" s="73"/>
      <c r="IK81" s="72">
        <f t="shared" ref="IK81" ca="1" si="654">($M81=IJ81)*$D$12</f>
        <v>0</v>
      </c>
      <c r="IL81" s="63"/>
      <c r="IM81" s="73"/>
      <c r="IN81" s="72">
        <f t="shared" ref="IN81" ca="1" si="655">($M81=IM81)*$D$12</f>
        <v>0</v>
      </c>
      <c r="IO81" s="63"/>
      <c r="IP81" s="73"/>
      <c r="IQ81" s="72">
        <f t="shared" ref="IQ81" ca="1" si="656">($M81=IP81)*$D$12</f>
        <v>0</v>
      </c>
      <c r="IR81" s="63"/>
      <c r="IS81" s="73"/>
      <c r="IT81" s="72">
        <f t="shared" ref="IT81" ca="1" si="657">($M81=IS81)*$D$12</f>
        <v>0</v>
      </c>
      <c r="IU81" s="63"/>
      <c r="IV81" s="73"/>
      <c r="IW81" s="72">
        <f t="shared" ref="IW81" ca="1" si="658">($M81=IV81)*$D$12</f>
        <v>0</v>
      </c>
      <c r="IX81" s="63"/>
      <c r="IY81" s="73"/>
      <c r="IZ81" s="72">
        <f t="shared" ref="IZ81" ca="1" si="659">($M81=IY81)*$D$12</f>
        <v>0</v>
      </c>
      <c r="JA81" s="63"/>
      <c r="JB81" s="73"/>
      <c r="JC81" s="72">
        <f t="shared" ref="JC81" ca="1" si="660">($M81=JB81)*$D$12</f>
        <v>0</v>
      </c>
      <c r="JD81" s="63"/>
      <c r="JE81" s="73"/>
      <c r="JF81" s="72">
        <f t="shared" ref="JF81" ca="1" si="661">($M81=JE81)*$D$12</f>
        <v>0</v>
      </c>
      <c r="JG81" s="63"/>
      <c r="JH81" s="73"/>
      <c r="JI81" s="72">
        <f t="shared" ref="JI81" ca="1" si="662">($M81=JH81)*$D$12</f>
        <v>0</v>
      </c>
      <c r="JJ81" s="63"/>
      <c r="JK81" s="73"/>
      <c r="JL81" s="72">
        <f t="shared" ref="JL81" ca="1" si="663">($M81=JK81)*$D$12</f>
        <v>0</v>
      </c>
      <c r="JM81" s="63"/>
      <c r="JN81" s="73"/>
      <c r="JO81" s="72">
        <f t="shared" ref="JO81" ca="1" si="664">($M81=JN81)*$D$12</f>
        <v>0</v>
      </c>
      <c r="JP81" s="63"/>
      <c r="JQ81" s="73"/>
      <c r="JR81" s="72">
        <f t="shared" ref="JR81" ca="1" si="665">($M81=JQ81)*$D$12</f>
        <v>0</v>
      </c>
      <c r="JS81" s="63"/>
      <c r="JT81" s="73"/>
      <c r="JU81" s="72">
        <f t="shared" ref="JU81" ca="1" si="666">($M81=JT81)*$D$12</f>
        <v>0</v>
      </c>
      <c r="JV81" s="63"/>
      <c r="JW81" s="73"/>
      <c r="JX81" s="72">
        <f t="shared" ref="JX81" ca="1" si="667">($M81=JW81)*$D$12</f>
        <v>0</v>
      </c>
      <c r="JY81" s="63"/>
      <c r="JZ81" s="73"/>
      <c r="KA81" s="72">
        <f t="shared" ref="KA81" ca="1" si="668">($M81=JZ81)*$D$12</f>
        <v>0</v>
      </c>
      <c r="KB81" s="63"/>
      <c r="KC81" s="73"/>
      <c r="KD81" s="72">
        <f t="shared" ref="KD81" ca="1" si="669">($M81=KC81)*$D$12</f>
        <v>0</v>
      </c>
      <c r="KE81" s="63"/>
      <c r="KF81" s="73"/>
      <c r="KG81" s="72">
        <f t="shared" ref="KG81" ca="1" si="670">($M81=KF81)*$D$12</f>
        <v>0</v>
      </c>
      <c r="KH81" s="63"/>
      <c r="KI81" s="73"/>
      <c r="KJ81" s="72">
        <f t="shared" ref="KJ81" ca="1" si="671">($M81=KI81)*$D$12</f>
        <v>0</v>
      </c>
      <c r="KK81" s="63"/>
      <c r="KL81" s="73"/>
      <c r="KM81" s="72">
        <f t="shared" ref="KM81" ca="1" si="672">($M81=KL81)*$D$12</f>
        <v>0</v>
      </c>
      <c r="KN81" s="63"/>
      <c r="KO81" s="73"/>
      <c r="KP81" s="72">
        <f t="shared" ref="KP81" ca="1" si="673">($M81=KO81)*$D$12</f>
        <v>0</v>
      </c>
      <c r="KQ81" s="63"/>
      <c r="KR81" s="73"/>
      <c r="KS81" s="72">
        <f t="shared" ref="KS81" ca="1" si="674">($M81=KR81)*$D$12</f>
        <v>0</v>
      </c>
      <c r="KT81" s="63"/>
      <c r="KU81" s="73"/>
      <c r="KV81" s="72">
        <f t="shared" ref="KV81" ca="1" si="675">($M81=KU81)*$D$12</f>
        <v>0</v>
      </c>
      <c r="KW81" s="63"/>
      <c r="KX81" s="73"/>
      <c r="KY81" s="72">
        <f t="shared" ref="KY81" ca="1" si="676">($M81=KX81)*$D$12</f>
        <v>0</v>
      </c>
      <c r="KZ81" s="63"/>
      <c r="LA81" s="73"/>
      <c r="LB81" s="72">
        <f t="shared" ref="LB81" ca="1" si="677">($M81=LA81)*$D$12</f>
        <v>0</v>
      </c>
      <c r="LC81" s="63"/>
      <c r="LD81" s="73"/>
      <c r="LE81" s="72">
        <f t="shared" ref="LE81" ca="1" si="678">($M81=LD81)*$D$12</f>
        <v>0</v>
      </c>
      <c r="LF81" s="63"/>
    </row>
    <row r="82" spans="1:318" s="784" customFormat="1">
      <c r="A82" s="49"/>
      <c r="B82" s="49"/>
      <c r="C82" s="49"/>
      <c r="D82" s="49"/>
      <c r="E82" s="109"/>
      <c r="F82" s="125">
        <f>$D$13</f>
        <v>20</v>
      </c>
      <c r="G82" s="443">
        <f ca="1">VLOOKUP(H82,Equipos!$Q$1:$R$25,2,0)</f>
        <v>14</v>
      </c>
      <c r="H82" s="444">
        <f ca="1">$H$54</f>
        <v>46197</v>
      </c>
      <c r="I82" s="50"/>
      <c r="J82" s="846"/>
      <c r="K82" s="56" t="str">
        <f>Idiomas!D152</f>
        <v>3º GRUPO A</v>
      </c>
      <c r="L82" s="53"/>
      <c r="M82" s="55" t="str">
        <f ca="1">IF(OR(SUM(WORLDCUP!$AN$6:$AN$9)=12,WORLDCUP!$AJ$99=144),WORLDCUP!AL8,LEFT(K82,1)&amp;RIGHT(K82,1))</f>
        <v>3A</v>
      </c>
      <c r="N82" s="25"/>
      <c r="O82" s="25"/>
      <c r="P82" s="25"/>
      <c r="Q82" s="25"/>
      <c r="R82" s="108"/>
      <c r="S82" s="796" t="s">
        <v>1630</v>
      </c>
      <c r="T82" s="72">
        <f t="shared" ref="T82" ca="1" si="679">($M82=S82)*$D$13</f>
        <v>0</v>
      </c>
      <c r="U82" s="63"/>
      <c r="V82" s="73" t="s">
        <v>1843</v>
      </c>
      <c r="W82" s="72">
        <f t="shared" ref="W82" ca="1" si="680">($M82=V82)*$D$13</f>
        <v>0</v>
      </c>
      <c r="X82" s="63"/>
      <c r="Y82" s="796" t="s">
        <v>1630</v>
      </c>
      <c r="Z82" s="72">
        <f t="shared" ref="Z82" ca="1" si="681">($M82=Y82)*$D$13</f>
        <v>0</v>
      </c>
      <c r="AA82" s="63"/>
      <c r="AB82" s="796" t="s">
        <v>1260</v>
      </c>
      <c r="AC82" s="72">
        <f t="shared" ref="AC82" ca="1" si="682">($M82=AB82)*$D$13</f>
        <v>0</v>
      </c>
      <c r="AD82" s="63"/>
      <c r="AE82" s="796" t="s">
        <v>1843</v>
      </c>
      <c r="AF82" s="72">
        <f t="shared" ref="AF82" ca="1" si="683">($M82=AE82)*$D$13</f>
        <v>0</v>
      </c>
      <c r="AG82" s="63"/>
      <c r="AH82" s="796" t="s">
        <v>1265</v>
      </c>
      <c r="AI82" s="72">
        <f t="shared" ref="AI82" ca="1" si="684">($M82=AH82)*$D$13</f>
        <v>0</v>
      </c>
      <c r="AJ82" s="63"/>
      <c r="AK82" s="806" t="s">
        <v>1843</v>
      </c>
      <c r="AL82" s="72">
        <f t="shared" ref="AL82" ca="1" si="685">($M82=AK82)*$D$13</f>
        <v>0</v>
      </c>
      <c r="AM82" s="63"/>
      <c r="AN82" s="796" t="s">
        <v>1630</v>
      </c>
      <c r="AO82" s="72">
        <f t="shared" ref="AO82" ca="1" si="686">($M82=AN82)*$D$13</f>
        <v>0</v>
      </c>
      <c r="AP82" s="63"/>
      <c r="AQ82" s="806" t="s">
        <v>1260</v>
      </c>
      <c r="AR82" s="72">
        <f t="shared" ref="AR82" ca="1" si="687">($M82=AQ82)*$D$13</f>
        <v>0</v>
      </c>
      <c r="AS82" s="63"/>
      <c r="AT82" s="796" t="s">
        <v>1843</v>
      </c>
      <c r="AU82" s="72">
        <f t="shared" ref="AU82" ca="1" si="688">($M82=AT82)*$D$13</f>
        <v>0</v>
      </c>
      <c r="AV82" s="63"/>
      <c r="AW82" s="796" t="s">
        <v>1260</v>
      </c>
      <c r="AX82" s="72">
        <f t="shared" ref="AX82" ca="1" si="689">($M82=AW82)*$D$13</f>
        <v>0</v>
      </c>
      <c r="AY82" s="63"/>
      <c r="AZ82" s="796" t="s">
        <v>1843</v>
      </c>
      <c r="BA82" s="72">
        <f t="shared" ref="BA82" ca="1" si="690">($M82=AZ82)*$D$13</f>
        <v>0</v>
      </c>
      <c r="BB82" s="63"/>
      <c r="BC82" s="796" t="s">
        <v>1843</v>
      </c>
      <c r="BD82" s="72">
        <f t="shared" ref="BD82" ca="1" si="691">($M82=BC82)*$D$13</f>
        <v>0</v>
      </c>
      <c r="BE82" s="63"/>
      <c r="BF82" s="796" t="s">
        <v>1630</v>
      </c>
      <c r="BG82" s="72">
        <f t="shared" ref="BG82" ca="1" si="692">($M82=BF82)*$D$13</f>
        <v>0</v>
      </c>
      <c r="BH82" s="63"/>
      <c r="BI82" s="796" t="s">
        <v>1260</v>
      </c>
      <c r="BJ82" s="72">
        <f t="shared" ref="BJ82" ca="1" si="693">($M82=BI82)*$D$13</f>
        <v>0</v>
      </c>
      <c r="BK82" s="63"/>
      <c r="BL82" s="796" t="s">
        <v>1260</v>
      </c>
      <c r="BM82" s="72">
        <f t="shared" ref="BM82" ca="1" si="694">($M82=BL82)*$D$13</f>
        <v>0</v>
      </c>
      <c r="BN82" s="63"/>
      <c r="BO82" s="816" t="s">
        <v>1260</v>
      </c>
      <c r="BP82" s="72">
        <f t="shared" ref="BP82" ca="1" si="695">($M82=BO82)*$D$13</f>
        <v>0</v>
      </c>
      <c r="BQ82" s="63"/>
      <c r="BR82" s="796" t="s">
        <v>1843</v>
      </c>
      <c r="BS82" s="72">
        <f t="shared" ref="BS82" ca="1" si="696">($M82=BR82)*$D$13</f>
        <v>0</v>
      </c>
      <c r="BT82" s="63"/>
      <c r="BU82" s="796" t="s">
        <v>1630</v>
      </c>
      <c r="BV82" s="72">
        <f t="shared" ref="BV82" ca="1" si="697">($M82=BU82)*$D$13</f>
        <v>0</v>
      </c>
      <c r="BW82" s="63"/>
      <c r="BX82" s="73" t="s">
        <v>1630</v>
      </c>
      <c r="BY82" s="72">
        <f t="shared" ref="BY82" ca="1" si="698">($M82=BX82)*$D$13</f>
        <v>0</v>
      </c>
      <c r="BZ82" s="63"/>
      <c r="CA82" s="816" t="s">
        <v>1630</v>
      </c>
      <c r="CB82" s="72">
        <f t="shared" ref="CB82" ca="1" si="699">($M82=CA82)*$D$13</f>
        <v>0</v>
      </c>
      <c r="CC82" s="63"/>
      <c r="CD82" s="825" t="s">
        <v>1265</v>
      </c>
      <c r="CE82" s="72">
        <f t="shared" ref="CE82" ca="1" si="700">($M82=CD82)*$D$13</f>
        <v>0</v>
      </c>
      <c r="CF82" s="63"/>
      <c r="CG82" s="796" t="s">
        <v>1843</v>
      </c>
      <c r="CH82" s="72">
        <f t="shared" ref="CH82" ca="1" si="701">($M82=CG82)*$D$13</f>
        <v>0</v>
      </c>
      <c r="CI82" s="63"/>
      <c r="CJ82" s="796" t="s">
        <v>1260</v>
      </c>
      <c r="CK82" s="72">
        <f t="shared" ref="CK82" ca="1" si="702">($M82=CJ82)*$D$13</f>
        <v>0</v>
      </c>
      <c r="CL82" s="63"/>
      <c r="CM82" s="796" t="s">
        <v>1260</v>
      </c>
      <c r="CN82" s="72">
        <f t="shared" ref="CN82" ca="1" si="703">($M82=CM82)*$D$13</f>
        <v>0</v>
      </c>
      <c r="CO82" s="63"/>
      <c r="CP82" s="796" t="s">
        <v>1630</v>
      </c>
      <c r="CQ82" s="72">
        <f t="shared" ref="CQ82" ca="1" si="704">($M82=CP82)*$D$13</f>
        <v>0</v>
      </c>
      <c r="CR82" s="63"/>
      <c r="CS82" s="796" t="s">
        <v>1843</v>
      </c>
      <c r="CT82" s="72">
        <f t="shared" ref="CT82" ca="1" si="705">($M82=CS82)*$D$13</f>
        <v>0</v>
      </c>
      <c r="CU82" s="63"/>
      <c r="CV82" s="796" t="s">
        <v>1843</v>
      </c>
      <c r="CW82" s="72">
        <f t="shared" ref="CW82" ca="1" si="706">($M82=CV82)*$D$13</f>
        <v>0</v>
      </c>
      <c r="CX82" s="63"/>
      <c r="CY82" s="796" t="s">
        <v>1843</v>
      </c>
      <c r="CZ82" s="72">
        <f t="shared" ref="CZ82" ca="1" si="707">($M82=CY82)*$D$13</f>
        <v>0</v>
      </c>
      <c r="DA82" s="63"/>
      <c r="DB82" s="796" t="s">
        <v>1843</v>
      </c>
      <c r="DC82" s="72">
        <f t="shared" ref="DC82" ca="1" si="708">($M82=DB82)*$D$13</f>
        <v>0</v>
      </c>
      <c r="DD82" s="63"/>
      <c r="DE82" s="796" t="s">
        <v>1843</v>
      </c>
      <c r="DF82" s="72">
        <f ca="1">($M82=DE82)*$D$13</f>
        <v>0</v>
      </c>
      <c r="DG82" s="63"/>
      <c r="DH82" s="796" t="s">
        <v>1260</v>
      </c>
      <c r="DI82" s="72">
        <f ca="1">($M82=DH82)*$D$13</f>
        <v>0</v>
      </c>
      <c r="DJ82" s="63"/>
      <c r="DK82" s="796" t="s">
        <v>1843</v>
      </c>
      <c r="DL82" s="72">
        <f ca="1">($M82=DK82)*$D$13</f>
        <v>0</v>
      </c>
      <c r="DM82" s="63"/>
      <c r="DN82" s="73"/>
      <c r="DO82" s="72">
        <f t="shared" ref="DO82" ca="1" si="709">($M82=DN82)*$D$13</f>
        <v>0</v>
      </c>
      <c r="DP82" s="63"/>
      <c r="DQ82" s="796" t="s">
        <v>1265</v>
      </c>
      <c r="DR82" s="72">
        <f t="shared" ref="DR82" ca="1" si="710">($M82=DQ82)*$D$13</f>
        <v>0</v>
      </c>
      <c r="DS82" s="63"/>
      <c r="DT82" s="73" t="s">
        <v>1843</v>
      </c>
      <c r="DU82" s="72">
        <f t="shared" ref="DU82" ca="1" si="711">($M82=DT82)*$D$13</f>
        <v>0</v>
      </c>
      <c r="DV82" s="63"/>
      <c r="DW82" s="73"/>
      <c r="DX82" s="72">
        <f t="shared" ref="DX82" ca="1" si="712">($M82=DW82)*$D$13</f>
        <v>0</v>
      </c>
      <c r="DY82" s="63"/>
      <c r="DZ82" s="73"/>
      <c r="EA82" s="72">
        <f ca="1">($M82=DZ82)*$D$13</f>
        <v>0</v>
      </c>
      <c r="EB82" s="63"/>
      <c r="EC82" s="73"/>
      <c r="ED82" s="72">
        <f t="shared" ref="ED82" ca="1" si="713">($M82=EC82)*$D$13</f>
        <v>0</v>
      </c>
      <c r="EE82" s="63"/>
      <c r="EF82" s="73"/>
      <c r="EG82" s="72">
        <f t="shared" ref="EG82" ca="1" si="714">($M82=EF82)*$D$13</f>
        <v>0</v>
      </c>
      <c r="EH82" s="63"/>
      <c r="EI82" s="73"/>
      <c r="EJ82" s="72">
        <f t="shared" ref="EJ82" ca="1" si="715">($M82=EI82)*$D$13</f>
        <v>0</v>
      </c>
      <c r="EK82" s="63"/>
      <c r="EL82" s="73"/>
      <c r="EM82" s="72">
        <f t="shared" ref="EM82" ca="1" si="716">($M82=EL82)*$D$13</f>
        <v>0</v>
      </c>
      <c r="EN82" s="63"/>
      <c r="EO82" s="73"/>
      <c r="EP82" s="72">
        <f t="shared" ref="EP82" ca="1" si="717">($M82=EO82)*$D$13</f>
        <v>0</v>
      </c>
      <c r="EQ82" s="63"/>
      <c r="ER82" s="73"/>
      <c r="ES82" s="72">
        <f t="shared" ref="ES82" ca="1" si="718">($M82=ER82)*$D$13</f>
        <v>0</v>
      </c>
      <c r="ET82" s="63"/>
      <c r="EU82" s="73"/>
      <c r="EV82" s="72">
        <f t="shared" ref="EV82" ca="1" si="719">($M82=EU82)*$D$13</f>
        <v>0</v>
      </c>
      <c r="EW82" s="63"/>
      <c r="EX82" s="73"/>
      <c r="EY82" s="72">
        <f t="shared" ref="EY82" ca="1" si="720">($M82=EX82)*$D$13</f>
        <v>0</v>
      </c>
      <c r="EZ82" s="63"/>
      <c r="FA82" s="73"/>
      <c r="FB82" s="72">
        <f t="shared" ref="FB82" ca="1" si="721">($M82=FA82)*$D$13</f>
        <v>0</v>
      </c>
      <c r="FC82" s="63"/>
      <c r="FD82" s="73"/>
      <c r="FE82" s="72">
        <f t="shared" ref="FE82" ca="1" si="722">($M82=FD82)*$D$13</f>
        <v>0</v>
      </c>
      <c r="FF82" s="63"/>
      <c r="FG82" s="73"/>
      <c r="FH82" s="72">
        <f t="shared" ref="FH82" ca="1" si="723">($M82=FG82)*$D$13</f>
        <v>0</v>
      </c>
      <c r="FI82" s="63"/>
      <c r="FJ82" s="73"/>
      <c r="FK82" s="72">
        <f t="shared" ref="FK82" ca="1" si="724">($M82=FJ82)*$D$13</f>
        <v>0</v>
      </c>
      <c r="FL82" s="63"/>
      <c r="FM82" s="73"/>
      <c r="FN82" s="72">
        <f t="shared" ref="FN82" ca="1" si="725">($M82=FM82)*$D$13</f>
        <v>0</v>
      </c>
      <c r="FO82" s="63"/>
      <c r="FP82" s="73"/>
      <c r="FQ82" s="72">
        <f t="shared" ref="FQ82" ca="1" si="726">($M82=FP82)*$D$13</f>
        <v>0</v>
      </c>
      <c r="FR82" s="63"/>
      <c r="FS82" s="73"/>
      <c r="FT82" s="72">
        <f t="shared" ref="FT82" ca="1" si="727">($M82=FS82)*$D$13</f>
        <v>0</v>
      </c>
      <c r="FU82" s="63"/>
      <c r="FV82" s="73"/>
      <c r="FW82" s="72">
        <f t="shared" ref="FW82" ca="1" si="728">($M82=FV82)*$D$13</f>
        <v>0</v>
      </c>
      <c r="FX82" s="63"/>
      <c r="FY82" s="73"/>
      <c r="FZ82" s="72">
        <f t="shared" ref="FZ82" ca="1" si="729">($M82=FY82)*$D$13</f>
        <v>0</v>
      </c>
      <c r="GA82" s="63"/>
      <c r="GB82" s="73"/>
      <c r="GC82" s="72">
        <f t="shared" ref="GC82" ca="1" si="730">($M82=GB82)*$D$13</f>
        <v>0</v>
      </c>
      <c r="GD82" s="63"/>
      <c r="GE82" s="73"/>
      <c r="GF82" s="72">
        <f t="shared" ref="GF82" ca="1" si="731">($M82=GE82)*$D$13</f>
        <v>0</v>
      </c>
      <c r="GG82" s="63"/>
      <c r="GH82" s="73"/>
      <c r="GI82" s="72">
        <f t="shared" ref="GI82" ca="1" si="732">($M82=GH82)*$D$13</f>
        <v>0</v>
      </c>
      <c r="GJ82" s="63"/>
      <c r="GK82" s="73"/>
      <c r="GL82" s="72">
        <f t="shared" ref="GL82" ca="1" si="733">($M82=GK82)*$D$13</f>
        <v>0</v>
      </c>
      <c r="GM82" s="63"/>
      <c r="GN82" s="73"/>
      <c r="GO82" s="72">
        <f t="shared" ref="GO82" ca="1" si="734">($M82=GN82)*$D$13</f>
        <v>0</v>
      </c>
      <c r="GP82" s="63"/>
      <c r="GQ82" s="73"/>
      <c r="GR82" s="72">
        <f t="shared" ref="GR82" ca="1" si="735">($M82=GQ82)*$D$13</f>
        <v>0</v>
      </c>
      <c r="GS82" s="63"/>
      <c r="GT82" s="73"/>
      <c r="GU82" s="72">
        <f t="shared" ref="GU82" ca="1" si="736">($M82=GT82)*$D$13</f>
        <v>0</v>
      </c>
      <c r="GV82" s="63"/>
      <c r="GW82" s="73"/>
      <c r="GX82" s="72">
        <f t="shared" ref="GX82" ca="1" si="737">($M82=GW82)*$D$13</f>
        <v>0</v>
      </c>
      <c r="GY82" s="63"/>
      <c r="GZ82" s="73"/>
      <c r="HA82" s="72">
        <f t="shared" ref="HA82" ca="1" si="738">($M82=GZ82)*$D$13</f>
        <v>0</v>
      </c>
      <c r="HB82" s="63"/>
      <c r="HC82" s="73"/>
      <c r="HD82" s="72">
        <f t="shared" ref="HD82" ca="1" si="739">($M82=HC82)*$D$13</f>
        <v>0</v>
      </c>
      <c r="HE82" s="63"/>
      <c r="HF82" s="73"/>
      <c r="HG82" s="72">
        <f t="shared" ref="HG82" ca="1" si="740">($M82=HF82)*$D$13</f>
        <v>0</v>
      </c>
      <c r="HH82" s="63"/>
      <c r="HI82" s="73"/>
      <c r="HJ82" s="72">
        <f t="shared" ref="HJ82" ca="1" si="741">($M82=HI82)*$D$13</f>
        <v>0</v>
      </c>
      <c r="HK82" s="63"/>
      <c r="HL82" s="73"/>
      <c r="HM82" s="72">
        <f t="shared" ref="HM82" ca="1" si="742">($M82=HL82)*$D$13</f>
        <v>0</v>
      </c>
      <c r="HN82" s="63"/>
      <c r="HO82" s="73"/>
      <c r="HP82" s="72">
        <f t="shared" ref="HP82" ca="1" si="743">($M82=HO82)*$D$13</f>
        <v>0</v>
      </c>
      <c r="HQ82" s="63"/>
      <c r="HR82" s="73"/>
      <c r="HS82" s="72">
        <f t="shared" ref="HS82" ca="1" si="744">($M82=HR82)*$D$13</f>
        <v>0</v>
      </c>
      <c r="HT82" s="63"/>
      <c r="HU82" s="73"/>
      <c r="HV82" s="72">
        <f t="shared" ref="HV82" ca="1" si="745">($M82=HU82)*$D$13</f>
        <v>0</v>
      </c>
      <c r="HW82" s="63"/>
      <c r="HX82" s="73"/>
      <c r="HY82" s="72">
        <f t="shared" ref="HY82" ca="1" si="746">($M82=HX82)*$D$13</f>
        <v>0</v>
      </c>
      <c r="HZ82" s="63"/>
      <c r="IA82" s="73"/>
      <c r="IB82" s="72">
        <f t="shared" ref="IB82" ca="1" si="747">($M82=IA82)*$D$13</f>
        <v>0</v>
      </c>
      <c r="IC82" s="63"/>
      <c r="ID82" s="73"/>
      <c r="IE82" s="72">
        <f t="shared" ref="IE82" ca="1" si="748">($M82=ID82)*$D$13</f>
        <v>0</v>
      </c>
      <c r="IF82" s="63"/>
      <c r="IG82" s="73"/>
      <c r="IH82" s="72">
        <f t="shared" ref="IH82" ca="1" si="749">($M82=IG82)*$D$13</f>
        <v>0</v>
      </c>
      <c r="II82" s="63"/>
      <c r="IJ82" s="73"/>
      <c r="IK82" s="72">
        <f t="shared" ref="IK82" ca="1" si="750">($M82=IJ82)*$D$13</f>
        <v>0</v>
      </c>
      <c r="IL82" s="63"/>
      <c r="IM82" s="73"/>
      <c r="IN82" s="72">
        <f t="shared" ref="IN82" ca="1" si="751">($M82=IM82)*$D$13</f>
        <v>0</v>
      </c>
      <c r="IO82" s="63"/>
      <c r="IP82" s="73"/>
      <c r="IQ82" s="72">
        <f t="shared" ref="IQ82" ca="1" si="752">($M82=IP82)*$D$13</f>
        <v>0</v>
      </c>
      <c r="IR82" s="63"/>
      <c r="IS82" s="73"/>
      <c r="IT82" s="72">
        <f t="shared" ref="IT82" ca="1" si="753">($M82=IS82)*$D$13</f>
        <v>0</v>
      </c>
      <c r="IU82" s="63"/>
      <c r="IV82" s="73"/>
      <c r="IW82" s="72">
        <f t="shared" ref="IW82" ca="1" si="754">($M82=IV82)*$D$13</f>
        <v>0</v>
      </c>
      <c r="IX82" s="63"/>
      <c r="IY82" s="73"/>
      <c r="IZ82" s="72">
        <f t="shared" ref="IZ82" ca="1" si="755">($M82=IY82)*$D$13</f>
        <v>0</v>
      </c>
      <c r="JA82" s="63"/>
      <c r="JB82" s="73"/>
      <c r="JC82" s="72">
        <f t="shared" ref="JC82" ca="1" si="756">($M82=JB82)*$D$13</f>
        <v>0</v>
      </c>
      <c r="JD82" s="63"/>
      <c r="JE82" s="73"/>
      <c r="JF82" s="72">
        <f t="shared" ref="JF82" ca="1" si="757">($M82=JE82)*$D$13</f>
        <v>0</v>
      </c>
      <c r="JG82" s="63"/>
      <c r="JH82" s="73"/>
      <c r="JI82" s="72">
        <f t="shared" ref="JI82" ca="1" si="758">($M82=JH82)*$D$13</f>
        <v>0</v>
      </c>
      <c r="JJ82" s="63"/>
      <c r="JK82" s="73"/>
      <c r="JL82" s="72">
        <f t="shared" ref="JL82" ca="1" si="759">($M82=JK82)*$D$13</f>
        <v>0</v>
      </c>
      <c r="JM82" s="63"/>
      <c r="JN82" s="73"/>
      <c r="JO82" s="72">
        <f t="shared" ref="JO82" ca="1" si="760">($M82=JN82)*$D$13</f>
        <v>0</v>
      </c>
      <c r="JP82" s="63"/>
      <c r="JQ82" s="73"/>
      <c r="JR82" s="72">
        <f t="shared" ref="JR82" ca="1" si="761">($M82=JQ82)*$D$13</f>
        <v>0</v>
      </c>
      <c r="JS82" s="63"/>
      <c r="JT82" s="73"/>
      <c r="JU82" s="72">
        <f t="shared" ref="JU82" ca="1" si="762">($M82=JT82)*$D$13</f>
        <v>0</v>
      </c>
      <c r="JV82" s="63"/>
      <c r="JW82" s="73"/>
      <c r="JX82" s="72">
        <f t="shared" ref="JX82" ca="1" si="763">($M82=JW82)*$D$13</f>
        <v>0</v>
      </c>
      <c r="JY82" s="63"/>
      <c r="JZ82" s="73"/>
      <c r="KA82" s="72">
        <f t="shared" ref="KA82" ca="1" si="764">($M82=JZ82)*$D$13</f>
        <v>0</v>
      </c>
      <c r="KB82" s="63"/>
      <c r="KC82" s="73"/>
      <c r="KD82" s="72">
        <f t="shared" ref="KD82" ca="1" si="765">($M82=KC82)*$D$13</f>
        <v>0</v>
      </c>
      <c r="KE82" s="63"/>
      <c r="KF82" s="73"/>
      <c r="KG82" s="72">
        <f t="shared" ref="KG82" ca="1" si="766">($M82=KF82)*$D$13</f>
        <v>0</v>
      </c>
      <c r="KH82" s="63"/>
      <c r="KI82" s="73"/>
      <c r="KJ82" s="72">
        <f t="shared" ref="KJ82" ca="1" si="767">($M82=KI82)*$D$13</f>
        <v>0</v>
      </c>
      <c r="KK82" s="63"/>
      <c r="KL82" s="73"/>
      <c r="KM82" s="72">
        <f t="shared" ref="KM82" ca="1" si="768">($M82=KL82)*$D$13</f>
        <v>0</v>
      </c>
      <c r="KN82" s="63"/>
      <c r="KO82" s="73"/>
      <c r="KP82" s="72">
        <f t="shared" ref="KP82" ca="1" si="769">($M82=KO82)*$D$13</f>
        <v>0</v>
      </c>
      <c r="KQ82" s="63"/>
      <c r="KR82" s="73"/>
      <c r="KS82" s="72">
        <f t="shared" ref="KS82" ca="1" si="770">($M82=KR82)*$D$13</f>
        <v>0</v>
      </c>
      <c r="KT82" s="63"/>
      <c r="KU82" s="73"/>
      <c r="KV82" s="72">
        <f t="shared" ref="KV82" ca="1" si="771">($M82=KU82)*$D$13</f>
        <v>0</v>
      </c>
      <c r="KW82" s="63"/>
      <c r="KX82" s="73"/>
      <c r="KY82" s="72">
        <f t="shared" ref="KY82" ca="1" si="772">($M82=KX82)*$D$13</f>
        <v>0</v>
      </c>
      <c r="KZ82" s="63"/>
      <c r="LA82" s="73"/>
      <c r="LB82" s="72">
        <f t="shared" ref="LB82" ca="1" si="773">($M82=LA82)*$D$13</f>
        <v>0</v>
      </c>
      <c r="LC82" s="63"/>
      <c r="LD82" s="73"/>
      <c r="LE82" s="72">
        <f t="shared" ref="LE82" ca="1" si="774">($M82=LD82)*$D$13</f>
        <v>0</v>
      </c>
      <c r="LF82" s="63"/>
    </row>
    <row r="83" spans="1:318" s="784" customFormat="1">
      <c r="A83" s="49"/>
      <c r="B83" s="49"/>
      <c r="C83" s="49"/>
      <c r="D83" s="49"/>
      <c r="E83" s="109"/>
      <c r="F83" s="125">
        <f>$D$14</f>
        <v>20</v>
      </c>
      <c r="G83" s="443">
        <f ca="1">VLOOKUP(H83,Equipos!$Q$1:$R$25,2,0)</f>
        <v>14</v>
      </c>
      <c r="H83" s="444">
        <f ca="1">$H$54</f>
        <v>46197</v>
      </c>
      <c r="I83" s="50"/>
      <c r="J83" s="846"/>
      <c r="K83" s="56" t="str">
        <f>Idiomas!D153</f>
        <v>4º GRUPO A</v>
      </c>
      <c r="L83" s="53"/>
      <c r="M83" s="55" t="str">
        <f ca="1">IF(OR(SUM(WORLDCUP!$AN$6:$AN$9)=12,WORLDCUP!$AJ$99=144),WORLDCUP!AL9,LEFT(K83,1)&amp;RIGHT(K83,1))</f>
        <v>4A</v>
      </c>
      <c r="N83" s="25"/>
      <c r="O83" s="25"/>
      <c r="P83" s="25"/>
      <c r="Q83" s="25"/>
      <c r="R83" s="108"/>
      <c r="S83" s="796" t="s">
        <v>1843</v>
      </c>
      <c r="T83" s="72">
        <f t="shared" ref="T83" ca="1" si="775">($M83=S83)*$D$14</f>
        <v>0</v>
      </c>
      <c r="U83" s="63"/>
      <c r="V83" s="73" t="s">
        <v>1630</v>
      </c>
      <c r="W83" s="72">
        <f t="shared" ref="W83" ca="1" si="776">($M83=V83)*$D$14</f>
        <v>0</v>
      </c>
      <c r="X83" s="63"/>
      <c r="Y83" s="796" t="s">
        <v>1843</v>
      </c>
      <c r="Z83" s="72">
        <f t="shared" ref="Z83" ca="1" si="777">($M83=Y83)*$D$14</f>
        <v>0</v>
      </c>
      <c r="AA83" s="63"/>
      <c r="AB83" s="796" t="s">
        <v>1630</v>
      </c>
      <c r="AC83" s="72">
        <f t="shared" ref="AC83" ca="1" si="778">($M83=AB83)*$D$14</f>
        <v>0</v>
      </c>
      <c r="AD83" s="63"/>
      <c r="AE83" s="796" t="s">
        <v>1630</v>
      </c>
      <c r="AF83" s="72">
        <f t="shared" ref="AF83" ca="1" si="779">($M83=AE83)*$D$14</f>
        <v>0</v>
      </c>
      <c r="AG83" s="63"/>
      <c r="AH83" s="796" t="s">
        <v>1630</v>
      </c>
      <c r="AI83" s="72">
        <f t="shared" ref="AI83" ca="1" si="780">($M83=AH83)*$D$14</f>
        <v>0</v>
      </c>
      <c r="AJ83" s="63"/>
      <c r="AK83" s="806" t="s">
        <v>1630</v>
      </c>
      <c r="AL83" s="72">
        <f t="shared" ref="AL83" ca="1" si="781">($M83=AK83)*$D$14</f>
        <v>0</v>
      </c>
      <c r="AM83" s="63"/>
      <c r="AN83" s="796" t="s">
        <v>1843</v>
      </c>
      <c r="AO83" s="72">
        <f t="shared" ref="AO83" ca="1" si="782">($M83=AN83)*$D$14</f>
        <v>0</v>
      </c>
      <c r="AP83" s="63"/>
      <c r="AQ83" s="806" t="s">
        <v>1630</v>
      </c>
      <c r="AR83" s="72">
        <f t="shared" ref="AR83" ca="1" si="783">($M83=AQ83)*$D$14</f>
        <v>0</v>
      </c>
      <c r="AS83" s="63"/>
      <c r="AT83" s="796" t="s">
        <v>1630</v>
      </c>
      <c r="AU83" s="72">
        <f t="shared" ref="AU83" ca="1" si="784">($M83=AT83)*$D$14</f>
        <v>0</v>
      </c>
      <c r="AV83" s="63"/>
      <c r="AW83" s="796" t="s">
        <v>1630</v>
      </c>
      <c r="AX83" s="72">
        <f t="shared" ref="AX83" ca="1" si="785">($M83=AW83)*$D$14</f>
        <v>0</v>
      </c>
      <c r="AY83" s="63"/>
      <c r="AZ83" s="796" t="s">
        <v>1265</v>
      </c>
      <c r="BA83" s="72">
        <f t="shared" ref="BA83" ca="1" si="786">($M83=AZ83)*$D$14</f>
        <v>0</v>
      </c>
      <c r="BB83" s="63"/>
      <c r="BC83" s="796" t="s">
        <v>1260</v>
      </c>
      <c r="BD83" s="72">
        <f t="shared" ref="BD83" ca="1" si="787">($M83=BC83)*$D$14</f>
        <v>0</v>
      </c>
      <c r="BE83" s="63"/>
      <c r="BF83" s="796" t="s">
        <v>1843</v>
      </c>
      <c r="BG83" s="72">
        <f t="shared" ref="BG83" ca="1" si="788">($M83=BF83)*$D$14</f>
        <v>0</v>
      </c>
      <c r="BH83" s="63"/>
      <c r="BI83" s="796" t="s">
        <v>1630</v>
      </c>
      <c r="BJ83" s="72">
        <f t="shared" ref="BJ83" ca="1" si="789">($M83=BI83)*$D$14</f>
        <v>0</v>
      </c>
      <c r="BK83" s="63"/>
      <c r="BL83" s="796" t="s">
        <v>1630</v>
      </c>
      <c r="BM83" s="72">
        <f t="shared" ref="BM83" ca="1" si="790">($M83=BL83)*$D$14</f>
        <v>0</v>
      </c>
      <c r="BN83" s="63"/>
      <c r="BO83" s="816" t="s">
        <v>1630</v>
      </c>
      <c r="BP83" s="72">
        <f t="shared" ref="BP83" ca="1" si="791">($M83=BO83)*$D$14</f>
        <v>0</v>
      </c>
      <c r="BQ83" s="63"/>
      <c r="BR83" s="796" t="s">
        <v>1630</v>
      </c>
      <c r="BS83" s="72">
        <f t="shared" ref="BS83" ca="1" si="792">($M83=BR83)*$D$14</f>
        <v>0</v>
      </c>
      <c r="BT83" s="63"/>
      <c r="BU83" s="796" t="s">
        <v>1843</v>
      </c>
      <c r="BV83" s="72">
        <f t="shared" ref="BV83" ca="1" si="793">($M83=BU83)*$D$14</f>
        <v>0</v>
      </c>
      <c r="BW83" s="63"/>
      <c r="BX83" s="73" t="s">
        <v>1843</v>
      </c>
      <c r="BY83" s="72">
        <f t="shared" ref="BY83" ca="1" si="794">($M83=BX83)*$D$14</f>
        <v>0</v>
      </c>
      <c r="BZ83" s="63"/>
      <c r="CA83" s="816" t="s">
        <v>1843</v>
      </c>
      <c r="CB83" s="72">
        <f t="shared" ref="CB83" ca="1" si="795">($M83=CA83)*$D$14</f>
        <v>0</v>
      </c>
      <c r="CC83" s="63"/>
      <c r="CD83" s="825" t="s">
        <v>1630</v>
      </c>
      <c r="CE83" s="72">
        <f t="shared" ref="CE83" ca="1" si="796">($M83=CD83)*$D$14</f>
        <v>0</v>
      </c>
      <c r="CF83" s="63"/>
      <c r="CG83" s="796" t="s">
        <v>1630</v>
      </c>
      <c r="CH83" s="72">
        <f t="shared" ref="CH83" ca="1" si="797">($M83=CG83)*$D$14</f>
        <v>0</v>
      </c>
      <c r="CI83" s="63"/>
      <c r="CJ83" s="796" t="s">
        <v>1630</v>
      </c>
      <c r="CK83" s="72">
        <f t="shared" ref="CK83" ca="1" si="798">($M83=CJ83)*$D$14</f>
        <v>0</v>
      </c>
      <c r="CL83" s="63"/>
      <c r="CM83" s="796" t="s">
        <v>1630</v>
      </c>
      <c r="CN83" s="72">
        <f t="shared" ref="CN83" ca="1" si="799">($M83=CM83)*$D$14</f>
        <v>0</v>
      </c>
      <c r="CO83" s="63"/>
      <c r="CP83" s="796" t="s">
        <v>1265</v>
      </c>
      <c r="CQ83" s="72">
        <f t="shared" ref="CQ83" ca="1" si="800">($M83=CP83)*$D$14</f>
        <v>0</v>
      </c>
      <c r="CR83" s="63"/>
      <c r="CS83" s="796" t="s">
        <v>1630</v>
      </c>
      <c r="CT83" s="72">
        <f t="shared" ref="CT83" ca="1" si="801">($M83=CS83)*$D$14</f>
        <v>0</v>
      </c>
      <c r="CU83" s="63"/>
      <c r="CV83" s="796" t="s">
        <v>1630</v>
      </c>
      <c r="CW83" s="72">
        <f t="shared" ref="CW83" ca="1" si="802">($M83=CV83)*$D$14</f>
        <v>0</v>
      </c>
      <c r="CX83" s="63"/>
      <c r="CY83" s="796" t="s">
        <v>1630</v>
      </c>
      <c r="CZ83" s="72">
        <f t="shared" ref="CZ83" ca="1" si="803">($M83=CY83)*$D$14</f>
        <v>0</v>
      </c>
      <c r="DA83" s="63"/>
      <c r="DB83" s="796" t="s">
        <v>1630</v>
      </c>
      <c r="DC83" s="72">
        <f t="shared" ref="DC83" ca="1" si="804">($M83=DB83)*$D$14</f>
        <v>0</v>
      </c>
      <c r="DD83" s="63"/>
      <c r="DE83" s="796" t="s">
        <v>1630</v>
      </c>
      <c r="DF83" s="72">
        <f ca="1">($M83=DE83)*$D$14</f>
        <v>0</v>
      </c>
      <c r="DG83" s="63"/>
      <c r="DH83" s="796" t="s">
        <v>1630</v>
      </c>
      <c r="DI83" s="72">
        <f ca="1">($M83=DH83)*$D$14</f>
        <v>0</v>
      </c>
      <c r="DJ83" s="63"/>
      <c r="DK83" s="796" t="s">
        <v>1630</v>
      </c>
      <c r="DL83" s="72">
        <f ca="1">($M83=DK83)*$D$14</f>
        <v>0</v>
      </c>
      <c r="DM83" s="63"/>
      <c r="DN83" s="73"/>
      <c r="DO83" s="72">
        <f t="shared" ref="DO83" ca="1" si="805">($M83=DN83)*$D$14</f>
        <v>0</v>
      </c>
      <c r="DP83" s="63"/>
      <c r="DQ83" s="796" t="s">
        <v>1630</v>
      </c>
      <c r="DR83" s="72">
        <f t="shared" ref="DR83" ca="1" si="806">($M83=DQ83)*$D$14</f>
        <v>0</v>
      </c>
      <c r="DS83" s="63"/>
      <c r="DT83" s="73" t="s">
        <v>1630</v>
      </c>
      <c r="DU83" s="72">
        <f t="shared" ref="DU83" ca="1" si="807">($M83=DT83)*$D$14</f>
        <v>0</v>
      </c>
      <c r="DV83" s="63"/>
      <c r="DW83" s="73"/>
      <c r="DX83" s="72">
        <f t="shared" ref="DX83" ca="1" si="808">($M83=DW83)*$D$14</f>
        <v>0</v>
      </c>
      <c r="DY83" s="63"/>
      <c r="DZ83" s="73"/>
      <c r="EA83" s="72">
        <f ca="1">($M83=DZ83)*$D$14</f>
        <v>0</v>
      </c>
      <c r="EB83" s="63"/>
      <c r="EC83" s="73"/>
      <c r="ED83" s="72">
        <f t="shared" ref="ED83" ca="1" si="809">($M83=EC83)*$D$14</f>
        <v>0</v>
      </c>
      <c r="EE83" s="63"/>
      <c r="EF83" s="73"/>
      <c r="EG83" s="72">
        <f t="shared" ref="EG83" ca="1" si="810">($M83=EF83)*$D$14</f>
        <v>0</v>
      </c>
      <c r="EH83" s="63"/>
      <c r="EI83" s="73"/>
      <c r="EJ83" s="72">
        <f t="shared" ref="EJ83" ca="1" si="811">($M83=EI83)*$D$14</f>
        <v>0</v>
      </c>
      <c r="EK83" s="63"/>
      <c r="EL83" s="73"/>
      <c r="EM83" s="72">
        <f t="shared" ref="EM83" ca="1" si="812">($M83=EL83)*$D$14</f>
        <v>0</v>
      </c>
      <c r="EN83" s="63"/>
      <c r="EO83" s="73"/>
      <c r="EP83" s="72">
        <f t="shared" ref="EP83" ca="1" si="813">($M83=EO83)*$D$14</f>
        <v>0</v>
      </c>
      <c r="EQ83" s="63"/>
      <c r="ER83" s="73"/>
      <c r="ES83" s="72">
        <f t="shared" ref="ES83" ca="1" si="814">($M83=ER83)*$D$14</f>
        <v>0</v>
      </c>
      <c r="ET83" s="63"/>
      <c r="EU83" s="73"/>
      <c r="EV83" s="72">
        <f t="shared" ref="EV83" ca="1" si="815">($M83=EU83)*$D$14</f>
        <v>0</v>
      </c>
      <c r="EW83" s="63"/>
      <c r="EX83" s="73"/>
      <c r="EY83" s="72">
        <f t="shared" ref="EY83" ca="1" si="816">($M83=EX83)*$D$14</f>
        <v>0</v>
      </c>
      <c r="EZ83" s="63"/>
      <c r="FA83" s="73"/>
      <c r="FB83" s="72">
        <f t="shared" ref="FB83" ca="1" si="817">($M83=FA83)*$D$14</f>
        <v>0</v>
      </c>
      <c r="FC83" s="63"/>
      <c r="FD83" s="73"/>
      <c r="FE83" s="72">
        <f t="shared" ref="FE83" ca="1" si="818">($M83=FD83)*$D$14</f>
        <v>0</v>
      </c>
      <c r="FF83" s="63"/>
      <c r="FG83" s="73"/>
      <c r="FH83" s="72">
        <f t="shared" ref="FH83" ca="1" si="819">($M83=FG83)*$D$14</f>
        <v>0</v>
      </c>
      <c r="FI83" s="63"/>
      <c r="FJ83" s="73"/>
      <c r="FK83" s="72">
        <f t="shared" ref="FK83" ca="1" si="820">($M83=FJ83)*$D$14</f>
        <v>0</v>
      </c>
      <c r="FL83" s="63"/>
      <c r="FM83" s="73"/>
      <c r="FN83" s="72">
        <f t="shared" ref="FN83" ca="1" si="821">($M83=FM83)*$D$14</f>
        <v>0</v>
      </c>
      <c r="FO83" s="63"/>
      <c r="FP83" s="73"/>
      <c r="FQ83" s="72">
        <f t="shared" ref="FQ83" ca="1" si="822">($M83=FP83)*$D$14</f>
        <v>0</v>
      </c>
      <c r="FR83" s="63"/>
      <c r="FS83" s="73"/>
      <c r="FT83" s="72">
        <f t="shared" ref="FT83" ca="1" si="823">($M83=FS83)*$D$14</f>
        <v>0</v>
      </c>
      <c r="FU83" s="63"/>
      <c r="FV83" s="73"/>
      <c r="FW83" s="72">
        <f t="shared" ref="FW83" ca="1" si="824">($M83=FV83)*$D$14</f>
        <v>0</v>
      </c>
      <c r="FX83" s="63"/>
      <c r="FY83" s="73"/>
      <c r="FZ83" s="72">
        <f t="shared" ref="FZ83" ca="1" si="825">($M83=FY83)*$D$14</f>
        <v>0</v>
      </c>
      <c r="GA83" s="63"/>
      <c r="GB83" s="73"/>
      <c r="GC83" s="72">
        <f t="shared" ref="GC83" ca="1" si="826">($M83=GB83)*$D$14</f>
        <v>0</v>
      </c>
      <c r="GD83" s="63"/>
      <c r="GE83" s="73"/>
      <c r="GF83" s="72">
        <f t="shared" ref="GF83" ca="1" si="827">($M83=GE83)*$D$14</f>
        <v>0</v>
      </c>
      <c r="GG83" s="63"/>
      <c r="GH83" s="73"/>
      <c r="GI83" s="72">
        <f t="shared" ref="GI83" ca="1" si="828">($M83=GH83)*$D$14</f>
        <v>0</v>
      </c>
      <c r="GJ83" s="63"/>
      <c r="GK83" s="73"/>
      <c r="GL83" s="72">
        <f t="shared" ref="GL83" ca="1" si="829">($M83=GK83)*$D$14</f>
        <v>0</v>
      </c>
      <c r="GM83" s="63"/>
      <c r="GN83" s="73"/>
      <c r="GO83" s="72">
        <f t="shared" ref="GO83" ca="1" si="830">($M83=GN83)*$D$14</f>
        <v>0</v>
      </c>
      <c r="GP83" s="63"/>
      <c r="GQ83" s="73"/>
      <c r="GR83" s="72">
        <f t="shared" ref="GR83" ca="1" si="831">($M83=GQ83)*$D$14</f>
        <v>0</v>
      </c>
      <c r="GS83" s="63"/>
      <c r="GT83" s="73"/>
      <c r="GU83" s="72">
        <f t="shared" ref="GU83" ca="1" si="832">($M83=GT83)*$D$14</f>
        <v>0</v>
      </c>
      <c r="GV83" s="63"/>
      <c r="GW83" s="73"/>
      <c r="GX83" s="72">
        <f t="shared" ref="GX83" ca="1" si="833">($M83=GW83)*$D$14</f>
        <v>0</v>
      </c>
      <c r="GY83" s="63"/>
      <c r="GZ83" s="73"/>
      <c r="HA83" s="72">
        <f t="shared" ref="HA83" ca="1" si="834">($M83=GZ83)*$D$14</f>
        <v>0</v>
      </c>
      <c r="HB83" s="63"/>
      <c r="HC83" s="73"/>
      <c r="HD83" s="72">
        <f t="shared" ref="HD83" ca="1" si="835">($M83=HC83)*$D$14</f>
        <v>0</v>
      </c>
      <c r="HE83" s="63"/>
      <c r="HF83" s="73"/>
      <c r="HG83" s="72">
        <f t="shared" ref="HG83" ca="1" si="836">($M83=HF83)*$D$14</f>
        <v>0</v>
      </c>
      <c r="HH83" s="63"/>
      <c r="HI83" s="73"/>
      <c r="HJ83" s="72">
        <f t="shared" ref="HJ83" ca="1" si="837">($M83=HI83)*$D$14</f>
        <v>0</v>
      </c>
      <c r="HK83" s="63"/>
      <c r="HL83" s="73"/>
      <c r="HM83" s="72">
        <f t="shared" ref="HM83" ca="1" si="838">($M83=HL83)*$D$14</f>
        <v>0</v>
      </c>
      <c r="HN83" s="63"/>
      <c r="HO83" s="73"/>
      <c r="HP83" s="72">
        <f t="shared" ref="HP83" ca="1" si="839">($M83=HO83)*$D$14</f>
        <v>0</v>
      </c>
      <c r="HQ83" s="63"/>
      <c r="HR83" s="73"/>
      <c r="HS83" s="72">
        <f t="shared" ref="HS83" ca="1" si="840">($M83=HR83)*$D$14</f>
        <v>0</v>
      </c>
      <c r="HT83" s="63"/>
      <c r="HU83" s="73"/>
      <c r="HV83" s="72">
        <f t="shared" ref="HV83" ca="1" si="841">($M83=HU83)*$D$14</f>
        <v>0</v>
      </c>
      <c r="HW83" s="63"/>
      <c r="HX83" s="73"/>
      <c r="HY83" s="72">
        <f t="shared" ref="HY83" ca="1" si="842">($M83=HX83)*$D$14</f>
        <v>0</v>
      </c>
      <c r="HZ83" s="63"/>
      <c r="IA83" s="73"/>
      <c r="IB83" s="72">
        <f t="shared" ref="IB83" ca="1" si="843">($M83=IA83)*$D$14</f>
        <v>0</v>
      </c>
      <c r="IC83" s="63"/>
      <c r="ID83" s="73"/>
      <c r="IE83" s="72">
        <f t="shared" ref="IE83" ca="1" si="844">($M83=ID83)*$D$14</f>
        <v>0</v>
      </c>
      <c r="IF83" s="63"/>
      <c r="IG83" s="73"/>
      <c r="IH83" s="72">
        <f t="shared" ref="IH83" ca="1" si="845">($M83=IG83)*$D$14</f>
        <v>0</v>
      </c>
      <c r="II83" s="63"/>
      <c r="IJ83" s="73"/>
      <c r="IK83" s="72">
        <f t="shared" ref="IK83" ca="1" si="846">($M83=IJ83)*$D$14</f>
        <v>0</v>
      </c>
      <c r="IL83" s="63"/>
      <c r="IM83" s="73"/>
      <c r="IN83" s="72">
        <f t="shared" ref="IN83" ca="1" si="847">($M83=IM83)*$D$14</f>
        <v>0</v>
      </c>
      <c r="IO83" s="63"/>
      <c r="IP83" s="73"/>
      <c r="IQ83" s="72">
        <f t="shared" ref="IQ83" ca="1" si="848">($M83=IP83)*$D$14</f>
        <v>0</v>
      </c>
      <c r="IR83" s="63"/>
      <c r="IS83" s="73"/>
      <c r="IT83" s="72">
        <f t="shared" ref="IT83" ca="1" si="849">($M83=IS83)*$D$14</f>
        <v>0</v>
      </c>
      <c r="IU83" s="63"/>
      <c r="IV83" s="73"/>
      <c r="IW83" s="72">
        <f t="shared" ref="IW83" ca="1" si="850">($M83=IV83)*$D$14</f>
        <v>0</v>
      </c>
      <c r="IX83" s="63"/>
      <c r="IY83" s="73"/>
      <c r="IZ83" s="72">
        <f t="shared" ref="IZ83" ca="1" si="851">($M83=IY83)*$D$14</f>
        <v>0</v>
      </c>
      <c r="JA83" s="63"/>
      <c r="JB83" s="73"/>
      <c r="JC83" s="72">
        <f t="shared" ref="JC83" ca="1" si="852">($M83=JB83)*$D$14</f>
        <v>0</v>
      </c>
      <c r="JD83" s="63"/>
      <c r="JE83" s="73"/>
      <c r="JF83" s="72">
        <f t="shared" ref="JF83" ca="1" si="853">($M83=JE83)*$D$14</f>
        <v>0</v>
      </c>
      <c r="JG83" s="63"/>
      <c r="JH83" s="73"/>
      <c r="JI83" s="72">
        <f t="shared" ref="JI83" ca="1" si="854">($M83=JH83)*$D$14</f>
        <v>0</v>
      </c>
      <c r="JJ83" s="63"/>
      <c r="JK83" s="73"/>
      <c r="JL83" s="72">
        <f t="shared" ref="JL83" ca="1" si="855">($M83=JK83)*$D$14</f>
        <v>0</v>
      </c>
      <c r="JM83" s="63"/>
      <c r="JN83" s="73"/>
      <c r="JO83" s="72">
        <f t="shared" ref="JO83" ca="1" si="856">($M83=JN83)*$D$14</f>
        <v>0</v>
      </c>
      <c r="JP83" s="63"/>
      <c r="JQ83" s="73"/>
      <c r="JR83" s="72">
        <f t="shared" ref="JR83" ca="1" si="857">($M83=JQ83)*$D$14</f>
        <v>0</v>
      </c>
      <c r="JS83" s="63"/>
      <c r="JT83" s="73"/>
      <c r="JU83" s="72">
        <f t="shared" ref="JU83" ca="1" si="858">($M83=JT83)*$D$14</f>
        <v>0</v>
      </c>
      <c r="JV83" s="63"/>
      <c r="JW83" s="73"/>
      <c r="JX83" s="72">
        <f t="shared" ref="JX83" ca="1" si="859">($M83=JW83)*$D$14</f>
        <v>0</v>
      </c>
      <c r="JY83" s="63"/>
      <c r="JZ83" s="73"/>
      <c r="KA83" s="72">
        <f t="shared" ref="KA83" ca="1" si="860">($M83=JZ83)*$D$14</f>
        <v>0</v>
      </c>
      <c r="KB83" s="63"/>
      <c r="KC83" s="73"/>
      <c r="KD83" s="72">
        <f t="shared" ref="KD83" ca="1" si="861">($M83=KC83)*$D$14</f>
        <v>0</v>
      </c>
      <c r="KE83" s="63"/>
      <c r="KF83" s="73"/>
      <c r="KG83" s="72">
        <f t="shared" ref="KG83" ca="1" si="862">($M83=KF83)*$D$14</f>
        <v>0</v>
      </c>
      <c r="KH83" s="63"/>
      <c r="KI83" s="73"/>
      <c r="KJ83" s="72">
        <f t="shared" ref="KJ83" ca="1" si="863">($M83=KI83)*$D$14</f>
        <v>0</v>
      </c>
      <c r="KK83" s="63"/>
      <c r="KL83" s="73"/>
      <c r="KM83" s="72">
        <f t="shared" ref="KM83" ca="1" si="864">($M83=KL83)*$D$14</f>
        <v>0</v>
      </c>
      <c r="KN83" s="63"/>
      <c r="KO83" s="73"/>
      <c r="KP83" s="72">
        <f t="shared" ref="KP83" ca="1" si="865">($M83=KO83)*$D$14</f>
        <v>0</v>
      </c>
      <c r="KQ83" s="63"/>
      <c r="KR83" s="73"/>
      <c r="KS83" s="72">
        <f t="shared" ref="KS83" ca="1" si="866">($M83=KR83)*$D$14</f>
        <v>0</v>
      </c>
      <c r="KT83" s="63"/>
      <c r="KU83" s="73"/>
      <c r="KV83" s="72">
        <f t="shared" ref="KV83" ca="1" si="867">($M83=KU83)*$D$14</f>
        <v>0</v>
      </c>
      <c r="KW83" s="63"/>
      <c r="KX83" s="73"/>
      <c r="KY83" s="72">
        <f t="shared" ref="KY83" ca="1" si="868">($M83=KX83)*$D$14</f>
        <v>0</v>
      </c>
      <c r="KZ83" s="63"/>
      <c r="LA83" s="73"/>
      <c r="LB83" s="72">
        <f t="shared" ref="LB83" ca="1" si="869">($M83=LA83)*$D$14</f>
        <v>0</v>
      </c>
      <c r="LC83" s="63"/>
      <c r="LD83" s="73"/>
      <c r="LE83" s="72">
        <f t="shared" ref="LE83" ca="1" si="870">($M83=LD83)*$D$14</f>
        <v>0</v>
      </c>
      <c r="LF83" s="63"/>
    </row>
    <row r="84" spans="1:318" s="784" customFormat="1">
      <c r="A84" s="49"/>
      <c r="B84" s="49"/>
      <c r="C84" s="49"/>
      <c r="D84" s="49"/>
      <c r="E84" s="109"/>
      <c r="F84" s="125">
        <f t="shared" ref="F84" si="871">$D$11</f>
        <v>20</v>
      </c>
      <c r="G84" s="443">
        <f ca="1">VLOOKUP(H84,Equipos!$Q$1:$R$25,2,0)</f>
        <v>14</v>
      </c>
      <c r="H84" s="444">
        <f ca="1">$H$56</f>
        <v>46197</v>
      </c>
      <c r="I84" s="50"/>
      <c r="J84" s="845" t="s">
        <v>1</v>
      </c>
      <c r="K84" s="56" t="str">
        <f>Idiomas!D154</f>
        <v>1º GRUPO B</v>
      </c>
      <c r="L84" s="53"/>
      <c r="M84" s="55" t="str">
        <f ca="1">IF(OR(SUM(WORLDCUP!$AN$14:$AN$17)=12,WORLDCUP!$AJ$99=144),WORLDCUP!AL14,LEFT(K84,1)&amp;RIGHT(K84,1))</f>
        <v>1B</v>
      </c>
      <c r="N84" s="25"/>
      <c r="O84" s="25"/>
      <c r="P84" s="25"/>
      <c r="Q84" s="25"/>
      <c r="R84" s="108"/>
      <c r="S84" s="796" t="s">
        <v>75</v>
      </c>
      <c r="T84" s="72">
        <f t="shared" ref="T84" ca="1" si="872">($M84=S84)*$D$11</f>
        <v>0</v>
      </c>
      <c r="U84" s="63"/>
      <c r="V84" s="73" t="s">
        <v>75</v>
      </c>
      <c r="W84" s="72">
        <f t="shared" ref="W84" ca="1" si="873">($M84=V84)*$D$11</f>
        <v>0</v>
      </c>
      <c r="X84" s="63"/>
      <c r="Y84" s="796" t="s">
        <v>75</v>
      </c>
      <c r="Z84" s="72">
        <f t="shared" ref="Z84" ca="1" si="874">($M84=Y84)*$D$11</f>
        <v>0</v>
      </c>
      <c r="AA84" s="63"/>
      <c r="AB84" s="796" t="s">
        <v>75</v>
      </c>
      <c r="AC84" s="72">
        <f t="shared" ref="AC84" ca="1" si="875">($M84=AB84)*$D$11</f>
        <v>0</v>
      </c>
      <c r="AD84" s="63"/>
      <c r="AE84" s="796" t="s">
        <v>75</v>
      </c>
      <c r="AF84" s="72">
        <f t="shared" ref="AF84" ca="1" si="876">($M84=AE84)*$D$11</f>
        <v>0</v>
      </c>
      <c r="AG84" s="63"/>
      <c r="AH84" s="796" t="s">
        <v>75</v>
      </c>
      <c r="AI84" s="72">
        <f t="shared" ref="AI84" ca="1" si="877">($M84=AH84)*$D$11</f>
        <v>0</v>
      </c>
      <c r="AJ84" s="63"/>
      <c r="AK84" s="806" t="s">
        <v>75</v>
      </c>
      <c r="AL84" s="72">
        <f t="shared" ref="AL84" ca="1" si="878">($M84=AK84)*$D$11</f>
        <v>0</v>
      </c>
      <c r="AM84" s="63"/>
      <c r="AN84" s="796" t="s">
        <v>75</v>
      </c>
      <c r="AO84" s="72">
        <f t="shared" ref="AO84" ca="1" si="879">($M84=AN84)*$D$11</f>
        <v>0</v>
      </c>
      <c r="AP84" s="63"/>
      <c r="AQ84" s="806" t="s">
        <v>75</v>
      </c>
      <c r="AR84" s="72">
        <f t="shared" ref="AR84" ca="1" si="880">($M84=AQ84)*$D$11</f>
        <v>0</v>
      </c>
      <c r="AS84" s="63"/>
      <c r="AT84" s="796" t="s">
        <v>75</v>
      </c>
      <c r="AU84" s="72">
        <f t="shared" ref="AU84" ca="1" si="881">($M84=AT84)*$D$11</f>
        <v>0</v>
      </c>
      <c r="AV84" s="63"/>
      <c r="AW84" s="796" t="s">
        <v>75</v>
      </c>
      <c r="AX84" s="72">
        <f t="shared" ref="AX84" ca="1" si="882">($M84=AW84)*$D$11</f>
        <v>0</v>
      </c>
      <c r="AY84" s="63"/>
      <c r="AZ84" s="796" t="s">
        <v>1631</v>
      </c>
      <c r="BA84" s="72">
        <f t="shared" ref="BA84" ca="1" si="883">($M84=AZ84)*$D$11</f>
        <v>0</v>
      </c>
      <c r="BB84" s="63"/>
      <c r="BC84" s="796" t="s">
        <v>1259</v>
      </c>
      <c r="BD84" s="72">
        <f t="shared" ref="BD84" ca="1" si="884">($M84=BC84)*$D$11</f>
        <v>0</v>
      </c>
      <c r="BE84" s="63"/>
      <c r="BF84" s="796" t="s">
        <v>75</v>
      </c>
      <c r="BG84" s="72">
        <f t="shared" ref="BG84" ca="1" si="885">($M84=BF84)*$D$11</f>
        <v>0</v>
      </c>
      <c r="BH84" s="63"/>
      <c r="BI84" s="796" t="s">
        <v>75</v>
      </c>
      <c r="BJ84" s="72">
        <f t="shared" ref="BJ84" ca="1" si="886">($M84=BI84)*$D$11</f>
        <v>0</v>
      </c>
      <c r="BK84" s="63"/>
      <c r="BL84" s="796" t="s">
        <v>75</v>
      </c>
      <c r="BM84" s="72">
        <f t="shared" ref="BM84" ca="1" si="887">($M84=BL84)*$D$11</f>
        <v>0</v>
      </c>
      <c r="BN84" s="63"/>
      <c r="BO84" s="816" t="s">
        <v>75</v>
      </c>
      <c r="BP84" s="72">
        <f t="shared" ref="BP84" ca="1" si="888">($M84=BO84)*$D$11</f>
        <v>0</v>
      </c>
      <c r="BQ84" s="63"/>
      <c r="BR84" s="796" t="s">
        <v>75</v>
      </c>
      <c r="BS84" s="72">
        <f t="shared" ref="BS84" ca="1" si="889">($M84=BR84)*$D$11</f>
        <v>0</v>
      </c>
      <c r="BT84" s="63"/>
      <c r="BU84" s="796" t="s">
        <v>75</v>
      </c>
      <c r="BV84" s="72">
        <f t="shared" ref="BV84" ca="1" si="890">($M84=BU84)*$D$11</f>
        <v>0</v>
      </c>
      <c r="BW84" s="63"/>
      <c r="BX84" s="73" t="s">
        <v>75</v>
      </c>
      <c r="BY84" s="72">
        <f t="shared" ref="BY84" ca="1" si="891">($M84=BX84)*$D$11</f>
        <v>0</v>
      </c>
      <c r="BZ84" s="63"/>
      <c r="CA84" s="816" t="s">
        <v>1259</v>
      </c>
      <c r="CB84" s="72">
        <f t="shared" ref="CB84" ca="1" si="892">($M84=CA84)*$D$11</f>
        <v>0</v>
      </c>
      <c r="CC84" s="63"/>
      <c r="CD84" s="825" t="s">
        <v>75</v>
      </c>
      <c r="CE84" s="72">
        <f t="shared" ref="CE84" ca="1" si="893">($M84=CD84)*$D$11</f>
        <v>0</v>
      </c>
      <c r="CF84" s="63"/>
      <c r="CG84" s="796" t="s">
        <v>75</v>
      </c>
      <c r="CH84" s="72">
        <f t="shared" ref="CH84" ca="1" si="894">($M84=CG84)*$D$11</f>
        <v>0</v>
      </c>
      <c r="CI84" s="63"/>
      <c r="CJ84" s="796" t="s">
        <v>1841</v>
      </c>
      <c r="CK84" s="72">
        <f t="shared" ref="CK84" ca="1" si="895">($M84=CJ84)*$D$11</f>
        <v>0</v>
      </c>
      <c r="CL84" s="63"/>
      <c r="CM84" s="796" t="s">
        <v>75</v>
      </c>
      <c r="CN84" s="72">
        <f t="shared" ref="CN84" ca="1" si="896">($M84=CM84)*$D$11</f>
        <v>0</v>
      </c>
      <c r="CO84" s="63"/>
      <c r="CP84" s="796" t="s">
        <v>1259</v>
      </c>
      <c r="CQ84" s="72">
        <f t="shared" ref="CQ84" ca="1" si="897">($M84=CP84)*$D$11</f>
        <v>0</v>
      </c>
      <c r="CR84" s="63"/>
      <c r="CS84" s="796" t="s">
        <v>75</v>
      </c>
      <c r="CT84" s="72">
        <f t="shared" ref="CT84" ca="1" si="898">($M84=CS84)*$D$11</f>
        <v>0</v>
      </c>
      <c r="CU84" s="63"/>
      <c r="CV84" s="796" t="s">
        <v>1259</v>
      </c>
      <c r="CW84" s="72">
        <f t="shared" ref="CW84" ca="1" si="899">($M84=CV84)*$D$11</f>
        <v>0</v>
      </c>
      <c r="CX84" s="63"/>
      <c r="CY84" s="796" t="s">
        <v>1259</v>
      </c>
      <c r="CZ84" s="72">
        <f t="shared" ref="CZ84" ca="1" si="900">($M84=CY84)*$D$11</f>
        <v>0</v>
      </c>
      <c r="DA84" s="63"/>
      <c r="DB84" s="796" t="s">
        <v>75</v>
      </c>
      <c r="DC84" s="72">
        <f t="shared" ref="DC84" ca="1" si="901">($M84=DB84)*$D$11</f>
        <v>0</v>
      </c>
      <c r="DD84" s="63"/>
      <c r="DE84" s="796" t="s">
        <v>1841</v>
      </c>
      <c r="DF84" s="72">
        <f ca="1">($M84=DE84)*$D$11</f>
        <v>0</v>
      </c>
      <c r="DG84" s="63"/>
      <c r="DH84" s="796" t="s">
        <v>75</v>
      </c>
      <c r="DI84" s="72">
        <f ca="1">($M84=DH84)*$D$11</f>
        <v>0</v>
      </c>
      <c r="DJ84" s="63"/>
      <c r="DK84" s="796" t="s">
        <v>75</v>
      </c>
      <c r="DL84" s="72">
        <f ca="1">($M84=DK84)*$D$11</f>
        <v>0</v>
      </c>
      <c r="DM84" s="63"/>
      <c r="DN84" s="73"/>
      <c r="DO84" s="72">
        <f t="shared" ref="DO84" ca="1" si="902">($M84=DN84)*$D$11</f>
        <v>0</v>
      </c>
      <c r="DP84" s="63"/>
      <c r="DQ84" s="796" t="s">
        <v>1259</v>
      </c>
      <c r="DR84" s="72">
        <f t="shared" ref="DR84" ca="1" si="903">($M84=DQ84)*$D$11</f>
        <v>0</v>
      </c>
      <c r="DS84" s="63"/>
      <c r="DT84" s="73" t="s">
        <v>75</v>
      </c>
      <c r="DU84" s="72">
        <f t="shared" ref="DU84" ca="1" si="904">($M84=DT84)*$D$11</f>
        <v>0</v>
      </c>
      <c r="DV84" s="63"/>
      <c r="DW84" s="73"/>
      <c r="DX84" s="72">
        <f t="shared" ref="DX84" ca="1" si="905">($M84=DW84)*$D$11</f>
        <v>0</v>
      </c>
      <c r="DY84" s="63"/>
      <c r="DZ84" s="73"/>
      <c r="EA84" s="72">
        <f ca="1">($M84=DZ84)*$D$11</f>
        <v>0</v>
      </c>
      <c r="EB84" s="63"/>
      <c r="EC84" s="73"/>
      <c r="ED84" s="72">
        <f t="shared" ref="ED84" ca="1" si="906">($M84=EC84)*$D$11</f>
        <v>0</v>
      </c>
      <c r="EE84" s="63"/>
      <c r="EF84" s="73"/>
      <c r="EG84" s="72">
        <f t="shared" ref="EG84" ca="1" si="907">($M84=EF84)*$D$11</f>
        <v>0</v>
      </c>
      <c r="EH84" s="63"/>
      <c r="EI84" s="73"/>
      <c r="EJ84" s="72">
        <f t="shared" ref="EJ84" ca="1" si="908">($M84=EI84)*$D$11</f>
        <v>0</v>
      </c>
      <c r="EK84" s="63"/>
      <c r="EL84" s="73"/>
      <c r="EM84" s="72">
        <f t="shared" ref="EM84" ca="1" si="909">($M84=EL84)*$D$11</f>
        <v>0</v>
      </c>
      <c r="EN84" s="63"/>
      <c r="EO84" s="73"/>
      <c r="EP84" s="72">
        <f t="shared" ref="EP84" ca="1" si="910">($M84=EO84)*$D$11</f>
        <v>0</v>
      </c>
      <c r="EQ84" s="63"/>
      <c r="ER84" s="73"/>
      <c r="ES84" s="72">
        <f t="shared" ref="ES84" ca="1" si="911">($M84=ER84)*$D$11</f>
        <v>0</v>
      </c>
      <c r="ET84" s="63"/>
      <c r="EU84" s="73"/>
      <c r="EV84" s="72">
        <f t="shared" ref="EV84" ca="1" si="912">($M84=EU84)*$D$11</f>
        <v>0</v>
      </c>
      <c r="EW84" s="63"/>
      <c r="EX84" s="73"/>
      <c r="EY84" s="72">
        <f t="shared" ref="EY84" ca="1" si="913">($M84=EX84)*$D$11</f>
        <v>0</v>
      </c>
      <c r="EZ84" s="63"/>
      <c r="FA84" s="73"/>
      <c r="FB84" s="72">
        <f t="shared" ref="FB84" ca="1" si="914">($M84=FA84)*$D$11</f>
        <v>0</v>
      </c>
      <c r="FC84" s="63"/>
      <c r="FD84" s="73"/>
      <c r="FE84" s="72">
        <f t="shared" ref="FE84" ca="1" si="915">($M84=FD84)*$D$11</f>
        <v>0</v>
      </c>
      <c r="FF84" s="63"/>
      <c r="FG84" s="73"/>
      <c r="FH84" s="72">
        <f t="shared" ref="FH84" ca="1" si="916">($M84=FG84)*$D$11</f>
        <v>0</v>
      </c>
      <c r="FI84" s="63"/>
      <c r="FJ84" s="73"/>
      <c r="FK84" s="72">
        <f t="shared" ref="FK84" ca="1" si="917">($M84=FJ84)*$D$11</f>
        <v>0</v>
      </c>
      <c r="FL84" s="63"/>
      <c r="FM84" s="73"/>
      <c r="FN84" s="72">
        <f t="shared" ref="FN84" ca="1" si="918">($M84=FM84)*$D$11</f>
        <v>0</v>
      </c>
      <c r="FO84" s="63"/>
      <c r="FP84" s="73"/>
      <c r="FQ84" s="72">
        <f t="shared" ref="FQ84" ca="1" si="919">($M84=FP84)*$D$11</f>
        <v>0</v>
      </c>
      <c r="FR84" s="63"/>
      <c r="FS84" s="73"/>
      <c r="FT84" s="72">
        <f t="shared" ref="FT84" ca="1" si="920">($M84=FS84)*$D$11</f>
        <v>0</v>
      </c>
      <c r="FU84" s="63"/>
      <c r="FV84" s="73"/>
      <c r="FW84" s="72">
        <f t="shared" ref="FW84" ca="1" si="921">($M84=FV84)*$D$11</f>
        <v>0</v>
      </c>
      <c r="FX84" s="63"/>
      <c r="FY84" s="73"/>
      <c r="FZ84" s="72">
        <f t="shared" ref="FZ84" ca="1" si="922">($M84=FY84)*$D$11</f>
        <v>0</v>
      </c>
      <c r="GA84" s="63"/>
      <c r="GB84" s="73"/>
      <c r="GC84" s="72">
        <f t="shared" ref="GC84" ca="1" si="923">($M84=GB84)*$D$11</f>
        <v>0</v>
      </c>
      <c r="GD84" s="63"/>
      <c r="GE84" s="73"/>
      <c r="GF84" s="72">
        <f t="shared" ref="GF84" ca="1" si="924">($M84=GE84)*$D$11</f>
        <v>0</v>
      </c>
      <c r="GG84" s="63"/>
      <c r="GH84" s="73"/>
      <c r="GI84" s="72">
        <f t="shared" ref="GI84" ca="1" si="925">($M84=GH84)*$D$11</f>
        <v>0</v>
      </c>
      <c r="GJ84" s="63"/>
      <c r="GK84" s="73"/>
      <c r="GL84" s="72">
        <f t="shared" ref="GL84" ca="1" si="926">($M84=GK84)*$D$11</f>
        <v>0</v>
      </c>
      <c r="GM84" s="63"/>
      <c r="GN84" s="73"/>
      <c r="GO84" s="72">
        <f t="shared" ref="GO84" ca="1" si="927">($M84=GN84)*$D$11</f>
        <v>0</v>
      </c>
      <c r="GP84" s="63"/>
      <c r="GQ84" s="73"/>
      <c r="GR84" s="72">
        <f t="shared" ref="GR84" ca="1" si="928">($M84=GQ84)*$D$11</f>
        <v>0</v>
      </c>
      <c r="GS84" s="63"/>
      <c r="GT84" s="73"/>
      <c r="GU84" s="72">
        <f t="shared" ref="GU84" ca="1" si="929">($M84=GT84)*$D$11</f>
        <v>0</v>
      </c>
      <c r="GV84" s="63"/>
      <c r="GW84" s="73"/>
      <c r="GX84" s="72">
        <f t="shared" ref="GX84" ca="1" si="930">($M84=GW84)*$D$11</f>
        <v>0</v>
      </c>
      <c r="GY84" s="63"/>
      <c r="GZ84" s="73"/>
      <c r="HA84" s="72">
        <f t="shared" ref="HA84" ca="1" si="931">($M84=GZ84)*$D$11</f>
        <v>0</v>
      </c>
      <c r="HB84" s="63"/>
      <c r="HC84" s="73"/>
      <c r="HD84" s="72">
        <f t="shared" ref="HD84" ca="1" si="932">($M84=HC84)*$D$11</f>
        <v>0</v>
      </c>
      <c r="HE84" s="63"/>
      <c r="HF84" s="73"/>
      <c r="HG84" s="72">
        <f t="shared" ref="HG84" ca="1" si="933">($M84=HF84)*$D$11</f>
        <v>0</v>
      </c>
      <c r="HH84" s="63"/>
      <c r="HI84" s="73"/>
      <c r="HJ84" s="72">
        <f t="shared" ref="HJ84" ca="1" si="934">($M84=HI84)*$D$11</f>
        <v>0</v>
      </c>
      <c r="HK84" s="63"/>
      <c r="HL84" s="73"/>
      <c r="HM84" s="72">
        <f t="shared" ref="HM84" ca="1" si="935">($M84=HL84)*$D$11</f>
        <v>0</v>
      </c>
      <c r="HN84" s="63"/>
      <c r="HO84" s="73"/>
      <c r="HP84" s="72">
        <f t="shared" ref="HP84" ca="1" si="936">($M84=HO84)*$D$11</f>
        <v>0</v>
      </c>
      <c r="HQ84" s="63"/>
      <c r="HR84" s="73"/>
      <c r="HS84" s="72">
        <f t="shared" ref="HS84" ca="1" si="937">($M84=HR84)*$D$11</f>
        <v>0</v>
      </c>
      <c r="HT84" s="63"/>
      <c r="HU84" s="73"/>
      <c r="HV84" s="72">
        <f t="shared" ref="HV84" ca="1" si="938">($M84=HU84)*$D$11</f>
        <v>0</v>
      </c>
      <c r="HW84" s="63"/>
      <c r="HX84" s="73"/>
      <c r="HY84" s="72">
        <f t="shared" ref="HY84" ca="1" si="939">($M84=HX84)*$D$11</f>
        <v>0</v>
      </c>
      <c r="HZ84" s="63"/>
      <c r="IA84" s="73"/>
      <c r="IB84" s="72">
        <f t="shared" ref="IB84" ca="1" si="940">($M84=IA84)*$D$11</f>
        <v>0</v>
      </c>
      <c r="IC84" s="63"/>
      <c r="ID84" s="73"/>
      <c r="IE84" s="72">
        <f t="shared" ref="IE84" ca="1" si="941">($M84=ID84)*$D$11</f>
        <v>0</v>
      </c>
      <c r="IF84" s="63"/>
      <c r="IG84" s="73"/>
      <c r="IH84" s="72">
        <f t="shared" ref="IH84" ca="1" si="942">($M84=IG84)*$D$11</f>
        <v>0</v>
      </c>
      <c r="II84" s="63"/>
      <c r="IJ84" s="73"/>
      <c r="IK84" s="72">
        <f t="shared" ref="IK84" ca="1" si="943">($M84=IJ84)*$D$11</f>
        <v>0</v>
      </c>
      <c r="IL84" s="63"/>
      <c r="IM84" s="73"/>
      <c r="IN84" s="72">
        <f t="shared" ref="IN84" ca="1" si="944">($M84=IM84)*$D$11</f>
        <v>0</v>
      </c>
      <c r="IO84" s="63"/>
      <c r="IP84" s="73"/>
      <c r="IQ84" s="72">
        <f t="shared" ref="IQ84" ca="1" si="945">($M84=IP84)*$D$11</f>
        <v>0</v>
      </c>
      <c r="IR84" s="63"/>
      <c r="IS84" s="73"/>
      <c r="IT84" s="72">
        <f t="shared" ref="IT84" ca="1" si="946">($M84=IS84)*$D$11</f>
        <v>0</v>
      </c>
      <c r="IU84" s="63"/>
      <c r="IV84" s="73"/>
      <c r="IW84" s="72">
        <f t="shared" ref="IW84" ca="1" si="947">($M84=IV84)*$D$11</f>
        <v>0</v>
      </c>
      <c r="IX84" s="63"/>
      <c r="IY84" s="73"/>
      <c r="IZ84" s="72">
        <f t="shared" ref="IZ84" ca="1" si="948">($M84=IY84)*$D$11</f>
        <v>0</v>
      </c>
      <c r="JA84" s="63"/>
      <c r="JB84" s="73"/>
      <c r="JC84" s="72">
        <f t="shared" ref="JC84" ca="1" si="949">($M84=JB84)*$D$11</f>
        <v>0</v>
      </c>
      <c r="JD84" s="63"/>
      <c r="JE84" s="73"/>
      <c r="JF84" s="72">
        <f t="shared" ref="JF84" ca="1" si="950">($M84=JE84)*$D$11</f>
        <v>0</v>
      </c>
      <c r="JG84" s="63"/>
      <c r="JH84" s="73"/>
      <c r="JI84" s="72">
        <f t="shared" ref="JI84" ca="1" si="951">($M84=JH84)*$D$11</f>
        <v>0</v>
      </c>
      <c r="JJ84" s="63"/>
      <c r="JK84" s="73"/>
      <c r="JL84" s="72">
        <f t="shared" ref="JL84" ca="1" si="952">($M84=JK84)*$D$11</f>
        <v>0</v>
      </c>
      <c r="JM84" s="63"/>
      <c r="JN84" s="73"/>
      <c r="JO84" s="72">
        <f t="shared" ref="JO84" ca="1" si="953">($M84=JN84)*$D$11</f>
        <v>0</v>
      </c>
      <c r="JP84" s="63"/>
      <c r="JQ84" s="73"/>
      <c r="JR84" s="72">
        <f t="shared" ref="JR84" ca="1" si="954">($M84=JQ84)*$D$11</f>
        <v>0</v>
      </c>
      <c r="JS84" s="63"/>
      <c r="JT84" s="73"/>
      <c r="JU84" s="72">
        <f t="shared" ref="JU84" ca="1" si="955">($M84=JT84)*$D$11</f>
        <v>0</v>
      </c>
      <c r="JV84" s="63"/>
      <c r="JW84" s="73"/>
      <c r="JX84" s="72">
        <f t="shared" ref="JX84" ca="1" si="956">($M84=JW84)*$D$11</f>
        <v>0</v>
      </c>
      <c r="JY84" s="63"/>
      <c r="JZ84" s="73"/>
      <c r="KA84" s="72">
        <f t="shared" ref="KA84" ca="1" si="957">($M84=JZ84)*$D$11</f>
        <v>0</v>
      </c>
      <c r="KB84" s="63"/>
      <c r="KC84" s="73"/>
      <c r="KD84" s="72">
        <f t="shared" ref="KD84" ca="1" si="958">($M84=KC84)*$D$11</f>
        <v>0</v>
      </c>
      <c r="KE84" s="63"/>
      <c r="KF84" s="73"/>
      <c r="KG84" s="72">
        <f t="shared" ref="KG84" ca="1" si="959">($M84=KF84)*$D$11</f>
        <v>0</v>
      </c>
      <c r="KH84" s="63"/>
      <c r="KI84" s="73"/>
      <c r="KJ84" s="72">
        <f t="shared" ref="KJ84" ca="1" si="960">($M84=KI84)*$D$11</f>
        <v>0</v>
      </c>
      <c r="KK84" s="63"/>
      <c r="KL84" s="73"/>
      <c r="KM84" s="72">
        <f t="shared" ref="KM84" ca="1" si="961">($M84=KL84)*$D$11</f>
        <v>0</v>
      </c>
      <c r="KN84" s="63"/>
      <c r="KO84" s="73"/>
      <c r="KP84" s="72">
        <f t="shared" ref="KP84" ca="1" si="962">($M84=KO84)*$D$11</f>
        <v>0</v>
      </c>
      <c r="KQ84" s="63"/>
      <c r="KR84" s="73"/>
      <c r="KS84" s="72">
        <f t="shared" ref="KS84" ca="1" si="963">($M84=KR84)*$D$11</f>
        <v>0</v>
      </c>
      <c r="KT84" s="63"/>
      <c r="KU84" s="73"/>
      <c r="KV84" s="72">
        <f t="shared" ref="KV84" ca="1" si="964">($M84=KU84)*$D$11</f>
        <v>0</v>
      </c>
      <c r="KW84" s="63"/>
      <c r="KX84" s="73"/>
      <c r="KY84" s="72">
        <f t="shared" ref="KY84" ca="1" si="965">($M84=KX84)*$D$11</f>
        <v>0</v>
      </c>
      <c r="KZ84" s="63"/>
      <c r="LA84" s="73"/>
      <c r="LB84" s="72">
        <f t="shared" ref="LB84" ca="1" si="966">($M84=LA84)*$D$11</f>
        <v>0</v>
      </c>
      <c r="LC84" s="63"/>
      <c r="LD84" s="73"/>
      <c r="LE84" s="72">
        <f t="shared" ref="LE84" ca="1" si="967">($M84=LD84)*$D$11</f>
        <v>0</v>
      </c>
      <c r="LF84" s="63"/>
    </row>
    <row r="85" spans="1:318" s="784" customFormat="1">
      <c r="A85" s="49"/>
      <c r="B85" s="49"/>
      <c r="C85" s="49"/>
      <c r="D85" s="49"/>
      <c r="E85" s="109"/>
      <c r="F85" s="125">
        <f t="shared" ref="F85" si="968">$D$12</f>
        <v>20</v>
      </c>
      <c r="G85" s="443">
        <f ca="1">VLOOKUP(H85,Equipos!$Q$1:$R$25,2,0)</f>
        <v>14</v>
      </c>
      <c r="H85" s="444">
        <f ca="1">$H$56</f>
        <v>46197</v>
      </c>
      <c r="I85" s="50"/>
      <c r="J85" s="845"/>
      <c r="K85" s="56" t="str">
        <f>Idiomas!D155</f>
        <v>2º GRUPO B</v>
      </c>
      <c r="L85" s="53"/>
      <c r="M85" s="55" t="str">
        <f ca="1">IF(OR(SUM(WORLDCUP!$AN$14:$AN$17)=12,WORLDCUP!$AJ$99=144),WORLDCUP!AL15,LEFT(K85,1)&amp;RIGHT(K85,1))</f>
        <v>2B</v>
      </c>
      <c r="N85" s="25"/>
      <c r="O85" s="25"/>
      <c r="P85" s="25"/>
      <c r="Q85" s="25"/>
      <c r="R85" s="108"/>
      <c r="S85" s="796" t="s">
        <v>1259</v>
      </c>
      <c r="T85" s="72">
        <f t="shared" ref="T85" ca="1" si="969">($M85=S85)*$D$12</f>
        <v>0</v>
      </c>
      <c r="U85" s="63"/>
      <c r="V85" s="73" t="s">
        <v>1259</v>
      </c>
      <c r="W85" s="72">
        <f t="shared" ref="W85" ca="1" si="970">($M85=V85)*$D$12</f>
        <v>0</v>
      </c>
      <c r="X85" s="63"/>
      <c r="Y85" s="796" t="s">
        <v>1259</v>
      </c>
      <c r="Z85" s="72">
        <f t="shared" ref="Z85" ca="1" si="971">($M85=Y85)*$D$12</f>
        <v>0</v>
      </c>
      <c r="AA85" s="63"/>
      <c r="AB85" s="796" t="s">
        <v>1841</v>
      </c>
      <c r="AC85" s="72">
        <f t="shared" ref="AC85" ca="1" si="972">($M85=AB85)*$D$12</f>
        <v>0</v>
      </c>
      <c r="AD85" s="63"/>
      <c r="AE85" s="796" t="s">
        <v>1841</v>
      </c>
      <c r="AF85" s="72">
        <f t="shared" ref="AF85" ca="1" si="973">($M85=AE85)*$D$12</f>
        <v>0</v>
      </c>
      <c r="AG85" s="63"/>
      <c r="AH85" s="796" t="s">
        <v>1841</v>
      </c>
      <c r="AI85" s="72">
        <f t="shared" ref="AI85" ca="1" si="974">($M85=AH85)*$D$12</f>
        <v>0</v>
      </c>
      <c r="AJ85" s="63"/>
      <c r="AK85" s="806" t="s">
        <v>1259</v>
      </c>
      <c r="AL85" s="72">
        <f t="shared" ref="AL85" ca="1" si="975">($M85=AK85)*$D$12</f>
        <v>0</v>
      </c>
      <c r="AM85" s="63"/>
      <c r="AN85" s="796" t="s">
        <v>1259</v>
      </c>
      <c r="AO85" s="72">
        <f t="shared" ref="AO85" ca="1" si="976">($M85=AN85)*$D$12</f>
        <v>0</v>
      </c>
      <c r="AP85" s="63"/>
      <c r="AQ85" s="806" t="s">
        <v>1259</v>
      </c>
      <c r="AR85" s="72">
        <f t="shared" ref="AR85" ca="1" si="977">($M85=AQ85)*$D$12</f>
        <v>0</v>
      </c>
      <c r="AS85" s="63"/>
      <c r="AT85" s="796" t="s">
        <v>1259</v>
      </c>
      <c r="AU85" s="72">
        <f t="shared" ref="AU85" ca="1" si="978">($M85=AT85)*$D$12</f>
        <v>0</v>
      </c>
      <c r="AV85" s="63"/>
      <c r="AW85" s="796" t="s">
        <v>1841</v>
      </c>
      <c r="AX85" s="72">
        <f t="shared" ref="AX85" ca="1" si="979">($M85=AW85)*$D$12</f>
        <v>0</v>
      </c>
      <c r="AY85" s="63"/>
      <c r="AZ85" s="796" t="s">
        <v>1841</v>
      </c>
      <c r="BA85" s="72">
        <f t="shared" ref="BA85" ca="1" si="980">($M85=AZ85)*$D$12</f>
        <v>0</v>
      </c>
      <c r="BB85" s="63"/>
      <c r="BC85" s="796" t="s">
        <v>75</v>
      </c>
      <c r="BD85" s="72">
        <f t="shared" ref="BD85" ca="1" si="981">($M85=BC85)*$D$12</f>
        <v>0</v>
      </c>
      <c r="BE85" s="63"/>
      <c r="BF85" s="796" t="s">
        <v>1259</v>
      </c>
      <c r="BG85" s="72">
        <f t="shared" ref="BG85" ca="1" si="982">($M85=BF85)*$D$12</f>
        <v>0</v>
      </c>
      <c r="BH85" s="63"/>
      <c r="BI85" s="796" t="s">
        <v>1259</v>
      </c>
      <c r="BJ85" s="72">
        <f t="shared" ref="BJ85" ca="1" si="983">($M85=BI85)*$D$12</f>
        <v>0</v>
      </c>
      <c r="BK85" s="63"/>
      <c r="BL85" s="796" t="s">
        <v>1259</v>
      </c>
      <c r="BM85" s="72">
        <f t="shared" ref="BM85" ca="1" si="984">($M85=BL85)*$D$12</f>
        <v>0</v>
      </c>
      <c r="BN85" s="63"/>
      <c r="BO85" s="816" t="s">
        <v>1259</v>
      </c>
      <c r="BP85" s="72">
        <f t="shared" ref="BP85" ca="1" si="985">($M85=BO85)*$D$12</f>
        <v>0</v>
      </c>
      <c r="BQ85" s="63"/>
      <c r="BR85" s="796" t="s">
        <v>1259</v>
      </c>
      <c r="BS85" s="72">
        <f t="shared" ref="BS85" ca="1" si="986">($M85=BR85)*$D$12</f>
        <v>0</v>
      </c>
      <c r="BT85" s="63"/>
      <c r="BU85" s="796" t="s">
        <v>1259</v>
      </c>
      <c r="BV85" s="72">
        <f t="shared" ref="BV85" ca="1" si="987">($M85=BU85)*$D$12</f>
        <v>0</v>
      </c>
      <c r="BW85" s="63"/>
      <c r="BX85" s="73" t="s">
        <v>1259</v>
      </c>
      <c r="BY85" s="72">
        <f t="shared" ref="BY85" ca="1" si="988">($M85=BX85)*$D$12</f>
        <v>0</v>
      </c>
      <c r="BZ85" s="63"/>
      <c r="CA85" s="816" t="s">
        <v>1841</v>
      </c>
      <c r="CB85" s="72">
        <f t="shared" ref="CB85" ca="1" si="989">($M85=CA85)*$D$12</f>
        <v>0</v>
      </c>
      <c r="CC85" s="63"/>
      <c r="CD85" s="825" t="s">
        <v>1259</v>
      </c>
      <c r="CE85" s="72">
        <f t="shared" ref="CE85" ca="1" si="990">($M85=CD85)*$D$12</f>
        <v>0</v>
      </c>
      <c r="CF85" s="63"/>
      <c r="CG85" s="796" t="s">
        <v>1841</v>
      </c>
      <c r="CH85" s="72">
        <f t="shared" ref="CH85" ca="1" si="991">($M85=CG85)*$D$12</f>
        <v>0</v>
      </c>
      <c r="CI85" s="63"/>
      <c r="CJ85" s="796" t="s">
        <v>75</v>
      </c>
      <c r="CK85" s="72">
        <f t="shared" ref="CK85" ca="1" si="992">($M85=CJ85)*$D$12</f>
        <v>0</v>
      </c>
      <c r="CL85" s="63"/>
      <c r="CM85" s="796" t="s">
        <v>1259</v>
      </c>
      <c r="CN85" s="72">
        <f t="shared" ref="CN85" ca="1" si="993">($M85=CM85)*$D$12</f>
        <v>0</v>
      </c>
      <c r="CO85" s="63"/>
      <c r="CP85" s="796" t="s">
        <v>75</v>
      </c>
      <c r="CQ85" s="72">
        <f t="shared" ref="CQ85" ca="1" si="994">($M85=CP85)*$D$12</f>
        <v>0</v>
      </c>
      <c r="CR85" s="63"/>
      <c r="CS85" s="796" t="s">
        <v>1259</v>
      </c>
      <c r="CT85" s="72">
        <f t="shared" ref="CT85" ca="1" si="995">($M85=CS85)*$D$12</f>
        <v>0</v>
      </c>
      <c r="CU85" s="63"/>
      <c r="CV85" s="796" t="s">
        <v>75</v>
      </c>
      <c r="CW85" s="72">
        <f t="shared" ref="CW85" ca="1" si="996">($M85=CV85)*$D$12</f>
        <v>0</v>
      </c>
      <c r="CX85" s="63"/>
      <c r="CY85" s="796" t="s">
        <v>75</v>
      </c>
      <c r="CZ85" s="72">
        <f t="shared" ref="CZ85" ca="1" si="997">($M85=CY85)*$D$12</f>
        <v>0</v>
      </c>
      <c r="DA85" s="63"/>
      <c r="DB85" s="796" t="s">
        <v>1259</v>
      </c>
      <c r="DC85" s="72">
        <f t="shared" ref="DC85" ca="1" si="998">($M85=DB85)*$D$12</f>
        <v>0</v>
      </c>
      <c r="DD85" s="63"/>
      <c r="DE85" s="796" t="s">
        <v>75</v>
      </c>
      <c r="DF85" s="72">
        <f ca="1">($M85=DE85)*$D$12</f>
        <v>0</v>
      </c>
      <c r="DG85" s="63"/>
      <c r="DH85" s="796" t="s">
        <v>1259</v>
      </c>
      <c r="DI85" s="72">
        <f ca="1">($M85=DH85)*$D$12</f>
        <v>0</v>
      </c>
      <c r="DJ85" s="63"/>
      <c r="DK85" s="796" t="s">
        <v>1259</v>
      </c>
      <c r="DL85" s="72">
        <f ca="1">($M85=DK85)*$D$12</f>
        <v>0</v>
      </c>
      <c r="DM85" s="63"/>
      <c r="DN85" s="73"/>
      <c r="DO85" s="72">
        <f t="shared" ref="DO85" ca="1" si="999">($M85=DN85)*$D$12</f>
        <v>0</v>
      </c>
      <c r="DP85" s="63"/>
      <c r="DQ85" s="796" t="s">
        <v>75</v>
      </c>
      <c r="DR85" s="72">
        <f t="shared" ref="DR85" ca="1" si="1000">($M85=DQ85)*$D$12</f>
        <v>0</v>
      </c>
      <c r="DS85" s="63"/>
      <c r="DT85" s="73" t="s">
        <v>1259</v>
      </c>
      <c r="DU85" s="72">
        <f t="shared" ref="DU85" ca="1" si="1001">($M85=DT85)*$D$12</f>
        <v>0</v>
      </c>
      <c r="DV85" s="63"/>
      <c r="DW85" s="73"/>
      <c r="DX85" s="72">
        <f t="shared" ref="DX85" ca="1" si="1002">($M85=DW85)*$D$12</f>
        <v>0</v>
      </c>
      <c r="DY85" s="63"/>
      <c r="DZ85" s="73"/>
      <c r="EA85" s="72">
        <f ca="1">($M85=DZ85)*$D$12</f>
        <v>0</v>
      </c>
      <c r="EB85" s="63"/>
      <c r="EC85" s="73"/>
      <c r="ED85" s="72">
        <f t="shared" ref="ED85" ca="1" si="1003">($M85=EC85)*$D$12</f>
        <v>0</v>
      </c>
      <c r="EE85" s="63"/>
      <c r="EF85" s="73"/>
      <c r="EG85" s="72">
        <f t="shared" ref="EG85" ca="1" si="1004">($M85=EF85)*$D$12</f>
        <v>0</v>
      </c>
      <c r="EH85" s="63"/>
      <c r="EI85" s="73"/>
      <c r="EJ85" s="72">
        <f t="shared" ref="EJ85" ca="1" si="1005">($M85=EI85)*$D$12</f>
        <v>0</v>
      </c>
      <c r="EK85" s="63"/>
      <c r="EL85" s="73"/>
      <c r="EM85" s="72">
        <f t="shared" ref="EM85" ca="1" si="1006">($M85=EL85)*$D$12</f>
        <v>0</v>
      </c>
      <c r="EN85" s="63"/>
      <c r="EO85" s="73"/>
      <c r="EP85" s="72">
        <f t="shared" ref="EP85" ca="1" si="1007">($M85=EO85)*$D$12</f>
        <v>0</v>
      </c>
      <c r="EQ85" s="63"/>
      <c r="ER85" s="73"/>
      <c r="ES85" s="72">
        <f t="shared" ref="ES85" ca="1" si="1008">($M85=ER85)*$D$12</f>
        <v>0</v>
      </c>
      <c r="ET85" s="63"/>
      <c r="EU85" s="73"/>
      <c r="EV85" s="72">
        <f t="shared" ref="EV85" ca="1" si="1009">($M85=EU85)*$D$12</f>
        <v>0</v>
      </c>
      <c r="EW85" s="63"/>
      <c r="EX85" s="73"/>
      <c r="EY85" s="72">
        <f t="shared" ref="EY85" ca="1" si="1010">($M85=EX85)*$D$12</f>
        <v>0</v>
      </c>
      <c r="EZ85" s="63"/>
      <c r="FA85" s="73"/>
      <c r="FB85" s="72">
        <f t="shared" ref="FB85" ca="1" si="1011">($M85=FA85)*$D$12</f>
        <v>0</v>
      </c>
      <c r="FC85" s="63"/>
      <c r="FD85" s="73"/>
      <c r="FE85" s="72">
        <f t="shared" ref="FE85" ca="1" si="1012">($M85=FD85)*$D$12</f>
        <v>0</v>
      </c>
      <c r="FF85" s="63"/>
      <c r="FG85" s="73"/>
      <c r="FH85" s="72">
        <f t="shared" ref="FH85" ca="1" si="1013">($M85=FG85)*$D$12</f>
        <v>0</v>
      </c>
      <c r="FI85" s="63"/>
      <c r="FJ85" s="73"/>
      <c r="FK85" s="72">
        <f t="shared" ref="FK85" ca="1" si="1014">($M85=FJ85)*$D$12</f>
        <v>0</v>
      </c>
      <c r="FL85" s="63"/>
      <c r="FM85" s="73"/>
      <c r="FN85" s="72">
        <f t="shared" ref="FN85" ca="1" si="1015">($M85=FM85)*$D$12</f>
        <v>0</v>
      </c>
      <c r="FO85" s="63"/>
      <c r="FP85" s="73"/>
      <c r="FQ85" s="72">
        <f t="shared" ref="FQ85" ca="1" si="1016">($M85=FP85)*$D$12</f>
        <v>0</v>
      </c>
      <c r="FR85" s="63"/>
      <c r="FS85" s="73"/>
      <c r="FT85" s="72">
        <f t="shared" ref="FT85" ca="1" si="1017">($M85=FS85)*$D$12</f>
        <v>0</v>
      </c>
      <c r="FU85" s="63"/>
      <c r="FV85" s="73"/>
      <c r="FW85" s="72">
        <f t="shared" ref="FW85" ca="1" si="1018">($M85=FV85)*$D$12</f>
        <v>0</v>
      </c>
      <c r="FX85" s="63"/>
      <c r="FY85" s="73"/>
      <c r="FZ85" s="72">
        <f t="shared" ref="FZ85" ca="1" si="1019">($M85=FY85)*$D$12</f>
        <v>0</v>
      </c>
      <c r="GA85" s="63"/>
      <c r="GB85" s="73"/>
      <c r="GC85" s="72">
        <f t="shared" ref="GC85" ca="1" si="1020">($M85=GB85)*$D$12</f>
        <v>0</v>
      </c>
      <c r="GD85" s="63"/>
      <c r="GE85" s="73"/>
      <c r="GF85" s="72">
        <f t="shared" ref="GF85" ca="1" si="1021">($M85=GE85)*$D$12</f>
        <v>0</v>
      </c>
      <c r="GG85" s="63"/>
      <c r="GH85" s="73"/>
      <c r="GI85" s="72">
        <f t="shared" ref="GI85" ca="1" si="1022">($M85=GH85)*$D$12</f>
        <v>0</v>
      </c>
      <c r="GJ85" s="63"/>
      <c r="GK85" s="73"/>
      <c r="GL85" s="72">
        <f t="shared" ref="GL85" ca="1" si="1023">($M85=GK85)*$D$12</f>
        <v>0</v>
      </c>
      <c r="GM85" s="63"/>
      <c r="GN85" s="73"/>
      <c r="GO85" s="72">
        <f t="shared" ref="GO85" ca="1" si="1024">($M85=GN85)*$D$12</f>
        <v>0</v>
      </c>
      <c r="GP85" s="63"/>
      <c r="GQ85" s="73"/>
      <c r="GR85" s="72">
        <f t="shared" ref="GR85" ca="1" si="1025">($M85=GQ85)*$D$12</f>
        <v>0</v>
      </c>
      <c r="GS85" s="63"/>
      <c r="GT85" s="73"/>
      <c r="GU85" s="72">
        <f t="shared" ref="GU85" ca="1" si="1026">($M85=GT85)*$D$12</f>
        <v>0</v>
      </c>
      <c r="GV85" s="63"/>
      <c r="GW85" s="73"/>
      <c r="GX85" s="72">
        <f t="shared" ref="GX85" ca="1" si="1027">($M85=GW85)*$D$12</f>
        <v>0</v>
      </c>
      <c r="GY85" s="63"/>
      <c r="GZ85" s="73"/>
      <c r="HA85" s="72">
        <f t="shared" ref="HA85" ca="1" si="1028">($M85=GZ85)*$D$12</f>
        <v>0</v>
      </c>
      <c r="HB85" s="63"/>
      <c r="HC85" s="73"/>
      <c r="HD85" s="72">
        <f t="shared" ref="HD85" ca="1" si="1029">($M85=HC85)*$D$12</f>
        <v>0</v>
      </c>
      <c r="HE85" s="63"/>
      <c r="HF85" s="73"/>
      <c r="HG85" s="72">
        <f t="shared" ref="HG85" ca="1" si="1030">($M85=HF85)*$D$12</f>
        <v>0</v>
      </c>
      <c r="HH85" s="63"/>
      <c r="HI85" s="73"/>
      <c r="HJ85" s="72">
        <f t="shared" ref="HJ85" ca="1" si="1031">($M85=HI85)*$D$12</f>
        <v>0</v>
      </c>
      <c r="HK85" s="63"/>
      <c r="HL85" s="73"/>
      <c r="HM85" s="72">
        <f t="shared" ref="HM85" ca="1" si="1032">($M85=HL85)*$D$12</f>
        <v>0</v>
      </c>
      <c r="HN85" s="63"/>
      <c r="HO85" s="73"/>
      <c r="HP85" s="72">
        <f t="shared" ref="HP85" ca="1" si="1033">($M85=HO85)*$D$12</f>
        <v>0</v>
      </c>
      <c r="HQ85" s="63"/>
      <c r="HR85" s="73"/>
      <c r="HS85" s="72">
        <f t="shared" ref="HS85" ca="1" si="1034">($M85=HR85)*$D$12</f>
        <v>0</v>
      </c>
      <c r="HT85" s="63"/>
      <c r="HU85" s="73"/>
      <c r="HV85" s="72">
        <f t="shared" ref="HV85" ca="1" si="1035">($M85=HU85)*$D$12</f>
        <v>0</v>
      </c>
      <c r="HW85" s="63"/>
      <c r="HX85" s="73"/>
      <c r="HY85" s="72">
        <f t="shared" ref="HY85" ca="1" si="1036">($M85=HX85)*$D$12</f>
        <v>0</v>
      </c>
      <c r="HZ85" s="63"/>
      <c r="IA85" s="73"/>
      <c r="IB85" s="72">
        <f t="shared" ref="IB85" ca="1" si="1037">($M85=IA85)*$D$12</f>
        <v>0</v>
      </c>
      <c r="IC85" s="63"/>
      <c r="ID85" s="73"/>
      <c r="IE85" s="72">
        <f t="shared" ref="IE85" ca="1" si="1038">($M85=ID85)*$D$12</f>
        <v>0</v>
      </c>
      <c r="IF85" s="63"/>
      <c r="IG85" s="73"/>
      <c r="IH85" s="72">
        <f t="shared" ref="IH85" ca="1" si="1039">($M85=IG85)*$D$12</f>
        <v>0</v>
      </c>
      <c r="II85" s="63"/>
      <c r="IJ85" s="73"/>
      <c r="IK85" s="72">
        <f t="shared" ref="IK85" ca="1" si="1040">($M85=IJ85)*$D$12</f>
        <v>0</v>
      </c>
      <c r="IL85" s="63"/>
      <c r="IM85" s="73"/>
      <c r="IN85" s="72">
        <f t="shared" ref="IN85" ca="1" si="1041">($M85=IM85)*$D$12</f>
        <v>0</v>
      </c>
      <c r="IO85" s="63"/>
      <c r="IP85" s="73"/>
      <c r="IQ85" s="72">
        <f t="shared" ref="IQ85" ca="1" si="1042">($M85=IP85)*$D$12</f>
        <v>0</v>
      </c>
      <c r="IR85" s="63"/>
      <c r="IS85" s="73"/>
      <c r="IT85" s="72">
        <f t="shared" ref="IT85" ca="1" si="1043">($M85=IS85)*$D$12</f>
        <v>0</v>
      </c>
      <c r="IU85" s="63"/>
      <c r="IV85" s="73"/>
      <c r="IW85" s="72">
        <f t="shared" ref="IW85" ca="1" si="1044">($M85=IV85)*$D$12</f>
        <v>0</v>
      </c>
      <c r="IX85" s="63"/>
      <c r="IY85" s="73"/>
      <c r="IZ85" s="72">
        <f t="shared" ref="IZ85" ca="1" si="1045">($M85=IY85)*$D$12</f>
        <v>0</v>
      </c>
      <c r="JA85" s="63"/>
      <c r="JB85" s="73"/>
      <c r="JC85" s="72">
        <f t="shared" ref="JC85" ca="1" si="1046">($M85=JB85)*$D$12</f>
        <v>0</v>
      </c>
      <c r="JD85" s="63"/>
      <c r="JE85" s="73"/>
      <c r="JF85" s="72">
        <f t="shared" ref="JF85" ca="1" si="1047">($M85=JE85)*$D$12</f>
        <v>0</v>
      </c>
      <c r="JG85" s="63"/>
      <c r="JH85" s="73"/>
      <c r="JI85" s="72">
        <f t="shared" ref="JI85" ca="1" si="1048">($M85=JH85)*$D$12</f>
        <v>0</v>
      </c>
      <c r="JJ85" s="63"/>
      <c r="JK85" s="73"/>
      <c r="JL85" s="72">
        <f t="shared" ref="JL85" ca="1" si="1049">($M85=JK85)*$D$12</f>
        <v>0</v>
      </c>
      <c r="JM85" s="63"/>
      <c r="JN85" s="73"/>
      <c r="JO85" s="72">
        <f t="shared" ref="JO85" ca="1" si="1050">($M85=JN85)*$D$12</f>
        <v>0</v>
      </c>
      <c r="JP85" s="63"/>
      <c r="JQ85" s="73"/>
      <c r="JR85" s="72">
        <f t="shared" ref="JR85" ca="1" si="1051">($M85=JQ85)*$D$12</f>
        <v>0</v>
      </c>
      <c r="JS85" s="63"/>
      <c r="JT85" s="73"/>
      <c r="JU85" s="72">
        <f t="shared" ref="JU85" ca="1" si="1052">($M85=JT85)*$D$12</f>
        <v>0</v>
      </c>
      <c r="JV85" s="63"/>
      <c r="JW85" s="73"/>
      <c r="JX85" s="72">
        <f t="shared" ref="JX85" ca="1" si="1053">($M85=JW85)*$D$12</f>
        <v>0</v>
      </c>
      <c r="JY85" s="63"/>
      <c r="JZ85" s="73"/>
      <c r="KA85" s="72">
        <f t="shared" ref="KA85" ca="1" si="1054">($M85=JZ85)*$D$12</f>
        <v>0</v>
      </c>
      <c r="KB85" s="63"/>
      <c r="KC85" s="73"/>
      <c r="KD85" s="72">
        <f t="shared" ref="KD85" ca="1" si="1055">($M85=KC85)*$D$12</f>
        <v>0</v>
      </c>
      <c r="KE85" s="63"/>
      <c r="KF85" s="73"/>
      <c r="KG85" s="72">
        <f t="shared" ref="KG85" ca="1" si="1056">($M85=KF85)*$D$12</f>
        <v>0</v>
      </c>
      <c r="KH85" s="63"/>
      <c r="KI85" s="73"/>
      <c r="KJ85" s="72">
        <f t="shared" ref="KJ85" ca="1" si="1057">($M85=KI85)*$D$12</f>
        <v>0</v>
      </c>
      <c r="KK85" s="63"/>
      <c r="KL85" s="73"/>
      <c r="KM85" s="72">
        <f t="shared" ref="KM85" ca="1" si="1058">($M85=KL85)*$D$12</f>
        <v>0</v>
      </c>
      <c r="KN85" s="63"/>
      <c r="KO85" s="73"/>
      <c r="KP85" s="72">
        <f t="shared" ref="KP85" ca="1" si="1059">($M85=KO85)*$D$12</f>
        <v>0</v>
      </c>
      <c r="KQ85" s="63"/>
      <c r="KR85" s="73"/>
      <c r="KS85" s="72">
        <f t="shared" ref="KS85" ca="1" si="1060">($M85=KR85)*$D$12</f>
        <v>0</v>
      </c>
      <c r="KT85" s="63"/>
      <c r="KU85" s="73"/>
      <c r="KV85" s="72">
        <f t="shared" ref="KV85" ca="1" si="1061">($M85=KU85)*$D$12</f>
        <v>0</v>
      </c>
      <c r="KW85" s="63"/>
      <c r="KX85" s="73"/>
      <c r="KY85" s="72">
        <f t="shared" ref="KY85" ca="1" si="1062">($M85=KX85)*$D$12</f>
        <v>0</v>
      </c>
      <c r="KZ85" s="63"/>
      <c r="LA85" s="73"/>
      <c r="LB85" s="72">
        <f t="shared" ref="LB85" ca="1" si="1063">($M85=LA85)*$D$12</f>
        <v>0</v>
      </c>
      <c r="LC85" s="63"/>
      <c r="LD85" s="73"/>
      <c r="LE85" s="72">
        <f t="shared" ref="LE85" ca="1" si="1064">($M85=LD85)*$D$12</f>
        <v>0</v>
      </c>
      <c r="LF85" s="63"/>
    </row>
    <row r="86" spans="1:318" s="784" customFormat="1">
      <c r="A86" s="49"/>
      <c r="B86" s="49"/>
      <c r="C86" s="49"/>
      <c r="D86" s="49"/>
      <c r="E86" s="109"/>
      <c r="F86" s="125">
        <f t="shared" ref="F86" si="1065">$D$13</f>
        <v>20</v>
      </c>
      <c r="G86" s="443">
        <f ca="1">VLOOKUP(H86,Equipos!$Q$1:$R$25,2,0)</f>
        <v>14</v>
      </c>
      <c r="H86" s="444">
        <f ca="1">$H$56</f>
        <v>46197</v>
      </c>
      <c r="I86" s="50"/>
      <c r="J86" s="845"/>
      <c r="K86" s="56" t="str">
        <f>Idiomas!D156</f>
        <v>3º GRUPO B</v>
      </c>
      <c r="L86" s="53"/>
      <c r="M86" s="55" t="str">
        <f ca="1">IF(OR(SUM(WORLDCUP!$AN$14:$AN$17)=12,WORLDCUP!$AJ$99=144),WORLDCUP!AL16,LEFT(K86,1)&amp;RIGHT(K86,1))</f>
        <v>3B</v>
      </c>
      <c r="N86" s="25"/>
      <c r="O86" s="25"/>
      <c r="P86" s="25"/>
      <c r="Q86" s="25"/>
      <c r="R86" s="108"/>
      <c r="S86" s="796" t="s">
        <v>1631</v>
      </c>
      <c r="T86" s="72">
        <f t="shared" ref="T86" ca="1" si="1066">($M86=S86)*$D$13</f>
        <v>0</v>
      </c>
      <c r="U86" s="63"/>
      <c r="V86" s="73" t="s">
        <v>1841</v>
      </c>
      <c r="W86" s="72">
        <f t="shared" ref="W86" ca="1" si="1067">($M86=V86)*$D$13</f>
        <v>0</v>
      </c>
      <c r="X86" s="63"/>
      <c r="Y86" s="796" t="s">
        <v>1631</v>
      </c>
      <c r="Z86" s="72">
        <f t="shared" ref="Z86" ca="1" si="1068">($M86=Y86)*$D$13</f>
        <v>0</v>
      </c>
      <c r="AA86" s="63"/>
      <c r="AB86" s="796" t="s">
        <v>1631</v>
      </c>
      <c r="AC86" s="72">
        <f t="shared" ref="AC86" ca="1" si="1069">($M86=AB86)*$D$13</f>
        <v>0</v>
      </c>
      <c r="AD86" s="63"/>
      <c r="AE86" s="796" t="s">
        <v>1259</v>
      </c>
      <c r="AF86" s="72">
        <f t="shared" ref="AF86" ca="1" si="1070">($M86=AE86)*$D$13</f>
        <v>0</v>
      </c>
      <c r="AG86" s="63"/>
      <c r="AH86" s="796" t="s">
        <v>1259</v>
      </c>
      <c r="AI86" s="72">
        <f t="shared" ref="AI86" ca="1" si="1071">($M86=AH86)*$D$13</f>
        <v>0</v>
      </c>
      <c r="AJ86" s="63"/>
      <c r="AK86" s="806" t="s">
        <v>1631</v>
      </c>
      <c r="AL86" s="72">
        <f t="shared" ref="AL86" ca="1" si="1072">($M86=AK86)*$D$13</f>
        <v>0</v>
      </c>
      <c r="AM86" s="63"/>
      <c r="AN86" s="796" t="s">
        <v>1841</v>
      </c>
      <c r="AO86" s="72">
        <f t="shared" ref="AO86" ca="1" si="1073">($M86=AN86)*$D$13</f>
        <v>0</v>
      </c>
      <c r="AP86" s="63"/>
      <c r="AQ86" s="806" t="s">
        <v>1841</v>
      </c>
      <c r="AR86" s="72">
        <f t="shared" ref="AR86" ca="1" si="1074">($M86=AQ86)*$D$13</f>
        <v>0</v>
      </c>
      <c r="AS86" s="63"/>
      <c r="AT86" s="796" t="s">
        <v>1841</v>
      </c>
      <c r="AU86" s="72">
        <f t="shared" ref="AU86" ca="1" si="1075">($M86=AT86)*$D$13</f>
        <v>0</v>
      </c>
      <c r="AV86" s="63"/>
      <c r="AW86" s="796" t="s">
        <v>1259</v>
      </c>
      <c r="AX86" s="72">
        <f t="shared" ref="AX86" ca="1" si="1076">($M86=AW86)*$D$13</f>
        <v>0</v>
      </c>
      <c r="AY86" s="63"/>
      <c r="AZ86" s="796" t="s">
        <v>1259</v>
      </c>
      <c r="BA86" s="72">
        <f t="shared" ref="BA86" ca="1" si="1077">($M86=AZ86)*$D$13</f>
        <v>0</v>
      </c>
      <c r="BB86" s="63"/>
      <c r="BC86" s="796" t="s">
        <v>1631</v>
      </c>
      <c r="BD86" s="72">
        <f t="shared" ref="BD86" ca="1" si="1078">($M86=BC86)*$D$13</f>
        <v>0</v>
      </c>
      <c r="BE86" s="63"/>
      <c r="BF86" s="796" t="s">
        <v>1841</v>
      </c>
      <c r="BG86" s="72">
        <f t="shared" ref="BG86" ca="1" si="1079">($M86=BF86)*$D$13</f>
        <v>0</v>
      </c>
      <c r="BH86" s="63"/>
      <c r="BI86" s="796" t="s">
        <v>1841</v>
      </c>
      <c r="BJ86" s="72">
        <f t="shared" ref="BJ86" ca="1" si="1080">($M86=BI86)*$D$13</f>
        <v>0</v>
      </c>
      <c r="BK86" s="63"/>
      <c r="BL86" s="796" t="s">
        <v>1841</v>
      </c>
      <c r="BM86" s="72">
        <f t="shared" ref="BM86" ca="1" si="1081">($M86=BL86)*$D$13</f>
        <v>0</v>
      </c>
      <c r="BN86" s="63"/>
      <c r="BO86" s="816" t="s">
        <v>1841</v>
      </c>
      <c r="BP86" s="72">
        <f t="shared" ref="BP86" ca="1" si="1082">($M86=BO86)*$D$13</f>
        <v>0</v>
      </c>
      <c r="BQ86" s="63"/>
      <c r="BR86" s="796" t="s">
        <v>1841</v>
      </c>
      <c r="BS86" s="72">
        <f t="shared" ref="BS86" ca="1" si="1083">($M86=BR86)*$D$13</f>
        <v>0</v>
      </c>
      <c r="BT86" s="63"/>
      <c r="BU86" s="796" t="s">
        <v>1631</v>
      </c>
      <c r="BV86" s="72">
        <f t="shared" ref="BV86" ca="1" si="1084">($M86=BU86)*$D$13</f>
        <v>0</v>
      </c>
      <c r="BW86" s="63"/>
      <c r="BX86" s="73" t="s">
        <v>1841</v>
      </c>
      <c r="BY86" s="72">
        <f t="shared" ref="BY86" ca="1" si="1085">($M86=BX86)*$D$13</f>
        <v>0</v>
      </c>
      <c r="BZ86" s="63"/>
      <c r="CA86" s="816" t="s">
        <v>75</v>
      </c>
      <c r="CB86" s="72">
        <f t="shared" ref="CB86" ca="1" si="1086">($M86=CA86)*$D$13</f>
        <v>0</v>
      </c>
      <c r="CC86" s="63"/>
      <c r="CD86" s="825" t="s">
        <v>1841</v>
      </c>
      <c r="CE86" s="72">
        <f t="shared" ref="CE86" ca="1" si="1087">($M86=CD86)*$D$13</f>
        <v>0</v>
      </c>
      <c r="CF86" s="63"/>
      <c r="CG86" s="796" t="s">
        <v>1259</v>
      </c>
      <c r="CH86" s="72">
        <f t="shared" ref="CH86" ca="1" si="1088">($M86=CG86)*$D$13</f>
        <v>0</v>
      </c>
      <c r="CI86" s="63"/>
      <c r="CJ86" s="796" t="s">
        <v>1259</v>
      </c>
      <c r="CK86" s="72">
        <f t="shared" ref="CK86" ca="1" si="1089">($M86=CJ86)*$D$13</f>
        <v>0</v>
      </c>
      <c r="CL86" s="63"/>
      <c r="CM86" s="796" t="s">
        <v>1841</v>
      </c>
      <c r="CN86" s="72">
        <f t="shared" ref="CN86" ca="1" si="1090">($M86=CM86)*$D$13</f>
        <v>0</v>
      </c>
      <c r="CO86" s="63"/>
      <c r="CP86" s="796" t="s">
        <v>1841</v>
      </c>
      <c r="CQ86" s="72">
        <f t="shared" ref="CQ86" ca="1" si="1091">($M86=CP86)*$D$13</f>
        <v>0</v>
      </c>
      <c r="CR86" s="63"/>
      <c r="CS86" s="796" t="s">
        <v>1631</v>
      </c>
      <c r="CT86" s="72">
        <f t="shared" ref="CT86" ca="1" si="1092">($M86=CS86)*$D$13</f>
        <v>0</v>
      </c>
      <c r="CU86" s="63"/>
      <c r="CV86" s="796" t="s">
        <v>1841</v>
      </c>
      <c r="CW86" s="72">
        <f t="shared" ref="CW86" ca="1" si="1093">($M86=CV86)*$D$13</f>
        <v>0</v>
      </c>
      <c r="CX86" s="63"/>
      <c r="CY86" s="796" t="s">
        <v>1841</v>
      </c>
      <c r="CZ86" s="72">
        <f t="shared" ref="CZ86" ca="1" si="1094">($M86=CY86)*$D$13</f>
        <v>0</v>
      </c>
      <c r="DA86" s="63"/>
      <c r="DB86" s="796" t="s">
        <v>1841</v>
      </c>
      <c r="DC86" s="72">
        <f t="shared" ref="DC86" ca="1" si="1095">($M86=DB86)*$D$13</f>
        <v>0</v>
      </c>
      <c r="DD86" s="63"/>
      <c r="DE86" s="796" t="s">
        <v>1259</v>
      </c>
      <c r="DF86" s="72">
        <f ca="1">($M86=DE86)*$D$13</f>
        <v>0</v>
      </c>
      <c r="DG86" s="63"/>
      <c r="DH86" s="796" t="s">
        <v>1841</v>
      </c>
      <c r="DI86" s="72">
        <f ca="1">($M86=DH86)*$D$13</f>
        <v>0</v>
      </c>
      <c r="DJ86" s="63"/>
      <c r="DK86" s="796" t="s">
        <v>1841</v>
      </c>
      <c r="DL86" s="72">
        <f ca="1">($M86=DK86)*$D$13</f>
        <v>0</v>
      </c>
      <c r="DM86" s="63"/>
      <c r="DN86" s="73"/>
      <c r="DO86" s="72">
        <f t="shared" ref="DO86" ca="1" si="1096">($M86=DN86)*$D$13</f>
        <v>0</v>
      </c>
      <c r="DP86" s="63"/>
      <c r="DQ86" s="796" t="s">
        <v>1631</v>
      </c>
      <c r="DR86" s="72">
        <f t="shared" ref="DR86" ca="1" si="1097">($M86=DQ86)*$D$13</f>
        <v>0</v>
      </c>
      <c r="DS86" s="63"/>
      <c r="DT86" s="73" t="s">
        <v>1841</v>
      </c>
      <c r="DU86" s="72">
        <f t="shared" ref="DU86" ca="1" si="1098">($M86=DT86)*$D$13</f>
        <v>0</v>
      </c>
      <c r="DV86" s="63"/>
      <c r="DW86" s="73"/>
      <c r="DX86" s="72">
        <f t="shared" ref="DX86" ca="1" si="1099">($M86=DW86)*$D$13</f>
        <v>0</v>
      </c>
      <c r="DY86" s="63"/>
      <c r="DZ86" s="73"/>
      <c r="EA86" s="72">
        <f ca="1">($M86=DZ86)*$D$13</f>
        <v>0</v>
      </c>
      <c r="EB86" s="63"/>
      <c r="EC86" s="73"/>
      <c r="ED86" s="72">
        <f t="shared" ref="ED86" ca="1" si="1100">($M86=EC86)*$D$13</f>
        <v>0</v>
      </c>
      <c r="EE86" s="63"/>
      <c r="EF86" s="73"/>
      <c r="EG86" s="72">
        <f t="shared" ref="EG86" ca="1" si="1101">($M86=EF86)*$D$13</f>
        <v>0</v>
      </c>
      <c r="EH86" s="63"/>
      <c r="EI86" s="73"/>
      <c r="EJ86" s="72">
        <f t="shared" ref="EJ86" ca="1" si="1102">($M86=EI86)*$D$13</f>
        <v>0</v>
      </c>
      <c r="EK86" s="63"/>
      <c r="EL86" s="73"/>
      <c r="EM86" s="72">
        <f t="shared" ref="EM86" ca="1" si="1103">($M86=EL86)*$D$13</f>
        <v>0</v>
      </c>
      <c r="EN86" s="63"/>
      <c r="EO86" s="73"/>
      <c r="EP86" s="72">
        <f t="shared" ref="EP86" ca="1" si="1104">($M86=EO86)*$D$13</f>
        <v>0</v>
      </c>
      <c r="EQ86" s="63"/>
      <c r="ER86" s="73"/>
      <c r="ES86" s="72">
        <f t="shared" ref="ES86" ca="1" si="1105">($M86=ER86)*$D$13</f>
        <v>0</v>
      </c>
      <c r="ET86" s="63"/>
      <c r="EU86" s="73"/>
      <c r="EV86" s="72">
        <f t="shared" ref="EV86" ca="1" si="1106">($M86=EU86)*$D$13</f>
        <v>0</v>
      </c>
      <c r="EW86" s="63"/>
      <c r="EX86" s="73"/>
      <c r="EY86" s="72">
        <f t="shared" ref="EY86" ca="1" si="1107">($M86=EX86)*$D$13</f>
        <v>0</v>
      </c>
      <c r="EZ86" s="63"/>
      <c r="FA86" s="73"/>
      <c r="FB86" s="72">
        <f t="shared" ref="FB86" ca="1" si="1108">($M86=FA86)*$D$13</f>
        <v>0</v>
      </c>
      <c r="FC86" s="63"/>
      <c r="FD86" s="73"/>
      <c r="FE86" s="72">
        <f t="shared" ref="FE86" ca="1" si="1109">($M86=FD86)*$D$13</f>
        <v>0</v>
      </c>
      <c r="FF86" s="63"/>
      <c r="FG86" s="73"/>
      <c r="FH86" s="72">
        <f t="shared" ref="FH86" ca="1" si="1110">($M86=FG86)*$D$13</f>
        <v>0</v>
      </c>
      <c r="FI86" s="63"/>
      <c r="FJ86" s="73"/>
      <c r="FK86" s="72">
        <f t="shared" ref="FK86" ca="1" si="1111">($M86=FJ86)*$D$13</f>
        <v>0</v>
      </c>
      <c r="FL86" s="63"/>
      <c r="FM86" s="73"/>
      <c r="FN86" s="72">
        <f t="shared" ref="FN86" ca="1" si="1112">($M86=FM86)*$D$13</f>
        <v>0</v>
      </c>
      <c r="FO86" s="63"/>
      <c r="FP86" s="73"/>
      <c r="FQ86" s="72">
        <f t="shared" ref="FQ86" ca="1" si="1113">($M86=FP86)*$D$13</f>
        <v>0</v>
      </c>
      <c r="FR86" s="63"/>
      <c r="FS86" s="73"/>
      <c r="FT86" s="72">
        <f t="shared" ref="FT86" ca="1" si="1114">($M86=FS86)*$D$13</f>
        <v>0</v>
      </c>
      <c r="FU86" s="63"/>
      <c r="FV86" s="73"/>
      <c r="FW86" s="72">
        <f t="shared" ref="FW86" ca="1" si="1115">($M86=FV86)*$D$13</f>
        <v>0</v>
      </c>
      <c r="FX86" s="63"/>
      <c r="FY86" s="73"/>
      <c r="FZ86" s="72">
        <f t="shared" ref="FZ86" ca="1" si="1116">($M86=FY86)*$D$13</f>
        <v>0</v>
      </c>
      <c r="GA86" s="63"/>
      <c r="GB86" s="73"/>
      <c r="GC86" s="72">
        <f t="shared" ref="GC86" ca="1" si="1117">($M86=GB86)*$D$13</f>
        <v>0</v>
      </c>
      <c r="GD86" s="63"/>
      <c r="GE86" s="73"/>
      <c r="GF86" s="72">
        <f t="shared" ref="GF86" ca="1" si="1118">($M86=GE86)*$D$13</f>
        <v>0</v>
      </c>
      <c r="GG86" s="63"/>
      <c r="GH86" s="73"/>
      <c r="GI86" s="72">
        <f t="shared" ref="GI86" ca="1" si="1119">($M86=GH86)*$D$13</f>
        <v>0</v>
      </c>
      <c r="GJ86" s="63"/>
      <c r="GK86" s="73"/>
      <c r="GL86" s="72">
        <f t="shared" ref="GL86" ca="1" si="1120">($M86=GK86)*$D$13</f>
        <v>0</v>
      </c>
      <c r="GM86" s="63"/>
      <c r="GN86" s="73"/>
      <c r="GO86" s="72">
        <f t="shared" ref="GO86" ca="1" si="1121">($M86=GN86)*$D$13</f>
        <v>0</v>
      </c>
      <c r="GP86" s="63"/>
      <c r="GQ86" s="73"/>
      <c r="GR86" s="72">
        <f t="shared" ref="GR86" ca="1" si="1122">($M86=GQ86)*$D$13</f>
        <v>0</v>
      </c>
      <c r="GS86" s="63"/>
      <c r="GT86" s="73"/>
      <c r="GU86" s="72">
        <f t="shared" ref="GU86" ca="1" si="1123">($M86=GT86)*$D$13</f>
        <v>0</v>
      </c>
      <c r="GV86" s="63"/>
      <c r="GW86" s="73"/>
      <c r="GX86" s="72">
        <f t="shared" ref="GX86" ca="1" si="1124">($M86=GW86)*$D$13</f>
        <v>0</v>
      </c>
      <c r="GY86" s="63"/>
      <c r="GZ86" s="73"/>
      <c r="HA86" s="72">
        <f t="shared" ref="HA86" ca="1" si="1125">($M86=GZ86)*$D$13</f>
        <v>0</v>
      </c>
      <c r="HB86" s="63"/>
      <c r="HC86" s="73"/>
      <c r="HD86" s="72">
        <f t="shared" ref="HD86" ca="1" si="1126">($M86=HC86)*$D$13</f>
        <v>0</v>
      </c>
      <c r="HE86" s="63"/>
      <c r="HF86" s="73"/>
      <c r="HG86" s="72">
        <f t="shared" ref="HG86" ca="1" si="1127">($M86=HF86)*$D$13</f>
        <v>0</v>
      </c>
      <c r="HH86" s="63"/>
      <c r="HI86" s="73"/>
      <c r="HJ86" s="72">
        <f t="shared" ref="HJ86" ca="1" si="1128">($M86=HI86)*$D$13</f>
        <v>0</v>
      </c>
      <c r="HK86" s="63"/>
      <c r="HL86" s="73"/>
      <c r="HM86" s="72">
        <f t="shared" ref="HM86" ca="1" si="1129">($M86=HL86)*$D$13</f>
        <v>0</v>
      </c>
      <c r="HN86" s="63"/>
      <c r="HO86" s="73"/>
      <c r="HP86" s="72">
        <f t="shared" ref="HP86" ca="1" si="1130">($M86=HO86)*$D$13</f>
        <v>0</v>
      </c>
      <c r="HQ86" s="63"/>
      <c r="HR86" s="73"/>
      <c r="HS86" s="72">
        <f t="shared" ref="HS86" ca="1" si="1131">($M86=HR86)*$D$13</f>
        <v>0</v>
      </c>
      <c r="HT86" s="63"/>
      <c r="HU86" s="73"/>
      <c r="HV86" s="72">
        <f t="shared" ref="HV86" ca="1" si="1132">($M86=HU86)*$D$13</f>
        <v>0</v>
      </c>
      <c r="HW86" s="63"/>
      <c r="HX86" s="73"/>
      <c r="HY86" s="72">
        <f t="shared" ref="HY86" ca="1" si="1133">($M86=HX86)*$D$13</f>
        <v>0</v>
      </c>
      <c r="HZ86" s="63"/>
      <c r="IA86" s="73"/>
      <c r="IB86" s="72">
        <f t="shared" ref="IB86" ca="1" si="1134">($M86=IA86)*$D$13</f>
        <v>0</v>
      </c>
      <c r="IC86" s="63"/>
      <c r="ID86" s="73"/>
      <c r="IE86" s="72">
        <f t="shared" ref="IE86" ca="1" si="1135">($M86=ID86)*$D$13</f>
        <v>0</v>
      </c>
      <c r="IF86" s="63"/>
      <c r="IG86" s="73"/>
      <c r="IH86" s="72">
        <f t="shared" ref="IH86" ca="1" si="1136">($M86=IG86)*$D$13</f>
        <v>0</v>
      </c>
      <c r="II86" s="63"/>
      <c r="IJ86" s="73"/>
      <c r="IK86" s="72">
        <f t="shared" ref="IK86" ca="1" si="1137">($M86=IJ86)*$D$13</f>
        <v>0</v>
      </c>
      <c r="IL86" s="63"/>
      <c r="IM86" s="73"/>
      <c r="IN86" s="72">
        <f t="shared" ref="IN86" ca="1" si="1138">($M86=IM86)*$D$13</f>
        <v>0</v>
      </c>
      <c r="IO86" s="63"/>
      <c r="IP86" s="73"/>
      <c r="IQ86" s="72">
        <f t="shared" ref="IQ86" ca="1" si="1139">($M86=IP86)*$D$13</f>
        <v>0</v>
      </c>
      <c r="IR86" s="63"/>
      <c r="IS86" s="73"/>
      <c r="IT86" s="72">
        <f t="shared" ref="IT86" ca="1" si="1140">($M86=IS86)*$D$13</f>
        <v>0</v>
      </c>
      <c r="IU86" s="63"/>
      <c r="IV86" s="73"/>
      <c r="IW86" s="72">
        <f t="shared" ref="IW86" ca="1" si="1141">($M86=IV86)*$D$13</f>
        <v>0</v>
      </c>
      <c r="IX86" s="63"/>
      <c r="IY86" s="73"/>
      <c r="IZ86" s="72">
        <f t="shared" ref="IZ86" ca="1" si="1142">($M86=IY86)*$D$13</f>
        <v>0</v>
      </c>
      <c r="JA86" s="63"/>
      <c r="JB86" s="73"/>
      <c r="JC86" s="72">
        <f t="shared" ref="JC86" ca="1" si="1143">($M86=JB86)*$D$13</f>
        <v>0</v>
      </c>
      <c r="JD86" s="63"/>
      <c r="JE86" s="73"/>
      <c r="JF86" s="72">
        <f t="shared" ref="JF86" ca="1" si="1144">($M86=JE86)*$D$13</f>
        <v>0</v>
      </c>
      <c r="JG86" s="63"/>
      <c r="JH86" s="73"/>
      <c r="JI86" s="72">
        <f t="shared" ref="JI86" ca="1" si="1145">($M86=JH86)*$D$13</f>
        <v>0</v>
      </c>
      <c r="JJ86" s="63"/>
      <c r="JK86" s="73"/>
      <c r="JL86" s="72">
        <f t="shared" ref="JL86" ca="1" si="1146">($M86=JK86)*$D$13</f>
        <v>0</v>
      </c>
      <c r="JM86" s="63"/>
      <c r="JN86" s="73"/>
      <c r="JO86" s="72">
        <f t="shared" ref="JO86" ca="1" si="1147">($M86=JN86)*$D$13</f>
        <v>0</v>
      </c>
      <c r="JP86" s="63"/>
      <c r="JQ86" s="73"/>
      <c r="JR86" s="72">
        <f t="shared" ref="JR86" ca="1" si="1148">($M86=JQ86)*$D$13</f>
        <v>0</v>
      </c>
      <c r="JS86" s="63"/>
      <c r="JT86" s="73"/>
      <c r="JU86" s="72">
        <f t="shared" ref="JU86" ca="1" si="1149">($M86=JT86)*$D$13</f>
        <v>0</v>
      </c>
      <c r="JV86" s="63"/>
      <c r="JW86" s="73"/>
      <c r="JX86" s="72">
        <f t="shared" ref="JX86" ca="1" si="1150">($M86=JW86)*$D$13</f>
        <v>0</v>
      </c>
      <c r="JY86" s="63"/>
      <c r="JZ86" s="73"/>
      <c r="KA86" s="72">
        <f t="shared" ref="KA86" ca="1" si="1151">($M86=JZ86)*$D$13</f>
        <v>0</v>
      </c>
      <c r="KB86" s="63"/>
      <c r="KC86" s="73"/>
      <c r="KD86" s="72">
        <f t="shared" ref="KD86" ca="1" si="1152">($M86=KC86)*$D$13</f>
        <v>0</v>
      </c>
      <c r="KE86" s="63"/>
      <c r="KF86" s="73"/>
      <c r="KG86" s="72">
        <f t="shared" ref="KG86" ca="1" si="1153">($M86=KF86)*$D$13</f>
        <v>0</v>
      </c>
      <c r="KH86" s="63"/>
      <c r="KI86" s="73"/>
      <c r="KJ86" s="72">
        <f t="shared" ref="KJ86" ca="1" si="1154">($M86=KI86)*$D$13</f>
        <v>0</v>
      </c>
      <c r="KK86" s="63"/>
      <c r="KL86" s="73"/>
      <c r="KM86" s="72">
        <f t="shared" ref="KM86" ca="1" si="1155">($M86=KL86)*$D$13</f>
        <v>0</v>
      </c>
      <c r="KN86" s="63"/>
      <c r="KO86" s="73"/>
      <c r="KP86" s="72">
        <f t="shared" ref="KP86" ca="1" si="1156">($M86=KO86)*$D$13</f>
        <v>0</v>
      </c>
      <c r="KQ86" s="63"/>
      <c r="KR86" s="73"/>
      <c r="KS86" s="72">
        <f t="shared" ref="KS86" ca="1" si="1157">($M86=KR86)*$D$13</f>
        <v>0</v>
      </c>
      <c r="KT86" s="63"/>
      <c r="KU86" s="73"/>
      <c r="KV86" s="72">
        <f t="shared" ref="KV86" ca="1" si="1158">($M86=KU86)*$D$13</f>
        <v>0</v>
      </c>
      <c r="KW86" s="63"/>
      <c r="KX86" s="73"/>
      <c r="KY86" s="72">
        <f t="shared" ref="KY86" ca="1" si="1159">($M86=KX86)*$D$13</f>
        <v>0</v>
      </c>
      <c r="KZ86" s="63"/>
      <c r="LA86" s="73"/>
      <c r="LB86" s="72">
        <f t="shared" ref="LB86" ca="1" si="1160">($M86=LA86)*$D$13</f>
        <v>0</v>
      </c>
      <c r="LC86" s="63"/>
      <c r="LD86" s="73"/>
      <c r="LE86" s="72">
        <f t="shared" ref="LE86" ca="1" si="1161">($M86=LD86)*$D$13</f>
        <v>0</v>
      </c>
      <c r="LF86" s="63"/>
    </row>
    <row r="87" spans="1:318" s="784" customFormat="1">
      <c r="A87" s="49"/>
      <c r="B87" s="49"/>
      <c r="C87" s="49"/>
      <c r="D87" s="49"/>
      <c r="E87" s="109"/>
      <c r="F87" s="125">
        <f t="shared" ref="F87" si="1162">$D$14</f>
        <v>20</v>
      </c>
      <c r="G87" s="443">
        <f ca="1">VLOOKUP(H87,Equipos!$Q$1:$R$25,2,0)</f>
        <v>14</v>
      </c>
      <c r="H87" s="444">
        <f ca="1">$H$56</f>
        <v>46197</v>
      </c>
      <c r="I87" s="50"/>
      <c r="J87" s="845"/>
      <c r="K87" s="56" t="str">
        <f>Idiomas!D157</f>
        <v>4º GRUPO B</v>
      </c>
      <c r="L87" s="53"/>
      <c r="M87" s="55" t="str">
        <f ca="1">IF(OR(SUM(WORLDCUP!$AN$14:$AN$17)=12,WORLDCUP!$AJ$99=144),WORLDCUP!AL17,LEFT(K87,1)&amp;RIGHT(K87,1))</f>
        <v>4B</v>
      </c>
      <c r="N87" s="25"/>
      <c r="O87" s="25"/>
      <c r="P87" s="25"/>
      <c r="Q87" s="25"/>
      <c r="R87" s="108"/>
      <c r="S87" s="796" t="s">
        <v>1841</v>
      </c>
      <c r="T87" s="72">
        <f t="shared" ref="T87" ca="1" si="1163">($M87=S87)*$D$14</f>
        <v>0</v>
      </c>
      <c r="U87" s="63"/>
      <c r="V87" s="73" t="s">
        <v>1631</v>
      </c>
      <c r="W87" s="72">
        <f t="shared" ref="W87" ca="1" si="1164">($M87=V87)*$D$14</f>
        <v>0</v>
      </c>
      <c r="X87" s="63"/>
      <c r="Y87" s="796" t="s">
        <v>1841</v>
      </c>
      <c r="Z87" s="72">
        <f t="shared" ref="Z87" ca="1" si="1165">($M87=Y87)*$D$14</f>
        <v>0</v>
      </c>
      <c r="AA87" s="63"/>
      <c r="AB87" s="796" t="s">
        <v>1259</v>
      </c>
      <c r="AC87" s="72">
        <f t="shared" ref="AC87" ca="1" si="1166">($M87=AB87)*$D$14</f>
        <v>0</v>
      </c>
      <c r="AD87" s="63"/>
      <c r="AE87" s="796" t="s">
        <v>1631</v>
      </c>
      <c r="AF87" s="72">
        <f t="shared" ref="AF87" ca="1" si="1167">($M87=AE87)*$D$14</f>
        <v>0</v>
      </c>
      <c r="AG87" s="63"/>
      <c r="AH87" s="796" t="s">
        <v>1631</v>
      </c>
      <c r="AI87" s="72">
        <f t="shared" ref="AI87" ca="1" si="1168">($M87=AH87)*$D$14</f>
        <v>0</v>
      </c>
      <c r="AJ87" s="63"/>
      <c r="AK87" s="806" t="s">
        <v>1841</v>
      </c>
      <c r="AL87" s="72">
        <f t="shared" ref="AL87" ca="1" si="1169">($M87=AK87)*$D$14</f>
        <v>0</v>
      </c>
      <c r="AM87" s="63"/>
      <c r="AN87" s="796" t="s">
        <v>1631</v>
      </c>
      <c r="AO87" s="72">
        <f t="shared" ref="AO87" ca="1" si="1170">($M87=AN87)*$D$14</f>
        <v>0</v>
      </c>
      <c r="AP87" s="63"/>
      <c r="AQ87" s="806" t="s">
        <v>1631</v>
      </c>
      <c r="AR87" s="72">
        <f t="shared" ref="AR87" ca="1" si="1171">($M87=AQ87)*$D$14</f>
        <v>0</v>
      </c>
      <c r="AS87" s="63"/>
      <c r="AT87" s="796" t="s">
        <v>1631</v>
      </c>
      <c r="AU87" s="72">
        <f t="shared" ref="AU87" ca="1" si="1172">($M87=AT87)*$D$14</f>
        <v>0</v>
      </c>
      <c r="AV87" s="63"/>
      <c r="AW87" s="796" t="s">
        <v>1631</v>
      </c>
      <c r="AX87" s="72">
        <f t="shared" ref="AX87" ca="1" si="1173">($M87=AW87)*$D$14</f>
        <v>0</v>
      </c>
      <c r="AY87" s="63"/>
      <c r="AZ87" s="796" t="s">
        <v>75</v>
      </c>
      <c r="BA87" s="72">
        <f t="shared" ref="BA87" ca="1" si="1174">($M87=AZ87)*$D$14</f>
        <v>0</v>
      </c>
      <c r="BB87" s="63"/>
      <c r="BC87" s="796" t="s">
        <v>1841</v>
      </c>
      <c r="BD87" s="72">
        <f t="shared" ref="BD87" ca="1" si="1175">($M87=BC87)*$D$14</f>
        <v>0</v>
      </c>
      <c r="BE87" s="63"/>
      <c r="BF87" s="796" t="s">
        <v>1631</v>
      </c>
      <c r="BG87" s="72">
        <f t="shared" ref="BG87" ca="1" si="1176">($M87=BF87)*$D$14</f>
        <v>0</v>
      </c>
      <c r="BH87" s="63"/>
      <c r="BI87" s="796" t="s">
        <v>1631</v>
      </c>
      <c r="BJ87" s="72">
        <f t="shared" ref="BJ87" ca="1" si="1177">($M87=BI87)*$D$14</f>
        <v>0</v>
      </c>
      <c r="BK87" s="63"/>
      <c r="BL87" s="796" t="s">
        <v>1631</v>
      </c>
      <c r="BM87" s="72">
        <f t="shared" ref="BM87" ca="1" si="1178">($M87=BL87)*$D$14</f>
        <v>0</v>
      </c>
      <c r="BN87" s="63"/>
      <c r="BO87" s="816" t="s">
        <v>1631</v>
      </c>
      <c r="BP87" s="72">
        <f t="shared" ref="BP87" ca="1" si="1179">($M87=BO87)*$D$14</f>
        <v>0</v>
      </c>
      <c r="BQ87" s="63"/>
      <c r="BR87" s="796" t="s">
        <v>1631</v>
      </c>
      <c r="BS87" s="72">
        <f t="shared" ref="BS87" ca="1" si="1180">($M87=BR87)*$D$14</f>
        <v>0</v>
      </c>
      <c r="BT87" s="63"/>
      <c r="BU87" s="796" t="s">
        <v>1841</v>
      </c>
      <c r="BV87" s="72">
        <f t="shared" ref="BV87" ca="1" si="1181">($M87=BU87)*$D$14</f>
        <v>0</v>
      </c>
      <c r="BW87" s="63"/>
      <c r="BX87" s="73" t="s">
        <v>1631</v>
      </c>
      <c r="BY87" s="72">
        <f t="shared" ref="BY87" ca="1" si="1182">($M87=BX87)*$D$14</f>
        <v>0</v>
      </c>
      <c r="BZ87" s="63"/>
      <c r="CA87" s="816" t="s">
        <v>1631</v>
      </c>
      <c r="CB87" s="72">
        <f t="shared" ref="CB87" ca="1" si="1183">($M87=CA87)*$D$14</f>
        <v>0</v>
      </c>
      <c r="CC87" s="63"/>
      <c r="CD87" s="825" t="s">
        <v>1631</v>
      </c>
      <c r="CE87" s="72">
        <f t="shared" ref="CE87" ca="1" si="1184">($M87=CD87)*$D$14</f>
        <v>0</v>
      </c>
      <c r="CF87" s="63"/>
      <c r="CG87" s="796" t="s">
        <v>1631</v>
      </c>
      <c r="CH87" s="72">
        <f t="shared" ref="CH87" ca="1" si="1185">($M87=CG87)*$D$14</f>
        <v>0</v>
      </c>
      <c r="CI87" s="63"/>
      <c r="CJ87" s="796" t="s">
        <v>1631</v>
      </c>
      <c r="CK87" s="72">
        <f t="shared" ref="CK87" ca="1" si="1186">($M87=CJ87)*$D$14</f>
        <v>0</v>
      </c>
      <c r="CL87" s="63"/>
      <c r="CM87" s="796" t="s">
        <v>1631</v>
      </c>
      <c r="CN87" s="72">
        <f t="shared" ref="CN87" ca="1" si="1187">($M87=CM87)*$D$14</f>
        <v>0</v>
      </c>
      <c r="CO87" s="63"/>
      <c r="CP87" s="796" t="s">
        <v>1631</v>
      </c>
      <c r="CQ87" s="72">
        <f t="shared" ref="CQ87" ca="1" si="1188">($M87=CP87)*$D$14</f>
        <v>0</v>
      </c>
      <c r="CR87" s="63"/>
      <c r="CS87" s="796" t="s">
        <v>1841</v>
      </c>
      <c r="CT87" s="72">
        <f t="shared" ref="CT87" ca="1" si="1189">($M87=CS87)*$D$14</f>
        <v>0</v>
      </c>
      <c r="CU87" s="63"/>
      <c r="CV87" s="796" t="s">
        <v>1631</v>
      </c>
      <c r="CW87" s="72">
        <f t="shared" ref="CW87" ca="1" si="1190">($M87=CV87)*$D$14</f>
        <v>0</v>
      </c>
      <c r="CX87" s="63"/>
      <c r="CY87" s="796" t="s">
        <v>1631</v>
      </c>
      <c r="CZ87" s="72">
        <f t="shared" ref="CZ87" ca="1" si="1191">($M87=CY87)*$D$14</f>
        <v>0</v>
      </c>
      <c r="DA87" s="63"/>
      <c r="DB87" s="796" t="s">
        <v>1631</v>
      </c>
      <c r="DC87" s="72">
        <f t="shared" ref="DC87" ca="1" si="1192">($M87=DB87)*$D$14</f>
        <v>0</v>
      </c>
      <c r="DD87" s="63"/>
      <c r="DE87" s="796" t="s">
        <v>1631</v>
      </c>
      <c r="DF87" s="72">
        <f ca="1">($M87=DE87)*$D$14</f>
        <v>0</v>
      </c>
      <c r="DG87" s="63"/>
      <c r="DH87" s="796" t="s">
        <v>1631</v>
      </c>
      <c r="DI87" s="72">
        <f ca="1">($M87=DH87)*$D$14</f>
        <v>0</v>
      </c>
      <c r="DJ87" s="63"/>
      <c r="DK87" s="796" t="s">
        <v>1631</v>
      </c>
      <c r="DL87" s="72">
        <f ca="1">($M87=DK87)*$D$14</f>
        <v>0</v>
      </c>
      <c r="DM87" s="63"/>
      <c r="DN87" s="73"/>
      <c r="DO87" s="72">
        <f t="shared" ref="DO87" ca="1" si="1193">($M87=DN87)*$D$14</f>
        <v>0</v>
      </c>
      <c r="DP87" s="63"/>
      <c r="DQ87" s="796" t="s">
        <v>1841</v>
      </c>
      <c r="DR87" s="72">
        <f t="shared" ref="DR87" ca="1" si="1194">($M87=DQ87)*$D$14</f>
        <v>0</v>
      </c>
      <c r="DS87" s="63"/>
      <c r="DT87" s="73" t="s">
        <v>1631</v>
      </c>
      <c r="DU87" s="72">
        <f t="shared" ref="DU87" ca="1" si="1195">($M87=DT87)*$D$14</f>
        <v>0</v>
      </c>
      <c r="DV87" s="63"/>
      <c r="DW87" s="73"/>
      <c r="DX87" s="72">
        <f t="shared" ref="DX87" ca="1" si="1196">($M87=DW87)*$D$14</f>
        <v>0</v>
      </c>
      <c r="DY87" s="63"/>
      <c r="DZ87" s="73"/>
      <c r="EA87" s="72">
        <f ca="1">($M87=DZ87)*$D$14</f>
        <v>0</v>
      </c>
      <c r="EB87" s="63"/>
      <c r="EC87" s="73"/>
      <c r="ED87" s="72">
        <f t="shared" ref="ED87" ca="1" si="1197">($M87=EC87)*$D$14</f>
        <v>0</v>
      </c>
      <c r="EE87" s="63"/>
      <c r="EF87" s="73"/>
      <c r="EG87" s="72">
        <f t="shared" ref="EG87" ca="1" si="1198">($M87=EF87)*$D$14</f>
        <v>0</v>
      </c>
      <c r="EH87" s="63"/>
      <c r="EI87" s="73"/>
      <c r="EJ87" s="72">
        <f t="shared" ref="EJ87" ca="1" si="1199">($M87=EI87)*$D$14</f>
        <v>0</v>
      </c>
      <c r="EK87" s="63"/>
      <c r="EL87" s="73"/>
      <c r="EM87" s="72">
        <f t="shared" ref="EM87" ca="1" si="1200">($M87=EL87)*$D$14</f>
        <v>0</v>
      </c>
      <c r="EN87" s="63"/>
      <c r="EO87" s="73"/>
      <c r="EP87" s="72">
        <f t="shared" ref="EP87" ca="1" si="1201">($M87=EO87)*$D$14</f>
        <v>0</v>
      </c>
      <c r="EQ87" s="63"/>
      <c r="ER87" s="73"/>
      <c r="ES87" s="72">
        <f t="shared" ref="ES87" ca="1" si="1202">($M87=ER87)*$D$14</f>
        <v>0</v>
      </c>
      <c r="ET87" s="63"/>
      <c r="EU87" s="73"/>
      <c r="EV87" s="72">
        <f t="shared" ref="EV87" ca="1" si="1203">($M87=EU87)*$D$14</f>
        <v>0</v>
      </c>
      <c r="EW87" s="63"/>
      <c r="EX87" s="73"/>
      <c r="EY87" s="72">
        <f t="shared" ref="EY87" ca="1" si="1204">($M87=EX87)*$D$14</f>
        <v>0</v>
      </c>
      <c r="EZ87" s="63"/>
      <c r="FA87" s="73"/>
      <c r="FB87" s="72">
        <f t="shared" ref="FB87" ca="1" si="1205">($M87=FA87)*$D$14</f>
        <v>0</v>
      </c>
      <c r="FC87" s="63"/>
      <c r="FD87" s="73"/>
      <c r="FE87" s="72">
        <f t="shared" ref="FE87" ca="1" si="1206">($M87=FD87)*$D$14</f>
        <v>0</v>
      </c>
      <c r="FF87" s="63"/>
      <c r="FG87" s="73"/>
      <c r="FH87" s="72">
        <f t="shared" ref="FH87" ca="1" si="1207">($M87=FG87)*$D$14</f>
        <v>0</v>
      </c>
      <c r="FI87" s="63"/>
      <c r="FJ87" s="73"/>
      <c r="FK87" s="72">
        <f t="shared" ref="FK87" ca="1" si="1208">($M87=FJ87)*$D$14</f>
        <v>0</v>
      </c>
      <c r="FL87" s="63"/>
      <c r="FM87" s="73"/>
      <c r="FN87" s="72">
        <f t="shared" ref="FN87" ca="1" si="1209">($M87=FM87)*$D$14</f>
        <v>0</v>
      </c>
      <c r="FO87" s="63"/>
      <c r="FP87" s="73"/>
      <c r="FQ87" s="72">
        <f t="shared" ref="FQ87" ca="1" si="1210">($M87=FP87)*$D$14</f>
        <v>0</v>
      </c>
      <c r="FR87" s="63"/>
      <c r="FS87" s="73"/>
      <c r="FT87" s="72">
        <f t="shared" ref="FT87" ca="1" si="1211">($M87=FS87)*$D$14</f>
        <v>0</v>
      </c>
      <c r="FU87" s="63"/>
      <c r="FV87" s="73"/>
      <c r="FW87" s="72">
        <f t="shared" ref="FW87" ca="1" si="1212">($M87=FV87)*$D$14</f>
        <v>0</v>
      </c>
      <c r="FX87" s="63"/>
      <c r="FY87" s="73"/>
      <c r="FZ87" s="72">
        <f t="shared" ref="FZ87" ca="1" si="1213">($M87=FY87)*$D$14</f>
        <v>0</v>
      </c>
      <c r="GA87" s="63"/>
      <c r="GB87" s="73"/>
      <c r="GC87" s="72">
        <f t="shared" ref="GC87" ca="1" si="1214">($M87=GB87)*$D$14</f>
        <v>0</v>
      </c>
      <c r="GD87" s="63"/>
      <c r="GE87" s="73"/>
      <c r="GF87" s="72">
        <f t="shared" ref="GF87" ca="1" si="1215">($M87=GE87)*$D$14</f>
        <v>0</v>
      </c>
      <c r="GG87" s="63"/>
      <c r="GH87" s="73"/>
      <c r="GI87" s="72">
        <f t="shared" ref="GI87" ca="1" si="1216">($M87=GH87)*$D$14</f>
        <v>0</v>
      </c>
      <c r="GJ87" s="63"/>
      <c r="GK87" s="73"/>
      <c r="GL87" s="72">
        <f t="shared" ref="GL87" ca="1" si="1217">($M87=GK87)*$D$14</f>
        <v>0</v>
      </c>
      <c r="GM87" s="63"/>
      <c r="GN87" s="73"/>
      <c r="GO87" s="72">
        <f t="shared" ref="GO87" ca="1" si="1218">($M87=GN87)*$D$14</f>
        <v>0</v>
      </c>
      <c r="GP87" s="63"/>
      <c r="GQ87" s="73"/>
      <c r="GR87" s="72">
        <f t="shared" ref="GR87" ca="1" si="1219">($M87=GQ87)*$D$14</f>
        <v>0</v>
      </c>
      <c r="GS87" s="63"/>
      <c r="GT87" s="73"/>
      <c r="GU87" s="72">
        <f t="shared" ref="GU87" ca="1" si="1220">($M87=GT87)*$D$14</f>
        <v>0</v>
      </c>
      <c r="GV87" s="63"/>
      <c r="GW87" s="73"/>
      <c r="GX87" s="72">
        <f t="shared" ref="GX87" ca="1" si="1221">($M87=GW87)*$D$14</f>
        <v>0</v>
      </c>
      <c r="GY87" s="63"/>
      <c r="GZ87" s="73"/>
      <c r="HA87" s="72">
        <f t="shared" ref="HA87" ca="1" si="1222">($M87=GZ87)*$D$14</f>
        <v>0</v>
      </c>
      <c r="HB87" s="63"/>
      <c r="HC87" s="73"/>
      <c r="HD87" s="72">
        <f t="shared" ref="HD87" ca="1" si="1223">($M87=HC87)*$D$14</f>
        <v>0</v>
      </c>
      <c r="HE87" s="63"/>
      <c r="HF87" s="73"/>
      <c r="HG87" s="72">
        <f t="shared" ref="HG87" ca="1" si="1224">($M87=HF87)*$D$14</f>
        <v>0</v>
      </c>
      <c r="HH87" s="63"/>
      <c r="HI87" s="73"/>
      <c r="HJ87" s="72">
        <f t="shared" ref="HJ87" ca="1" si="1225">($M87=HI87)*$D$14</f>
        <v>0</v>
      </c>
      <c r="HK87" s="63"/>
      <c r="HL87" s="73"/>
      <c r="HM87" s="72">
        <f t="shared" ref="HM87" ca="1" si="1226">($M87=HL87)*$D$14</f>
        <v>0</v>
      </c>
      <c r="HN87" s="63"/>
      <c r="HO87" s="73"/>
      <c r="HP87" s="72">
        <f t="shared" ref="HP87" ca="1" si="1227">($M87=HO87)*$D$14</f>
        <v>0</v>
      </c>
      <c r="HQ87" s="63"/>
      <c r="HR87" s="73"/>
      <c r="HS87" s="72">
        <f t="shared" ref="HS87" ca="1" si="1228">($M87=HR87)*$D$14</f>
        <v>0</v>
      </c>
      <c r="HT87" s="63"/>
      <c r="HU87" s="73"/>
      <c r="HV87" s="72">
        <f t="shared" ref="HV87" ca="1" si="1229">($M87=HU87)*$D$14</f>
        <v>0</v>
      </c>
      <c r="HW87" s="63"/>
      <c r="HX87" s="73"/>
      <c r="HY87" s="72">
        <f t="shared" ref="HY87" ca="1" si="1230">($M87=HX87)*$D$14</f>
        <v>0</v>
      </c>
      <c r="HZ87" s="63"/>
      <c r="IA87" s="73"/>
      <c r="IB87" s="72">
        <f t="shared" ref="IB87" ca="1" si="1231">($M87=IA87)*$D$14</f>
        <v>0</v>
      </c>
      <c r="IC87" s="63"/>
      <c r="ID87" s="73"/>
      <c r="IE87" s="72">
        <f t="shared" ref="IE87" ca="1" si="1232">($M87=ID87)*$D$14</f>
        <v>0</v>
      </c>
      <c r="IF87" s="63"/>
      <c r="IG87" s="73"/>
      <c r="IH87" s="72">
        <f t="shared" ref="IH87" ca="1" si="1233">($M87=IG87)*$D$14</f>
        <v>0</v>
      </c>
      <c r="II87" s="63"/>
      <c r="IJ87" s="73"/>
      <c r="IK87" s="72">
        <f t="shared" ref="IK87" ca="1" si="1234">($M87=IJ87)*$D$14</f>
        <v>0</v>
      </c>
      <c r="IL87" s="63"/>
      <c r="IM87" s="73"/>
      <c r="IN87" s="72">
        <f t="shared" ref="IN87" ca="1" si="1235">($M87=IM87)*$D$14</f>
        <v>0</v>
      </c>
      <c r="IO87" s="63"/>
      <c r="IP87" s="73"/>
      <c r="IQ87" s="72">
        <f t="shared" ref="IQ87" ca="1" si="1236">($M87=IP87)*$D$14</f>
        <v>0</v>
      </c>
      <c r="IR87" s="63"/>
      <c r="IS87" s="73"/>
      <c r="IT87" s="72">
        <f t="shared" ref="IT87" ca="1" si="1237">($M87=IS87)*$D$14</f>
        <v>0</v>
      </c>
      <c r="IU87" s="63"/>
      <c r="IV87" s="73"/>
      <c r="IW87" s="72">
        <f t="shared" ref="IW87" ca="1" si="1238">($M87=IV87)*$D$14</f>
        <v>0</v>
      </c>
      <c r="IX87" s="63"/>
      <c r="IY87" s="73"/>
      <c r="IZ87" s="72">
        <f t="shared" ref="IZ87" ca="1" si="1239">($M87=IY87)*$D$14</f>
        <v>0</v>
      </c>
      <c r="JA87" s="63"/>
      <c r="JB87" s="73"/>
      <c r="JC87" s="72">
        <f t="shared" ref="JC87" ca="1" si="1240">($M87=JB87)*$D$14</f>
        <v>0</v>
      </c>
      <c r="JD87" s="63"/>
      <c r="JE87" s="73"/>
      <c r="JF87" s="72">
        <f t="shared" ref="JF87" ca="1" si="1241">($M87=JE87)*$D$14</f>
        <v>0</v>
      </c>
      <c r="JG87" s="63"/>
      <c r="JH87" s="73"/>
      <c r="JI87" s="72">
        <f t="shared" ref="JI87" ca="1" si="1242">($M87=JH87)*$D$14</f>
        <v>0</v>
      </c>
      <c r="JJ87" s="63"/>
      <c r="JK87" s="73"/>
      <c r="JL87" s="72">
        <f t="shared" ref="JL87" ca="1" si="1243">($M87=JK87)*$D$14</f>
        <v>0</v>
      </c>
      <c r="JM87" s="63"/>
      <c r="JN87" s="73"/>
      <c r="JO87" s="72">
        <f t="shared" ref="JO87" ca="1" si="1244">($M87=JN87)*$D$14</f>
        <v>0</v>
      </c>
      <c r="JP87" s="63"/>
      <c r="JQ87" s="73"/>
      <c r="JR87" s="72">
        <f t="shared" ref="JR87" ca="1" si="1245">($M87=JQ87)*$D$14</f>
        <v>0</v>
      </c>
      <c r="JS87" s="63"/>
      <c r="JT87" s="73"/>
      <c r="JU87" s="72">
        <f t="shared" ref="JU87" ca="1" si="1246">($M87=JT87)*$D$14</f>
        <v>0</v>
      </c>
      <c r="JV87" s="63"/>
      <c r="JW87" s="73"/>
      <c r="JX87" s="72">
        <f t="shared" ref="JX87" ca="1" si="1247">($M87=JW87)*$D$14</f>
        <v>0</v>
      </c>
      <c r="JY87" s="63"/>
      <c r="JZ87" s="73"/>
      <c r="KA87" s="72">
        <f t="shared" ref="KA87" ca="1" si="1248">($M87=JZ87)*$D$14</f>
        <v>0</v>
      </c>
      <c r="KB87" s="63"/>
      <c r="KC87" s="73"/>
      <c r="KD87" s="72">
        <f t="shared" ref="KD87" ca="1" si="1249">($M87=KC87)*$D$14</f>
        <v>0</v>
      </c>
      <c r="KE87" s="63"/>
      <c r="KF87" s="73"/>
      <c r="KG87" s="72">
        <f t="shared" ref="KG87" ca="1" si="1250">($M87=KF87)*$D$14</f>
        <v>0</v>
      </c>
      <c r="KH87" s="63"/>
      <c r="KI87" s="73"/>
      <c r="KJ87" s="72">
        <f t="shared" ref="KJ87" ca="1" si="1251">($M87=KI87)*$D$14</f>
        <v>0</v>
      </c>
      <c r="KK87" s="63"/>
      <c r="KL87" s="73"/>
      <c r="KM87" s="72">
        <f t="shared" ref="KM87" ca="1" si="1252">($M87=KL87)*$D$14</f>
        <v>0</v>
      </c>
      <c r="KN87" s="63"/>
      <c r="KO87" s="73"/>
      <c r="KP87" s="72">
        <f t="shared" ref="KP87" ca="1" si="1253">($M87=KO87)*$D$14</f>
        <v>0</v>
      </c>
      <c r="KQ87" s="63"/>
      <c r="KR87" s="73"/>
      <c r="KS87" s="72">
        <f t="shared" ref="KS87" ca="1" si="1254">($M87=KR87)*$D$14</f>
        <v>0</v>
      </c>
      <c r="KT87" s="63"/>
      <c r="KU87" s="73"/>
      <c r="KV87" s="72">
        <f t="shared" ref="KV87" ca="1" si="1255">($M87=KU87)*$D$14</f>
        <v>0</v>
      </c>
      <c r="KW87" s="63"/>
      <c r="KX87" s="73"/>
      <c r="KY87" s="72">
        <f t="shared" ref="KY87" ca="1" si="1256">($M87=KX87)*$D$14</f>
        <v>0</v>
      </c>
      <c r="KZ87" s="63"/>
      <c r="LA87" s="73"/>
      <c r="LB87" s="72">
        <f t="shared" ref="LB87" ca="1" si="1257">($M87=LA87)*$D$14</f>
        <v>0</v>
      </c>
      <c r="LC87" s="63"/>
      <c r="LD87" s="73"/>
      <c r="LE87" s="72">
        <f t="shared" ref="LE87" ca="1" si="1258">($M87=LD87)*$D$14</f>
        <v>0</v>
      </c>
      <c r="LF87" s="63"/>
    </row>
    <row r="88" spans="1:318" s="784" customFormat="1">
      <c r="A88" s="49"/>
      <c r="B88" s="49"/>
      <c r="C88" s="49"/>
      <c r="D88" s="49"/>
      <c r="E88" s="109"/>
      <c r="F88" s="125">
        <f t="shared" ref="F88" si="1259">$D$11</f>
        <v>20</v>
      </c>
      <c r="G88" s="443">
        <f ca="1">VLOOKUP(H88,Equipos!$Q$1:$R$25,2,0)</f>
        <v>14</v>
      </c>
      <c r="H88" s="444">
        <f ca="1">$H$58</f>
        <v>46197</v>
      </c>
      <c r="I88" s="50"/>
      <c r="J88" s="846" t="s">
        <v>2</v>
      </c>
      <c r="K88" s="56" t="str">
        <f>Idiomas!D158</f>
        <v>1º GRUPO C</v>
      </c>
      <c r="L88" s="53"/>
      <c r="M88" s="55" t="str">
        <f ca="1">IF(OR(SUM(WORLDCUP!$AN$22:$AN$25)=12,WORLDCUP!$AJ$99=144),WORLDCUP!AL22,LEFT(K88,1)&amp;RIGHT(K88,1))</f>
        <v>1C</v>
      </c>
      <c r="N88" s="25"/>
      <c r="O88" s="25"/>
      <c r="P88" s="25"/>
      <c r="Q88" s="25"/>
      <c r="R88" s="108"/>
      <c r="S88" s="796" t="s">
        <v>1258</v>
      </c>
      <c r="T88" s="72">
        <f t="shared" ref="T88" ca="1" si="1260">($M88=S88)*$D$11</f>
        <v>0</v>
      </c>
      <c r="U88" s="63"/>
      <c r="V88" s="73" t="s">
        <v>1258</v>
      </c>
      <c r="W88" s="72">
        <f t="shared" ref="W88" ca="1" si="1261">($M88=V88)*$D$11</f>
        <v>0</v>
      </c>
      <c r="X88" s="63"/>
      <c r="Y88" s="796" t="s">
        <v>1321</v>
      </c>
      <c r="Z88" s="72">
        <f t="shared" ref="Z88" ca="1" si="1262">($M88=Y88)*$D$11</f>
        <v>0</v>
      </c>
      <c r="AA88" s="63"/>
      <c r="AB88" s="796" t="s">
        <v>1258</v>
      </c>
      <c r="AC88" s="72">
        <f t="shared" ref="AC88" ca="1" si="1263">($M88=AB88)*$D$11</f>
        <v>0</v>
      </c>
      <c r="AD88" s="63"/>
      <c r="AE88" s="796" t="s">
        <v>1258</v>
      </c>
      <c r="AF88" s="72">
        <f t="shared" ref="AF88" ca="1" si="1264">($M88=AE88)*$D$11</f>
        <v>0</v>
      </c>
      <c r="AG88" s="63"/>
      <c r="AH88" s="796" t="s">
        <v>1321</v>
      </c>
      <c r="AI88" s="72">
        <f t="shared" ref="AI88" ca="1" si="1265">($M88=AH88)*$D$11</f>
        <v>0</v>
      </c>
      <c r="AJ88" s="63"/>
      <c r="AK88" s="806" t="s">
        <v>1258</v>
      </c>
      <c r="AL88" s="72">
        <f t="shared" ref="AL88" ca="1" si="1266">($M88=AK88)*$D$11</f>
        <v>0</v>
      </c>
      <c r="AM88" s="63"/>
      <c r="AN88" s="796" t="s">
        <v>1321</v>
      </c>
      <c r="AO88" s="72">
        <f t="shared" ref="AO88" ca="1" si="1267">($M88=AN88)*$D$11</f>
        <v>0</v>
      </c>
      <c r="AP88" s="63"/>
      <c r="AQ88" s="806" t="s">
        <v>1258</v>
      </c>
      <c r="AR88" s="72">
        <f t="shared" ref="AR88" ca="1" si="1268">($M88=AQ88)*$D$11</f>
        <v>0</v>
      </c>
      <c r="AS88" s="63"/>
      <c r="AT88" s="796" t="s">
        <v>1258</v>
      </c>
      <c r="AU88" s="72">
        <f t="shared" ref="AU88" ca="1" si="1269">($M88=AT88)*$D$11</f>
        <v>0</v>
      </c>
      <c r="AV88" s="63"/>
      <c r="AW88" s="796" t="s">
        <v>1258</v>
      </c>
      <c r="AX88" s="72">
        <f t="shared" ref="AX88" ca="1" si="1270">($M88=AW88)*$D$11</f>
        <v>0</v>
      </c>
      <c r="AY88" s="63"/>
      <c r="AZ88" s="796" t="s">
        <v>1728</v>
      </c>
      <c r="BA88" s="72">
        <f t="shared" ref="BA88" ca="1" si="1271">($M88=AZ88)*$D$11</f>
        <v>0</v>
      </c>
      <c r="BB88" s="63"/>
      <c r="BC88" s="796" t="s">
        <v>1258</v>
      </c>
      <c r="BD88" s="72">
        <f t="shared" ref="BD88" ca="1" si="1272">($M88=BC88)*$D$11</f>
        <v>0</v>
      </c>
      <c r="BE88" s="63"/>
      <c r="BF88" s="796" t="s">
        <v>1258</v>
      </c>
      <c r="BG88" s="72">
        <f t="shared" ref="BG88" ca="1" si="1273">($M88=BF88)*$D$11</f>
        <v>0</v>
      </c>
      <c r="BH88" s="63"/>
      <c r="BI88" s="796" t="s">
        <v>1258</v>
      </c>
      <c r="BJ88" s="72">
        <f t="shared" ref="BJ88" ca="1" si="1274">($M88=BI88)*$D$11</f>
        <v>0</v>
      </c>
      <c r="BK88" s="63"/>
      <c r="BL88" s="796" t="s">
        <v>1258</v>
      </c>
      <c r="BM88" s="72">
        <f t="shared" ref="BM88" ca="1" si="1275">($M88=BL88)*$D$11</f>
        <v>0</v>
      </c>
      <c r="BN88" s="63"/>
      <c r="BO88" s="816" t="s">
        <v>1258</v>
      </c>
      <c r="BP88" s="72">
        <f t="shared" ref="BP88" ca="1" si="1276">($M88=BO88)*$D$11</f>
        <v>0</v>
      </c>
      <c r="BQ88" s="63"/>
      <c r="BR88" s="796" t="s">
        <v>1258</v>
      </c>
      <c r="BS88" s="72">
        <f t="shared" ref="BS88" ca="1" si="1277">($M88=BR88)*$D$11</f>
        <v>0</v>
      </c>
      <c r="BT88" s="63"/>
      <c r="BU88" s="796" t="s">
        <v>1258</v>
      </c>
      <c r="BV88" s="72">
        <f t="shared" ref="BV88" ca="1" si="1278">($M88=BU88)*$D$11</f>
        <v>0</v>
      </c>
      <c r="BW88" s="63"/>
      <c r="BX88" s="73" t="s">
        <v>1258</v>
      </c>
      <c r="BY88" s="72">
        <f t="shared" ref="BY88" ca="1" si="1279">($M88=BX88)*$D$11</f>
        <v>0</v>
      </c>
      <c r="BZ88" s="63"/>
      <c r="CA88" s="816" t="s">
        <v>1258</v>
      </c>
      <c r="CB88" s="72">
        <f t="shared" ref="CB88" ca="1" si="1280">($M88=CA88)*$D$11</f>
        <v>0</v>
      </c>
      <c r="CC88" s="63"/>
      <c r="CD88" s="825" t="s">
        <v>1258</v>
      </c>
      <c r="CE88" s="72">
        <f t="shared" ref="CE88" ca="1" si="1281">($M88=CD88)*$D$11</f>
        <v>0</v>
      </c>
      <c r="CF88" s="63"/>
      <c r="CG88" s="796" t="s">
        <v>1258</v>
      </c>
      <c r="CH88" s="72">
        <f t="shared" ref="CH88" ca="1" si="1282">($M88=CG88)*$D$11</f>
        <v>0</v>
      </c>
      <c r="CI88" s="63"/>
      <c r="CJ88" s="796" t="s">
        <v>1258</v>
      </c>
      <c r="CK88" s="72">
        <f t="shared" ref="CK88" ca="1" si="1283">($M88=CJ88)*$D$11</f>
        <v>0</v>
      </c>
      <c r="CL88" s="63"/>
      <c r="CM88" s="796" t="s">
        <v>1321</v>
      </c>
      <c r="CN88" s="72">
        <f t="shared" ref="CN88" ca="1" si="1284">($M88=CM88)*$D$11</f>
        <v>0</v>
      </c>
      <c r="CO88" s="63"/>
      <c r="CP88" s="796" t="s">
        <v>1258</v>
      </c>
      <c r="CQ88" s="72">
        <f t="shared" ref="CQ88" ca="1" si="1285">($M88=CP88)*$D$11</f>
        <v>0</v>
      </c>
      <c r="CR88" s="63"/>
      <c r="CS88" s="796" t="s">
        <v>1258</v>
      </c>
      <c r="CT88" s="72">
        <f t="shared" ref="CT88" ca="1" si="1286">($M88=CS88)*$D$11</f>
        <v>0</v>
      </c>
      <c r="CU88" s="63"/>
      <c r="CV88" s="796" t="s">
        <v>1321</v>
      </c>
      <c r="CW88" s="72">
        <f t="shared" ref="CW88" ca="1" si="1287">($M88=CV88)*$D$11</f>
        <v>0</v>
      </c>
      <c r="CX88" s="63"/>
      <c r="CY88" s="796" t="s">
        <v>1258</v>
      </c>
      <c r="CZ88" s="72">
        <f t="shared" ref="CZ88" ca="1" si="1288">($M88=CY88)*$D$11</f>
        <v>0</v>
      </c>
      <c r="DA88" s="63"/>
      <c r="DB88" s="796" t="s">
        <v>1258</v>
      </c>
      <c r="DC88" s="72">
        <f t="shared" ref="DC88" ca="1" si="1289">($M88=DB88)*$D$11</f>
        <v>0</v>
      </c>
      <c r="DD88" s="63"/>
      <c r="DE88" s="796" t="s">
        <v>1258</v>
      </c>
      <c r="DF88" s="72">
        <f ca="1">($M88=DE88)*$D$11</f>
        <v>0</v>
      </c>
      <c r="DG88" s="63"/>
      <c r="DH88" s="796" t="s">
        <v>1321</v>
      </c>
      <c r="DI88" s="72">
        <f ca="1">($M88=DH88)*$D$11</f>
        <v>0</v>
      </c>
      <c r="DJ88" s="63"/>
      <c r="DK88" s="796" t="s">
        <v>1258</v>
      </c>
      <c r="DL88" s="72">
        <f ca="1">($M88=DK88)*$D$11</f>
        <v>0</v>
      </c>
      <c r="DM88" s="63"/>
      <c r="DN88" s="73"/>
      <c r="DO88" s="72">
        <f t="shared" ref="DO88" ca="1" si="1290">($M88=DN88)*$D$11</f>
        <v>0</v>
      </c>
      <c r="DP88" s="63"/>
      <c r="DQ88" s="796" t="s">
        <v>1258</v>
      </c>
      <c r="DR88" s="72">
        <f t="shared" ref="DR88" ca="1" si="1291">($M88=DQ88)*$D$11</f>
        <v>0</v>
      </c>
      <c r="DS88" s="63"/>
      <c r="DT88" s="73" t="s">
        <v>1258</v>
      </c>
      <c r="DU88" s="72">
        <f t="shared" ref="DU88" ca="1" si="1292">($M88=DT88)*$D$11</f>
        <v>0</v>
      </c>
      <c r="DV88" s="63"/>
      <c r="DW88" s="73"/>
      <c r="DX88" s="72">
        <f t="shared" ref="DX88" ca="1" si="1293">($M88=DW88)*$D$11</f>
        <v>0</v>
      </c>
      <c r="DY88" s="63"/>
      <c r="DZ88" s="73"/>
      <c r="EA88" s="72">
        <f ca="1">($M88=DZ88)*$D$11</f>
        <v>0</v>
      </c>
      <c r="EB88" s="63"/>
      <c r="EC88" s="73"/>
      <c r="ED88" s="72">
        <f t="shared" ref="ED88" ca="1" si="1294">($M88=EC88)*$D$11</f>
        <v>0</v>
      </c>
      <c r="EE88" s="63"/>
      <c r="EF88" s="73"/>
      <c r="EG88" s="72">
        <f t="shared" ref="EG88" ca="1" si="1295">($M88=EF88)*$D$11</f>
        <v>0</v>
      </c>
      <c r="EH88" s="63"/>
      <c r="EI88" s="73"/>
      <c r="EJ88" s="72">
        <f t="shared" ref="EJ88" ca="1" si="1296">($M88=EI88)*$D$11</f>
        <v>0</v>
      </c>
      <c r="EK88" s="63"/>
      <c r="EL88" s="73"/>
      <c r="EM88" s="72">
        <f t="shared" ref="EM88" ca="1" si="1297">($M88=EL88)*$D$11</f>
        <v>0</v>
      </c>
      <c r="EN88" s="63"/>
      <c r="EO88" s="73"/>
      <c r="EP88" s="72">
        <f t="shared" ref="EP88" ca="1" si="1298">($M88=EO88)*$D$11</f>
        <v>0</v>
      </c>
      <c r="EQ88" s="63"/>
      <c r="ER88" s="73"/>
      <c r="ES88" s="72">
        <f t="shared" ref="ES88" ca="1" si="1299">($M88=ER88)*$D$11</f>
        <v>0</v>
      </c>
      <c r="ET88" s="63"/>
      <c r="EU88" s="73"/>
      <c r="EV88" s="72">
        <f t="shared" ref="EV88" ca="1" si="1300">($M88=EU88)*$D$11</f>
        <v>0</v>
      </c>
      <c r="EW88" s="63"/>
      <c r="EX88" s="73"/>
      <c r="EY88" s="72">
        <f t="shared" ref="EY88" ca="1" si="1301">($M88=EX88)*$D$11</f>
        <v>0</v>
      </c>
      <c r="EZ88" s="63"/>
      <c r="FA88" s="73"/>
      <c r="FB88" s="72">
        <f t="shared" ref="FB88" ca="1" si="1302">($M88=FA88)*$D$11</f>
        <v>0</v>
      </c>
      <c r="FC88" s="63"/>
      <c r="FD88" s="73"/>
      <c r="FE88" s="72">
        <f t="shared" ref="FE88" ca="1" si="1303">($M88=FD88)*$D$11</f>
        <v>0</v>
      </c>
      <c r="FF88" s="63"/>
      <c r="FG88" s="73"/>
      <c r="FH88" s="72">
        <f t="shared" ref="FH88" ca="1" si="1304">($M88=FG88)*$D$11</f>
        <v>0</v>
      </c>
      <c r="FI88" s="63"/>
      <c r="FJ88" s="73"/>
      <c r="FK88" s="72">
        <f t="shared" ref="FK88" ca="1" si="1305">($M88=FJ88)*$D$11</f>
        <v>0</v>
      </c>
      <c r="FL88" s="63"/>
      <c r="FM88" s="73"/>
      <c r="FN88" s="72">
        <f t="shared" ref="FN88" ca="1" si="1306">($M88=FM88)*$D$11</f>
        <v>0</v>
      </c>
      <c r="FO88" s="63"/>
      <c r="FP88" s="73"/>
      <c r="FQ88" s="72">
        <f t="shared" ref="FQ88" ca="1" si="1307">($M88=FP88)*$D$11</f>
        <v>0</v>
      </c>
      <c r="FR88" s="63"/>
      <c r="FS88" s="73"/>
      <c r="FT88" s="72">
        <f t="shared" ref="FT88" ca="1" si="1308">($M88=FS88)*$D$11</f>
        <v>0</v>
      </c>
      <c r="FU88" s="63"/>
      <c r="FV88" s="73"/>
      <c r="FW88" s="72">
        <f t="shared" ref="FW88" ca="1" si="1309">($M88=FV88)*$D$11</f>
        <v>0</v>
      </c>
      <c r="FX88" s="63"/>
      <c r="FY88" s="73"/>
      <c r="FZ88" s="72">
        <f t="shared" ref="FZ88" ca="1" si="1310">($M88=FY88)*$D$11</f>
        <v>0</v>
      </c>
      <c r="GA88" s="63"/>
      <c r="GB88" s="73"/>
      <c r="GC88" s="72">
        <f t="shared" ref="GC88" ca="1" si="1311">($M88=GB88)*$D$11</f>
        <v>0</v>
      </c>
      <c r="GD88" s="63"/>
      <c r="GE88" s="73"/>
      <c r="GF88" s="72">
        <f t="shared" ref="GF88" ca="1" si="1312">($M88=GE88)*$D$11</f>
        <v>0</v>
      </c>
      <c r="GG88" s="63"/>
      <c r="GH88" s="73"/>
      <c r="GI88" s="72">
        <f t="shared" ref="GI88" ca="1" si="1313">($M88=GH88)*$D$11</f>
        <v>0</v>
      </c>
      <c r="GJ88" s="63"/>
      <c r="GK88" s="73"/>
      <c r="GL88" s="72">
        <f t="shared" ref="GL88" ca="1" si="1314">($M88=GK88)*$D$11</f>
        <v>0</v>
      </c>
      <c r="GM88" s="63"/>
      <c r="GN88" s="73"/>
      <c r="GO88" s="72">
        <f t="shared" ref="GO88" ca="1" si="1315">($M88=GN88)*$D$11</f>
        <v>0</v>
      </c>
      <c r="GP88" s="63"/>
      <c r="GQ88" s="73"/>
      <c r="GR88" s="72">
        <f t="shared" ref="GR88" ca="1" si="1316">($M88=GQ88)*$D$11</f>
        <v>0</v>
      </c>
      <c r="GS88" s="63"/>
      <c r="GT88" s="73"/>
      <c r="GU88" s="72">
        <f t="shared" ref="GU88" ca="1" si="1317">($M88=GT88)*$D$11</f>
        <v>0</v>
      </c>
      <c r="GV88" s="63"/>
      <c r="GW88" s="73"/>
      <c r="GX88" s="72">
        <f t="shared" ref="GX88" ca="1" si="1318">($M88=GW88)*$D$11</f>
        <v>0</v>
      </c>
      <c r="GY88" s="63"/>
      <c r="GZ88" s="73"/>
      <c r="HA88" s="72">
        <f t="shared" ref="HA88" ca="1" si="1319">($M88=GZ88)*$D$11</f>
        <v>0</v>
      </c>
      <c r="HB88" s="63"/>
      <c r="HC88" s="73"/>
      <c r="HD88" s="72">
        <f t="shared" ref="HD88" ca="1" si="1320">($M88=HC88)*$D$11</f>
        <v>0</v>
      </c>
      <c r="HE88" s="63"/>
      <c r="HF88" s="73"/>
      <c r="HG88" s="72">
        <f t="shared" ref="HG88" ca="1" si="1321">($M88=HF88)*$D$11</f>
        <v>0</v>
      </c>
      <c r="HH88" s="63"/>
      <c r="HI88" s="73"/>
      <c r="HJ88" s="72">
        <f t="shared" ref="HJ88" ca="1" si="1322">($M88=HI88)*$D$11</f>
        <v>0</v>
      </c>
      <c r="HK88" s="63"/>
      <c r="HL88" s="73"/>
      <c r="HM88" s="72">
        <f t="shared" ref="HM88" ca="1" si="1323">($M88=HL88)*$D$11</f>
        <v>0</v>
      </c>
      <c r="HN88" s="63"/>
      <c r="HO88" s="73"/>
      <c r="HP88" s="72">
        <f t="shared" ref="HP88" ca="1" si="1324">($M88=HO88)*$D$11</f>
        <v>0</v>
      </c>
      <c r="HQ88" s="63"/>
      <c r="HR88" s="73"/>
      <c r="HS88" s="72">
        <f t="shared" ref="HS88" ca="1" si="1325">($M88=HR88)*$D$11</f>
        <v>0</v>
      </c>
      <c r="HT88" s="63"/>
      <c r="HU88" s="73"/>
      <c r="HV88" s="72">
        <f t="shared" ref="HV88" ca="1" si="1326">($M88=HU88)*$D$11</f>
        <v>0</v>
      </c>
      <c r="HW88" s="63"/>
      <c r="HX88" s="73"/>
      <c r="HY88" s="72">
        <f t="shared" ref="HY88" ca="1" si="1327">($M88=HX88)*$D$11</f>
        <v>0</v>
      </c>
      <c r="HZ88" s="63"/>
      <c r="IA88" s="73"/>
      <c r="IB88" s="72">
        <f t="shared" ref="IB88" ca="1" si="1328">($M88=IA88)*$D$11</f>
        <v>0</v>
      </c>
      <c r="IC88" s="63"/>
      <c r="ID88" s="73"/>
      <c r="IE88" s="72">
        <f t="shared" ref="IE88" ca="1" si="1329">($M88=ID88)*$D$11</f>
        <v>0</v>
      </c>
      <c r="IF88" s="63"/>
      <c r="IG88" s="73"/>
      <c r="IH88" s="72">
        <f t="shared" ref="IH88" ca="1" si="1330">($M88=IG88)*$D$11</f>
        <v>0</v>
      </c>
      <c r="II88" s="63"/>
      <c r="IJ88" s="73"/>
      <c r="IK88" s="72">
        <f t="shared" ref="IK88" ca="1" si="1331">($M88=IJ88)*$D$11</f>
        <v>0</v>
      </c>
      <c r="IL88" s="63"/>
      <c r="IM88" s="73"/>
      <c r="IN88" s="72">
        <f t="shared" ref="IN88" ca="1" si="1332">($M88=IM88)*$D$11</f>
        <v>0</v>
      </c>
      <c r="IO88" s="63"/>
      <c r="IP88" s="73"/>
      <c r="IQ88" s="72">
        <f t="shared" ref="IQ88" ca="1" si="1333">($M88=IP88)*$D$11</f>
        <v>0</v>
      </c>
      <c r="IR88" s="63"/>
      <c r="IS88" s="73"/>
      <c r="IT88" s="72">
        <f t="shared" ref="IT88" ca="1" si="1334">($M88=IS88)*$D$11</f>
        <v>0</v>
      </c>
      <c r="IU88" s="63"/>
      <c r="IV88" s="73"/>
      <c r="IW88" s="72">
        <f t="shared" ref="IW88" ca="1" si="1335">($M88=IV88)*$D$11</f>
        <v>0</v>
      </c>
      <c r="IX88" s="63"/>
      <c r="IY88" s="73"/>
      <c r="IZ88" s="72">
        <f t="shared" ref="IZ88" ca="1" si="1336">($M88=IY88)*$D$11</f>
        <v>0</v>
      </c>
      <c r="JA88" s="63"/>
      <c r="JB88" s="73"/>
      <c r="JC88" s="72">
        <f t="shared" ref="JC88" ca="1" si="1337">($M88=JB88)*$D$11</f>
        <v>0</v>
      </c>
      <c r="JD88" s="63"/>
      <c r="JE88" s="73"/>
      <c r="JF88" s="72">
        <f t="shared" ref="JF88" ca="1" si="1338">($M88=JE88)*$D$11</f>
        <v>0</v>
      </c>
      <c r="JG88" s="63"/>
      <c r="JH88" s="73"/>
      <c r="JI88" s="72">
        <f t="shared" ref="JI88" ca="1" si="1339">($M88=JH88)*$D$11</f>
        <v>0</v>
      </c>
      <c r="JJ88" s="63"/>
      <c r="JK88" s="73"/>
      <c r="JL88" s="72">
        <f t="shared" ref="JL88" ca="1" si="1340">($M88=JK88)*$D$11</f>
        <v>0</v>
      </c>
      <c r="JM88" s="63"/>
      <c r="JN88" s="73"/>
      <c r="JO88" s="72">
        <f t="shared" ref="JO88" ca="1" si="1341">($M88=JN88)*$D$11</f>
        <v>0</v>
      </c>
      <c r="JP88" s="63"/>
      <c r="JQ88" s="73"/>
      <c r="JR88" s="72">
        <f t="shared" ref="JR88" ca="1" si="1342">($M88=JQ88)*$D$11</f>
        <v>0</v>
      </c>
      <c r="JS88" s="63"/>
      <c r="JT88" s="73"/>
      <c r="JU88" s="72">
        <f t="shared" ref="JU88" ca="1" si="1343">($M88=JT88)*$D$11</f>
        <v>0</v>
      </c>
      <c r="JV88" s="63"/>
      <c r="JW88" s="73"/>
      <c r="JX88" s="72">
        <f t="shared" ref="JX88" ca="1" si="1344">($M88=JW88)*$D$11</f>
        <v>0</v>
      </c>
      <c r="JY88" s="63"/>
      <c r="JZ88" s="73"/>
      <c r="KA88" s="72">
        <f t="shared" ref="KA88" ca="1" si="1345">($M88=JZ88)*$D$11</f>
        <v>0</v>
      </c>
      <c r="KB88" s="63"/>
      <c r="KC88" s="73"/>
      <c r="KD88" s="72">
        <f t="shared" ref="KD88" ca="1" si="1346">($M88=KC88)*$D$11</f>
        <v>0</v>
      </c>
      <c r="KE88" s="63"/>
      <c r="KF88" s="73"/>
      <c r="KG88" s="72">
        <f t="shared" ref="KG88" ca="1" si="1347">($M88=KF88)*$D$11</f>
        <v>0</v>
      </c>
      <c r="KH88" s="63"/>
      <c r="KI88" s="73"/>
      <c r="KJ88" s="72">
        <f t="shared" ref="KJ88" ca="1" si="1348">($M88=KI88)*$D$11</f>
        <v>0</v>
      </c>
      <c r="KK88" s="63"/>
      <c r="KL88" s="73"/>
      <c r="KM88" s="72">
        <f t="shared" ref="KM88" ca="1" si="1349">($M88=KL88)*$D$11</f>
        <v>0</v>
      </c>
      <c r="KN88" s="63"/>
      <c r="KO88" s="73"/>
      <c r="KP88" s="72">
        <f t="shared" ref="KP88" ca="1" si="1350">($M88=KO88)*$D$11</f>
        <v>0</v>
      </c>
      <c r="KQ88" s="63"/>
      <c r="KR88" s="73"/>
      <c r="KS88" s="72">
        <f t="shared" ref="KS88" ca="1" si="1351">($M88=KR88)*$D$11</f>
        <v>0</v>
      </c>
      <c r="KT88" s="63"/>
      <c r="KU88" s="73"/>
      <c r="KV88" s="72">
        <f t="shared" ref="KV88" ca="1" si="1352">($M88=KU88)*$D$11</f>
        <v>0</v>
      </c>
      <c r="KW88" s="63"/>
      <c r="KX88" s="73"/>
      <c r="KY88" s="72">
        <f t="shared" ref="KY88" ca="1" si="1353">($M88=KX88)*$D$11</f>
        <v>0</v>
      </c>
      <c r="KZ88" s="63"/>
      <c r="LA88" s="73"/>
      <c r="LB88" s="72">
        <f t="shared" ref="LB88" ca="1" si="1354">($M88=LA88)*$D$11</f>
        <v>0</v>
      </c>
      <c r="LC88" s="63"/>
      <c r="LD88" s="73"/>
      <c r="LE88" s="72">
        <f t="shared" ref="LE88" ca="1" si="1355">($M88=LD88)*$D$11</f>
        <v>0</v>
      </c>
      <c r="LF88" s="63"/>
    </row>
    <row r="89" spans="1:318" s="784" customFormat="1">
      <c r="A89" s="49"/>
      <c r="B89" s="49"/>
      <c r="C89" s="49"/>
      <c r="D89" s="49"/>
      <c r="E89" s="109"/>
      <c r="F89" s="125">
        <f t="shared" ref="F89" si="1356">$D$12</f>
        <v>20</v>
      </c>
      <c r="G89" s="443">
        <f ca="1">VLOOKUP(H89,Equipos!$Q$1:$R$25,2,0)</f>
        <v>14</v>
      </c>
      <c r="H89" s="444">
        <f ca="1">$H$58</f>
        <v>46197</v>
      </c>
      <c r="I89" s="50"/>
      <c r="J89" s="846"/>
      <c r="K89" s="56" t="str">
        <f>Idiomas!D159</f>
        <v>2º GRUPO C</v>
      </c>
      <c r="L89" s="53"/>
      <c r="M89" s="55" t="str">
        <f ca="1">IF(OR(SUM(WORLDCUP!$AN$22:$AN$25)=12,WORLDCUP!$AJ$99=144),WORLDCUP!AL23,LEFT(K89,1)&amp;RIGHT(K89,1))</f>
        <v>2C</v>
      </c>
      <c r="N89" s="25"/>
      <c r="O89" s="25"/>
      <c r="P89" s="25"/>
      <c r="Q89" s="25"/>
      <c r="R89" s="108"/>
      <c r="S89" s="796" t="s">
        <v>1321</v>
      </c>
      <c r="T89" s="72">
        <f t="shared" ref="T89" ca="1" si="1357">($M89=S89)*$D$12</f>
        <v>0</v>
      </c>
      <c r="U89" s="63"/>
      <c r="V89" s="73" t="s">
        <v>1321</v>
      </c>
      <c r="W89" s="72">
        <f t="shared" ref="W89" ca="1" si="1358">($M89=V89)*$D$12</f>
        <v>0</v>
      </c>
      <c r="X89" s="63"/>
      <c r="Y89" s="796" t="s">
        <v>1258</v>
      </c>
      <c r="Z89" s="72">
        <f t="shared" ref="Z89" ca="1" si="1359">($M89=Y89)*$D$12</f>
        <v>0</v>
      </c>
      <c r="AA89" s="63"/>
      <c r="AB89" s="796" t="s">
        <v>1321</v>
      </c>
      <c r="AC89" s="72">
        <f t="shared" ref="AC89" ca="1" si="1360">($M89=AB89)*$D$12</f>
        <v>0</v>
      </c>
      <c r="AD89" s="63"/>
      <c r="AE89" s="796" t="s">
        <v>1321</v>
      </c>
      <c r="AF89" s="72">
        <f t="shared" ref="AF89" ca="1" si="1361">($M89=AE89)*$D$12</f>
        <v>0</v>
      </c>
      <c r="AG89" s="63"/>
      <c r="AH89" s="796" t="s">
        <v>1258</v>
      </c>
      <c r="AI89" s="72">
        <f t="shared" ref="AI89" ca="1" si="1362">($M89=AH89)*$D$12</f>
        <v>0</v>
      </c>
      <c r="AJ89" s="63"/>
      <c r="AK89" s="806" t="s">
        <v>1321</v>
      </c>
      <c r="AL89" s="72">
        <f t="shared" ref="AL89" ca="1" si="1363">($M89=AK89)*$D$12</f>
        <v>0</v>
      </c>
      <c r="AM89" s="63"/>
      <c r="AN89" s="796" t="s">
        <v>1258</v>
      </c>
      <c r="AO89" s="72">
        <f t="shared" ref="AO89" ca="1" si="1364">($M89=AN89)*$D$12</f>
        <v>0</v>
      </c>
      <c r="AP89" s="63"/>
      <c r="AQ89" s="806" t="s">
        <v>1321</v>
      </c>
      <c r="AR89" s="72">
        <f t="shared" ref="AR89" ca="1" si="1365">($M89=AQ89)*$D$12</f>
        <v>0</v>
      </c>
      <c r="AS89" s="63"/>
      <c r="AT89" s="796" t="s">
        <v>1321</v>
      </c>
      <c r="AU89" s="72">
        <f t="shared" ref="AU89" ca="1" si="1366">($M89=AT89)*$D$12</f>
        <v>0</v>
      </c>
      <c r="AV89" s="63"/>
      <c r="AW89" s="796" t="s">
        <v>1321</v>
      </c>
      <c r="AX89" s="72">
        <f t="shared" ref="AX89" ca="1" si="1367">($M89=AW89)*$D$12</f>
        <v>0</v>
      </c>
      <c r="AY89" s="63"/>
      <c r="AZ89" s="796" t="s">
        <v>134</v>
      </c>
      <c r="BA89" s="72">
        <f t="shared" ref="BA89" ca="1" si="1368">($M89=AZ89)*$D$12</f>
        <v>0</v>
      </c>
      <c r="BB89" s="63"/>
      <c r="BC89" s="796" t="s">
        <v>1321</v>
      </c>
      <c r="BD89" s="72">
        <f t="shared" ref="BD89" ca="1" si="1369">($M89=BC89)*$D$12</f>
        <v>0</v>
      </c>
      <c r="BE89" s="63"/>
      <c r="BF89" s="796" t="s">
        <v>1321</v>
      </c>
      <c r="BG89" s="72">
        <f t="shared" ref="BG89" ca="1" si="1370">($M89=BF89)*$D$12</f>
        <v>0</v>
      </c>
      <c r="BH89" s="63"/>
      <c r="BI89" s="796" t="s">
        <v>1321</v>
      </c>
      <c r="BJ89" s="72">
        <f t="shared" ref="BJ89" ca="1" si="1371">($M89=BI89)*$D$12</f>
        <v>0</v>
      </c>
      <c r="BK89" s="63"/>
      <c r="BL89" s="796" t="s">
        <v>1321</v>
      </c>
      <c r="BM89" s="72">
        <f t="shared" ref="BM89" ca="1" si="1372">($M89=BL89)*$D$12</f>
        <v>0</v>
      </c>
      <c r="BN89" s="63"/>
      <c r="BO89" s="816" t="s">
        <v>1321</v>
      </c>
      <c r="BP89" s="72">
        <f t="shared" ref="BP89" ca="1" si="1373">($M89=BO89)*$D$12</f>
        <v>0</v>
      </c>
      <c r="BQ89" s="63"/>
      <c r="BR89" s="796" t="s">
        <v>1321</v>
      </c>
      <c r="BS89" s="72">
        <f t="shared" ref="BS89" ca="1" si="1374">($M89=BR89)*$D$12</f>
        <v>0</v>
      </c>
      <c r="BT89" s="63"/>
      <c r="BU89" s="796" t="s">
        <v>1321</v>
      </c>
      <c r="BV89" s="72">
        <f t="shared" ref="BV89" ca="1" si="1375">($M89=BU89)*$D$12</f>
        <v>0</v>
      </c>
      <c r="BW89" s="63"/>
      <c r="BX89" s="73" t="s">
        <v>1321</v>
      </c>
      <c r="BY89" s="72">
        <f t="shared" ref="BY89" ca="1" si="1376">($M89=BX89)*$D$12</f>
        <v>0</v>
      </c>
      <c r="BZ89" s="63"/>
      <c r="CA89" s="816" t="s">
        <v>1321</v>
      </c>
      <c r="CB89" s="72">
        <f t="shared" ref="CB89" ca="1" si="1377">($M89=CA89)*$D$12</f>
        <v>0</v>
      </c>
      <c r="CC89" s="63"/>
      <c r="CD89" s="825" t="s">
        <v>1321</v>
      </c>
      <c r="CE89" s="72">
        <f t="shared" ref="CE89" ca="1" si="1378">($M89=CD89)*$D$12</f>
        <v>0</v>
      </c>
      <c r="CF89" s="63"/>
      <c r="CG89" s="796" t="s">
        <v>1321</v>
      </c>
      <c r="CH89" s="72">
        <f t="shared" ref="CH89" ca="1" si="1379">($M89=CG89)*$D$12</f>
        <v>0</v>
      </c>
      <c r="CI89" s="63"/>
      <c r="CJ89" s="796" t="s">
        <v>1321</v>
      </c>
      <c r="CK89" s="72">
        <f t="shared" ref="CK89" ca="1" si="1380">($M89=CJ89)*$D$12</f>
        <v>0</v>
      </c>
      <c r="CL89" s="63"/>
      <c r="CM89" s="796" t="s">
        <v>1258</v>
      </c>
      <c r="CN89" s="72">
        <f t="shared" ref="CN89" ca="1" si="1381">($M89=CM89)*$D$12</f>
        <v>0</v>
      </c>
      <c r="CO89" s="63"/>
      <c r="CP89" s="796" t="s">
        <v>1321</v>
      </c>
      <c r="CQ89" s="72">
        <f t="shared" ref="CQ89" ca="1" si="1382">($M89=CP89)*$D$12</f>
        <v>0</v>
      </c>
      <c r="CR89" s="63"/>
      <c r="CS89" s="796" t="s">
        <v>134</v>
      </c>
      <c r="CT89" s="72">
        <f t="shared" ref="CT89" ca="1" si="1383">($M89=CS89)*$D$12</f>
        <v>0</v>
      </c>
      <c r="CU89" s="63"/>
      <c r="CV89" s="796" t="s">
        <v>1258</v>
      </c>
      <c r="CW89" s="72">
        <f t="shared" ref="CW89" ca="1" si="1384">($M89=CV89)*$D$12</f>
        <v>0</v>
      </c>
      <c r="CX89" s="63"/>
      <c r="CY89" s="796" t="s">
        <v>1321</v>
      </c>
      <c r="CZ89" s="72">
        <f t="shared" ref="CZ89" ca="1" si="1385">($M89=CY89)*$D$12</f>
        <v>0</v>
      </c>
      <c r="DA89" s="63"/>
      <c r="DB89" s="796" t="s">
        <v>1321</v>
      </c>
      <c r="DC89" s="72">
        <f t="shared" ref="DC89" ca="1" si="1386">($M89=DB89)*$D$12</f>
        <v>0</v>
      </c>
      <c r="DD89" s="63"/>
      <c r="DE89" s="796" t="s">
        <v>1321</v>
      </c>
      <c r="DF89" s="72">
        <f ca="1">($M89=DE89)*$D$12</f>
        <v>0</v>
      </c>
      <c r="DG89" s="63"/>
      <c r="DH89" s="796" t="s">
        <v>1258</v>
      </c>
      <c r="DI89" s="72">
        <f ca="1">($M89=DH89)*$D$12</f>
        <v>0</v>
      </c>
      <c r="DJ89" s="63"/>
      <c r="DK89" s="796" t="s">
        <v>1321</v>
      </c>
      <c r="DL89" s="72">
        <f ca="1">($M89=DK89)*$D$12</f>
        <v>0</v>
      </c>
      <c r="DM89" s="63"/>
      <c r="DN89" s="73"/>
      <c r="DO89" s="72">
        <f t="shared" ref="DO89" ca="1" si="1387">($M89=DN89)*$D$12</f>
        <v>0</v>
      </c>
      <c r="DP89" s="63"/>
      <c r="DQ89" s="796" t="s">
        <v>1321</v>
      </c>
      <c r="DR89" s="72">
        <f t="shared" ref="DR89" ca="1" si="1388">($M89=DQ89)*$D$12</f>
        <v>0</v>
      </c>
      <c r="DS89" s="63"/>
      <c r="DT89" s="73" t="s">
        <v>1321</v>
      </c>
      <c r="DU89" s="72">
        <f t="shared" ref="DU89" ca="1" si="1389">($M89=DT89)*$D$12</f>
        <v>0</v>
      </c>
      <c r="DV89" s="63"/>
      <c r="DW89" s="73"/>
      <c r="DX89" s="72">
        <f t="shared" ref="DX89" ca="1" si="1390">($M89=DW89)*$D$12</f>
        <v>0</v>
      </c>
      <c r="DY89" s="63"/>
      <c r="DZ89" s="73"/>
      <c r="EA89" s="72">
        <f ca="1">($M89=DZ89)*$D$12</f>
        <v>0</v>
      </c>
      <c r="EB89" s="63"/>
      <c r="EC89" s="73"/>
      <c r="ED89" s="72">
        <f t="shared" ref="ED89" ca="1" si="1391">($M89=EC89)*$D$12</f>
        <v>0</v>
      </c>
      <c r="EE89" s="63"/>
      <c r="EF89" s="73"/>
      <c r="EG89" s="72">
        <f t="shared" ref="EG89" ca="1" si="1392">($M89=EF89)*$D$12</f>
        <v>0</v>
      </c>
      <c r="EH89" s="63"/>
      <c r="EI89" s="73"/>
      <c r="EJ89" s="72">
        <f t="shared" ref="EJ89" ca="1" si="1393">($M89=EI89)*$D$12</f>
        <v>0</v>
      </c>
      <c r="EK89" s="63"/>
      <c r="EL89" s="73"/>
      <c r="EM89" s="72">
        <f t="shared" ref="EM89" ca="1" si="1394">($M89=EL89)*$D$12</f>
        <v>0</v>
      </c>
      <c r="EN89" s="63"/>
      <c r="EO89" s="73"/>
      <c r="EP89" s="72">
        <f t="shared" ref="EP89" ca="1" si="1395">($M89=EO89)*$D$12</f>
        <v>0</v>
      </c>
      <c r="EQ89" s="63"/>
      <c r="ER89" s="73"/>
      <c r="ES89" s="72">
        <f t="shared" ref="ES89" ca="1" si="1396">($M89=ER89)*$D$12</f>
        <v>0</v>
      </c>
      <c r="ET89" s="63"/>
      <c r="EU89" s="73"/>
      <c r="EV89" s="72">
        <f t="shared" ref="EV89" ca="1" si="1397">($M89=EU89)*$D$12</f>
        <v>0</v>
      </c>
      <c r="EW89" s="63"/>
      <c r="EX89" s="73"/>
      <c r="EY89" s="72">
        <f t="shared" ref="EY89" ca="1" si="1398">($M89=EX89)*$D$12</f>
        <v>0</v>
      </c>
      <c r="EZ89" s="63"/>
      <c r="FA89" s="73"/>
      <c r="FB89" s="72">
        <f t="shared" ref="FB89" ca="1" si="1399">($M89=FA89)*$D$12</f>
        <v>0</v>
      </c>
      <c r="FC89" s="63"/>
      <c r="FD89" s="73"/>
      <c r="FE89" s="72">
        <f t="shared" ref="FE89" ca="1" si="1400">($M89=FD89)*$D$12</f>
        <v>0</v>
      </c>
      <c r="FF89" s="63"/>
      <c r="FG89" s="73"/>
      <c r="FH89" s="72">
        <f t="shared" ref="FH89" ca="1" si="1401">($M89=FG89)*$D$12</f>
        <v>0</v>
      </c>
      <c r="FI89" s="63"/>
      <c r="FJ89" s="73"/>
      <c r="FK89" s="72">
        <f t="shared" ref="FK89" ca="1" si="1402">($M89=FJ89)*$D$12</f>
        <v>0</v>
      </c>
      <c r="FL89" s="63"/>
      <c r="FM89" s="73"/>
      <c r="FN89" s="72">
        <f t="shared" ref="FN89" ca="1" si="1403">($M89=FM89)*$D$12</f>
        <v>0</v>
      </c>
      <c r="FO89" s="63"/>
      <c r="FP89" s="73"/>
      <c r="FQ89" s="72">
        <f t="shared" ref="FQ89" ca="1" si="1404">($M89=FP89)*$D$12</f>
        <v>0</v>
      </c>
      <c r="FR89" s="63"/>
      <c r="FS89" s="73"/>
      <c r="FT89" s="72">
        <f t="shared" ref="FT89" ca="1" si="1405">($M89=FS89)*$D$12</f>
        <v>0</v>
      </c>
      <c r="FU89" s="63"/>
      <c r="FV89" s="73"/>
      <c r="FW89" s="72">
        <f t="shared" ref="FW89" ca="1" si="1406">($M89=FV89)*$D$12</f>
        <v>0</v>
      </c>
      <c r="FX89" s="63"/>
      <c r="FY89" s="73"/>
      <c r="FZ89" s="72">
        <f t="shared" ref="FZ89" ca="1" si="1407">($M89=FY89)*$D$12</f>
        <v>0</v>
      </c>
      <c r="GA89" s="63"/>
      <c r="GB89" s="73"/>
      <c r="GC89" s="72">
        <f t="shared" ref="GC89" ca="1" si="1408">($M89=GB89)*$D$12</f>
        <v>0</v>
      </c>
      <c r="GD89" s="63"/>
      <c r="GE89" s="73"/>
      <c r="GF89" s="72">
        <f t="shared" ref="GF89" ca="1" si="1409">($M89=GE89)*$D$12</f>
        <v>0</v>
      </c>
      <c r="GG89" s="63"/>
      <c r="GH89" s="73"/>
      <c r="GI89" s="72">
        <f t="shared" ref="GI89" ca="1" si="1410">($M89=GH89)*$D$12</f>
        <v>0</v>
      </c>
      <c r="GJ89" s="63"/>
      <c r="GK89" s="73"/>
      <c r="GL89" s="72">
        <f t="shared" ref="GL89" ca="1" si="1411">($M89=GK89)*$D$12</f>
        <v>0</v>
      </c>
      <c r="GM89" s="63"/>
      <c r="GN89" s="73"/>
      <c r="GO89" s="72">
        <f t="shared" ref="GO89" ca="1" si="1412">($M89=GN89)*$D$12</f>
        <v>0</v>
      </c>
      <c r="GP89" s="63"/>
      <c r="GQ89" s="73"/>
      <c r="GR89" s="72">
        <f t="shared" ref="GR89" ca="1" si="1413">($M89=GQ89)*$D$12</f>
        <v>0</v>
      </c>
      <c r="GS89" s="63"/>
      <c r="GT89" s="73"/>
      <c r="GU89" s="72">
        <f t="shared" ref="GU89" ca="1" si="1414">($M89=GT89)*$D$12</f>
        <v>0</v>
      </c>
      <c r="GV89" s="63"/>
      <c r="GW89" s="73"/>
      <c r="GX89" s="72">
        <f t="shared" ref="GX89" ca="1" si="1415">($M89=GW89)*$D$12</f>
        <v>0</v>
      </c>
      <c r="GY89" s="63"/>
      <c r="GZ89" s="73"/>
      <c r="HA89" s="72">
        <f t="shared" ref="HA89" ca="1" si="1416">($M89=GZ89)*$D$12</f>
        <v>0</v>
      </c>
      <c r="HB89" s="63"/>
      <c r="HC89" s="73"/>
      <c r="HD89" s="72">
        <f t="shared" ref="HD89" ca="1" si="1417">($M89=HC89)*$D$12</f>
        <v>0</v>
      </c>
      <c r="HE89" s="63"/>
      <c r="HF89" s="73"/>
      <c r="HG89" s="72">
        <f t="shared" ref="HG89" ca="1" si="1418">($M89=HF89)*$D$12</f>
        <v>0</v>
      </c>
      <c r="HH89" s="63"/>
      <c r="HI89" s="73"/>
      <c r="HJ89" s="72">
        <f t="shared" ref="HJ89" ca="1" si="1419">($M89=HI89)*$D$12</f>
        <v>0</v>
      </c>
      <c r="HK89" s="63"/>
      <c r="HL89" s="73"/>
      <c r="HM89" s="72">
        <f t="shared" ref="HM89" ca="1" si="1420">($M89=HL89)*$D$12</f>
        <v>0</v>
      </c>
      <c r="HN89" s="63"/>
      <c r="HO89" s="73"/>
      <c r="HP89" s="72">
        <f t="shared" ref="HP89" ca="1" si="1421">($M89=HO89)*$D$12</f>
        <v>0</v>
      </c>
      <c r="HQ89" s="63"/>
      <c r="HR89" s="73"/>
      <c r="HS89" s="72">
        <f t="shared" ref="HS89" ca="1" si="1422">($M89=HR89)*$D$12</f>
        <v>0</v>
      </c>
      <c r="HT89" s="63"/>
      <c r="HU89" s="73"/>
      <c r="HV89" s="72">
        <f t="shared" ref="HV89" ca="1" si="1423">($M89=HU89)*$D$12</f>
        <v>0</v>
      </c>
      <c r="HW89" s="63"/>
      <c r="HX89" s="73"/>
      <c r="HY89" s="72">
        <f t="shared" ref="HY89" ca="1" si="1424">($M89=HX89)*$D$12</f>
        <v>0</v>
      </c>
      <c r="HZ89" s="63"/>
      <c r="IA89" s="73"/>
      <c r="IB89" s="72">
        <f t="shared" ref="IB89" ca="1" si="1425">($M89=IA89)*$D$12</f>
        <v>0</v>
      </c>
      <c r="IC89" s="63"/>
      <c r="ID89" s="73"/>
      <c r="IE89" s="72">
        <f t="shared" ref="IE89" ca="1" si="1426">($M89=ID89)*$D$12</f>
        <v>0</v>
      </c>
      <c r="IF89" s="63"/>
      <c r="IG89" s="73"/>
      <c r="IH89" s="72">
        <f t="shared" ref="IH89" ca="1" si="1427">($M89=IG89)*$D$12</f>
        <v>0</v>
      </c>
      <c r="II89" s="63"/>
      <c r="IJ89" s="73"/>
      <c r="IK89" s="72">
        <f t="shared" ref="IK89" ca="1" si="1428">($M89=IJ89)*$D$12</f>
        <v>0</v>
      </c>
      <c r="IL89" s="63"/>
      <c r="IM89" s="73"/>
      <c r="IN89" s="72">
        <f t="shared" ref="IN89" ca="1" si="1429">($M89=IM89)*$D$12</f>
        <v>0</v>
      </c>
      <c r="IO89" s="63"/>
      <c r="IP89" s="73"/>
      <c r="IQ89" s="72">
        <f t="shared" ref="IQ89" ca="1" si="1430">($M89=IP89)*$D$12</f>
        <v>0</v>
      </c>
      <c r="IR89" s="63"/>
      <c r="IS89" s="73"/>
      <c r="IT89" s="72">
        <f t="shared" ref="IT89" ca="1" si="1431">($M89=IS89)*$D$12</f>
        <v>0</v>
      </c>
      <c r="IU89" s="63"/>
      <c r="IV89" s="73"/>
      <c r="IW89" s="72">
        <f t="shared" ref="IW89" ca="1" si="1432">($M89=IV89)*$D$12</f>
        <v>0</v>
      </c>
      <c r="IX89" s="63"/>
      <c r="IY89" s="73"/>
      <c r="IZ89" s="72">
        <f t="shared" ref="IZ89" ca="1" si="1433">($M89=IY89)*$D$12</f>
        <v>0</v>
      </c>
      <c r="JA89" s="63"/>
      <c r="JB89" s="73"/>
      <c r="JC89" s="72">
        <f t="shared" ref="JC89" ca="1" si="1434">($M89=JB89)*$D$12</f>
        <v>0</v>
      </c>
      <c r="JD89" s="63"/>
      <c r="JE89" s="73"/>
      <c r="JF89" s="72">
        <f t="shared" ref="JF89" ca="1" si="1435">($M89=JE89)*$D$12</f>
        <v>0</v>
      </c>
      <c r="JG89" s="63"/>
      <c r="JH89" s="73"/>
      <c r="JI89" s="72">
        <f t="shared" ref="JI89" ca="1" si="1436">($M89=JH89)*$D$12</f>
        <v>0</v>
      </c>
      <c r="JJ89" s="63"/>
      <c r="JK89" s="73"/>
      <c r="JL89" s="72">
        <f t="shared" ref="JL89" ca="1" si="1437">($M89=JK89)*$D$12</f>
        <v>0</v>
      </c>
      <c r="JM89" s="63"/>
      <c r="JN89" s="73"/>
      <c r="JO89" s="72">
        <f t="shared" ref="JO89" ca="1" si="1438">($M89=JN89)*$D$12</f>
        <v>0</v>
      </c>
      <c r="JP89" s="63"/>
      <c r="JQ89" s="73"/>
      <c r="JR89" s="72">
        <f t="shared" ref="JR89" ca="1" si="1439">($M89=JQ89)*$D$12</f>
        <v>0</v>
      </c>
      <c r="JS89" s="63"/>
      <c r="JT89" s="73"/>
      <c r="JU89" s="72">
        <f t="shared" ref="JU89" ca="1" si="1440">($M89=JT89)*$D$12</f>
        <v>0</v>
      </c>
      <c r="JV89" s="63"/>
      <c r="JW89" s="73"/>
      <c r="JX89" s="72">
        <f t="shared" ref="JX89" ca="1" si="1441">($M89=JW89)*$D$12</f>
        <v>0</v>
      </c>
      <c r="JY89" s="63"/>
      <c r="JZ89" s="73"/>
      <c r="KA89" s="72">
        <f t="shared" ref="KA89" ca="1" si="1442">($M89=JZ89)*$D$12</f>
        <v>0</v>
      </c>
      <c r="KB89" s="63"/>
      <c r="KC89" s="73"/>
      <c r="KD89" s="72">
        <f t="shared" ref="KD89" ca="1" si="1443">($M89=KC89)*$D$12</f>
        <v>0</v>
      </c>
      <c r="KE89" s="63"/>
      <c r="KF89" s="73"/>
      <c r="KG89" s="72">
        <f t="shared" ref="KG89" ca="1" si="1444">($M89=KF89)*$D$12</f>
        <v>0</v>
      </c>
      <c r="KH89" s="63"/>
      <c r="KI89" s="73"/>
      <c r="KJ89" s="72">
        <f t="shared" ref="KJ89" ca="1" si="1445">($M89=KI89)*$D$12</f>
        <v>0</v>
      </c>
      <c r="KK89" s="63"/>
      <c r="KL89" s="73"/>
      <c r="KM89" s="72">
        <f t="shared" ref="KM89" ca="1" si="1446">($M89=KL89)*$D$12</f>
        <v>0</v>
      </c>
      <c r="KN89" s="63"/>
      <c r="KO89" s="73"/>
      <c r="KP89" s="72">
        <f t="shared" ref="KP89" ca="1" si="1447">($M89=KO89)*$D$12</f>
        <v>0</v>
      </c>
      <c r="KQ89" s="63"/>
      <c r="KR89" s="73"/>
      <c r="KS89" s="72">
        <f t="shared" ref="KS89" ca="1" si="1448">($M89=KR89)*$D$12</f>
        <v>0</v>
      </c>
      <c r="KT89" s="63"/>
      <c r="KU89" s="73"/>
      <c r="KV89" s="72">
        <f t="shared" ref="KV89" ca="1" si="1449">($M89=KU89)*$D$12</f>
        <v>0</v>
      </c>
      <c r="KW89" s="63"/>
      <c r="KX89" s="73"/>
      <c r="KY89" s="72">
        <f t="shared" ref="KY89" ca="1" si="1450">($M89=KX89)*$D$12</f>
        <v>0</v>
      </c>
      <c r="KZ89" s="63"/>
      <c r="LA89" s="73"/>
      <c r="LB89" s="72">
        <f t="shared" ref="LB89" ca="1" si="1451">($M89=LA89)*$D$12</f>
        <v>0</v>
      </c>
      <c r="LC89" s="63"/>
      <c r="LD89" s="73"/>
      <c r="LE89" s="72">
        <f t="shared" ref="LE89" ca="1" si="1452">($M89=LD89)*$D$12</f>
        <v>0</v>
      </c>
      <c r="LF89" s="63"/>
    </row>
    <row r="90" spans="1:318" s="784" customFormat="1">
      <c r="A90" s="49"/>
      <c r="B90" s="49"/>
      <c r="C90" s="49"/>
      <c r="D90" s="49"/>
      <c r="E90" s="109"/>
      <c r="F90" s="125">
        <f t="shared" ref="F90" si="1453">$D$13</f>
        <v>20</v>
      </c>
      <c r="G90" s="443">
        <f ca="1">VLOOKUP(H90,Equipos!$Q$1:$R$25,2,0)</f>
        <v>14</v>
      </c>
      <c r="H90" s="444">
        <f ca="1">$H$58</f>
        <v>46197</v>
      </c>
      <c r="I90" s="50"/>
      <c r="J90" s="846"/>
      <c r="K90" s="56" t="str">
        <f>Idiomas!D160</f>
        <v>3º GRUPO C</v>
      </c>
      <c r="L90" s="53"/>
      <c r="M90" s="55" t="str">
        <f ca="1">IF(OR(SUM(WORLDCUP!$AN$22:$AN$25)=12,WORLDCUP!$AJ$99=144),WORLDCUP!AL24,LEFT(K90,1)&amp;RIGHT(K90,1))</f>
        <v>3C</v>
      </c>
      <c r="N90" s="25"/>
      <c r="O90" s="25"/>
      <c r="P90" s="25"/>
      <c r="Q90" s="25"/>
      <c r="R90" s="108"/>
      <c r="S90" s="796" t="s">
        <v>134</v>
      </c>
      <c r="T90" s="72">
        <f t="shared" ref="T90" ca="1" si="1454">($M90=S90)*$D$13</f>
        <v>0</v>
      </c>
      <c r="U90" s="63"/>
      <c r="V90" s="73" t="s">
        <v>134</v>
      </c>
      <c r="W90" s="72">
        <f t="shared" ref="W90" ca="1" si="1455">($M90=V90)*$D$13</f>
        <v>0</v>
      </c>
      <c r="X90" s="63"/>
      <c r="Y90" s="796" t="s">
        <v>134</v>
      </c>
      <c r="Z90" s="72">
        <f t="shared" ref="Z90" ca="1" si="1456">($M90=Y90)*$D$13</f>
        <v>0</v>
      </c>
      <c r="AA90" s="63"/>
      <c r="AB90" s="796" t="s">
        <v>134</v>
      </c>
      <c r="AC90" s="72">
        <f t="shared" ref="AC90" ca="1" si="1457">($M90=AB90)*$D$13</f>
        <v>0</v>
      </c>
      <c r="AD90" s="63"/>
      <c r="AE90" s="796" t="s">
        <v>134</v>
      </c>
      <c r="AF90" s="72">
        <f t="shared" ref="AF90" ca="1" si="1458">($M90=AE90)*$D$13</f>
        <v>0</v>
      </c>
      <c r="AG90" s="63"/>
      <c r="AH90" s="796" t="s">
        <v>134</v>
      </c>
      <c r="AI90" s="72">
        <f t="shared" ref="AI90" ca="1" si="1459">($M90=AH90)*$D$13</f>
        <v>0</v>
      </c>
      <c r="AJ90" s="63"/>
      <c r="AK90" s="806" t="s">
        <v>134</v>
      </c>
      <c r="AL90" s="72">
        <f t="shared" ref="AL90" ca="1" si="1460">($M90=AK90)*$D$13</f>
        <v>0</v>
      </c>
      <c r="AM90" s="63"/>
      <c r="AN90" s="796" t="s">
        <v>134</v>
      </c>
      <c r="AO90" s="72">
        <f t="shared" ref="AO90" ca="1" si="1461">($M90=AN90)*$D$13</f>
        <v>0</v>
      </c>
      <c r="AP90" s="63"/>
      <c r="AQ90" s="806" t="s">
        <v>134</v>
      </c>
      <c r="AR90" s="72">
        <f t="shared" ref="AR90" ca="1" si="1462">($M90=AQ90)*$D$13</f>
        <v>0</v>
      </c>
      <c r="AS90" s="63"/>
      <c r="AT90" s="796" t="s">
        <v>134</v>
      </c>
      <c r="AU90" s="72">
        <f t="shared" ref="AU90" ca="1" si="1463">($M90=AT90)*$D$13</f>
        <v>0</v>
      </c>
      <c r="AV90" s="63"/>
      <c r="AW90" s="796" t="s">
        <v>134</v>
      </c>
      <c r="AX90" s="72">
        <f t="shared" ref="AX90" ca="1" si="1464">($M90=AW90)*$D$13</f>
        <v>0</v>
      </c>
      <c r="AY90" s="63"/>
      <c r="AZ90" s="796" t="s">
        <v>1258</v>
      </c>
      <c r="BA90" s="72">
        <f t="shared" ref="BA90" ca="1" si="1465">($M90=AZ90)*$D$13</f>
        <v>0</v>
      </c>
      <c r="BB90" s="63"/>
      <c r="BC90" s="796" t="s">
        <v>134</v>
      </c>
      <c r="BD90" s="72">
        <f t="shared" ref="BD90" ca="1" si="1466">($M90=BC90)*$D$13</f>
        <v>0</v>
      </c>
      <c r="BE90" s="63"/>
      <c r="BF90" s="796" t="s">
        <v>134</v>
      </c>
      <c r="BG90" s="72">
        <f t="shared" ref="BG90" ca="1" si="1467">($M90=BF90)*$D$13</f>
        <v>0</v>
      </c>
      <c r="BH90" s="63"/>
      <c r="BI90" s="796" t="s">
        <v>134</v>
      </c>
      <c r="BJ90" s="72">
        <f t="shared" ref="BJ90" ca="1" si="1468">($M90=BI90)*$D$13</f>
        <v>0</v>
      </c>
      <c r="BK90" s="63"/>
      <c r="BL90" s="796" t="s">
        <v>134</v>
      </c>
      <c r="BM90" s="72">
        <f t="shared" ref="BM90" ca="1" si="1469">($M90=BL90)*$D$13</f>
        <v>0</v>
      </c>
      <c r="BN90" s="63"/>
      <c r="BO90" s="816" t="s">
        <v>134</v>
      </c>
      <c r="BP90" s="72">
        <f t="shared" ref="BP90" ca="1" si="1470">($M90=BO90)*$D$13</f>
        <v>0</v>
      </c>
      <c r="BQ90" s="63"/>
      <c r="BR90" s="796" t="s">
        <v>134</v>
      </c>
      <c r="BS90" s="72">
        <f t="shared" ref="BS90" ca="1" si="1471">($M90=BR90)*$D$13</f>
        <v>0</v>
      </c>
      <c r="BT90" s="63"/>
      <c r="BU90" s="796" t="s">
        <v>134</v>
      </c>
      <c r="BV90" s="72">
        <f t="shared" ref="BV90" ca="1" si="1472">($M90=BU90)*$D$13</f>
        <v>0</v>
      </c>
      <c r="BW90" s="63"/>
      <c r="BX90" s="73" t="s">
        <v>134</v>
      </c>
      <c r="BY90" s="72">
        <f t="shared" ref="BY90" ca="1" si="1473">($M90=BX90)*$D$13</f>
        <v>0</v>
      </c>
      <c r="BZ90" s="63"/>
      <c r="CA90" s="816" t="s">
        <v>134</v>
      </c>
      <c r="CB90" s="72">
        <f t="shared" ref="CB90" ca="1" si="1474">($M90=CA90)*$D$13</f>
        <v>0</v>
      </c>
      <c r="CC90" s="63"/>
      <c r="CD90" s="825" t="s">
        <v>134</v>
      </c>
      <c r="CE90" s="72">
        <f t="shared" ref="CE90" ca="1" si="1475">($M90=CD90)*$D$13</f>
        <v>0</v>
      </c>
      <c r="CF90" s="63"/>
      <c r="CG90" s="796" t="s">
        <v>134</v>
      </c>
      <c r="CH90" s="72">
        <f t="shared" ref="CH90" ca="1" si="1476">($M90=CG90)*$D$13</f>
        <v>0</v>
      </c>
      <c r="CI90" s="63"/>
      <c r="CJ90" s="796" t="s">
        <v>134</v>
      </c>
      <c r="CK90" s="72">
        <f t="shared" ref="CK90" ca="1" si="1477">($M90=CJ90)*$D$13</f>
        <v>0</v>
      </c>
      <c r="CL90" s="63"/>
      <c r="CM90" s="796" t="s">
        <v>134</v>
      </c>
      <c r="CN90" s="72">
        <f t="shared" ref="CN90" ca="1" si="1478">($M90=CM90)*$D$13</f>
        <v>0</v>
      </c>
      <c r="CO90" s="63"/>
      <c r="CP90" s="796" t="s">
        <v>134</v>
      </c>
      <c r="CQ90" s="72">
        <f t="shared" ref="CQ90" ca="1" si="1479">($M90=CP90)*$D$13</f>
        <v>0</v>
      </c>
      <c r="CR90" s="63"/>
      <c r="CS90" s="796" t="s">
        <v>1321</v>
      </c>
      <c r="CT90" s="72">
        <f t="shared" ref="CT90" ca="1" si="1480">($M90=CS90)*$D$13</f>
        <v>0</v>
      </c>
      <c r="CU90" s="63"/>
      <c r="CV90" s="796" t="s">
        <v>134</v>
      </c>
      <c r="CW90" s="72">
        <f t="shared" ref="CW90" ca="1" si="1481">($M90=CV90)*$D$13</f>
        <v>0</v>
      </c>
      <c r="CX90" s="63"/>
      <c r="CY90" s="796" t="s">
        <v>134</v>
      </c>
      <c r="CZ90" s="72">
        <f t="shared" ref="CZ90" ca="1" si="1482">($M90=CY90)*$D$13</f>
        <v>0</v>
      </c>
      <c r="DA90" s="63"/>
      <c r="DB90" s="796" t="s">
        <v>134</v>
      </c>
      <c r="DC90" s="72">
        <f t="shared" ref="DC90" ca="1" si="1483">($M90=DB90)*$D$13</f>
        <v>0</v>
      </c>
      <c r="DD90" s="63"/>
      <c r="DE90" s="796" t="s">
        <v>134</v>
      </c>
      <c r="DF90" s="72">
        <f ca="1">($M90=DE90)*$D$13</f>
        <v>0</v>
      </c>
      <c r="DG90" s="63"/>
      <c r="DH90" s="796" t="s">
        <v>134</v>
      </c>
      <c r="DI90" s="72">
        <f ca="1">($M90=DH90)*$D$13</f>
        <v>0</v>
      </c>
      <c r="DJ90" s="63"/>
      <c r="DK90" s="796" t="s">
        <v>134</v>
      </c>
      <c r="DL90" s="72">
        <f ca="1">($M90=DK90)*$D$13</f>
        <v>0</v>
      </c>
      <c r="DM90" s="63"/>
      <c r="DN90" s="73"/>
      <c r="DO90" s="72">
        <f t="shared" ref="DO90" ca="1" si="1484">($M90=DN90)*$D$13</f>
        <v>0</v>
      </c>
      <c r="DP90" s="63"/>
      <c r="DQ90" s="796" t="s">
        <v>134</v>
      </c>
      <c r="DR90" s="72">
        <f t="shared" ref="DR90" ca="1" si="1485">($M90=DQ90)*$D$13</f>
        <v>0</v>
      </c>
      <c r="DS90" s="63"/>
      <c r="DT90" s="73" t="s">
        <v>134</v>
      </c>
      <c r="DU90" s="72">
        <f t="shared" ref="DU90" ca="1" si="1486">($M90=DT90)*$D$13</f>
        <v>0</v>
      </c>
      <c r="DV90" s="63"/>
      <c r="DW90" s="73"/>
      <c r="DX90" s="72">
        <f t="shared" ref="DX90" ca="1" si="1487">($M90=DW90)*$D$13</f>
        <v>0</v>
      </c>
      <c r="DY90" s="63"/>
      <c r="DZ90" s="73"/>
      <c r="EA90" s="72">
        <f ca="1">($M90=DZ90)*$D$13</f>
        <v>0</v>
      </c>
      <c r="EB90" s="63"/>
      <c r="EC90" s="73"/>
      <c r="ED90" s="72">
        <f t="shared" ref="ED90" ca="1" si="1488">($M90=EC90)*$D$13</f>
        <v>0</v>
      </c>
      <c r="EE90" s="63"/>
      <c r="EF90" s="73"/>
      <c r="EG90" s="72">
        <f t="shared" ref="EG90" ca="1" si="1489">($M90=EF90)*$D$13</f>
        <v>0</v>
      </c>
      <c r="EH90" s="63"/>
      <c r="EI90" s="73"/>
      <c r="EJ90" s="72">
        <f t="shared" ref="EJ90" ca="1" si="1490">($M90=EI90)*$D$13</f>
        <v>0</v>
      </c>
      <c r="EK90" s="63"/>
      <c r="EL90" s="73"/>
      <c r="EM90" s="72">
        <f t="shared" ref="EM90" ca="1" si="1491">($M90=EL90)*$D$13</f>
        <v>0</v>
      </c>
      <c r="EN90" s="63"/>
      <c r="EO90" s="73"/>
      <c r="EP90" s="72">
        <f t="shared" ref="EP90" ca="1" si="1492">($M90=EO90)*$D$13</f>
        <v>0</v>
      </c>
      <c r="EQ90" s="63"/>
      <c r="ER90" s="73"/>
      <c r="ES90" s="72">
        <f t="shared" ref="ES90" ca="1" si="1493">($M90=ER90)*$D$13</f>
        <v>0</v>
      </c>
      <c r="ET90" s="63"/>
      <c r="EU90" s="73"/>
      <c r="EV90" s="72">
        <f t="shared" ref="EV90" ca="1" si="1494">($M90=EU90)*$D$13</f>
        <v>0</v>
      </c>
      <c r="EW90" s="63"/>
      <c r="EX90" s="73"/>
      <c r="EY90" s="72">
        <f t="shared" ref="EY90" ca="1" si="1495">($M90=EX90)*$D$13</f>
        <v>0</v>
      </c>
      <c r="EZ90" s="63"/>
      <c r="FA90" s="73"/>
      <c r="FB90" s="72">
        <f t="shared" ref="FB90" ca="1" si="1496">($M90=FA90)*$D$13</f>
        <v>0</v>
      </c>
      <c r="FC90" s="63"/>
      <c r="FD90" s="73"/>
      <c r="FE90" s="72">
        <f t="shared" ref="FE90" ca="1" si="1497">($M90=FD90)*$D$13</f>
        <v>0</v>
      </c>
      <c r="FF90" s="63"/>
      <c r="FG90" s="73"/>
      <c r="FH90" s="72">
        <f t="shared" ref="FH90" ca="1" si="1498">($M90=FG90)*$D$13</f>
        <v>0</v>
      </c>
      <c r="FI90" s="63"/>
      <c r="FJ90" s="73"/>
      <c r="FK90" s="72">
        <f t="shared" ref="FK90" ca="1" si="1499">($M90=FJ90)*$D$13</f>
        <v>0</v>
      </c>
      <c r="FL90" s="63"/>
      <c r="FM90" s="73"/>
      <c r="FN90" s="72">
        <f t="shared" ref="FN90" ca="1" si="1500">($M90=FM90)*$D$13</f>
        <v>0</v>
      </c>
      <c r="FO90" s="63"/>
      <c r="FP90" s="73"/>
      <c r="FQ90" s="72">
        <f t="shared" ref="FQ90" ca="1" si="1501">($M90=FP90)*$D$13</f>
        <v>0</v>
      </c>
      <c r="FR90" s="63"/>
      <c r="FS90" s="73"/>
      <c r="FT90" s="72">
        <f t="shared" ref="FT90" ca="1" si="1502">($M90=FS90)*$D$13</f>
        <v>0</v>
      </c>
      <c r="FU90" s="63"/>
      <c r="FV90" s="73"/>
      <c r="FW90" s="72">
        <f t="shared" ref="FW90" ca="1" si="1503">($M90=FV90)*$D$13</f>
        <v>0</v>
      </c>
      <c r="FX90" s="63"/>
      <c r="FY90" s="73"/>
      <c r="FZ90" s="72">
        <f t="shared" ref="FZ90" ca="1" si="1504">($M90=FY90)*$D$13</f>
        <v>0</v>
      </c>
      <c r="GA90" s="63"/>
      <c r="GB90" s="73"/>
      <c r="GC90" s="72">
        <f t="shared" ref="GC90" ca="1" si="1505">($M90=GB90)*$D$13</f>
        <v>0</v>
      </c>
      <c r="GD90" s="63"/>
      <c r="GE90" s="73"/>
      <c r="GF90" s="72">
        <f t="shared" ref="GF90" ca="1" si="1506">($M90=GE90)*$D$13</f>
        <v>0</v>
      </c>
      <c r="GG90" s="63"/>
      <c r="GH90" s="73"/>
      <c r="GI90" s="72">
        <f t="shared" ref="GI90" ca="1" si="1507">($M90=GH90)*$D$13</f>
        <v>0</v>
      </c>
      <c r="GJ90" s="63"/>
      <c r="GK90" s="73"/>
      <c r="GL90" s="72">
        <f t="shared" ref="GL90" ca="1" si="1508">($M90=GK90)*$D$13</f>
        <v>0</v>
      </c>
      <c r="GM90" s="63"/>
      <c r="GN90" s="73"/>
      <c r="GO90" s="72">
        <f t="shared" ref="GO90" ca="1" si="1509">($M90=GN90)*$D$13</f>
        <v>0</v>
      </c>
      <c r="GP90" s="63"/>
      <c r="GQ90" s="73"/>
      <c r="GR90" s="72">
        <f t="shared" ref="GR90" ca="1" si="1510">($M90=GQ90)*$D$13</f>
        <v>0</v>
      </c>
      <c r="GS90" s="63"/>
      <c r="GT90" s="73"/>
      <c r="GU90" s="72">
        <f t="shared" ref="GU90" ca="1" si="1511">($M90=GT90)*$D$13</f>
        <v>0</v>
      </c>
      <c r="GV90" s="63"/>
      <c r="GW90" s="73"/>
      <c r="GX90" s="72">
        <f t="shared" ref="GX90" ca="1" si="1512">($M90=GW90)*$D$13</f>
        <v>0</v>
      </c>
      <c r="GY90" s="63"/>
      <c r="GZ90" s="73"/>
      <c r="HA90" s="72">
        <f t="shared" ref="HA90" ca="1" si="1513">($M90=GZ90)*$D$13</f>
        <v>0</v>
      </c>
      <c r="HB90" s="63"/>
      <c r="HC90" s="73"/>
      <c r="HD90" s="72">
        <f t="shared" ref="HD90" ca="1" si="1514">($M90=HC90)*$D$13</f>
        <v>0</v>
      </c>
      <c r="HE90" s="63"/>
      <c r="HF90" s="73"/>
      <c r="HG90" s="72">
        <f t="shared" ref="HG90" ca="1" si="1515">($M90=HF90)*$D$13</f>
        <v>0</v>
      </c>
      <c r="HH90" s="63"/>
      <c r="HI90" s="73"/>
      <c r="HJ90" s="72">
        <f t="shared" ref="HJ90" ca="1" si="1516">($M90=HI90)*$D$13</f>
        <v>0</v>
      </c>
      <c r="HK90" s="63"/>
      <c r="HL90" s="73"/>
      <c r="HM90" s="72">
        <f t="shared" ref="HM90" ca="1" si="1517">($M90=HL90)*$D$13</f>
        <v>0</v>
      </c>
      <c r="HN90" s="63"/>
      <c r="HO90" s="73"/>
      <c r="HP90" s="72">
        <f t="shared" ref="HP90" ca="1" si="1518">($M90=HO90)*$D$13</f>
        <v>0</v>
      </c>
      <c r="HQ90" s="63"/>
      <c r="HR90" s="73"/>
      <c r="HS90" s="72">
        <f t="shared" ref="HS90" ca="1" si="1519">($M90=HR90)*$D$13</f>
        <v>0</v>
      </c>
      <c r="HT90" s="63"/>
      <c r="HU90" s="73"/>
      <c r="HV90" s="72">
        <f t="shared" ref="HV90" ca="1" si="1520">($M90=HU90)*$D$13</f>
        <v>0</v>
      </c>
      <c r="HW90" s="63"/>
      <c r="HX90" s="73"/>
      <c r="HY90" s="72">
        <f t="shared" ref="HY90" ca="1" si="1521">($M90=HX90)*$D$13</f>
        <v>0</v>
      </c>
      <c r="HZ90" s="63"/>
      <c r="IA90" s="73"/>
      <c r="IB90" s="72">
        <f t="shared" ref="IB90" ca="1" si="1522">($M90=IA90)*$D$13</f>
        <v>0</v>
      </c>
      <c r="IC90" s="63"/>
      <c r="ID90" s="73"/>
      <c r="IE90" s="72">
        <f t="shared" ref="IE90" ca="1" si="1523">($M90=ID90)*$D$13</f>
        <v>0</v>
      </c>
      <c r="IF90" s="63"/>
      <c r="IG90" s="73"/>
      <c r="IH90" s="72">
        <f t="shared" ref="IH90" ca="1" si="1524">($M90=IG90)*$D$13</f>
        <v>0</v>
      </c>
      <c r="II90" s="63"/>
      <c r="IJ90" s="73"/>
      <c r="IK90" s="72">
        <f t="shared" ref="IK90" ca="1" si="1525">($M90=IJ90)*$D$13</f>
        <v>0</v>
      </c>
      <c r="IL90" s="63"/>
      <c r="IM90" s="73"/>
      <c r="IN90" s="72">
        <f t="shared" ref="IN90" ca="1" si="1526">($M90=IM90)*$D$13</f>
        <v>0</v>
      </c>
      <c r="IO90" s="63"/>
      <c r="IP90" s="73"/>
      <c r="IQ90" s="72">
        <f t="shared" ref="IQ90" ca="1" si="1527">($M90=IP90)*$D$13</f>
        <v>0</v>
      </c>
      <c r="IR90" s="63"/>
      <c r="IS90" s="73"/>
      <c r="IT90" s="72">
        <f t="shared" ref="IT90" ca="1" si="1528">($M90=IS90)*$D$13</f>
        <v>0</v>
      </c>
      <c r="IU90" s="63"/>
      <c r="IV90" s="73"/>
      <c r="IW90" s="72">
        <f t="shared" ref="IW90" ca="1" si="1529">($M90=IV90)*$D$13</f>
        <v>0</v>
      </c>
      <c r="IX90" s="63"/>
      <c r="IY90" s="73"/>
      <c r="IZ90" s="72">
        <f t="shared" ref="IZ90" ca="1" si="1530">($M90=IY90)*$D$13</f>
        <v>0</v>
      </c>
      <c r="JA90" s="63"/>
      <c r="JB90" s="73"/>
      <c r="JC90" s="72">
        <f t="shared" ref="JC90" ca="1" si="1531">($M90=JB90)*$D$13</f>
        <v>0</v>
      </c>
      <c r="JD90" s="63"/>
      <c r="JE90" s="73"/>
      <c r="JF90" s="72">
        <f t="shared" ref="JF90" ca="1" si="1532">($M90=JE90)*$D$13</f>
        <v>0</v>
      </c>
      <c r="JG90" s="63"/>
      <c r="JH90" s="73"/>
      <c r="JI90" s="72">
        <f t="shared" ref="JI90" ca="1" si="1533">($M90=JH90)*$D$13</f>
        <v>0</v>
      </c>
      <c r="JJ90" s="63"/>
      <c r="JK90" s="73"/>
      <c r="JL90" s="72">
        <f t="shared" ref="JL90" ca="1" si="1534">($M90=JK90)*$D$13</f>
        <v>0</v>
      </c>
      <c r="JM90" s="63"/>
      <c r="JN90" s="73"/>
      <c r="JO90" s="72">
        <f t="shared" ref="JO90" ca="1" si="1535">($M90=JN90)*$D$13</f>
        <v>0</v>
      </c>
      <c r="JP90" s="63"/>
      <c r="JQ90" s="73"/>
      <c r="JR90" s="72">
        <f t="shared" ref="JR90" ca="1" si="1536">($M90=JQ90)*$D$13</f>
        <v>0</v>
      </c>
      <c r="JS90" s="63"/>
      <c r="JT90" s="73"/>
      <c r="JU90" s="72">
        <f t="shared" ref="JU90" ca="1" si="1537">($M90=JT90)*$D$13</f>
        <v>0</v>
      </c>
      <c r="JV90" s="63"/>
      <c r="JW90" s="73"/>
      <c r="JX90" s="72">
        <f t="shared" ref="JX90" ca="1" si="1538">($M90=JW90)*$D$13</f>
        <v>0</v>
      </c>
      <c r="JY90" s="63"/>
      <c r="JZ90" s="73"/>
      <c r="KA90" s="72">
        <f t="shared" ref="KA90" ca="1" si="1539">($M90=JZ90)*$D$13</f>
        <v>0</v>
      </c>
      <c r="KB90" s="63"/>
      <c r="KC90" s="73"/>
      <c r="KD90" s="72">
        <f t="shared" ref="KD90" ca="1" si="1540">($M90=KC90)*$D$13</f>
        <v>0</v>
      </c>
      <c r="KE90" s="63"/>
      <c r="KF90" s="73"/>
      <c r="KG90" s="72">
        <f t="shared" ref="KG90" ca="1" si="1541">($M90=KF90)*$D$13</f>
        <v>0</v>
      </c>
      <c r="KH90" s="63"/>
      <c r="KI90" s="73"/>
      <c r="KJ90" s="72">
        <f t="shared" ref="KJ90" ca="1" si="1542">($M90=KI90)*$D$13</f>
        <v>0</v>
      </c>
      <c r="KK90" s="63"/>
      <c r="KL90" s="73"/>
      <c r="KM90" s="72">
        <f t="shared" ref="KM90" ca="1" si="1543">($M90=KL90)*$D$13</f>
        <v>0</v>
      </c>
      <c r="KN90" s="63"/>
      <c r="KO90" s="73"/>
      <c r="KP90" s="72">
        <f t="shared" ref="KP90" ca="1" si="1544">($M90=KO90)*$D$13</f>
        <v>0</v>
      </c>
      <c r="KQ90" s="63"/>
      <c r="KR90" s="73"/>
      <c r="KS90" s="72">
        <f t="shared" ref="KS90" ca="1" si="1545">($M90=KR90)*$D$13</f>
        <v>0</v>
      </c>
      <c r="KT90" s="63"/>
      <c r="KU90" s="73"/>
      <c r="KV90" s="72">
        <f t="shared" ref="KV90" ca="1" si="1546">($M90=KU90)*$D$13</f>
        <v>0</v>
      </c>
      <c r="KW90" s="63"/>
      <c r="KX90" s="73"/>
      <c r="KY90" s="72">
        <f t="shared" ref="KY90" ca="1" si="1547">($M90=KX90)*$D$13</f>
        <v>0</v>
      </c>
      <c r="KZ90" s="63"/>
      <c r="LA90" s="73"/>
      <c r="LB90" s="72">
        <f t="shared" ref="LB90" ca="1" si="1548">($M90=LA90)*$D$13</f>
        <v>0</v>
      </c>
      <c r="LC90" s="63"/>
      <c r="LD90" s="73"/>
      <c r="LE90" s="72">
        <f t="shared" ref="LE90" ca="1" si="1549">($M90=LD90)*$D$13</f>
        <v>0</v>
      </c>
      <c r="LF90" s="63"/>
    </row>
    <row r="91" spans="1:318" s="784" customFormat="1">
      <c r="A91" s="49"/>
      <c r="B91" s="49"/>
      <c r="C91" s="49"/>
      <c r="D91" s="49"/>
      <c r="E91" s="109"/>
      <c r="F91" s="125">
        <f t="shared" ref="F91" si="1550">$D$14</f>
        <v>20</v>
      </c>
      <c r="G91" s="443">
        <f ca="1">VLOOKUP(H91,Equipos!$Q$1:$R$25,2,0)</f>
        <v>14</v>
      </c>
      <c r="H91" s="444">
        <f ca="1">$H$58</f>
        <v>46197</v>
      </c>
      <c r="I91" s="50"/>
      <c r="J91" s="846"/>
      <c r="K91" s="56" t="str">
        <f>Idiomas!D161</f>
        <v>4º GRUPO C</v>
      </c>
      <c r="L91" s="53"/>
      <c r="M91" s="55" t="str">
        <f ca="1">IF(OR(SUM(WORLDCUP!$AN$22:$AN$25)=12,WORLDCUP!$AJ$99=144),WORLDCUP!AL25,LEFT(K91,1)&amp;RIGHT(K91,1))</f>
        <v>4C</v>
      </c>
      <c r="N91" s="25"/>
      <c r="O91" s="25"/>
      <c r="P91" s="25"/>
      <c r="Q91" s="25"/>
      <c r="R91" s="108"/>
      <c r="S91" s="796" t="s">
        <v>1728</v>
      </c>
      <c r="T91" s="72">
        <f t="shared" ref="T91" ca="1" si="1551">($M91=S91)*$D$14</f>
        <v>0</v>
      </c>
      <c r="U91" s="63"/>
      <c r="V91" s="73" t="s">
        <v>1728</v>
      </c>
      <c r="W91" s="72">
        <f t="shared" ref="W91" ca="1" si="1552">($M91=V91)*$D$14</f>
        <v>0</v>
      </c>
      <c r="X91" s="63"/>
      <c r="Y91" s="796" t="s">
        <v>1728</v>
      </c>
      <c r="Z91" s="72">
        <f t="shared" ref="Z91" ca="1" si="1553">($M91=Y91)*$D$14</f>
        <v>0</v>
      </c>
      <c r="AA91" s="63"/>
      <c r="AB91" s="796" t="s">
        <v>1728</v>
      </c>
      <c r="AC91" s="72">
        <f t="shared" ref="AC91" ca="1" si="1554">($M91=AB91)*$D$14</f>
        <v>0</v>
      </c>
      <c r="AD91" s="63"/>
      <c r="AE91" s="796" t="s">
        <v>1728</v>
      </c>
      <c r="AF91" s="72">
        <f t="shared" ref="AF91" ca="1" si="1555">($M91=AE91)*$D$14</f>
        <v>0</v>
      </c>
      <c r="AG91" s="63"/>
      <c r="AH91" s="796" t="s">
        <v>1728</v>
      </c>
      <c r="AI91" s="72">
        <f t="shared" ref="AI91" ca="1" si="1556">($M91=AH91)*$D$14</f>
        <v>0</v>
      </c>
      <c r="AJ91" s="63"/>
      <c r="AK91" s="806" t="s">
        <v>1728</v>
      </c>
      <c r="AL91" s="72">
        <f t="shared" ref="AL91" ca="1" si="1557">($M91=AK91)*$D$14</f>
        <v>0</v>
      </c>
      <c r="AM91" s="63"/>
      <c r="AN91" s="796" t="s">
        <v>1728</v>
      </c>
      <c r="AO91" s="72">
        <f t="shared" ref="AO91" ca="1" si="1558">($M91=AN91)*$D$14</f>
        <v>0</v>
      </c>
      <c r="AP91" s="63"/>
      <c r="AQ91" s="806" t="s">
        <v>1728</v>
      </c>
      <c r="AR91" s="72">
        <f t="shared" ref="AR91" ca="1" si="1559">($M91=AQ91)*$D$14</f>
        <v>0</v>
      </c>
      <c r="AS91" s="63"/>
      <c r="AT91" s="796" t="s">
        <v>1728</v>
      </c>
      <c r="AU91" s="72">
        <f t="shared" ref="AU91" ca="1" si="1560">($M91=AT91)*$D$14</f>
        <v>0</v>
      </c>
      <c r="AV91" s="63"/>
      <c r="AW91" s="796" t="s">
        <v>1728</v>
      </c>
      <c r="AX91" s="72">
        <f t="shared" ref="AX91" ca="1" si="1561">($M91=AW91)*$D$14</f>
        <v>0</v>
      </c>
      <c r="AY91" s="63"/>
      <c r="AZ91" s="796" t="s">
        <v>1321</v>
      </c>
      <c r="BA91" s="72">
        <f t="shared" ref="BA91" ca="1" si="1562">($M91=AZ91)*$D$14</f>
        <v>0</v>
      </c>
      <c r="BB91" s="63"/>
      <c r="BC91" s="796" t="s">
        <v>1728</v>
      </c>
      <c r="BD91" s="72">
        <f t="shared" ref="BD91" ca="1" si="1563">($M91=BC91)*$D$14</f>
        <v>0</v>
      </c>
      <c r="BE91" s="63"/>
      <c r="BF91" s="796" t="s">
        <v>1728</v>
      </c>
      <c r="BG91" s="72">
        <f t="shared" ref="BG91" ca="1" si="1564">($M91=BF91)*$D$14</f>
        <v>0</v>
      </c>
      <c r="BH91" s="63"/>
      <c r="BI91" s="796" t="s">
        <v>1728</v>
      </c>
      <c r="BJ91" s="72">
        <f t="shared" ref="BJ91" ca="1" si="1565">($M91=BI91)*$D$14</f>
        <v>0</v>
      </c>
      <c r="BK91" s="63"/>
      <c r="BL91" s="796" t="s">
        <v>1728</v>
      </c>
      <c r="BM91" s="72">
        <f t="shared" ref="BM91" ca="1" si="1566">($M91=BL91)*$D$14</f>
        <v>0</v>
      </c>
      <c r="BN91" s="63"/>
      <c r="BO91" s="816" t="s">
        <v>1728</v>
      </c>
      <c r="BP91" s="72">
        <f t="shared" ref="BP91" ca="1" si="1567">($M91=BO91)*$D$14</f>
        <v>0</v>
      </c>
      <c r="BQ91" s="63"/>
      <c r="BR91" s="796" t="s">
        <v>1728</v>
      </c>
      <c r="BS91" s="72">
        <f t="shared" ref="BS91" ca="1" si="1568">($M91=BR91)*$D$14</f>
        <v>0</v>
      </c>
      <c r="BT91" s="63"/>
      <c r="BU91" s="796" t="s">
        <v>1728</v>
      </c>
      <c r="BV91" s="72">
        <f t="shared" ref="BV91" ca="1" si="1569">($M91=BU91)*$D$14</f>
        <v>0</v>
      </c>
      <c r="BW91" s="63"/>
      <c r="BX91" s="73" t="s">
        <v>1728</v>
      </c>
      <c r="BY91" s="72">
        <f t="shared" ref="BY91" ca="1" si="1570">($M91=BX91)*$D$14</f>
        <v>0</v>
      </c>
      <c r="BZ91" s="63"/>
      <c r="CA91" s="816" t="s">
        <v>1728</v>
      </c>
      <c r="CB91" s="72">
        <f t="shared" ref="CB91" ca="1" si="1571">($M91=CA91)*$D$14</f>
        <v>0</v>
      </c>
      <c r="CC91" s="63"/>
      <c r="CD91" s="825" t="s">
        <v>1728</v>
      </c>
      <c r="CE91" s="72">
        <f t="shared" ref="CE91" ca="1" si="1572">($M91=CD91)*$D$14</f>
        <v>0</v>
      </c>
      <c r="CF91" s="63"/>
      <c r="CG91" s="796" t="s">
        <v>1728</v>
      </c>
      <c r="CH91" s="72">
        <f t="shared" ref="CH91" ca="1" si="1573">($M91=CG91)*$D$14</f>
        <v>0</v>
      </c>
      <c r="CI91" s="63"/>
      <c r="CJ91" s="796" t="s">
        <v>1728</v>
      </c>
      <c r="CK91" s="72">
        <f t="shared" ref="CK91" ca="1" si="1574">($M91=CJ91)*$D$14</f>
        <v>0</v>
      </c>
      <c r="CL91" s="63"/>
      <c r="CM91" s="796" t="s">
        <v>1728</v>
      </c>
      <c r="CN91" s="72">
        <f t="shared" ref="CN91" ca="1" si="1575">($M91=CM91)*$D$14</f>
        <v>0</v>
      </c>
      <c r="CO91" s="63"/>
      <c r="CP91" s="796" t="s">
        <v>1728</v>
      </c>
      <c r="CQ91" s="72">
        <f t="shared" ref="CQ91" ca="1" si="1576">($M91=CP91)*$D$14</f>
        <v>0</v>
      </c>
      <c r="CR91" s="63"/>
      <c r="CS91" s="796" t="s">
        <v>1728</v>
      </c>
      <c r="CT91" s="72">
        <f t="shared" ref="CT91" ca="1" si="1577">($M91=CS91)*$D$14</f>
        <v>0</v>
      </c>
      <c r="CU91" s="63"/>
      <c r="CV91" s="796" t="s">
        <v>1728</v>
      </c>
      <c r="CW91" s="72">
        <f t="shared" ref="CW91" ca="1" si="1578">($M91=CV91)*$D$14</f>
        <v>0</v>
      </c>
      <c r="CX91" s="63"/>
      <c r="CY91" s="796" t="s">
        <v>1728</v>
      </c>
      <c r="CZ91" s="72">
        <f t="shared" ref="CZ91" ca="1" si="1579">($M91=CY91)*$D$14</f>
        <v>0</v>
      </c>
      <c r="DA91" s="63"/>
      <c r="DB91" s="796" t="s">
        <v>1728</v>
      </c>
      <c r="DC91" s="72">
        <f t="shared" ref="DC91" ca="1" si="1580">($M91=DB91)*$D$14</f>
        <v>0</v>
      </c>
      <c r="DD91" s="63"/>
      <c r="DE91" s="796" t="s">
        <v>1728</v>
      </c>
      <c r="DF91" s="72">
        <f ca="1">($M91=DE91)*$D$14</f>
        <v>0</v>
      </c>
      <c r="DG91" s="63"/>
      <c r="DH91" s="796" t="s">
        <v>1728</v>
      </c>
      <c r="DI91" s="72">
        <f ca="1">($M91=DH91)*$D$14</f>
        <v>0</v>
      </c>
      <c r="DJ91" s="63"/>
      <c r="DK91" s="796" t="s">
        <v>1728</v>
      </c>
      <c r="DL91" s="72">
        <f ca="1">($M91=DK91)*$D$14</f>
        <v>0</v>
      </c>
      <c r="DM91" s="63"/>
      <c r="DN91" s="73"/>
      <c r="DO91" s="72">
        <f t="shared" ref="DO91" ca="1" si="1581">($M91=DN91)*$D$14</f>
        <v>0</v>
      </c>
      <c r="DP91" s="63"/>
      <c r="DQ91" s="796" t="s">
        <v>1728</v>
      </c>
      <c r="DR91" s="72">
        <f t="shared" ref="DR91" ca="1" si="1582">($M91=DQ91)*$D$14</f>
        <v>0</v>
      </c>
      <c r="DS91" s="63"/>
      <c r="DT91" s="73" t="s">
        <v>1728</v>
      </c>
      <c r="DU91" s="72">
        <f t="shared" ref="DU91" ca="1" si="1583">($M91=DT91)*$D$14</f>
        <v>0</v>
      </c>
      <c r="DV91" s="63"/>
      <c r="DW91" s="73"/>
      <c r="DX91" s="72">
        <f t="shared" ref="DX91" ca="1" si="1584">($M91=DW91)*$D$14</f>
        <v>0</v>
      </c>
      <c r="DY91" s="63"/>
      <c r="DZ91" s="73"/>
      <c r="EA91" s="72">
        <f ca="1">($M91=DZ91)*$D$14</f>
        <v>0</v>
      </c>
      <c r="EB91" s="63"/>
      <c r="EC91" s="73"/>
      <c r="ED91" s="72">
        <f t="shared" ref="ED91" ca="1" si="1585">($M91=EC91)*$D$14</f>
        <v>0</v>
      </c>
      <c r="EE91" s="63"/>
      <c r="EF91" s="73"/>
      <c r="EG91" s="72">
        <f t="shared" ref="EG91" ca="1" si="1586">($M91=EF91)*$D$14</f>
        <v>0</v>
      </c>
      <c r="EH91" s="63"/>
      <c r="EI91" s="73"/>
      <c r="EJ91" s="72">
        <f t="shared" ref="EJ91" ca="1" si="1587">($M91=EI91)*$D$14</f>
        <v>0</v>
      </c>
      <c r="EK91" s="63"/>
      <c r="EL91" s="73"/>
      <c r="EM91" s="72">
        <f t="shared" ref="EM91" ca="1" si="1588">($M91=EL91)*$D$14</f>
        <v>0</v>
      </c>
      <c r="EN91" s="63"/>
      <c r="EO91" s="73"/>
      <c r="EP91" s="72">
        <f t="shared" ref="EP91" ca="1" si="1589">($M91=EO91)*$D$14</f>
        <v>0</v>
      </c>
      <c r="EQ91" s="63"/>
      <c r="ER91" s="73"/>
      <c r="ES91" s="72">
        <f t="shared" ref="ES91" ca="1" si="1590">($M91=ER91)*$D$14</f>
        <v>0</v>
      </c>
      <c r="ET91" s="63"/>
      <c r="EU91" s="73"/>
      <c r="EV91" s="72">
        <f t="shared" ref="EV91" ca="1" si="1591">($M91=EU91)*$D$14</f>
        <v>0</v>
      </c>
      <c r="EW91" s="63"/>
      <c r="EX91" s="73"/>
      <c r="EY91" s="72">
        <f t="shared" ref="EY91" ca="1" si="1592">($M91=EX91)*$D$14</f>
        <v>0</v>
      </c>
      <c r="EZ91" s="63"/>
      <c r="FA91" s="73"/>
      <c r="FB91" s="72">
        <f t="shared" ref="FB91" ca="1" si="1593">($M91=FA91)*$D$14</f>
        <v>0</v>
      </c>
      <c r="FC91" s="63"/>
      <c r="FD91" s="73"/>
      <c r="FE91" s="72">
        <f t="shared" ref="FE91" ca="1" si="1594">($M91=FD91)*$D$14</f>
        <v>0</v>
      </c>
      <c r="FF91" s="63"/>
      <c r="FG91" s="73"/>
      <c r="FH91" s="72">
        <f t="shared" ref="FH91" ca="1" si="1595">($M91=FG91)*$D$14</f>
        <v>0</v>
      </c>
      <c r="FI91" s="63"/>
      <c r="FJ91" s="73"/>
      <c r="FK91" s="72">
        <f t="shared" ref="FK91" ca="1" si="1596">($M91=FJ91)*$D$14</f>
        <v>0</v>
      </c>
      <c r="FL91" s="63"/>
      <c r="FM91" s="73"/>
      <c r="FN91" s="72">
        <f t="shared" ref="FN91" ca="1" si="1597">($M91=FM91)*$D$14</f>
        <v>0</v>
      </c>
      <c r="FO91" s="63"/>
      <c r="FP91" s="73"/>
      <c r="FQ91" s="72">
        <f t="shared" ref="FQ91" ca="1" si="1598">($M91=FP91)*$D$14</f>
        <v>0</v>
      </c>
      <c r="FR91" s="63"/>
      <c r="FS91" s="73"/>
      <c r="FT91" s="72">
        <f t="shared" ref="FT91" ca="1" si="1599">($M91=FS91)*$D$14</f>
        <v>0</v>
      </c>
      <c r="FU91" s="63"/>
      <c r="FV91" s="73"/>
      <c r="FW91" s="72">
        <f t="shared" ref="FW91" ca="1" si="1600">($M91=FV91)*$D$14</f>
        <v>0</v>
      </c>
      <c r="FX91" s="63"/>
      <c r="FY91" s="73"/>
      <c r="FZ91" s="72">
        <f t="shared" ref="FZ91" ca="1" si="1601">($M91=FY91)*$D$14</f>
        <v>0</v>
      </c>
      <c r="GA91" s="63"/>
      <c r="GB91" s="73"/>
      <c r="GC91" s="72">
        <f t="shared" ref="GC91" ca="1" si="1602">($M91=GB91)*$D$14</f>
        <v>0</v>
      </c>
      <c r="GD91" s="63"/>
      <c r="GE91" s="73"/>
      <c r="GF91" s="72">
        <f t="shared" ref="GF91" ca="1" si="1603">($M91=GE91)*$D$14</f>
        <v>0</v>
      </c>
      <c r="GG91" s="63"/>
      <c r="GH91" s="73"/>
      <c r="GI91" s="72">
        <f t="shared" ref="GI91" ca="1" si="1604">($M91=GH91)*$D$14</f>
        <v>0</v>
      </c>
      <c r="GJ91" s="63"/>
      <c r="GK91" s="73"/>
      <c r="GL91" s="72">
        <f t="shared" ref="GL91" ca="1" si="1605">($M91=GK91)*$D$14</f>
        <v>0</v>
      </c>
      <c r="GM91" s="63"/>
      <c r="GN91" s="73"/>
      <c r="GO91" s="72">
        <f t="shared" ref="GO91" ca="1" si="1606">($M91=GN91)*$D$14</f>
        <v>0</v>
      </c>
      <c r="GP91" s="63"/>
      <c r="GQ91" s="73"/>
      <c r="GR91" s="72">
        <f t="shared" ref="GR91" ca="1" si="1607">($M91=GQ91)*$D$14</f>
        <v>0</v>
      </c>
      <c r="GS91" s="63"/>
      <c r="GT91" s="73"/>
      <c r="GU91" s="72">
        <f t="shared" ref="GU91" ca="1" si="1608">($M91=GT91)*$D$14</f>
        <v>0</v>
      </c>
      <c r="GV91" s="63"/>
      <c r="GW91" s="73"/>
      <c r="GX91" s="72">
        <f t="shared" ref="GX91" ca="1" si="1609">($M91=GW91)*$D$14</f>
        <v>0</v>
      </c>
      <c r="GY91" s="63"/>
      <c r="GZ91" s="73"/>
      <c r="HA91" s="72">
        <f t="shared" ref="HA91" ca="1" si="1610">($M91=GZ91)*$D$14</f>
        <v>0</v>
      </c>
      <c r="HB91" s="63"/>
      <c r="HC91" s="73"/>
      <c r="HD91" s="72">
        <f t="shared" ref="HD91" ca="1" si="1611">($M91=HC91)*$D$14</f>
        <v>0</v>
      </c>
      <c r="HE91" s="63"/>
      <c r="HF91" s="73"/>
      <c r="HG91" s="72">
        <f t="shared" ref="HG91" ca="1" si="1612">($M91=HF91)*$D$14</f>
        <v>0</v>
      </c>
      <c r="HH91" s="63"/>
      <c r="HI91" s="73"/>
      <c r="HJ91" s="72">
        <f t="shared" ref="HJ91" ca="1" si="1613">($M91=HI91)*$D$14</f>
        <v>0</v>
      </c>
      <c r="HK91" s="63"/>
      <c r="HL91" s="73"/>
      <c r="HM91" s="72">
        <f t="shared" ref="HM91" ca="1" si="1614">($M91=HL91)*$D$14</f>
        <v>0</v>
      </c>
      <c r="HN91" s="63"/>
      <c r="HO91" s="73"/>
      <c r="HP91" s="72">
        <f t="shared" ref="HP91" ca="1" si="1615">($M91=HO91)*$D$14</f>
        <v>0</v>
      </c>
      <c r="HQ91" s="63"/>
      <c r="HR91" s="73"/>
      <c r="HS91" s="72">
        <f t="shared" ref="HS91" ca="1" si="1616">($M91=HR91)*$D$14</f>
        <v>0</v>
      </c>
      <c r="HT91" s="63"/>
      <c r="HU91" s="73"/>
      <c r="HV91" s="72">
        <f t="shared" ref="HV91" ca="1" si="1617">($M91=HU91)*$D$14</f>
        <v>0</v>
      </c>
      <c r="HW91" s="63"/>
      <c r="HX91" s="73"/>
      <c r="HY91" s="72">
        <f t="shared" ref="HY91" ca="1" si="1618">($M91=HX91)*$D$14</f>
        <v>0</v>
      </c>
      <c r="HZ91" s="63"/>
      <c r="IA91" s="73"/>
      <c r="IB91" s="72">
        <f t="shared" ref="IB91" ca="1" si="1619">($M91=IA91)*$D$14</f>
        <v>0</v>
      </c>
      <c r="IC91" s="63"/>
      <c r="ID91" s="73"/>
      <c r="IE91" s="72">
        <f t="shared" ref="IE91" ca="1" si="1620">($M91=ID91)*$D$14</f>
        <v>0</v>
      </c>
      <c r="IF91" s="63"/>
      <c r="IG91" s="73"/>
      <c r="IH91" s="72">
        <f t="shared" ref="IH91" ca="1" si="1621">($M91=IG91)*$D$14</f>
        <v>0</v>
      </c>
      <c r="II91" s="63"/>
      <c r="IJ91" s="73"/>
      <c r="IK91" s="72">
        <f t="shared" ref="IK91" ca="1" si="1622">($M91=IJ91)*$D$14</f>
        <v>0</v>
      </c>
      <c r="IL91" s="63"/>
      <c r="IM91" s="73"/>
      <c r="IN91" s="72">
        <f t="shared" ref="IN91" ca="1" si="1623">($M91=IM91)*$D$14</f>
        <v>0</v>
      </c>
      <c r="IO91" s="63"/>
      <c r="IP91" s="73"/>
      <c r="IQ91" s="72">
        <f t="shared" ref="IQ91" ca="1" si="1624">($M91=IP91)*$D$14</f>
        <v>0</v>
      </c>
      <c r="IR91" s="63"/>
      <c r="IS91" s="73"/>
      <c r="IT91" s="72">
        <f t="shared" ref="IT91" ca="1" si="1625">($M91=IS91)*$D$14</f>
        <v>0</v>
      </c>
      <c r="IU91" s="63"/>
      <c r="IV91" s="73"/>
      <c r="IW91" s="72">
        <f t="shared" ref="IW91" ca="1" si="1626">($M91=IV91)*$D$14</f>
        <v>0</v>
      </c>
      <c r="IX91" s="63"/>
      <c r="IY91" s="73"/>
      <c r="IZ91" s="72">
        <f t="shared" ref="IZ91" ca="1" si="1627">($M91=IY91)*$D$14</f>
        <v>0</v>
      </c>
      <c r="JA91" s="63"/>
      <c r="JB91" s="73"/>
      <c r="JC91" s="72">
        <f t="shared" ref="JC91" ca="1" si="1628">($M91=JB91)*$D$14</f>
        <v>0</v>
      </c>
      <c r="JD91" s="63"/>
      <c r="JE91" s="73"/>
      <c r="JF91" s="72">
        <f t="shared" ref="JF91" ca="1" si="1629">($M91=JE91)*$D$14</f>
        <v>0</v>
      </c>
      <c r="JG91" s="63"/>
      <c r="JH91" s="73"/>
      <c r="JI91" s="72">
        <f t="shared" ref="JI91" ca="1" si="1630">($M91=JH91)*$D$14</f>
        <v>0</v>
      </c>
      <c r="JJ91" s="63"/>
      <c r="JK91" s="73"/>
      <c r="JL91" s="72">
        <f t="shared" ref="JL91" ca="1" si="1631">($M91=JK91)*$D$14</f>
        <v>0</v>
      </c>
      <c r="JM91" s="63"/>
      <c r="JN91" s="73"/>
      <c r="JO91" s="72">
        <f t="shared" ref="JO91" ca="1" si="1632">($M91=JN91)*$D$14</f>
        <v>0</v>
      </c>
      <c r="JP91" s="63"/>
      <c r="JQ91" s="73"/>
      <c r="JR91" s="72">
        <f t="shared" ref="JR91" ca="1" si="1633">($M91=JQ91)*$D$14</f>
        <v>0</v>
      </c>
      <c r="JS91" s="63"/>
      <c r="JT91" s="73"/>
      <c r="JU91" s="72">
        <f t="shared" ref="JU91" ca="1" si="1634">($M91=JT91)*$D$14</f>
        <v>0</v>
      </c>
      <c r="JV91" s="63"/>
      <c r="JW91" s="73"/>
      <c r="JX91" s="72">
        <f t="shared" ref="JX91" ca="1" si="1635">($M91=JW91)*$D$14</f>
        <v>0</v>
      </c>
      <c r="JY91" s="63"/>
      <c r="JZ91" s="73"/>
      <c r="KA91" s="72">
        <f t="shared" ref="KA91" ca="1" si="1636">($M91=JZ91)*$D$14</f>
        <v>0</v>
      </c>
      <c r="KB91" s="63"/>
      <c r="KC91" s="73"/>
      <c r="KD91" s="72">
        <f t="shared" ref="KD91" ca="1" si="1637">($M91=KC91)*$D$14</f>
        <v>0</v>
      </c>
      <c r="KE91" s="63"/>
      <c r="KF91" s="73"/>
      <c r="KG91" s="72">
        <f t="shared" ref="KG91" ca="1" si="1638">($M91=KF91)*$D$14</f>
        <v>0</v>
      </c>
      <c r="KH91" s="63"/>
      <c r="KI91" s="73"/>
      <c r="KJ91" s="72">
        <f t="shared" ref="KJ91" ca="1" si="1639">($M91=KI91)*$D$14</f>
        <v>0</v>
      </c>
      <c r="KK91" s="63"/>
      <c r="KL91" s="73"/>
      <c r="KM91" s="72">
        <f t="shared" ref="KM91" ca="1" si="1640">($M91=KL91)*$D$14</f>
        <v>0</v>
      </c>
      <c r="KN91" s="63"/>
      <c r="KO91" s="73"/>
      <c r="KP91" s="72">
        <f t="shared" ref="KP91" ca="1" si="1641">($M91=KO91)*$D$14</f>
        <v>0</v>
      </c>
      <c r="KQ91" s="63"/>
      <c r="KR91" s="73"/>
      <c r="KS91" s="72">
        <f t="shared" ref="KS91" ca="1" si="1642">($M91=KR91)*$D$14</f>
        <v>0</v>
      </c>
      <c r="KT91" s="63"/>
      <c r="KU91" s="73"/>
      <c r="KV91" s="72">
        <f t="shared" ref="KV91" ca="1" si="1643">($M91=KU91)*$D$14</f>
        <v>0</v>
      </c>
      <c r="KW91" s="63"/>
      <c r="KX91" s="73"/>
      <c r="KY91" s="72">
        <f t="shared" ref="KY91" ca="1" si="1644">($M91=KX91)*$D$14</f>
        <v>0</v>
      </c>
      <c r="KZ91" s="63"/>
      <c r="LA91" s="73"/>
      <c r="LB91" s="72">
        <f t="shared" ref="LB91" ca="1" si="1645">($M91=LA91)*$D$14</f>
        <v>0</v>
      </c>
      <c r="LC91" s="63"/>
      <c r="LD91" s="73"/>
      <c r="LE91" s="72">
        <f t="shared" ref="LE91" ca="1" si="1646">($M91=LD91)*$D$14</f>
        <v>0</v>
      </c>
      <c r="LF91" s="63"/>
    </row>
    <row r="92" spans="1:318" s="784" customFormat="1">
      <c r="A92" s="49"/>
      <c r="B92" s="49"/>
      <c r="C92" s="49"/>
      <c r="D92" s="49"/>
      <c r="E92" s="109"/>
      <c r="F92" s="125">
        <f t="shared" ref="F92" si="1647">$D$11</f>
        <v>20</v>
      </c>
      <c r="G92" s="443">
        <f ca="1">VLOOKUP(H92,Equipos!$Q$1:$R$25,2,0)</f>
        <v>15</v>
      </c>
      <c r="H92" s="444">
        <f ca="1">$H$60</f>
        <v>46198</v>
      </c>
      <c r="I92" s="50"/>
      <c r="J92" s="845" t="s">
        <v>73</v>
      </c>
      <c r="K92" s="56" t="str">
        <f>Idiomas!D162</f>
        <v>1º GRUPO D</v>
      </c>
      <c r="L92" s="53"/>
      <c r="M92" s="55" t="str">
        <f ca="1">IF(OR(SUM(WORLDCUP!$AN$30:$AN$33)=12,WORLDCUP!$AJ$99=144),WORLDCUP!AL30,LEFT(K92,1)&amp;RIGHT(K92,1))</f>
        <v>1D</v>
      </c>
      <c r="N92" s="25"/>
      <c r="O92" s="25"/>
      <c r="P92" s="25"/>
      <c r="Q92" s="25"/>
      <c r="R92" s="108"/>
      <c r="S92" s="796" t="s">
        <v>497</v>
      </c>
      <c r="T92" s="72">
        <f t="shared" ref="T92" ca="1" si="1648">($M92=S92)*$D$11</f>
        <v>0</v>
      </c>
      <c r="U92" s="63"/>
      <c r="V92" s="73" t="s">
        <v>1835</v>
      </c>
      <c r="W92" s="72">
        <f t="shared" ref="W92" ca="1" si="1649">($M92=V92)*$D$11</f>
        <v>0</v>
      </c>
      <c r="X92" s="63"/>
      <c r="Y92" s="796" t="s">
        <v>1319</v>
      </c>
      <c r="Z92" s="72">
        <f t="shared" ref="Z92" ca="1" si="1650">($M92=Y92)*$D$11</f>
        <v>0</v>
      </c>
      <c r="AA92" s="63"/>
      <c r="AB92" s="796" t="s">
        <v>1835</v>
      </c>
      <c r="AC92" s="72">
        <f t="shared" ref="AC92" ca="1" si="1651">($M92=AB92)*$D$11</f>
        <v>0</v>
      </c>
      <c r="AD92" s="63"/>
      <c r="AE92" s="796" t="s">
        <v>1835</v>
      </c>
      <c r="AF92" s="72">
        <f t="shared" ref="AF92" ca="1" si="1652">($M92=AE92)*$D$11</f>
        <v>0</v>
      </c>
      <c r="AG92" s="63"/>
      <c r="AH92" s="796" t="s">
        <v>1835</v>
      </c>
      <c r="AI92" s="72">
        <f t="shared" ref="AI92" ca="1" si="1653">($M92=AH92)*$D$11</f>
        <v>0</v>
      </c>
      <c r="AJ92" s="63"/>
      <c r="AK92" s="806" t="s">
        <v>497</v>
      </c>
      <c r="AL92" s="72">
        <f t="shared" ref="AL92" ca="1" si="1654">($M92=AK92)*$D$11</f>
        <v>0</v>
      </c>
      <c r="AM92" s="63"/>
      <c r="AN92" s="796" t="s">
        <v>1835</v>
      </c>
      <c r="AO92" s="72">
        <f t="shared" ref="AO92" ca="1" si="1655">($M92=AN92)*$D$11</f>
        <v>0</v>
      </c>
      <c r="AP92" s="63"/>
      <c r="AQ92" s="806" t="s">
        <v>1835</v>
      </c>
      <c r="AR92" s="72">
        <f t="shared" ref="AR92" ca="1" si="1656">($M92=AQ92)*$D$11</f>
        <v>0</v>
      </c>
      <c r="AS92" s="63"/>
      <c r="AT92" s="796" t="s">
        <v>1319</v>
      </c>
      <c r="AU92" s="72">
        <f t="shared" ref="AU92" ca="1" si="1657">($M92=AT92)*$D$11</f>
        <v>0</v>
      </c>
      <c r="AV92" s="63"/>
      <c r="AW92" s="796" t="s">
        <v>1835</v>
      </c>
      <c r="AX92" s="72">
        <f t="shared" ref="AX92" ca="1" si="1658">($M92=AW92)*$D$11</f>
        <v>0</v>
      </c>
      <c r="AY92" s="63"/>
      <c r="AZ92" s="796" t="s">
        <v>1257</v>
      </c>
      <c r="BA92" s="72">
        <f t="shared" ref="BA92" ca="1" si="1659">($M92=AZ92)*$D$11</f>
        <v>0</v>
      </c>
      <c r="BB92" s="63"/>
      <c r="BC92" s="796" t="s">
        <v>1835</v>
      </c>
      <c r="BD92" s="72">
        <f t="shared" ref="BD92" ca="1" si="1660">($M92=BC92)*$D$11</f>
        <v>0</v>
      </c>
      <c r="BE92" s="63"/>
      <c r="BF92" s="796" t="s">
        <v>497</v>
      </c>
      <c r="BG92" s="72">
        <f t="shared" ref="BG92" ca="1" si="1661">($M92=BF92)*$D$11</f>
        <v>0</v>
      </c>
      <c r="BH92" s="63"/>
      <c r="BI92" s="796" t="s">
        <v>1835</v>
      </c>
      <c r="BJ92" s="72">
        <f t="shared" ref="BJ92" ca="1" si="1662">($M92=BI92)*$D$11</f>
        <v>0</v>
      </c>
      <c r="BK92" s="63"/>
      <c r="BL92" s="796" t="s">
        <v>497</v>
      </c>
      <c r="BM92" s="72">
        <f t="shared" ref="BM92" ca="1" si="1663">($M92=BL92)*$D$11</f>
        <v>0</v>
      </c>
      <c r="BN92" s="63"/>
      <c r="BO92" s="816" t="s">
        <v>1835</v>
      </c>
      <c r="BP92" s="72">
        <f t="shared" ref="BP92" ca="1" si="1664">($M92=BO92)*$D$11</f>
        <v>0</v>
      </c>
      <c r="BQ92" s="63"/>
      <c r="BR92" s="796" t="s">
        <v>1835</v>
      </c>
      <c r="BS92" s="72">
        <f t="shared" ref="BS92" ca="1" si="1665">($M92=BR92)*$D$11</f>
        <v>0</v>
      </c>
      <c r="BT92" s="63"/>
      <c r="BU92" s="796" t="s">
        <v>1835</v>
      </c>
      <c r="BV92" s="72">
        <f t="shared" ref="BV92" ca="1" si="1666">($M92=BU92)*$D$11</f>
        <v>0</v>
      </c>
      <c r="BW92" s="63"/>
      <c r="BX92" s="73" t="s">
        <v>1319</v>
      </c>
      <c r="BY92" s="72">
        <f t="shared" ref="BY92" ca="1" si="1667">($M92=BX92)*$D$11</f>
        <v>0</v>
      </c>
      <c r="BZ92" s="63"/>
      <c r="CA92" s="816" t="s">
        <v>1835</v>
      </c>
      <c r="CB92" s="72">
        <f t="shared" ref="CB92" ca="1" si="1668">($M92=CA92)*$D$11</f>
        <v>0</v>
      </c>
      <c r="CC92" s="63"/>
      <c r="CD92" s="825" t="s">
        <v>497</v>
      </c>
      <c r="CE92" s="72">
        <f t="shared" ref="CE92" ca="1" si="1669">($M92=CD92)*$D$11</f>
        <v>0</v>
      </c>
      <c r="CF92" s="63"/>
      <c r="CG92" s="796" t="s">
        <v>1835</v>
      </c>
      <c r="CH92" s="72">
        <f t="shared" ref="CH92" ca="1" si="1670">($M92=CG92)*$D$11</f>
        <v>0</v>
      </c>
      <c r="CI92" s="63"/>
      <c r="CJ92" s="796" t="s">
        <v>1835</v>
      </c>
      <c r="CK92" s="72">
        <f t="shared" ref="CK92" ca="1" si="1671">($M92=CJ92)*$D$11</f>
        <v>0</v>
      </c>
      <c r="CL92" s="63"/>
      <c r="CM92" s="796" t="s">
        <v>1319</v>
      </c>
      <c r="CN92" s="72">
        <f t="shared" ref="CN92" ca="1" si="1672">($M92=CM92)*$D$11</f>
        <v>0</v>
      </c>
      <c r="CO92" s="63"/>
      <c r="CP92" s="796" t="s">
        <v>1319</v>
      </c>
      <c r="CQ92" s="72">
        <f t="shared" ref="CQ92" ca="1" si="1673">($M92=CP92)*$D$11</f>
        <v>0</v>
      </c>
      <c r="CR92" s="63"/>
      <c r="CS92" s="796" t="s">
        <v>497</v>
      </c>
      <c r="CT92" s="72">
        <f t="shared" ref="CT92" ca="1" si="1674">($M92=CS92)*$D$11</f>
        <v>0</v>
      </c>
      <c r="CU92" s="63"/>
      <c r="CV92" s="796" t="s">
        <v>1835</v>
      </c>
      <c r="CW92" s="72">
        <f t="shared" ref="CW92" ca="1" si="1675">($M92=CV92)*$D$11</f>
        <v>0</v>
      </c>
      <c r="CX92" s="63"/>
      <c r="CY92" s="796" t="s">
        <v>497</v>
      </c>
      <c r="CZ92" s="72">
        <f t="shared" ref="CZ92" ca="1" si="1676">($M92=CY92)*$D$11</f>
        <v>0</v>
      </c>
      <c r="DA92" s="63"/>
      <c r="DB92" s="796" t="s">
        <v>1835</v>
      </c>
      <c r="DC92" s="72">
        <f t="shared" ref="DC92" ca="1" si="1677">($M92=DB92)*$D$11</f>
        <v>0</v>
      </c>
      <c r="DD92" s="63"/>
      <c r="DE92" s="796" t="s">
        <v>1835</v>
      </c>
      <c r="DF92" s="72">
        <f ca="1">($M92=DE92)*$D$11</f>
        <v>0</v>
      </c>
      <c r="DG92" s="63"/>
      <c r="DH92" s="796" t="s">
        <v>497</v>
      </c>
      <c r="DI92" s="72">
        <f ca="1">($M92=DH92)*$D$11</f>
        <v>0</v>
      </c>
      <c r="DJ92" s="63"/>
      <c r="DK92" s="796" t="s">
        <v>1835</v>
      </c>
      <c r="DL92" s="72">
        <f ca="1">($M92=DK92)*$D$11</f>
        <v>0</v>
      </c>
      <c r="DM92" s="63"/>
      <c r="DN92" s="73"/>
      <c r="DO92" s="72">
        <f t="shared" ref="DO92" ca="1" si="1678">($M92=DN92)*$D$11</f>
        <v>0</v>
      </c>
      <c r="DP92" s="63"/>
      <c r="DQ92" s="796" t="s">
        <v>1319</v>
      </c>
      <c r="DR92" s="72">
        <f t="shared" ref="DR92" ca="1" si="1679">($M92=DQ92)*$D$11</f>
        <v>0</v>
      </c>
      <c r="DS92" s="63"/>
      <c r="DT92" s="73" t="s">
        <v>497</v>
      </c>
      <c r="DU92" s="72">
        <f t="shared" ref="DU92" ca="1" si="1680">($M92=DT92)*$D$11</f>
        <v>0</v>
      </c>
      <c r="DV92" s="63"/>
      <c r="DW92" s="73"/>
      <c r="DX92" s="72">
        <f t="shared" ref="DX92" ca="1" si="1681">($M92=DW92)*$D$11</f>
        <v>0</v>
      </c>
      <c r="DY92" s="63"/>
      <c r="DZ92" s="73"/>
      <c r="EA92" s="72">
        <f ca="1">($M92=DZ92)*$D$11</f>
        <v>0</v>
      </c>
      <c r="EB92" s="63"/>
      <c r="EC92" s="73"/>
      <c r="ED92" s="72">
        <f t="shared" ref="ED92" ca="1" si="1682">($M92=EC92)*$D$11</f>
        <v>0</v>
      </c>
      <c r="EE92" s="63"/>
      <c r="EF92" s="73"/>
      <c r="EG92" s="72">
        <f t="shared" ref="EG92" ca="1" si="1683">($M92=EF92)*$D$11</f>
        <v>0</v>
      </c>
      <c r="EH92" s="63"/>
      <c r="EI92" s="73"/>
      <c r="EJ92" s="72">
        <f t="shared" ref="EJ92" ca="1" si="1684">($M92=EI92)*$D$11</f>
        <v>0</v>
      </c>
      <c r="EK92" s="63"/>
      <c r="EL92" s="73"/>
      <c r="EM92" s="72">
        <f t="shared" ref="EM92" ca="1" si="1685">($M92=EL92)*$D$11</f>
        <v>0</v>
      </c>
      <c r="EN92" s="63"/>
      <c r="EO92" s="73"/>
      <c r="EP92" s="72">
        <f t="shared" ref="EP92" ca="1" si="1686">($M92=EO92)*$D$11</f>
        <v>0</v>
      </c>
      <c r="EQ92" s="63"/>
      <c r="ER92" s="73"/>
      <c r="ES92" s="72">
        <f t="shared" ref="ES92" ca="1" si="1687">($M92=ER92)*$D$11</f>
        <v>0</v>
      </c>
      <c r="ET92" s="63"/>
      <c r="EU92" s="73"/>
      <c r="EV92" s="72">
        <f t="shared" ref="EV92" ca="1" si="1688">($M92=EU92)*$D$11</f>
        <v>0</v>
      </c>
      <c r="EW92" s="63"/>
      <c r="EX92" s="73"/>
      <c r="EY92" s="72">
        <f t="shared" ref="EY92" ca="1" si="1689">($M92=EX92)*$D$11</f>
        <v>0</v>
      </c>
      <c r="EZ92" s="63"/>
      <c r="FA92" s="73"/>
      <c r="FB92" s="72">
        <f t="shared" ref="FB92" ca="1" si="1690">($M92=FA92)*$D$11</f>
        <v>0</v>
      </c>
      <c r="FC92" s="63"/>
      <c r="FD92" s="73"/>
      <c r="FE92" s="72">
        <f t="shared" ref="FE92" ca="1" si="1691">($M92=FD92)*$D$11</f>
        <v>0</v>
      </c>
      <c r="FF92" s="63"/>
      <c r="FG92" s="73"/>
      <c r="FH92" s="72">
        <f t="shared" ref="FH92" ca="1" si="1692">($M92=FG92)*$D$11</f>
        <v>0</v>
      </c>
      <c r="FI92" s="63"/>
      <c r="FJ92" s="73"/>
      <c r="FK92" s="72">
        <f t="shared" ref="FK92" ca="1" si="1693">($M92=FJ92)*$D$11</f>
        <v>0</v>
      </c>
      <c r="FL92" s="63"/>
      <c r="FM92" s="73"/>
      <c r="FN92" s="72">
        <f t="shared" ref="FN92" ca="1" si="1694">($M92=FM92)*$D$11</f>
        <v>0</v>
      </c>
      <c r="FO92" s="63"/>
      <c r="FP92" s="73"/>
      <c r="FQ92" s="72">
        <f t="shared" ref="FQ92" ca="1" si="1695">($M92=FP92)*$D$11</f>
        <v>0</v>
      </c>
      <c r="FR92" s="63"/>
      <c r="FS92" s="73"/>
      <c r="FT92" s="72">
        <f t="shared" ref="FT92" ca="1" si="1696">($M92=FS92)*$D$11</f>
        <v>0</v>
      </c>
      <c r="FU92" s="63"/>
      <c r="FV92" s="73"/>
      <c r="FW92" s="72">
        <f t="shared" ref="FW92" ca="1" si="1697">($M92=FV92)*$D$11</f>
        <v>0</v>
      </c>
      <c r="FX92" s="63"/>
      <c r="FY92" s="73"/>
      <c r="FZ92" s="72">
        <f t="shared" ref="FZ92" ca="1" si="1698">($M92=FY92)*$D$11</f>
        <v>0</v>
      </c>
      <c r="GA92" s="63"/>
      <c r="GB92" s="73"/>
      <c r="GC92" s="72">
        <f t="shared" ref="GC92" ca="1" si="1699">($M92=GB92)*$D$11</f>
        <v>0</v>
      </c>
      <c r="GD92" s="63"/>
      <c r="GE92" s="73"/>
      <c r="GF92" s="72">
        <f t="shared" ref="GF92" ca="1" si="1700">($M92=GE92)*$D$11</f>
        <v>0</v>
      </c>
      <c r="GG92" s="63"/>
      <c r="GH92" s="73"/>
      <c r="GI92" s="72">
        <f t="shared" ref="GI92" ca="1" si="1701">($M92=GH92)*$D$11</f>
        <v>0</v>
      </c>
      <c r="GJ92" s="63"/>
      <c r="GK92" s="73"/>
      <c r="GL92" s="72">
        <f t="shared" ref="GL92" ca="1" si="1702">($M92=GK92)*$D$11</f>
        <v>0</v>
      </c>
      <c r="GM92" s="63"/>
      <c r="GN92" s="73"/>
      <c r="GO92" s="72">
        <f t="shared" ref="GO92" ca="1" si="1703">($M92=GN92)*$D$11</f>
        <v>0</v>
      </c>
      <c r="GP92" s="63"/>
      <c r="GQ92" s="73"/>
      <c r="GR92" s="72">
        <f t="shared" ref="GR92" ca="1" si="1704">($M92=GQ92)*$D$11</f>
        <v>0</v>
      </c>
      <c r="GS92" s="63"/>
      <c r="GT92" s="73"/>
      <c r="GU92" s="72">
        <f t="shared" ref="GU92" ca="1" si="1705">($M92=GT92)*$D$11</f>
        <v>0</v>
      </c>
      <c r="GV92" s="63"/>
      <c r="GW92" s="73"/>
      <c r="GX92" s="72">
        <f t="shared" ref="GX92" ca="1" si="1706">($M92=GW92)*$D$11</f>
        <v>0</v>
      </c>
      <c r="GY92" s="63"/>
      <c r="GZ92" s="73"/>
      <c r="HA92" s="72">
        <f t="shared" ref="HA92" ca="1" si="1707">($M92=GZ92)*$D$11</f>
        <v>0</v>
      </c>
      <c r="HB92" s="63"/>
      <c r="HC92" s="73"/>
      <c r="HD92" s="72">
        <f t="shared" ref="HD92" ca="1" si="1708">($M92=HC92)*$D$11</f>
        <v>0</v>
      </c>
      <c r="HE92" s="63"/>
      <c r="HF92" s="73"/>
      <c r="HG92" s="72">
        <f t="shared" ref="HG92" ca="1" si="1709">($M92=HF92)*$D$11</f>
        <v>0</v>
      </c>
      <c r="HH92" s="63"/>
      <c r="HI92" s="73"/>
      <c r="HJ92" s="72">
        <f t="shared" ref="HJ92" ca="1" si="1710">($M92=HI92)*$D$11</f>
        <v>0</v>
      </c>
      <c r="HK92" s="63"/>
      <c r="HL92" s="73"/>
      <c r="HM92" s="72">
        <f t="shared" ref="HM92" ca="1" si="1711">($M92=HL92)*$D$11</f>
        <v>0</v>
      </c>
      <c r="HN92" s="63"/>
      <c r="HO92" s="73"/>
      <c r="HP92" s="72">
        <f t="shared" ref="HP92" ca="1" si="1712">($M92=HO92)*$D$11</f>
        <v>0</v>
      </c>
      <c r="HQ92" s="63"/>
      <c r="HR92" s="73"/>
      <c r="HS92" s="72">
        <f t="shared" ref="HS92" ca="1" si="1713">($M92=HR92)*$D$11</f>
        <v>0</v>
      </c>
      <c r="HT92" s="63"/>
      <c r="HU92" s="73"/>
      <c r="HV92" s="72">
        <f t="shared" ref="HV92" ca="1" si="1714">($M92=HU92)*$D$11</f>
        <v>0</v>
      </c>
      <c r="HW92" s="63"/>
      <c r="HX92" s="73"/>
      <c r="HY92" s="72">
        <f t="shared" ref="HY92" ca="1" si="1715">($M92=HX92)*$D$11</f>
        <v>0</v>
      </c>
      <c r="HZ92" s="63"/>
      <c r="IA92" s="73"/>
      <c r="IB92" s="72">
        <f t="shared" ref="IB92" ca="1" si="1716">($M92=IA92)*$D$11</f>
        <v>0</v>
      </c>
      <c r="IC92" s="63"/>
      <c r="ID92" s="73"/>
      <c r="IE92" s="72">
        <f t="shared" ref="IE92" ca="1" si="1717">($M92=ID92)*$D$11</f>
        <v>0</v>
      </c>
      <c r="IF92" s="63"/>
      <c r="IG92" s="73"/>
      <c r="IH92" s="72">
        <f t="shared" ref="IH92" ca="1" si="1718">($M92=IG92)*$D$11</f>
        <v>0</v>
      </c>
      <c r="II92" s="63"/>
      <c r="IJ92" s="73"/>
      <c r="IK92" s="72">
        <f t="shared" ref="IK92" ca="1" si="1719">($M92=IJ92)*$D$11</f>
        <v>0</v>
      </c>
      <c r="IL92" s="63"/>
      <c r="IM92" s="73"/>
      <c r="IN92" s="72">
        <f t="shared" ref="IN92" ca="1" si="1720">($M92=IM92)*$D$11</f>
        <v>0</v>
      </c>
      <c r="IO92" s="63"/>
      <c r="IP92" s="73"/>
      <c r="IQ92" s="72">
        <f t="shared" ref="IQ92" ca="1" si="1721">($M92=IP92)*$D$11</f>
        <v>0</v>
      </c>
      <c r="IR92" s="63"/>
      <c r="IS92" s="73"/>
      <c r="IT92" s="72">
        <f t="shared" ref="IT92" ca="1" si="1722">($M92=IS92)*$D$11</f>
        <v>0</v>
      </c>
      <c r="IU92" s="63"/>
      <c r="IV92" s="73"/>
      <c r="IW92" s="72">
        <f t="shared" ref="IW92" ca="1" si="1723">($M92=IV92)*$D$11</f>
        <v>0</v>
      </c>
      <c r="IX92" s="63"/>
      <c r="IY92" s="73"/>
      <c r="IZ92" s="72">
        <f t="shared" ref="IZ92" ca="1" si="1724">($M92=IY92)*$D$11</f>
        <v>0</v>
      </c>
      <c r="JA92" s="63"/>
      <c r="JB92" s="73"/>
      <c r="JC92" s="72">
        <f t="shared" ref="JC92" ca="1" si="1725">($M92=JB92)*$D$11</f>
        <v>0</v>
      </c>
      <c r="JD92" s="63"/>
      <c r="JE92" s="73"/>
      <c r="JF92" s="72">
        <f t="shared" ref="JF92" ca="1" si="1726">($M92=JE92)*$D$11</f>
        <v>0</v>
      </c>
      <c r="JG92" s="63"/>
      <c r="JH92" s="73"/>
      <c r="JI92" s="72">
        <f t="shared" ref="JI92" ca="1" si="1727">($M92=JH92)*$D$11</f>
        <v>0</v>
      </c>
      <c r="JJ92" s="63"/>
      <c r="JK92" s="73"/>
      <c r="JL92" s="72">
        <f t="shared" ref="JL92" ca="1" si="1728">($M92=JK92)*$D$11</f>
        <v>0</v>
      </c>
      <c r="JM92" s="63"/>
      <c r="JN92" s="73"/>
      <c r="JO92" s="72">
        <f t="shared" ref="JO92" ca="1" si="1729">($M92=JN92)*$D$11</f>
        <v>0</v>
      </c>
      <c r="JP92" s="63"/>
      <c r="JQ92" s="73"/>
      <c r="JR92" s="72">
        <f t="shared" ref="JR92" ca="1" si="1730">($M92=JQ92)*$D$11</f>
        <v>0</v>
      </c>
      <c r="JS92" s="63"/>
      <c r="JT92" s="73"/>
      <c r="JU92" s="72">
        <f t="shared" ref="JU92" ca="1" si="1731">($M92=JT92)*$D$11</f>
        <v>0</v>
      </c>
      <c r="JV92" s="63"/>
      <c r="JW92" s="73"/>
      <c r="JX92" s="72">
        <f t="shared" ref="JX92" ca="1" si="1732">($M92=JW92)*$D$11</f>
        <v>0</v>
      </c>
      <c r="JY92" s="63"/>
      <c r="JZ92" s="73"/>
      <c r="KA92" s="72">
        <f t="shared" ref="KA92" ca="1" si="1733">($M92=JZ92)*$D$11</f>
        <v>0</v>
      </c>
      <c r="KB92" s="63"/>
      <c r="KC92" s="73"/>
      <c r="KD92" s="72">
        <f t="shared" ref="KD92" ca="1" si="1734">($M92=KC92)*$D$11</f>
        <v>0</v>
      </c>
      <c r="KE92" s="63"/>
      <c r="KF92" s="73"/>
      <c r="KG92" s="72">
        <f t="shared" ref="KG92" ca="1" si="1735">($M92=KF92)*$D$11</f>
        <v>0</v>
      </c>
      <c r="KH92" s="63"/>
      <c r="KI92" s="73"/>
      <c r="KJ92" s="72">
        <f t="shared" ref="KJ92" ca="1" si="1736">($M92=KI92)*$D$11</f>
        <v>0</v>
      </c>
      <c r="KK92" s="63"/>
      <c r="KL92" s="73"/>
      <c r="KM92" s="72">
        <f t="shared" ref="KM92" ca="1" si="1737">($M92=KL92)*$D$11</f>
        <v>0</v>
      </c>
      <c r="KN92" s="63"/>
      <c r="KO92" s="73"/>
      <c r="KP92" s="72">
        <f t="shared" ref="KP92" ca="1" si="1738">($M92=KO92)*$D$11</f>
        <v>0</v>
      </c>
      <c r="KQ92" s="63"/>
      <c r="KR92" s="73"/>
      <c r="KS92" s="72">
        <f t="shared" ref="KS92" ca="1" si="1739">($M92=KR92)*$D$11</f>
        <v>0</v>
      </c>
      <c r="KT92" s="63"/>
      <c r="KU92" s="73"/>
      <c r="KV92" s="72">
        <f t="shared" ref="KV92" ca="1" si="1740">($M92=KU92)*$D$11</f>
        <v>0</v>
      </c>
      <c r="KW92" s="63"/>
      <c r="KX92" s="73"/>
      <c r="KY92" s="72">
        <f t="shared" ref="KY92" ca="1" si="1741">($M92=KX92)*$D$11</f>
        <v>0</v>
      </c>
      <c r="KZ92" s="63"/>
      <c r="LA92" s="73"/>
      <c r="LB92" s="72">
        <f t="shared" ref="LB92" ca="1" si="1742">($M92=LA92)*$D$11</f>
        <v>0</v>
      </c>
      <c r="LC92" s="63"/>
      <c r="LD92" s="73"/>
      <c r="LE92" s="72">
        <f t="shared" ref="LE92" ca="1" si="1743">($M92=LD92)*$D$11</f>
        <v>0</v>
      </c>
      <c r="LF92" s="63"/>
    </row>
    <row r="93" spans="1:318" s="784" customFormat="1">
      <c r="A93" s="49"/>
      <c r="B93" s="49"/>
      <c r="C93" s="49"/>
      <c r="D93" s="49"/>
      <c r="E93" s="109"/>
      <c r="F93" s="125">
        <f t="shared" ref="F93" si="1744">$D$12</f>
        <v>20</v>
      </c>
      <c r="G93" s="443">
        <f ca="1">VLOOKUP(H93,Equipos!$Q$1:$R$25,2,0)</f>
        <v>15</v>
      </c>
      <c r="H93" s="444">
        <f ca="1">$H$60</f>
        <v>46198</v>
      </c>
      <c r="I93" s="50"/>
      <c r="J93" s="845"/>
      <c r="K93" s="56" t="str">
        <f>Idiomas!D163</f>
        <v>2º GRUPO D</v>
      </c>
      <c r="L93" s="53"/>
      <c r="M93" s="55" t="str">
        <f ca="1">IF(OR(SUM(WORLDCUP!$AN$30:$AN$33)=12,WORLDCUP!$AJ$99=144),WORLDCUP!AL31,LEFT(K93,1)&amp;RIGHT(K93,1))</f>
        <v>2D</v>
      </c>
      <c r="N93" s="25"/>
      <c r="O93" s="25"/>
      <c r="P93" s="25"/>
      <c r="Q93" s="25"/>
      <c r="R93" s="108"/>
      <c r="S93" s="796" t="s">
        <v>1835</v>
      </c>
      <c r="T93" s="72">
        <f t="shared" ref="T93" ca="1" si="1745">($M93=S93)*$D$12</f>
        <v>0</v>
      </c>
      <c r="U93" s="63"/>
      <c r="V93" s="73" t="s">
        <v>497</v>
      </c>
      <c r="W93" s="72">
        <f t="shared" ref="W93" ca="1" si="1746">($M93=V93)*$D$12</f>
        <v>0</v>
      </c>
      <c r="X93" s="63"/>
      <c r="Y93" s="796" t="s">
        <v>497</v>
      </c>
      <c r="Z93" s="72">
        <f t="shared" ref="Z93" ca="1" si="1747">($M93=Y93)*$D$12</f>
        <v>0</v>
      </c>
      <c r="AA93" s="63"/>
      <c r="AB93" s="796" t="s">
        <v>1319</v>
      </c>
      <c r="AC93" s="72">
        <f t="shared" ref="AC93" ca="1" si="1748">($M93=AB93)*$D$12</f>
        <v>0</v>
      </c>
      <c r="AD93" s="63"/>
      <c r="AE93" s="796" t="s">
        <v>1319</v>
      </c>
      <c r="AF93" s="72">
        <f t="shared" ref="AF93" ca="1" si="1749">($M93=AE93)*$D$12</f>
        <v>0</v>
      </c>
      <c r="AG93" s="63"/>
      <c r="AH93" s="796" t="s">
        <v>1319</v>
      </c>
      <c r="AI93" s="72">
        <f t="shared" ref="AI93" ca="1" si="1750">($M93=AH93)*$D$12</f>
        <v>0</v>
      </c>
      <c r="AJ93" s="63"/>
      <c r="AK93" s="806" t="s">
        <v>1319</v>
      </c>
      <c r="AL93" s="72">
        <f t="shared" ref="AL93" ca="1" si="1751">($M93=AK93)*$D$12</f>
        <v>0</v>
      </c>
      <c r="AM93" s="63"/>
      <c r="AN93" s="796" t="s">
        <v>1319</v>
      </c>
      <c r="AO93" s="72">
        <f t="shared" ref="AO93" ca="1" si="1752">($M93=AN93)*$D$12</f>
        <v>0</v>
      </c>
      <c r="AP93" s="63"/>
      <c r="AQ93" s="806" t="s">
        <v>497</v>
      </c>
      <c r="AR93" s="72">
        <f t="shared" ref="AR93" ca="1" si="1753">($M93=AQ93)*$D$12</f>
        <v>0</v>
      </c>
      <c r="AS93" s="63"/>
      <c r="AT93" s="796" t="s">
        <v>497</v>
      </c>
      <c r="AU93" s="72">
        <f t="shared" ref="AU93" ca="1" si="1754">($M93=AT93)*$D$12</f>
        <v>0</v>
      </c>
      <c r="AV93" s="63"/>
      <c r="AW93" s="796" t="s">
        <v>497</v>
      </c>
      <c r="AX93" s="72">
        <f t="shared" ref="AX93" ca="1" si="1755">($M93=AW93)*$D$12</f>
        <v>0</v>
      </c>
      <c r="AY93" s="63"/>
      <c r="AZ93" s="796" t="s">
        <v>1319</v>
      </c>
      <c r="BA93" s="72">
        <f t="shared" ref="BA93" ca="1" si="1756">($M93=AZ93)*$D$12</f>
        <v>0</v>
      </c>
      <c r="BB93" s="63"/>
      <c r="BC93" s="796" t="s">
        <v>497</v>
      </c>
      <c r="BD93" s="72">
        <f t="shared" ref="BD93" ca="1" si="1757">($M93=BC93)*$D$12</f>
        <v>0</v>
      </c>
      <c r="BE93" s="63"/>
      <c r="BF93" s="796" t="s">
        <v>1319</v>
      </c>
      <c r="BG93" s="72">
        <f t="shared" ref="BG93" ca="1" si="1758">($M93=BF93)*$D$12</f>
        <v>0</v>
      </c>
      <c r="BH93" s="63"/>
      <c r="BI93" s="796" t="s">
        <v>497</v>
      </c>
      <c r="BJ93" s="72">
        <f t="shared" ref="BJ93" ca="1" si="1759">($M93=BI93)*$D$12</f>
        <v>0</v>
      </c>
      <c r="BK93" s="63"/>
      <c r="BL93" s="796" t="s">
        <v>1835</v>
      </c>
      <c r="BM93" s="72">
        <f t="shared" ref="BM93" ca="1" si="1760">($M93=BL93)*$D$12</f>
        <v>0</v>
      </c>
      <c r="BN93" s="63"/>
      <c r="BO93" s="816" t="s">
        <v>1319</v>
      </c>
      <c r="BP93" s="72">
        <f t="shared" ref="BP93" ca="1" si="1761">($M93=BO93)*$D$12</f>
        <v>0</v>
      </c>
      <c r="BQ93" s="63"/>
      <c r="BR93" s="796" t="s">
        <v>1319</v>
      </c>
      <c r="BS93" s="72">
        <f t="shared" ref="BS93" ca="1" si="1762">($M93=BR93)*$D$12</f>
        <v>0</v>
      </c>
      <c r="BT93" s="63"/>
      <c r="BU93" s="796" t="s">
        <v>497</v>
      </c>
      <c r="BV93" s="72">
        <f t="shared" ref="BV93" ca="1" si="1763">($M93=BU93)*$D$12</f>
        <v>0</v>
      </c>
      <c r="BW93" s="63"/>
      <c r="BX93" s="73" t="s">
        <v>1835</v>
      </c>
      <c r="BY93" s="72">
        <f t="shared" ref="BY93" ca="1" si="1764">($M93=BX93)*$D$12</f>
        <v>0</v>
      </c>
      <c r="BZ93" s="63"/>
      <c r="CA93" s="816" t="s">
        <v>497</v>
      </c>
      <c r="CB93" s="72">
        <f t="shared" ref="CB93" ca="1" si="1765">($M93=CA93)*$D$12</f>
        <v>0</v>
      </c>
      <c r="CC93" s="63"/>
      <c r="CD93" s="825" t="s">
        <v>1835</v>
      </c>
      <c r="CE93" s="72">
        <f t="shared" ref="CE93" ca="1" si="1766">($M93=CD93)*$D$12</f>
        <v>0</v>
      </c>
      <c r="CF93" s="63"/>
      <c r="CG93" s="796" t="s">
        <v>1319</v>
      </c>
      <c r="CH93" s="72">
        <f t="shared" ref="CH93" ca="1" si="1767">($M93=CG93)*$D$12</f>
        <v>0</v>
      </c>
      <c r="CI93" s="63"/>
      <c r="CJ93" s="796" t="s">
        <v>497</v>
      </c>
      <c r="CK93" s="72">
        <f t="shared" ref="CK93" ca="1" si="1768">($M93=CJ93)*$D$12</f>
        <v>0</v>
      </c>
      <c r="CL93" s="63"/>
      <c r="CM93" s="796" t="s">
        <v>497</v>
      </c>
      <c r="CN93" s="72">
        <f t="shared" ref="CN93" ca="1" si="1769">($M93=CM93)*$D$12</f>
        <v>0</v>
      </c>
      <c r="CO93" s="63"/>
      <c r="CP93" s="796" t="s">
        <v>497</v>
      </c>
      <c r="CQ93" s="72">
        <f t="shared" ref="CQ93" ca="1" si="1770">($M93=CP93)*$D$12</f>
        <v>0</v>
      </c>
      <c r="CR93" s="63"/>
      <c r="CS93" s="796" t="s">
        <v>1319</v>
      </c>
      <c r="CT93" s="72">
        <f t="shared" ref="CT93" ca="1" si="1771">($M93=CS93)*$D$12</f>
        <v>0</v>
      </c>
      <c r="CU93" s="63"/>
      <c r="CV93" s="796" t="s">
        <v>1319</v>
      </c>
      <c r="CW93" s="72">
        <f t="shared" ref="CW93" ca="1" si="1772">($M93=CV93)*$D$12</f>
        <v>0</v>
      </c>
      <c r="CX93" s="63"/>
      <c r="CY93" s="796" t="s">
        <v>1835</v>
      </c>
      <c r="CZ93" s="72">
        <f t="shared" ref="CZ93" ca="1" si="1773">($M93=CY93)*$D$12</f>
        <v>0</v>
      </c>
      <c r="DA93" s="63"/>
      <c r="DB93" s="796" t="s">
        <v>497</v>
      </c>
      <c r="DC93" s="72">
        <f t="shared" ref="DC93" ca="1" si="1774">($M93=DB93)*$D$12</f>
        <v>0</v>
      </c>
      <c r="DD93" s="63"/>
      <c r="DE93" s="796" t="s">
        <v>497</v>
      </c>
      <c r="DF93" s="72">
        <f ca="1">($M93=DE93)*$D$12</f>
        <v>0</v>
      </c>
      <c r="DG93" s="63"/>
      <c r="DH93" s="796" t="s">
        <v>1319</v>
      </c>
      <c r="DI93" s="72">
        <f ca="1">($M93=DH93)*$D$12</f>
        <v>0</v>
      </c>
      <c r="DJ93" s="63"/>
      <c r="DK93" s="796" t="s">
        <v>497</v>
      </c>
      <c r="DL93" s="72">
        <f ca="1">($M93=DK93)*$D$12</f>
        <v>0</v>
      </c>
      <c r="DM93" s="63"/>
      <c r="DN93" s="73"/>
      <c r="DO93" s="72">
        <f t="shared" ref="DO93" ca="1" si="1775">($M93=DN93)*$D$12</f>
        <v>0</v>
      </c>
      <c r="DP93" s="63"/>
      <c r="DQ93" s="796" t="s">
        <v>1835</v>
      </c>
      <c r="DR93" s="72">
        <f t="shared" ref="DR93" ca="1" si="1776">($M93=DQ93)*$D$12</f>
        <v>0</v>
      </c>
      <c r="DS93" s="63"/>
      <c r="DT93" s="73" t="s">
        <v>1835</v>
      </c>
      <c r="DU93" s="72">
        <f t="shared" ref="DU93" ca="1" si="1777">($M93=DT93)*$D$12</f>
        <v>0</v>
      </c>
      <c r="DV93" s="63"/>
      <c r="DW93" s="73"/>
      <c r="DX93" s="72">
        <f t="shared" ref="DX93" ca="1" si="1778">($M93=DW93)*$D$12</f>
        <v>0</v>
      </c>
      <c r="DY93" s="63"/>
      <c r="DZ93" s="73"/>
      <c r="EA93" s="72">
        <f ca="1">($M93=DZ93)*$D$12</f>
        <v>0</v>
      </c>
      <c r="EB93" s="63"/>
      <c r="EC93" s="73"/>
      <c r="ED93" s="72">
        <f t="shared" ref="ED93" ca="1" si="1779">($M93=EC93)*$D$12</f>
        <v>0</v>
      </c>
      <c r="EE93" s="63"/>
      <c r="EF93" s="73"/>
      <c r="EG93" s="72">
        <f t="shared" ref="EG93" ca="1" si="1780">($M93=EF93)*$D$12</f>
        <v>0</v>
      </c>
      <c r="EH93" s="63"/>
      <c r="EI93" s="73"/>
      <c r="EJ93" s="72">
        <f t="shared" ref="EJ93" ca="1" si="1781">($M93=EI93)*$D$12</f>
        <v>0</v>
      </c>
      <c r="EK93" s="63"/>
      <c r="EL93" s="73"/>
      <c r="EM93" s="72">
        <f t="shared" ref="EM93" ca="1" si="1782">($M93=EL93)*$D$12</f>
        <v>0</v>
      </c>
      <c r="EN93" s="63"/>
      <c r="EO93" s="73"/>
      <c r="EP93" s="72">
        <f t="shared" ref="EP93" ca="1" si="1783">($M93=EO93)*$D$12</f>
        <v>0</v>
      </c>
      <c r="EQ93" s="63"/>
      <c r="ER93" s="73"/>
      <c r="ES93" s="72">
        <f t="shared" ref="ES93" ca="1" si="1784">($M93=ER93)*$D$12</f>
        <v>0</v>
      </c>
      <c r="ET93" s="63"/>
      <c r="EU93" s="73"/>
      <c r="EV93" s="72">
        <f t="shared" ref="EV93" ca="1" si="1785">($M93=EU93)*$D$12</f>
        <v>0</v>
      </c>
      <c r="EW93" s="63"/>
      <c r="EX93" s="73"/>
      <c r="EY93" s="72">
        <f t="shared" ref="EY93" ca="1" si="1786">($M93=EX93)*$D$12</f>
        <v>0</v>
      </c>
      <c r="EZ93" s="63"/>
      <c r="FA93" s="73"/>
      <c r="FB93" s="72">
        <f t="shared" ref="FB93" ca="1" si="1787">($M93=FA93)*$D$12</f>
        <v>0</v>
      </c>
      <c r="FC93" s="63"/>
      <c r="FD93" s="73"/>
      <c r="FE93" s="72">
        <f t="shared" ref="FE93" ca="1" si="1788">($M93=FD93)*$D$12</f>
        <v>0</v>
      </c>
      <c r="FF93" s="63"/>
      <c r="FG93" s="73"/>
      <c r="FH93" s="72">
        <f t="shared" ref="FH93" ca="1" si="1789">($M93=FG93)*$D$12</f>
        <v>0</v>
      </c>
      <c r="FI93" s="63"/>
      <c r="FJ93" s="73"/>
      <c r="FK93" s="72">
        <f t="shared" ref="FK93" ca="1" si="1790">($M93=FJ93)*$D$12</f>
        <v>0</v>
      </c>
      <c r="FL93" s="63"/>
      <c r="FM93" s="73"/>
      <c r="FN93" s="72">
        <f t="shared" ref="FN93" ca="1" si="1791">($M93=FM93)*$D$12</f>
        <v>0</v>
      </c>
      <c r="FO93" s="63"/>
      <c r="FP93" s="73"/>
      <c r="FQ93" s="72">
        <f t="shared" ref="FQ93" ca="1" si="1792">($M93=FP93)*$D$12</f>
        <v>0</v>
      </c>
      <c r="FR93" s="63"/>
      <c r="FS93" s="73"/>
      <c r="FT93" s="72">
        <f t="shared" ref="FT93" ca="1" si="1793">($M93=FS93)*$D$12</f>
        <v>0</v>
      </c>
      <c r="FU93" s="63"/>
      <c r="FV93" s="73"/>
      <c r="FW93" s="72">
        <f t="shared" ref="FW93" ca="1" si="1794">($M93=FV93)*$D$12</f>
        <v>0</v>
      </c>
      <c r="FX93" s="63"/>
      <c r="FY93" s="73"/>
      <c r="FZ93" s="72">
        <f t="shared" ref="FZ93" ca="1" si="1795">($M93=FY93)*$D$12</f>
        <v>0</v>
      </c>
      <c r="GA93" s="63"/>
      <c r="GB93" s="73"/>
      <c r="GC93" s="72">
        <f t="shared" ref="GC93" ca="1" si="1796">($M93=GB93)*$D$12</f>
        <v>0</v>
      </c>
      <c r="GD93" s="63"/>
      <c r="GE93" s="73"/>
      <c r="GF93" s="72">
        <f t="shared" ref="GF93" ca="1" si="1797">($M93=GE93)*$D$12</f>
        <v>0</v>
      </c>
      <c r="GG93" s="63"/>
      <c r="GH93" s="73"/>
      <c r="GI93" s="72">
        <f t="shared" ref="GI93" ca="1" si="1798">($M93=GH93)*$D$12</f>
        <v>0</v>
      </c>
      <c r="GJ93" s="63"/>
      <c r="GK93" s="73"/>
      <c r="GL93" s="72">
        <f t="shared" ref="GL93" ca="1" si="1799">($M93=GK93)*$D$12</f>
        <v>0</v>
      </c>
      <c r="GM93" s="63"/>
      <c r="GN93" s="73"/>
      <c r="GO93" s="72">
        <f t="shared" ref="GO93" ca="1" si="1800">($M93=GN93)*$D$12</f>
        <v>0</v>
      </c>
      <c r="GP93" s="63"/>
      <c r="GQ93" s="73"/>
      <c r="GR93" s="72">
        <f t="shared" ref="GR93" ca="1" si="1801">($M93=GQ93)*$D$12</f>
        <v>0</v>
      </c>
      <c r="GS93" s="63"/>
      <c r="GT93" s="73"/>
      <c r="GU93" s="72">
        <f t="shared" ref="GU93" ca="1" si="1802">($M93=GT93)*$D$12</f>
        <v>0</v>
      </c>
      <c r="GV93" s="63"/>
      <c r="GW93" s="73"/>
      <c r="GX93" s="72">
        <f t="shared" ref="GX93" ca="1" si="1803">($M93=GW93)*$D$12</f>
        <v>0</v>
      </c>
      <c r="GY93" s="63"/>
      <c r="GZ93" s="73"/>
      <c r="HA93" s="72">
        <f t="shared" ref="HA93" ca="1" si="1804">($M93=GZ93)*$D$12</f>
        <v>0</v>
      </c>
      <c r="HB93" s="63"/>
      <c r="HC93" s="73"/>
      <c r="HD93" s="72">
        <f t="shared" ref="HD93" ca="1" si="1805">($M93=HC93)*$D$12</f>
        <v>0</v>
      </c>
      <c r="HE93" s="63"/>
      <c r="HF93" s="73"/>
      <c r="HG93" s="72">
        <f t="shared" ref="HG93" ca="1" si="1806">($M93=HF93)*$D$12</f>
        <v>0</v>
      </c>
      <c r="HH93" s="63"/>
      <c r="HI93" s="73"/>
      <c r="HJ93" s="72">
        <f t="shared" ref="HJ93" ca="1" si="1807">($M93=HI93)*$D$12</f>
        <v>0</v>
      </c>
      <c r="HK93" s="63"/>
      <c r="HL93" s="73"/>
      <c r="HM93" s="72">
        <f t="shared" ref="HM93" ca="1" si="1808">($M93=HL93)*$D$12</f>
        <v>0</v>
      </c>
      <c r="HN93" s="63"/>
      <c r="HO93" s="73"/>
      <c r="HP93" s="72">
        <f t="shared" ref="HP93" ca="1" si="1809">($M93=HO93)*$D$12</f>
        <v>0</v>
      </c>
      <c r="HQ93" s="63"/>
      <c r="HR93" s="73"/>
      <c r="HS93" s="72">
        <f t="shared" ref="HS93" ca="1" si="1810">($M93=HR93)*$D$12</f>
        <v>0</v>
      </c>
      <c r="HT93" s="63"/>
      <c r="HU93" s="73"/>
      <c r="HV93" s="72">
        <f t="shared" ref="HV93" ca="1" si="1811">($M93=HU93)*$D$12</f>
        <v>0</v>
      </c>
      <c r="HW93" s="63"/>
      <c r="HX93" s="73"/>
      <c r="HY93" s="72">
        <f t="shared" ref="HY93" ca="1" si="1812">($M93=HX93)*$D$12</f>
        <v>0</v>
      </c>
      <c r="HZ93" s="63"/>
      <c r="IA93" s="73"/>
      <c r="IB93" s="72">
        <f t="shared" ref="IB93" ca="1" si="1813">($M93=IA93)*$D$12</f>
        <v>0</v>
      </c>
      <c r="IC93" s="63"/>
      <c r="ID93" s="73"/>
      <c r="IE93" s="72">
        <f t="shared" ref="IE93" ca="1" si="1814">($M93=ID93)*$D$12</f>
        <v>0</v>
      </c>
      <c r="IF93" s="63"/>
      <c r="IG93" s="73"/>
      <c r="IH93" s="72">
        <f t="shared" ref="IH93" ca="1" si="1815">($M93=IG93)*$D$12</f>
        <v>0</v>
      </c>
      <c r="II93" s="63"/>
      <c r="IJ93" s="73"/>
      <c r="IK93" s="72">
        <f t="shared" ref="IK93" ca="1" si="1816">($M93=IJ93)*$D$12</f>
        <v>0</v>
      </c>
      <c r="IL93" s="63"/>
      <c r="IM93" s="73"/>
      <c r="IN93" s="72">
        <f t="shared" ref="IN93" ca="1" si="1817">($M93=IM93)*$D$12</f>
        <v>0</v>
      </c>
      <c r="IO93" s="63"/>
      <c r="IP93" s="73"/>
      <c r="IQ93" s="72">
        <f t="shared" ref="IQ93" ca="1" si="1818">($M93=IP93)*$D$12</f>
        <v>0</v>
      </c>
      <c r="IR93" s="63"/>
      <c r="IS93" s="73"/>
      <c r="IT93" s="72">
        <f t="shared" ref="IT93" ca="1" si="1819">($M93=IS93)*$D$12</f>
        <v>0</v>
      </c>
      <c r="IU93" s="63"/>
      <c r="IV93" s="73"/>
      <c r="IW93" s="72">
        <f t="shared" ref="IW93" ca="1" si="1820">($M93=IV93)*$D$12</f>
        <v>0</v>
      </c>
      <c r="IX93" s="63"/>
      <c r="IY93" s="73"/>
      <c r="IZ93" s="72">
        <f t="shared" ref="IZ93" ca="1" si="1821">($M93=IY93)*$D$12</f>
        <v>0</v>
      </c>
      <c r="JA93" s="63"/>
      <c r="JB93" s="73"/>
      <c r="JC93" s="72">
        <f t="shared" ref="JC93" ca="1" si="1822">($M93=JB93)*$D$12</f>
        <v>0</v>
      </c>
      <c r="JD93" s="63"/>
      <c r="JE93" s="73"/>
      <c r="JF93" s="72">
        <f t="shared" ref="JF93" ca="1" si="1823">($M93=JE93)*$D$12</f>
        <v>0</v>
      </c>
      <c r="JG93" s="63"/>
      <c r="JH93" s="73"/>
      <c r="JI93" s="72">
        <f t="shared" ref="JI93" ca="1" si="1824">($M93=JH93)*$D$12</f>
        <v>0</v>
      </c>
      <c r="JJ93" s="63"/>
      <c r="JK93" s="73"/>
      <c r="JL93" s="72">
        <f t="shared" ref="JL93" ca="1" si="1825">($M93=JK93)*$D$12</f>
        <v>0</v>
      </c>
      <c r="JM93" s="63"/>
      <c r="JN93" s="73"/>
      <c r="JO93" s="72">
        <f t="shared" ref="JO93" ca="1" si="1826">($M93=JN93)*$D$12</f>
        <v>0</v>
      </c>
      <c r="JP93" s="63"/>
      <c r="JQ93" s="73"/>
      <c r="JR93" s="72">
        <f t="shared" ref="JR93" ca="1" si="1827">($M93=JQ93)*$D$12</f>
        <v>0</v>
      </c>
      <c r="JS93" s="63"/>
      <c r="JT93" s="73"/>
      <c r="JU93" s="72">
        <f t="shared" ref="JU93" ca="1" si="1828">($M93=JT93)*$D$12</f>
        <v>0</v>
      </c>
      <c r="JV93" s="63"/>
      <c r="JW93" s="73"/>
      <c r="JX93" s="72">
        <f t="shared" ref="JX93" ca="1" si="1829">($M93=JW93)*$D$12</f>
        <v>0</v>
      </c>
      <c r="JY93" s="63"/>
      <c r="JZ93" s="73"/>
      <c r="KA93" s="72">
        <f t="shared" ref="KA93" ca="1" si="1830">($M93=JZ93)*$D$12</f>
        <v>0</v>
      </c>
      <c r="KB93" s="63"/>
      <c r="KC93" s="73"/>
      <c r="KD93" s="72">
        <f t="shared" ref="KD93" ca="1" si="1831">($M93=KC93)*$D$12</f>
        <v>0</v>
      </c>
      <c r="KE93" s="63"/>
      <c r="KF93" s="73"/>
      <c r="KG93" s="72">
        <f t="shared" ref="KG93" ca="1" si="1832">($M93=KF93)*$D$12</f>
        <v>0</v>
      </c>
      <c r="KH93" s="63"/>
      <c r="KI93" s="73"/>
      <c r="KJ93" s="72">
        <f t="shared" ref="KJ93" ca="1" si="1833">($M93=KI93)*$D$12</f>
        <v>0</v>
      </c>
      <c r="KK93" s="63"/>
      <c r="KL93" s="73"/>
      <c r="KM93" s="72">
        <f t="shared" ref="KM93" ca="1" si="1834">($M93=KL93)*$D$12</f>
        <v>0</v>
      </c>
      <c r="KN93" s="63"/>
      <c r="KO93" s="73"/>
      <c r="KP93" s="72">
        <f t="shared" ref="KP93" ca="1" si="1835">($M93=KO93)*$D$12</f>
        <v>0</v>
      </c>
      <c r="KQ93" s="63"/>
      <c r="KR93" s="73"/>
      <c r="KS93" s="72">
        <f t="shared" ref="KS93" ca="1" si="1836">($M93=KR93)*$D$12</f>
        <v>0</v>
      </c>
      <c r="KT93" s="63"/>
      <c r="KU93" s="73"/>
      <c r="KV93" s="72">
        <f t="shared" ref="KV93" ca="1" si="1837">($M93=KU93)*$D$12</f>
        <v>0</v>
      </c>
      <c r="KW93" s="63"/>
      <c r="KX93" s="73"/>
      <c r="KY93" s="72">
        <f t="shared" ref="KY93" ca="1" si="1838">($M93=KX93)*$D$12</f>
        <v>0</v>
      </c>
      <c r="KZ93" s="63"/>
      <c r="LA93" s="73"/>
      <c r="LB93" s="72">
        <f t="shared" ref="LB93" ca="1" si="1839">($M93=LA93)*$D$12</f>
        <v>0</v>
      </c>
      <c r="LC93" s="63"/>
      <c r="LD93" s="73"/>
      <c r="LE93" s="72">
        <f t="shared" ref="LE93" ca="1" si="1840">($M93=LD93)*$D$12</f>
        <v>0</v>
      </c>
      <c r="LF93" s="63"/>
    </row>
    <row r="94" spans="1:318" s="784" customFormat="1">
      <c r="A94" s="49"/>
      <c r="B94" s="49"/>
      <c r="C94" s="49"/>
      <c r="D94" s="49"/>
      <c r="E94" s="109"/>
      <c r="F94" s="125">
        <f t="shared" ref="F94" si="1841">$D$13</f>
        <v>20</v>
      </c>
      <c r="G94" s="443">
        <f ca="1">VLOOKUP(H94,Equipos!$Q$1:$R$25,2,0)</f>
        <v>15</v>
      </c>
      <c r="H94" s="444">
        <f ca="1">$H$60</f>
        <v>46198</v>
      </c>
      <c r="I94" s="50"/>
      <c r="J94" s="845"/>
      <c r="K94" s="56" t="str">
        <f>Idiomas!D164</f>
        <v>3º GRUPO D</v>
      </c>
      <c r="L94" s="53"/>
      <c r="M94" s="55" t="str">
        <f ca="1">IF(OR(SUM(WORLDCUP!$AN$30:$AN$33)=12,WORLDCUP!$AJ$99=144),WORLDCUP!AL32,LEFT(K94,1)&amp;RIGHT(K94,1))</f>
        <v>3D</v>
      </c>
      <c r="N94" s="25"/>
      <c r="O94" s="25"/>
      <c r="P94" s="25"/>
      <c r="Q94" s="25"/>
      <c r="R94" s="108"/>
      <c r="S94" s="796" t="s">
        <v>1319</v>
      </c>
      <c r="T94" s="72">
        <f t="shared" ref="T94" ca="1" si="1842">($M94=S94)*$D$13</f>
        <v>0</v>
      </c>
      <c r="U94" s="63"/>
      <c r="V94" s="73" t="s">
        <v>1319</v>
      </c>
      <c r="W94" s="72">
        <f t="shared" ref="W94" ca="1" si="1843">($M94=V94)*$D$13</f>
        <v>0</v>
      </c>
      <c r="X94" s="63"/>
      <c r="Y94" s="796" t="s">
        <v>1835</v>
      </c>
      <c r="Z94" s="72">
        <f t="shared" ref="Z94" ca="1" si="1844">($M94=Y94)*$D$13</f>
        <v>0</v>
      </c>
      <c r="AA94" s="63"/>
      <c r="AB94" s="796" t="s">
        <v>497</v>
      </c>
      <c r="AC94" s="72">
        <f t="shared" ref="AC94" ca="1" si="1845">($M94=AB94)*$D$13</f>
        <v>0</v>
      </c>
      <c r="AD94" s="63"/>
      <c r="AE94" s="796" t="s">
        <v>497</v>
      </c>
      <c r="AF94" s="72">
        <f t="shared" ref="AF94" ca="1" si="1846">($M94=AE94)*$D$13</f>
        <v>0</v>
      </c>
      <c r="AG94" s="63"/>
      <c r="AH94" s="796" t="s">
        <v>497</v>
      </c>
      <c r="AI94" s="72">
        <f t="shared" ref="AI94" ca="1" si="1847">($M94=AH94)*$D$13</f>
        <v>0</v>
      </c>
      <c r="AJ94" s="63"/>
      <c r="AK94" s="806" t="s">
        <v>1835</v>
      </c>
      <c r="AL94" s="72">
        <f t="shared" ref="AL94" ca="1" si="1848">($M94=AK94)*$D$13</f>
        <v>0</v>
      </c>
      <c r="AM94" s="63"/>
      <c r="AN94" s="796" t="s">
        <v>497</v>
      </c>
      <c r="AO94" s="72">
        <f t="shared" ref="AO94" ca="1" si="1849">($M94=AN94)*$D$13</f>
        <v>0</v>
      </c>
      <c r="AP94" s="63"/>
      <c r="AQ94" s="806" t="s">
        <v>1257</v>
      </c>
      <c r="AR94" s="72">
        <f t="shared" ref="AR94" ca="1" si="1850">($M94=AQ94)*$D$13</f>
        <v>0</v>
      </c>
      <c r="AS94" s="63"/>
      <c r="AT94" s="796" t="s">
        <v>1835</v>
      </c>
      <c r="AU94" s="72">
        <f t="shared" ref="AU94" ca="1" si="1851">($M94=AT94)*$D$13</f>
        <v>0</v>
      </c>
      <c r="AV94" s="63"/>
      <c r="AW94" s="796" t="s">
        <v>1319</v>
      </c>
      <c r="AX94" s="72">
        <f t="shared" ref="AX94" ca="1" si="1852">($M94=AW94)*$D$13</f>
        <v>0</v>
      </c>
      <c r="AY94" s="63"/>
      <c r="AZ94" s="796" t="s">
        <v>497</v>
      </c>
      <c r="BA94" s="72">
        <f t="shared" ref="BA94" ca="1" si="1853">($M94=AZ94)*$D$13</f>
        <v>0</v>
      </c>
      <c r="BB94" s="63"/>
      <c r="BC94" s="796" t="s">
        <v>1319</v>
      </c>
      <c r="BD94" s="72">
        <f t="shared" ref="BD94" ca="1" si="1854">($M94=BC94)*$D$13</f>
        <v>0</v>
      </c>
      <c r="BE94" s="63"/>
      <c r="BF94" s="796" t="s">
        <v>1835</v>
      </c>
      <c r="BG94" s="72">
        <f t="shared" ref="BG94" ca="1" si="1855">($M94=BF94)*$D$13</f>
        <v>0</v>
      </c>
      <c r="BH94" s="63"/>
      <c r="BI94" s="796" t="s">
        <v>1319</v>
      </c>
      <c r="BJ94" s="72">
        <f t="shared" ref="BJ94" ca="1" si="1856">($M94=BI94)*$D$13</f>
        <v>0</v>
      </c>
      <c r="BK94" s="63"/>
      <c r="BL94" s="796" t="s">
        <v>1319</v>
      </c>
      <c r="BM94" s="72">
        <f t="shared" ref="BM94" ca="1" si="1857">($M94=BL94)*$D$13</f>
        <v>0</v>
      </c>
      <c r="BN94" s="63"/>
      <c r="BO94" s="816" t="s">
        <v>497</v>
      </c>
      <c r="BP94" s="72">
        <f t="shared" ref="BP94" ca="1" si="1858">($M94=BO94)*$D$13</f>
        <v>0</v>
      </c>
      <c r="BQ94" s="63"/>
      <c r="BR94" s="796" t="s">
        <v>497</v>
      </c>
      <c r="BS94" s="72">
        <f t="shared" ref="BS94" ca="1" si="1859">($M94=BR94)*$D$13</f>
        <v>0</v>
      </c>
      <c r="BT94" s="63"/>
      <c r="BU94" s="796" t="s">
        <v>1319</v>
      </c>
      <c r="BV94" s="72">
        <f t="shared" ref="BV94" ca="1" si="1860">($M94=BU94)*$D$13</f>
        <v>0</v>
      </c>
      <c r="BW94" s="63"/>
      <c r="BX94" s="73" t="s">
        <v>497</v>
      </c>
      <c r="BY94" s="72">
        <f t="shared" ref="BY94" ca="1" si="1861">($M94=BX94)*$D$13</f>
        <v>0</v>
      </c>
      <c r="BZ94" s="63"/>
      <c r="CA94" s="816" t="s">
        <v>1319</v>
      </c>
      <c r="CB94" s="72">
        <f t="shared" ref="CB94" ca="1" si="1862">($M94=CA94)*$D$13</f>
        <v>0</v>
      </c>
      <c r="CC94" s="63"/>
      <c r="CD94" s="825" t="s">
        <v>1319</v>
      </c>
      <c r="CE94" s="72">
        <f t="shared" ref="CE94" ca="1" si="1863">($M94=CD94)*$D$13</f>
        <v>0</v>
      </c>
      <c r="CF94" s="63"/>
      <c r="CG94" s="796" t="s">
        <v>497</v>
      </c>
      <c r="CH94" s="72">
        <f t="shared" ref="CH94" ca="1" si="1864">($M94=CG94)*$D$13</f>
        <v>0</v>
      </c>
      <c r="CI94" s="63"/>
      <c r="CJ94" s="796" t="s">
        <v>1319</v>
      </c>
      <c r="CK94" s="72">
        <f t="shared" ref="CK94" ca="1" si="1865">($M94=CJ94)*$D$13</f>
        <v>0</v>
      </c>
      <c r="CL94" s="63"/>
      <c r="CM94" s="796" t="s">
        <v>1835</v>
      </c>
      <c r="CN94" s="72">
        <f t="shared" ref="CN94" ca="1" si="1866">($M94=CM94)*$D$13</f>
        <v>0</v>
      </c>
      <c r="CO94" s="63"/>
      <c r="CP94" s="796" t="s">
        <v>1835</v>
      </c>
      <c r="CQ94" s="72">
        <f t="shared" ref="CQ94" ca="1" si="1867">($M94=CP94)*$D$13</f>
        <v>0</v>
      </c>
      <c r="CR94" s="63"/>
      <c r="CS94" s="796" t="s">
        <v>1835</v>
      </c>
      <c r="CT94" s="72">
        <f t="shared" ref="CT94" ca="1" si="1868">($M94=CS94)*$D$13</f>
        <v>0</v>
      </c>
      <c r="CU94" s="63"/>
      <c r="CV94" s="796" t="s">
        <v>497</v>
      </c>
      <c r="CW94" s="72">
        <f t="shared" ref="CW94" ca="1" si="1869">($M94=CV94)*$D$13</f>
        <v>0</v>
      </c>
      <c r="CX94" s="63"/>
      <c r="CY94" s="796" t="s">
        <v>1257</v>
      </c>
      <c r="CZ94" s="72">
        <f t="shared" ref="CZ94" ca="1" si="1870">($M94=CY94)*$D$13</f>
        <v>0</v>
      </c>
      <c r="DA94" s="63"/>
      <c r="DB94" s="796" t="s">
        <v>1319</v>
      </c>
      <c r="DC94" s="72">
        <f t="shared" ref="DC94" ca="1" si="1871">($M94=DB94)*$D$13</f>
        <v>0</v>
      </c>
      <c r="DD94" s="63"/>
      <c r="DE94" s="796" t="s">
        <v>1319</v>
      </c>
      <c r="DF94" s="72">
        <f ca="1">($M94=DE94)*$D$13</f>
        <v>0</v>
      </c>
      <c r="DG94" s="63"/>
      <c r="DH94" s="796" t="s">
        <v>1835</v>
      </c>
      <c r="DI94" s="72">
        <f ca="1">($M94=DH94)*$D$13</f>
        <v>0</v>
      </c>
      <c r="DJ94" s="63"/>
      <c r="DK94" s="796" t="s">
        <v>1319</v>
      </c>
      <c r="DL94" s="72">
        <f ca="1">($M94=DK94)*$D$13</f>
        <v>0</v>
      </c>
      <c r="DM94" s="63"/>
      <c r="DN94" s="73"/>
      <c r="DO94" s="72">
        <f t="shared" ref="DO94" ca="1" si="1872">($M94=DN94)*$D$13</f>
        <v>0</v>
      </c>
      <c r="DP94" s="63"/>
      <c r="DQ94" s="796" t="s">
        <v>497</v>
      </c>
      <c r="DR94" s="72">
        <f t="shared" ref="DR94" ca="1" si="1873">($M94=DQ94)*$D$13</f>
        <v>0</v>
      </c>
      <c r="DS94" s="63"/>
      <c r="DT94" s="73" t="s">
        <v>1257</v>
      </c>
      <c r="DU94" s="72">
        <f t="shared" ref="DU94" ca="1" si="1874">($M94=DT94)*$D$13</f>
        <v>0</v>
      </c>
      <c r="DV94" s="63"/>
      <c r="DW94" s="73"/>
      <c r="DX94" s="72">
        <f t="shared" ref="DX94" ca="1" si="1875">($M94=DW94)*$D$13</f>
        <v>0</v>
      </c>
      <c r="DY94" s="63"/>
      <c r="DZ94" s="73"/>
      <c r="EA94" s="72">
        <f ca="1">($M94=DZ94)*$D$13</f>
        <v>0</v>
      </c>
      <c r="EB94" s="63"/>
      <c r="EC94" s="73"/>
      <c r="ED94" s="72">
        <f t="shared" ref="ED94" ca="1" si="1876">($M94=EC94)*$D$13</f>
        <v>0</v>
      </c>
      <c r="EE94" s="63"/>
      <c r="EF94" s="73"/>
      <c r="EG94" s="72">
        <f t="shared" ref="EG94" ca="1" si="1877">($M94=EF94)*$D$13</f>
        <v>0</v>
      </c>
      <c r="EH94" s="63"/>
      <c r="EI94" s="73"/>
      <c r="EJ94" s="72">
        <f t="shared" ref="EJ94" ca="1" si="1878">($M94=EI94)*$D$13</f>
        <v>0</v>
      </c>
      <c r="EK94" s="63"/>
      <c r="EL94" s="73"/>
      <c r="EM94" s="72">
        <f t="shared" ref="EM94" ca="1" si="1879">($M94=EL94)*$D$13</f>
        <v>0</v>
      </c>
      <c r="EN94" s="63"/>
      <c r="EO94" s="73"/>
      <c r="EP94" s="72">
        <f t="shared" ref="EP94" ca="1" si="1880">($M94=EO94)*$D$13</f>
        <v>0</v>
      </c>
      <c r="EQ94" s="63"/>
      <c r="ER94" s="73"/>
      <c r="ES94" s="72">
        <f t="shared" ref="ES94" ca="1" si="1881">($M94=ER94)*$D$13</f>
        <v>0</v>
      </c>
      <c r="ET94" s="63"/>
      <c r="EU94" s="73"/>
      <c r="EV94" s="72">
        <f t="shared" ref="EV94" ca="1" si="1882">($M94=EU94)*$D$13</f>
        <v>0</v>
      </c>
      <c r="EW94" s="63"/>
      <c r="EX94" s="73"/>
      <c r="EY94" s="72">
        <f t="shared" ref="EY94" ca="1" si="1883">($M94=EX94)*$D$13</f>
        <v>0</v>
      </c>
      <c r="EZ94" s="63"/>
      <c r="FA94" s="73"/>
      <c r="FB94" s="72">
        <f t="shared" ref="FB94" ca="1" si="1884">($M94=FA94)*$D$13</f>
        <v>0</v>
      </c>
      <c r="FC94" s="63"/>
      <c r="FD94" s="73"/>
      <c r="FE94" s="72">
        <f t="shared" ref="FE94" ca="1" si="1885">($M94=FD94)*$D$13</f>
        <v>0</v>
      </c>
      <c r="FF94" s="63"/>
      <c r="FG94" s="73"/>
      <c r="FH94" s="72">
        <f t="shared" ref="FH94" ca="1" si="1886">($M94=FG94)*$D$13</f>
        <v>0</v>
      </c>
      <c r="FI94" s="63"/>
      <c r="FJ94" s="73"/>
      <c r="FK94" s="72">
        <f t="shared" ref="FK94" ca="1" si="1887">($M94=FJ94)*$D$13</f>
        <v>0</v>
      </c>
      <c r="FL94" s="63"/>
      <c r="FM94" s="73"/>
      <c r="FN94" s="72">
        <f t="shared" ref="FN94" ca="1" si="1888">($M94=FM94)*$D$13</f>
        <v>0</v>
      </c>
      <c r="FO94" s="63"/>
      <c r="FP94" s="73"/>
      <c r="FQ94" s="72">
        <f t="shared" ref="FQ94" ca="1" si="1889">($M94=FP94)*$D$13</f>
        <v>0</v>
      </c>
      <c r="FR94" s="63"/>
      <c r="FS94" s="73"/>
      <c r="FT94" s="72">
        <f t="shared" ref="FT94" ca="1" si="1890">($M94=FS94)*$D$13</f>
        <v>0</v>
      </c>
      <c r="FU94" s="63"/>
      <c r="FV94" s="73"/>
      <c r="FW94" s="72">
        <f t="shared" ref="FW94" ca="1" si="1891">($M94=FV94)*$D$13</f>
        <v>0</v>
      </c>
      <c r="FX94" s="63"/>
      <c r="FY94" s="73"/>
      <c r="FZ94" s="72">
        <f t="shared" ref="FZ94" ca="1" si="1892">($M94=FY94)*$D$13</f>
        <v>0</v>
      </c>
      <c r="GA94" s="63"/>
      <c r="GB94" s="73"/>
      <c r="GC94" s="72">
        <f t="shared" ref="GC94" ca="1" si="1893">($M94=GB94)*$D$13</f>
        <v>0</v>
      </c>
      <c r="GD94" s="63"/>
      <c r="GE94" s="73"/>
      <c r="GF94" s="72">
        <f t="shared" ref="GF94" ca="1" si="1894">($M94=GE94)*$D$13</f>
        <v>0</v>
      </c>
      <c r="GG94" s="63"/>
      <c r="GH94" s="73"/>
      <c r="GI94" s="72">
        <f t="shared" ref="GI94" ca="1" si="1895">($M94=GH94)*$D$13</f>
        <v>0</v>
      </c>
      <c r="GJ94" s="63"/>
      <c r="GK94" s="73"/>
      <c r="GL94" s="72">
        <f t="shared" ref="GL94" ca="1" si="1896">($M94=GK94)*$D$13</f>
        <v>0</v>
      </c>
      <c r="GM94" s="63"/>
      <c r="GN94" s="73"/>
      <c r="GO94" s="72">
        <f t="shared" ref="GO94" ca="1" si="1897">($M94=GN94)*$D$13</f>
        <v>0</v>
      </c>
      <c r="GP94" s="63"/>
      <c r="GQ94" s="73"/>
      <c r="GR94" s="72">
        <f t="shared" ref="GR94" ca="1" si="1898">($M94=GQ94)*$D$13</f>
        <v>0</v>
      </c>
      <c r="GS94" s="63"/>
      <c r="GT94" s="73"/>
      <c r="GU94" s="72">
        <f t="shared" ref="GU94" ca="1" si="1899">($M94=GT94)*$D$13</f>
        <v>0</v>
      </c>
      <c r="GV94" s="63"/>
      <c r="GW94" s="73"/>
      <c r="GX94" s="72">
        <f t="shared" ref="GX94" ca="1" si="1900">($M94=GW94)*$D$13</f>
        <v>0</v>
      </c>
      <c r="GY94" s="63"/>
      <c r="GZ94" s="73"/>
      <c r="HA94" s="72">
        <f t="shared" ref="HA94" ca="1" si="1901">($M94=GZ94)*$D$13</f>
        <v>0</v>
      </c>
      <c r="HB94" s="63"/>
      <c r="HC94" s="73"/>
      <c r="HD94" s="72">
        <f t="shared" ref="HD94" ca="1" si="1902">($M94=HC94)*$D$13</f>
        <v>0</v>
      </c>
      <c r="HE94" s="63"/>
      <c r="HF94" s="73"/>
      <c r="HG94" s="72">
        <f t="shared" ref="HG94" ca="1" si="1903">($M94=HF94)*$D$13</f>
        <v>0</v>
      </c>
      <c r="HH94" s="63"/>
      <c r="HI94" s="73"/>
      <c r="HJ94" s="72">
        <f t="shared" ref="HJ94" ca="1" si="1904">($M94=HI94)*$D$13</f>
        <v>0</v>
      </c>
      <c r="HK94" s="63"/>
      <c r="HL94" s="73"/>
      <c r="HM94" s="72">
        <f t="shared" ref="HM94" ca="1" si="1905">($M94=HL94)*$D$13</f>
        <v>0</v>
      </c>
      <c r="HN94" s="63"/>
      <c r="HO94" s="73"/>
      <c r="HP94" s="72">
        <f t="shared" ref="HP94" ca="1" si="1906">($M94=HO94)*$D$13</f>
        <v>0</v>
      </c>
      <c r="HQ94" s="63"/>
      <c r="HR94" s="73"/>
      <c r="HS94" s="72">
        <f t="shared" ref="HS94" ca="1" si="1907">($M94=HR94)*$D$13</f>
        <v>0</v>
      </c>
      <c r="HT94" s="63"/>
      <c r="HU94" s="73"/>
      <c r="HV94" s="72">
        <f t="shared" ref="HV94" ca="1" si="1908">($M94=HU94)*$D$13</f>
        <v>0</v>
      </c>
      <c r="HW94" s="63"/>
      <c r="HX94" s="73"/>
      <c r="HY94" s="72">
        <f t="shared" ref="HY94" ca="1" si="1909">($M94=HX94)*$D$13</f>
        <v>0</v>
      </c>
      <c r="HZ94" s="63"/>
      <c r="IA94" s="73"/>
      <c r="IB94" s="72">
        <f t="shared" ref="IB94" ca="1" si="1910">($M94=IA94)*$D$13</f>
        <v>0</v>
      </c>
      <c r="IC94" s="63"/>
      <c r="ID94" s="73"/>
      <c r="IE94" s="72">
        <f t="shared" ref="IE94" ca="1" si="1911">($M94=ID94)*$D$13</f>
        <v>0</v>
      </c>
      <c r="IF94" s="63"/>
      <c r="IG94" s="73"/>
      <c r="IH94" s="72">
        <f t="shared" ref="IH94" ca="1" si="1912">($M94=IG94)*$D$13</f>
        <v>0</v>
      </c>
      <c r="II94" s="63"/>
      <c r="IJ94" s="73"/>
      <c r="IK94" s="72">
        <f t="shared" ref="IK94" ca="1" si="1913">($M94=IJ94)*$D$13</f>
        <v>0</v>
      </c>
      <c r="IL94" s="63"/>
      <c r="IM94" s="73"/>
      <c r="IN94" s="72">
        <f t="shared" ref="IN94" ca="1" si="1914">($M94=IM94)*$D$13</f>
        <v>0</v>
      </c>
      <c r="IO94" s="63"/>
      <c r="IP94" s="73"/>
      <c r="IQ94" s="72">
        <f t="shared" ref="IQ94" ca="1" si="1915">($M94=IP94)*$D$13</f>
        <v>0</v>
      </c>
      <c r="IR94" s="63"/>
      <c r="IS94" s="73"/>
      <c r="IT94" s="72">
        <f t="shared" ref="IT94" ca="1" si="1916">($M94=IS94)*$D$13</f>
        <v>0</v>
      </c>
      <c r="IU94" s="63"/>
      <c r="IV94" s="73"/>
      <c r="IW94" s="72">
        <f t="shared" ref="IW94" ca="1" si="1917">($M94=IV94)*$D$13</f>
        <v>0</v>
      </c>
      <c r="IX94" s="63"/>
      <c r="IY94" s="73"/>
      <c r="IZ94" s="72">
        <f t="shared" ref="IZ94" ca="1" si="1918">($M94=IY94)*$D$13</f>
        <v>0</v>
      </c>
      <c r="JA94" s="63"/>
      <c r="JB94" s="73"/>
      <c r="JC94" s="72">
        <f t="shared" ref="JC94" ca="1" si="1919">($M94=JB94)*$D$13</f>
        <v>0</v>
      </c>
      <c r="JD94" s="63"/>
      <c r="JE94" s="73"/>
      <c r="JF94" s="72">
        <f t="shared" ref="JF94" ca="1" si="1920">($M94=JE94)*$D$13</f>
        <v>0</v>
      </c>
      <c r="JG94" s="63"/>
      <c r="JH94" s="73"/>
      <c r="JI94" s="72">
        <f t="shared" ref="JI94" ca="1" si="1921">($M94=JH94)*$D$13</f>
        <v>0</v>
      </c>
      <c r="JJ94" s="63"/>
      <c r="JK94" s="73"/>
      <c r="JL94" s="72">
        <f t="shared" ref="JL94" ca="1" si="1922">($M94=JK94)*$D$13</f>
        <v>0</v>
      </c>
      <c r="JM94" s="63"/>
      <c r="JN94" s="73"/>
      <c r="JO94" s="72">
        <f t="shared" ref="JO94" ca="1" si="1923">($M94=JN94)*$D$13</f>
        <v>0</v>
      </c>
      <c r="JP94" s="63"/>
      <c r="JQ94" s="73"/>
      <c r="JR94" s="72">
        <f t="shared" ref="JR94" ca="1" si="1924">($M94=JQ94)*$D$13</f>
        <v>0</v>
      </c>
      <c r="JS94" s="63"/>
      <c r="JT94" s="73"/>
      <c r="JU94" s="72">
        <f t="shared" ref="JU94" ca="1" si="1925">($M94=JT94)*$D$13</f>
        <v>0</v>
      </c>
      <c r="JV94" s="63"/>
      <c r="JW94" s="73"/>
      <c r="JX94" s="72">
        <f t="shared" ref="JX94" ca="1" si="1926">($M94=JW94)*$D$13</f>
        <v>0</v>
      </c>
      <c r="JY94" s="63"/>
      <c r="JZ94" s="73"/>
      <c r="KA94" s="72">
        <f t="shared" ref="KA94" ca="1" si="1927">($M94=JZ94)*$D$13</f>
        <v>0</v>
      </c>
      <c r="KB94" s="63"/>
      <c r="KC94" s="73"/>
      <c r="KD94" s="72">
        <f t="shared" ref="KD94" ca="1" si="1928">($M94=KC94)*$D$13</f>
        <v>0</v>
      </c>
      <c r="KE94" s="63"/>
      <c r="KF94" s="73"/>
      <c r="KG94" s="72">
        <f t="shared" ref="KG94" ca="1" si="1929">($M94=KF94)*$D$13</f>
        <v>0</v>
      </c>
      <c r="KH94" s="63"/>
      <c r="KI94" s="73"/>
      <c r="KJ94" s="72">
        <f t="shared" ref="KJ94" ca="1" si="1930">($M94=KI94)*$D$13</f>
        <v>0</v>
      </c>
      <c r="KK94" s="63"/>
      <c r="KL94" s="73"/>
      <c r="KM94" s="72">
        <f t="shared" ref="KM94" ca="1" si="1931">($M94=KL94)*$D$13</f>
        <v>0</v>
      </c>
      <c r="KN94" s="63"/>
      <c r="KO94" s="73"/>
      <c r="KP94" s="72">
        <f t="shared" ref="KP94" ca="1" si="1932">($M94=KO94)*$D$13</f>
        <v>0</v>
      </c>
      <c r="KQ94" s="63"/>
      <c r="KR94" s="73"/>
      <c r="KS94" s="72">
        <f t="shared" ref="KS94" ca="1" si="1933">($M94=KR94)*$D$13</f>
        <v>0</v>
      </c>
      <c r="KT94" s="63"/>
      <c r="KU94" s="73"/>
      <c r="KV94" s="72">
        <f t="shared" ref="KV94" ca="1" si="1934">($M94=KU94)*$D$13</f>
        <v>0</v>
      </c>
      <c r="KW94" s="63"/>
      <c r="KX94" s="73"/>
      <c r="KY94" s="72">
        <f t="shared" ref="KY94" ca="1" si="1935">($M94=KX94)*$D$13</f>
        <v>0</v>
      </c>
      <c r="KZ94" s="63"/>
      <c r="LA94" s="73"/>
      <c r="LB94" s="72">
        <f t="shared" ref="LB94" ca="1" si="1936">($M94=LA94)*$D$13</f>
        <v>0</v>
      </c>
      <c r="LC94" s="63"/>
      <c r="LD94" s="73"/>
      <c r="LE94" s="72">
        <f t="shared" ref="LE94" ca="1" si="1937">($M94=LD94)*$D$13</f>
        <v>0</v>
      </c>
      <c r="LF94" s="63"/>
    </row>
    <row r="95" spans="1:318" s="784" customFormat="1">
      <c r="A95" s="49"/>
      <c r="B95" s="49"/>
      <c r="C95" s="49"/>
      <c r="D95" s="49"/>
      <c r="E95" s="109"/>
      <c r="F95" s="125">
        <f t="shared" ref="F95" si="1938">$D$14</f>
        <v>20</v>
      </c>
      <c r="G95" s="443">
        <f ca="1">VLOOKUP(H95,Equipos!$Q$1:$R$25,2,0)</f>
        <v>15</v>
      </c>
      <c r="H95" s="444">
        <f ca="1">$H$60</f>
        <v>46198</v>
      </c>
      <c r="I95" s="50"/>
      <c r="J95" s="845"/>
      <c r="K95" s="56" t="str">
        <f>Idiomas!D165</f>
        <v>4º GRUPO D</v>
      </c>
      <c r="L95" s="53"/>
      <c r="M95" s="55" t="str">
        <f ca="1">IF(OR(SUM(WORLDCUP!$AN$30:$AN$33)=12,WORLDCUP!$AJ$99=144),WORLDCUP!AL33,LEFT(K95,1)&amp;RIGHT(K95,1))</f>
        <v>4D</v>
      </c>
      <c r="N95" s="25"/>
      <c r="O95" s="25"/>
      <c r="P95" s="25"/>
      <c r="Q95" s="25"/>
      <c r="R95" s="108"/>
      <c r="S95" s="796" t="s">
        <v>1257</v>
      </c>
      <c r="T95" s="72">
        <f t="shared" ref="T95" ca="1" si="1939">($M95=S95)*$D$14</f>
        <v>0</v>
      </c>
      <c r="U95" s="63"/>
      <c r="V95" s="73" t="s">
        <v>1257</v>
      </c>
      <c r="W95" s="72">
        <f t="shared" ref="W95" ca="1" si="1940">($M95=V95)*$D$14</f>
        <v>0</v>
      </c>
      <c r="X95" s="63"/>
      <c r="Y95" s="796" t="s">
        <v>1257</v>
      </c>
      <c r="Z95" s="72">
        <f t="shared" ref="Z95" ca="1" si="1941">($M95=Y95)*$D$14</f>
        <v>0</v>
      </c>
      <c r="AA95" s="63"/>
      <c r="AB95" s="796" t="s">
        <v>1257</v>
      </c>
      <c r="AC95" s="72">
        <f t="shared" ref="AC95" ca="1" si="1942">($M95=AB95)*$D$14</f>
        <v>0</v>
      </c>
      <c r="AD95" s="63"/>
      <c r="AE95" s="796" t="s">
        <v>1257</v>
      </c>
      <c r="AF95" s="72">
        <f t="shared" ref="AF95" ca="1" si="1943">($M95=AE95)*$D$14</f>
        <v>0</v>
      </c>
      <c r="AG95" s="63"/>
      <c r="AH95" s="796" t="s">
        <v>1257</v>
      </c>
      <c r="AI95" s="72">
        <f t="shared" ref="AI95" ca="1" si="1944">($M95=AH95)*$D$14</f>
        <v>0</v>
      </c>
      <c r="AJ95" s="63"/>
      <c r="AK95" s="806" t="s">
        <v>1257</v>
      </c>
      <c r="AL95" s="72">
        <f t="shared" ref="AL95" ca="1" si="1945">($M95=AK95)*$D$14</f>
        <v>0</v>
      </c>
      <c r="AM95" s="63"/>
      <c r="AN95" s="796" t="s">
        <v>1257</v>
      </c>
      <c r="AO95" s="72">
        <f t="shared" ref="AO95" ca="1" si="1946">($M95=AN95)*$D$14</f>
        <v>0</v>
      </c>
      <c r="AP95" s="63"/>
      <c r="AQ95" s="806" t="s">
        <v>1319</v>
      </c>
      <c r="AR95" s="72">
        <f t="shared" ref="AR95" ca="1" si="1947">($M95=AQ95)*$D$14</f>
        <v>0</v>
      </c>
      <c r="AS95" s="63"/>
      <c r="AT95" s="796" t="s">
        <v>1257</v>
      </c>
      <c r="AU95" s="72">
        <f t="shared" ref="AU95" ca="1" si="1948">($M95=AT95)*$D$14</f>
        <v>0</v>
      </c>
      <c r="AV95" s="63"/>
      <c r="AW95" s="796" t="s">
        <v>1257</v>
      </c>
      <c r="AX95" s="72">
        <f t="shared" ref="AX95" ca="1" si="1949">($M95=AW95)*$D$14</f>
        <v>0</v>
      </c>
      <c r="AY95" s="63"/>
      <c r="AZ95" s="796" t="s">
        <v>1835</v>
      </c>
      <c r="BA95" s="72">
        <f t="shared" ref="BA95" ca="1" si="1950">($M95=AZ95)*$D$14</f>
        <v>0</v>
      </c>
      <c r="BB95" s="63"/>
      <c r="BC95" s="796" t="s">
        <v>1257</v>
      </c>
      <c r="BD95" s="72">
        <f t="shared" ref="BD95" ca="1" si="1951">($M95=BC95)*$D$14</f>
        <v>0</v>
      </c>
      <c r="BE95" s="63"/>
      <c r="BF95" s="796" t="s">
        <v>1257</v>
      </c>
      <c r="BG95" s="72">
        <f t="shared" ref="BG95" ca="1" si="1952">($M95=BF95)*$D$14</f>
        <v>0</v>
      </c>
      <c r="BH95" s="63"/>
      <c r="BI95" s="796" t="s">
        <v>1257</v>
      </c>
      <c r="BJ95" s="72">
        <f t="shared" ref="BJ95" ca="1" si="1953">($M95=BI95)*$D$14</f>
        <v>0</v>
      </c>
      <c r="BK95" s="63"/>
      <c r="BL95" s="796" t="s">
        <v>1257</v>
      </c>
      <c r="BM95" s="72">
        <f t="shared" ref="BM95" ca="1" si="1954">($M95=BL95)*$D$14</f>
        <v>0</v>
      </c>
      <c r="BN95" s="63"/>
      <c r="BO95" s="816" t="s">
        <v>1257</v>
      </c>
      <c r="BP95" s="72">
        <f t="shared" ref="BP95" ca="1" si="1955">($M95=BO95)*$D$14</f>
        <v>0</v>
      </c>
      <c r="BQ95" s="63"/>
      <c r="BR95" s="796" t="s">
        <v>1257</v>
      </c>
      <c r="BS95" s="72">
        <f t="shared" ref="BS95" ca="1" si="1956">($M95=BR95)*$D$14</f>
        <v>0</v>
      </c>
      <c r="BT95" s="63"/>
      <c r="BU95" s="796" t="s">
        <v>1257</v>
      </c>
      <c r="BV95" s="72">
        <f t="shared" ref="BV95" ca="1" si="1957">($M95=BU95)*$D$14</f>
        <v>0</v>
      </c>
      <c r="BW95" s="63"/>
      <c r="BX95" s="73" t="s">
        <v>1257</v>
      </c>
      <c r="BY95" s="72">
        <f t="shared" ref="BY95" ca="1" si="1958">($M95=BX95)*$D$14</f>
        <v>0</v>
      </c>
      <c r="BZ95" s="63"/>
      <c r="CA95" s="816" t="s">
        <v>1257</v>
      </c>
      <c r="CB95" s="72">
        <f t="shared" ref="CB95" ca="1" si="1959">($M95=CA95)*$D$14</f>
        <v>0</v>
      </c>
      <c r="CC95" s="63"/>
      <c r="CD95" s="825" t="s">
        <v>1257</v>
      </c>
      <c r="CE95" s="72">
        <f t="shared" ref="CE95" ca="1" si="1960">($M95=CD95)*$D$14</f>
        <v>0</v>
      </c>
      <c r="CF95" s="63"/>
      <c r="CG95" s="796" t="s">
        <v>1257</v>
      </c>
      <c r="CH95" s="72">
        <f t="shared" ref="CH95" ca="1" si="1961">($M95=CG95)*$D$14</f>
        <v>0</v>
      </c>
      <c r="CI95" s="63"/>
      <c r="CJ95" s="796" t="s">
        <v>1257</v>
      </c>
      <c r="CK95" s="72">
        <f t="shared" ref="CK95" ca="1" si="1962">($M95=CJ95)*$D$14</f>
        <v>0</v>
      </c>
      <c r="CL95" s="63"/>
      <c r="CM95" s="796" t="s">
        <v>1257</v>
      </c>
      <c r="CN95" s="72">
        <f t="shared" ref="CN95" ca="1" si="1963">($M95=CM95)*$D$14</f>
        <v>0</v>
      </c>
      <c r="CO95" s="63"/>
      <c r="CP95" s="796" t="s">
        <v>1257</v>
      </c>
      <c r="CQ95" s="72">
        <f t="shared" ref="CQ95" ca="1" si="1964">($M95=CP95)*$D$14</f>
        <v>0</v>
      </c>
      <c r="CR95" s="63"/>
      <c r="CS95" s="796" t="s">
        <v>1257</v>
      </c>
      <c r="CT95" s="72">
        <f t="shared" ref="CT95" ca="1" si="1965">($M95=CS95)*$D$14</f>
        <v>0</v>
      </c>
      <c r="CU95" s="63"/>
      <c r="CV95" s="796" t="s">
        <v>1257</v>
      </c>
      <c r="CW95" s="72">
        <f t="shared" ref="CW95" ca="1" si="1966">($M95=CV95)*$D$14</f>
        <v>0</v>
      </c>
      <c r="CX95" s="63"/>
      <c r="CY95" s="796" t="s">
        <v>1319</v>
      </c>
      <c r="CZ95" s="72">
        <f t="shared" ref="CZ95" ca="1" si="1967">($M95=CY95)*$D$14</f>
        <v>0</v>
      </c>
      <c r="DA95" s="63"/>
      <c r="DB95" s="796" t="s">
        <v>1257</v>
      </c>
      <c r="DC95" s="72">
        <f t="shared" ref="DC95" ca="1" si="1968">($M95=DB95)*$D$14</f>
        <v>0</v>
      </c>
      <c r="DD95" s="63"/>
      <c r="DE95" s="796" t="s">
        <v>1257</v>
      </c>
      <c r="DF95" s="72">
        <f ca="1">($M95=DE95)*$D$14</f>
        <v>0</v>
      </c>
      <c r="DG95" s="63"/>
      <c r="DH95" s="796" t="s">
        <v>1257</v>
      </c>
      <c r="DI95" s="72">
        <f ca="1">($M95=DH95)*$D$14</f>
        <v>0</v>
      </c>
      <c r="DJ95" s="63"/>
      <c r="DK95" s="796" t="s">
        <v>1257</v>
      </c>
      <c r="DL95" s="72">
        <f ca="1">($M95=DK95)*$D$14</f>
        <v>0</v>
      </c>
      <c r="DM95" s="63"/>
      <c r="DN95" s="73"/>
      <c r="DO95" s="72">
        <f t="shared" ref="DO95" ca="1" si="1969">($M95=DN95)*$D$14</f>
        <v>0</v>
      </c>
      <c r="DP95" s="63"/>
      <c r="DQ95" s="796" t="s">
        <v>1257</v>
      </c>
      <c r="DR95" s="72">
        <f t="shared" ref="DR95" ca="1" si="1970">($M95=DQ95)*$D$14</f>
        <v>0</v>
      </c>
      <c r="DS95" s="63"/>
      <c r="DT95" s="73" t="s">
        <v>1319</v>
      </c>
      <c r="DU95" s="72">
        <f t="shared" ref="DU95" ca="1" si="1971">($M95=DT95)*$D$14</f>
        <v>0</v>
      </c>
      <c r="DV95" s="63"/>
      <c r="DW95" s="73"/>
      <c r="DX95" s="72">
        <f t="shared" ref="DX95" ca="1" si="1972">($M95=DW95)*$D$14</f>
        <v>0</v>
      </c>
      <c r="DY95" s="63"/>
      <c r="DZ95" s="73"/>
      <c r="EA95" s="72">
        <f ca="1">($M95=DZ95)*$D$14</f>
        <v>0</v>
      </c>
      <c r="EB95" s="63"/>
      <c r="EC95" s="73"/>
      <c r="ED95" s="72">
        <f t="shared" ref="ED95" ca="1" si="1973">($M95=EC95)*$D$14</f>
        <v>0</v>
      </c>
      <c r="EE95" s="63"/>
      <c r="EF95" s="73"/>
      <c r="EG95" s="72">
        <f t="shared" ref="EG95" ca="1" si="1974">($M95=EF95)*$D$14</f>
        <v>0</v>
      </c>
      <c r="EH95" s="63"/>
      <c r="EI95" s="73"/>
      <c r="EJ95" s="72">
        <f t="shared" ref="EJ95" ca="1" si="1975">($M95=EI95)*$D$14</f>
        <v>0</v>
      </c>
      <c r="EK95" s="63"/>
      <c r="EL95" s="73"/>
      <c r="EM95" s="72">
        <f t="shared" ref="EM95" ca="1" si="1976">($M95=EL95)*$D$14</f>
        <v>0</v>
      </c>
      <c r="EN95" s="63"/>
      <c r="EO95" s="73"/>
      <c r="EP95" s="72">
        <f t="shared" ref="EP95" ca="1" si="1977">($M95=EO95)*$D$14</f>
        <v>0</v>
      </c>
      <c r="EQ95" s="63"/>
      <c r="ER95" s="73"/>
      <c r="ES95" s="72">
        <f t="shared" ref="ES95" ca="1" si="1978">($M95=ER95)*$D$14</f>
        <v>0</v>
      </c>
      <c r="ET95" s="63"/>
      <c r="EU95" s="73"/>
      <c r="EV95" s="72">
        <f t="shared" ref="EV95" ca="1" si="1979">($M95=EU95)*$D$14</f>
        <v>0</v>
      </c>
      <c r="EW95" s="63"/>
      <c r="EX95" s="73"/>
      <c r="EY95" s="72">
        <f t="shared" ref="EY95" ca="1" si="1980">($M95=EX95)*$D$14</f>
        <v>0</v>
      </c>
      <c r="EZ95" s="63"/>
      <c r="FA95" s="73"/>
      <c r="FB95" s="72">
        <f t="shared" ref="FB95" ca="1" si="1981">($M95=FA95)*$D$14</f>
        <v>0</v>
      </c>
      <c r="FC95" s="63"/>
      <c r="FD95" s="73"/>
      <c r="FE95" s="72">
        <f t="shared" ref="FE95" ca="1" si="1982">($M95=FD95)*$D$14</f>
        <v>0</v>
      </c>
      <c r="FF95" s="63"/>
      <c r="FG95" s="73"/>
      <c r="FH95" s="72">
        <f t="shared" ref="FH95" ca="1" si="1983">($M95=FG95)*$D$14</f>
        <v>0</v>
      </c>
      <c r="FI95" s="63"/>
      <c r="FJ95" s="73"/>
      <c r="FK95" s="72">
        <f t="shared" ref="FK95" ca="1" si="1984">($M95=FJ95)*$D$14</f>
        <v>0</v>
      </c>
      <c r="FL95" s="63"/>
      <c r="FM95" s="73"/>
      <c r="FN95" s="72">
        <f t="shared" ref="FN95" ca="1" si="1985">($M95=FM95)*$D$14</f>
        <v>0</v>
      </c>
      <c r="FO95" s="63"/>
      <c r="FP95" s="73"/>
      <c r="FQ95" s="72">
        <f t="shared" ref="FQ95" ca="1" si="1986">($M95=FP95)*$D$14</f>
        <v>0</v>
      </c>
      <c r="FR95" s="63"/>
      <c r="FS95" s="73"/>
      <c r="FT95" s="72">
        <f t="shared" ref="FT95" ca="1" si="1987">($M95=FS95)*$D$14</f>
        <v>0</v>
      </c>
      <c r="FU95" s="63"/>
      <c r="FV95" s="73"/>
      <c r="FW95" s="72">
        <f t="shared" ref="FW95" ca="1" si="1988">($M95=FV95)*$D$14</f>
        <v>0</v>
      </c>
      <c r="FX95" s="63"/>
      <c r="FY95" s="73"/>
      <c r="FZ95" s="72">
        <f t="shared" ref="FZ95" ca="1" si="1989">($M95=FY95)*$D$14</f>
        <v>0</v>
      </c>
      <c r="GA95" s="63"/>
      <c r="GB95" s="73"/>
      <c r="GC95" s="72">
        <f t="shared" ref="GC95" ca="1" si="1990">($M95=GB95)*$D$14</f>
        <v>0</v>
      </c>
      <c r="GD95" s="63"/>
      <c r="GE95" s="73"/>
      <c r="GF95" s="72">
        <f t="shared" ref="GF95" ca="1" si="1991">($M95=GE95)*$D$14</f>
        <v>0</v>
      </c>
      <c r="GG95" s="63"/>
      <c r="GH95" s="73"/>
      <c r="GI95" s="72">
        <f t="shared" ref="GI95" ca="1" si="1992">($M95=GH95)*$D$14</f>
        <v>0</v>
      </c>
      <c r="GJ95" s="63"/>
      <c r="GK95" s="73"/>
      <c r="GL95" s="72">
        <f t="shared" ref="GL95" ca="1" si="1993">($M95=GK95)*$D$14</f>
        <v>0</v>
      </c>
      <c r="GM95" s="63"/>
      <c r="GN95" s="73"/>
      <c r="GO95" s="72">
        <f t="shared" ref="GO95" ca="1" si="1994">($M95=GN95)*$D$14</f>
        <v>0</v>
      </c>
      <c r="GP95" s="63"/>
      <c r="GQ95" s="73"/>
      <c r="GR95" s="72">
        <f t="shared" ref="GR95" ca="1" si="1995">($M95=GQ95)*$D$14</f>
        <v>0</v>
      </c>
      <c r="GS95" s="63"/>
      <c r="GT95" s="73"/>
      <c r="GU95" s="72">
        <f t="shared" ref="GU95" ca="1" si="1996">($M95=GT95)*$D$14</f>
        <v>0</v>
      </c>
      <c r="GV95" s="63"/>
      <c r="GW95" s="73"/>
      <c r="GX95" s="72">
        <f t="shared" ref="GX95" ca="1" si="1997">($M95=GW95)*$D$14</f>
        <v>0</v>
      </c>
      <c r="GY95" s="63"/>
      <c r="GZ95" s="73"/>
      <c r="HA95" s="72">
        <f t="shared" ref="HA95" ca="1" si="1998">($M95=GZ95)*$D$14</f>
        <v>0</v>
      </c>
      <c r="HB95" s="63"/>
      <c r="HC95" s="73"/>
      <c r="HD95" s="72">
        <f t="shared" ref="HD95" ca="1" si="1999">($M95=HC95)*$D$14</f>
        <v>0</v>
      </c>
      <c r="HE95" s="63"/>
      <c r="HF95" s="73"/>
      <c r="HG95" s="72">
        <f t="shared" ref="HG95" ca="1" si="2000">($M95=HF95)*$D$14</f>
        <v>0</v>
      </c>
      <c r="HH95" s="63"/>
      <c r="HI95" s="73"/>
      <c r="HJ95" s="72">
        <f t="shared" ref="HJ95" ca="1" si="2001">($M95=HI95)*$D$14</f>
        <v>0</v>
      </c>
      <c r="HK95" s="63"/>
      <c r="HL95" s="73"/>
      <c r="HM95" s="72">
        <f t="shared" ref="HM95" ca="1" si="2002">($M95=HL95)*$D$14</f>
        <v>0</v>
      </c>
      <c r="HN95" s="63"/>
      <c r="HO95" s="73"/>
      <c r="HP95" s="72">
        <f t="shared" ref="HP95" ca="1" si="2003">($M95=HO95)*$D$14</f>
        <v>0</v>
      </c>
      <c r="HQ95" s="63"/>
      <c r="HR95" s="73"/>
      <c r="HS95" s="72">
        <f t="shared" ref="HS95" ca="1" si="2004">($M95=HR95)*$D$14</f>
        <v>0</v>
      </c>
      <c r="HT95" s="63"/>
      <c r="HU95" s="73"/>
      <c r="HV95" s="72">
        <f t="shared" ref="HV95" ca="1" si="2005">($M95=HU95)*$D$14</f>
        <v>0</v>
      </c>
      <c r="HW95" s="63"/>
      <c r="HX95" s="73"/>
      <c r="HY95" s="72">
        <f t="shared" ref="HY95" ca="1" si="2006">($M95=HX95)*$D$14</f>
        <v>0</v>
      </c>
      <c r="HZ95" s="63"/>
      <c r="IA95" s="73"/>
      <c r="IB95" s="72">
        <f t="shared" ref="IB95" ca="1" si="2007">($M95=IA95)*$D$14</f>
        <v>0</v>
      </c>
      <c r="IC95" s="63"/>
      <c r="ID95" s="73"/>
      <c r="IE95" s="72">
        <f t="shared" ref="IE95" ca="1" si="2008">($M95=ID95)*$D$14</f>
        <v>0</v>
      </c>
      <c r="IF95" s="63"/>
      <c r="IG95" s="73"/>
      <c r="IH95" s="72">
        <f t="shared" ref="IH95" ca="1" si="2009">($M95=IG95)*$D$14</f>
        <v>0</v>
      </c>
      <c r="II95" s="63"/>
      <c r="IJ95" s="73"/>
      <c r="IK95" s="72">
        <f t="shared" ref="IK95" ca="1" si="2010">($M95=IJ95)*$D$14</f>
        <v>0</v>
      </c>
      <c r="IL95" s="63"/>
      <c r="IM95" s="73"/>
      <c r="IN95" s="72">
        <f t="shared" ref="IN95" ca="1" si="2011">($M95=IM95)*$D$14</f>
        <v>0</v>
      </c>
      <c r="IO95" s="63"/>
      <c r="IP95" s="73"/>
      <c r="IQ95" s="72">
        <f t="shared" ref="IQ95" ca="1" si="2012">($M95=IP95)*$D$14</f>
        <v>0</v>
      </c>
      <c r="IR95" s="63"/>
      <c r="IS95" s="73"/>
      <c r="IT95" s="72">
        <f t="shared" ref="IT95" ca="1" si="2013">($M95=IS95)*$D$14</f>
        <v>0</v>
      </c>
      <c r="IU95" s="63"/>
      <c r="IV95" s="73"/>
      <c r="IW95" s="72">
        <f t="shared" ref="IW95" ca="1" si="2014">($M95=IV95)*$D$14</f>
        <v>0</v>
      </c>
      <c r="IX95" s="63"/>
      <c r="IY95" s="73"/>
      <c r="IZ95" s="72">
        <f t="shared" ref="IZ95" ca="1" si="2015">($M95=IY95)*$D$14</f>
        <v>0</v>
      </c>
      <c r="JA95" s="63"/>
      <c r="JB95" s="73"/>
      <c r="JC95" s="72">
        <f t="shared" ref="JC95" ca="1" si="2016">($M95=JB95)*$D$14</f>
        <v>0</v>
      </c>
      <c r="JD95" s="63"/>
      <c r="JE95" s="73"/>
      <c r="JF95" s="72">
        <f t="shared" ref="JF95" ca="1" si="2017">($M95=JE95)*$D$14</f>
        <v>0</v>
      </c>
      <c r="JG95" s="63"/>
      <c r="JH95" s="73"/>
      <c r="JI95" s="72">
        <f t="shared" ref="JI95" ca="1" si="2018">($M95=JH95)*$D$14</f>
        <v>0</v>
      </c>
      <c r="JJ95" s="63"/>
      <c r="JK95" s="73"/>
      <c r="JL95" s="72">
        <f t="shared" ref="JL95" ca="1" si="2019">($M95=JK95)*$D$14</f>
        <v>0</v>
      </c>
      <c r="JM95" s="63"/>
      <c r="JN95" s="73"/>
      <c r="JO95" s="72">
        <f t="shared" ref="JO95" ca="1" si="2020">($M95=JN95)*$D$14</f>
        <v>0</v>
      </c>
      <c r="JP95" s="63"/>
      <c r="JQ95" s="73"/>
      <c r="JR95" s="72">
        <f t="shared" ref="JR95" ca="1" si="2021">($M95=JQ95)*$D$14</f>
        <v>0</v>
      </c>
      <c r="JS95" s="63"/>
      <c r="JT95" s="73"/>
      <c r="JU95" s="72">
        <f t="shared" ref="JU95" ca="1" si="2022">($M95=JT95)*$D$14</f>
        <v>0</v>
      </c>
      <c r="JV95" s="63"/>
      <c r="JW95" s="73"/>
      <c r="JX95" s="72">
        <f t="shared" ref="JX95" ca="1" si="2023">($M95=JW95)*$D$14</f>
        <v>0</v>
      </c>
      <c r="JY95" s="63"/>
      <c r="JZ95" s="73"/>
      <c r="KA95" s="72">
        <f t="shared" ref="KA95" ca="1" si="2024">($M95=JZ95)*$D$14</f>
        <v>0</v>
      </c>
      <c r="KB95" s="63"/>
      <c r="KC95" s="73"/>
      <c r="KD95" s="72">
        <f t="shared" ref="KD95" ca="1" si="2025">($M95=KC95)*$D$14</f>
        <v>0</v>
      </c>
      <c r="KE95" s="63"/>
      <c r="KF95" s="73"/>
      <c r="KG95" s="72">
        <f t="shared" ref="KG95" ca="1" si="2026">($M95=KF95)*$D$14</f>
        <v>0</v>
      </c>
      <c r="KH95" s="63"/>
      <c r="KI95" s="73"/>
      <c r="KJ95" s="72">
        <f t="shared" ref="KJ95" ca="1" si="2027">($M95=KI95)*$D$14</f>
        <v>0</v>
      </c>
      <c r="KK95" s="63"/>
      <c r="KL95" s="73"/>
      <c r="KM95" s="72">
        <f t="shared" ref="KM95" ca="1" si="2028">($M95=KL95)*$D$14</f>
        <v>0</v>
      </c>
      <c r="KN95" s="63"/>
      <c r="KO95" s="73"/>
      <c r="KP95" s="72">
        <f t="shared" ref="KP95" ca="1" si="2029">($M95=KO95)*$D$14</f>
        <v>0</v>
      </c>
      <c r="KQ95" s="63"/>
      <c r="KR95" s="73"/>
      <c r="KS95" s="72">
        <f t="shared" ref="KS95" ca="1" si="2030">($M95=KR95)*$D$14</f>
        <v>0</v>
      </c>
      <c r="KT95" s="63"/>
      <c r="KU95" s="73"/>
      <c r="KV95" s="72">
        <f t="shared" ref="KV95" ca="1" si="2031">($M95=KU95)*$D$14</f>
        <v>0</v>
      </c>
      <c r="KW95" s="63"/>
      <c r="KX95" s="73"/>
      <c r="KY95" s="72">
        <f t="shared" ref="KY95" ca="1" si="2032">($M95=KX95)*$D$14</f>
        <v>0</v>
      </c>
      <c r="KZ95" s="63"/>
      <c r="LA95" s="73"/>
      <c r="LB95" s="72">
        <f t="shared" ref="LB95" ca="1" si="2033">($M95=LA95)*$D$14</f>
        <v>0</v>
      </c>
      <c r="LC95" s="63"/>
      <c r="LD95" s="73"/>
      <c r="LE95" s="72">
        <f t="shared" ref="LE95" ca="1" si="2034">($M95=LD95)*$D$14</f>
        <v>0</v>
      </c>
      <c r="LF95" s="63"/>
    </row>
    <row r="96" spans="1:318" s="784" customFormat="1">
      <c r="A96" s="49"/>
      <c r="B96" s="49"/>
      <c r="C96" s="49"/>
      <c r="D96" s="49"/>
      <c r="E96" s="109"/>
      <c r="F96" s="125">
        <f t="shared" ref="F96" si="2035">$D$11</f>
        <v>20</v>
      </c>
      <c r="G96" s="443">
        <f ca="1">VLOOKUP(H96,Equipos!$Q$1:$R$25,2,0)</f>
        <v>15</v>
      </c>
      <c r="H96" s="444">
        <f ca="1">$H$62</f>
        <v>46198</v>
      </c>
      <c r="I96" s="50"/>
      <c r="J96" s="846" t="s">
        <v>3</v>
      </c>
      <c r="K96" s="56" t="str">
        <f>Idiomas!D166</f>
        <v>1º GRUPO E</v>
      </c>
      <c r="L96" s="53"/>
      <c r="M96" s="55" t="str">
        <f ca="1">IF(OR(SUM(WORLDCUP!$AN$38:$AN$41)=12,WORLDCUP!$AJ$99=144),WORLDCUP!AL38,LEFT(K96,1)&amp;RIGHT(K96,1))</f>
        <v>1E</v>
      </c>
      <c r="N96" s="25"/>
      <c r="O96" s="25"/>
      <c r="P96" s="25"/>
      <c r="Q96" s="25"/>
      <c r="R96" s="108"/>
      <c r="S96" s="796" t="s">
        <v>77</v>
      </c>
      <c r="T96" s="72">
        <f t="shared" ref="T96" ca="1" si="2036">($M96=S96)*$D$11</f>
        <v>0</v>
      </c>
      <c r="U96" s="63"/>
      <c r="V96" s="73" t="s">
        <v>77</v>
      </c>
      <c r="W96" s="72">
        <f t="shared" ref="W96" ca="1" si="2037">($M96=V96)*$D$11</f>
        <v>0</v>
      </c>
      <c r="X96" s="63"/>
      <c r="Y96" s="796" t="s">
        <v>1261</v>
      </c>
      <c r="Z96" s="72">
        <f t="shared" ref="Z96" ca="1" si="2038">($M96=Y96)*$D$11</f>
        <v>0</v>
      </c>
      <c r="AA96" s="63"/>
      <c r="AB96" s="796" t="s">
        <v>77</v>
      </c>
      <c r="AC96" s="72">
        <f t="shared" ref="AC96" ca="1" si="2039">($M96=AB96)*$D$11</f>
        <v>0</v>
      </c>
      <c r="AD96" s="63"/>
      <c r="AE96" s="796" t="s">
        <v>77</v>
      </c>
      <c r="AF96" s="72">
        <f t="shared" ref="AF96" ca="1" si="2040">($M96=AE96)*$D$11</f>
        <v>0</v>
      </c>
      <c r="AG96" s="63"/>
      <c r="AH96" s="796" t="s">
        <v>77</v>
      </c>
      <c r="AI96" s="72">
        <f t="shared" ref="AI96" ca="1" si="2041">($M96=AH96)*$D$11</f>
        <v>0</v>
      </c>
      <c r="AJ96" s="63"/>
      <c r="AK96" s="806" t="s">
        <v>77</v>
      </c>
      <c r="AL96" s="72">
        <f t="shared" ref="AL96" ca="1" si="2042">($M96=AK96)*$D$11</f>
        <v>0</v>
      </c>
      <c r="AM96" s="63"/>
      <c r="AN96" s="796" t="s">
        <v>77</v>
      </c>
      <c r="AO96" s="72">
        <f t="shared" ref="AO96" ca="1" si="2043">($M96=AN96)*$D$11</f>
        <v>0</v>
      </c>
      <c r="AP96" s="63"/>
      <c r="AQ96" s="806" t="s">
        <v>77</v>
      </c>
      <c r="AR96" s="72">
        <f t="shared" ref="AR96" ca="1" si="2044">($M96=AQ96)*$D$11</f>
        <v>0</v>
      </c>
      <c r="AS96" s="63"/>
      <c r="AT96" s="796" t="s">
        <v>1261</v>
      </c>
      <c r="AU96" s="72">
        <f t="shared" ref="AU96" ca="1" si="2045">($M96=AT96)*$D$11</f>
        <v>0</v>
      </c>
      <c r="AV96" s="63"/>
      <c r="AW96" s="796" t="s">
        <v>77</v>
      </c>
      <c r="AX96" s="72">
        <f t="shared" ref="AX96" ca="1" si="2046">($M96=AW96)*$D$11</f>
        <v>0</v>
      </c>
      <c r="AY96" s="63"/>
      <c r="AZ96" s="796" t="s">
        <v>1726</v>
      </c>
      <c r="BA96" s="72">
        <f t="shared" ref="BA96" ca="1" si="2047">($M96=AZ96)*$D$11</f>
        <v>0</v>
      </c>
      <c r="BB96" s="63"/>
      <c r="BC96" s="796" t="s">
        <v>77</v>
      </c>
      <c r="BD96" s="72">
        <f t="shared" ref="BD96" ca="1" si="2048">($M96=BC96)*$D$11</f>
        <v>0</v>
      </c>
      <c r="BE96" s="63"/>
      <c r="BF96" s="796" t="s">
        <v>1261</v>
      </c>
      <c r="BG96" s="72">
        <f t="shared" ref="BG96" ca="1" si="2049">($M96=BF96)*$D$11</f>
        <v>0</v>
      </c>
      <c r="BH96" s="63"/>
      <c r="BI96" s="796" t="s">
        <v>77</v>
      </c>
      <c r="BJ96" s="72">
        <f t="shared" ref="BJ96" ca="1" si="2050">($M96=BI96)*$D$11</f>
        <v>0</v>
      </c>
      <c r="BK96" s="63"/>
      <c r="BL96" s="796" t="s">
        <v>77</v>
      </c>
      <c r="BM96" s="72">
        <f t="shared" ref="BM96" ca="1" si="2051">($M96=BL96)*$D$11</f>
        <v>0</v>
      </c>
      <c r="BN96" s="63"/>
      <c r="BO96" s="816" t="s">
        <v>77</v>
      </c>
      <c r="BP96" s="72">
        <f t="shared" ref="BP96" ca="1" si="2052">($M96=BO96)*$D$11</f>
        <v>0</v>
      </c>
      <c r="BQ96" s="63"/>
      <c r="BR96" s="796" t="s">
        <v>77</v>
      </c>
      <c r="BS96" s="72">
        <f t="shared" ref="BS96" ca="1" si="2053">($M96=BR96)*$D$11</f>
        <v>0</v>
      </c>
      <c r="BT96" s="63"/>
      <c r="BU96" s="796" t="s">
        <v>77</v>
      </c>
      <c r="BV96" s="72">
        <f t="shared" ref="BV96" ca="1" si="2054">($M96=BU96)*$D$11</f>
        <v>0</v>
      </c>
      <c r="BW96" s="63"/>
      <c r="BX96" s="73" t="s">
        <v>77</v>
      </c>
      <c r="BY96" s="72">
        <f t="shared" ref="BY96" ca="1" si="2055">($M96=BX96)*$D$11</f>
        <v>0</v>
      </c>
      <c r="BZ96" s="63"/>
      <c r="CA96" s="816" t="s">
        <v>77</v>
      </c>
      <c r="CB96" s="72">
        <f t="shared" ref="CB96" ca="1" si="2056">($M96=CA96)*$D$11</f>
        <v>0</v>
      </c>
      <c r="CC96" s="63"/>
      <c r="CD96" s="825" t="s">
        <v>77</v>
      </c>
      <c r="CE96" s="72">
        <f t="shared" ref="CE96" ca="1" si="2057">($M96=CD96)*$D$11</f>
        <v>0</v>
      </c>
      <c r="CF96" s="63"/>
      <c r="CG96" s="796" t="s">
        <v>77</v>
      </c>
      <c r="CH96" s="72">
        <f t="shared" ref="CH96" ca="1" si="2058">($M96=CG96)*$D$11</f>
        <v>0</v>
      </c>
      <c r="CI96" s="63"/>
      <c r="CJ96" s="796" t="s">
        <v>77</v>
      </c>
      <c r="CK96" s="72">
        <f t="shared" ref="CK96" ca="1" si="2059">($M96=CJ96)*$D$11</f>
        <v>0</v>
      </c>
      <c r="CL96" s="63"/>
      <c r="CM96" s="796" t="s">
        <v>77</v>
      </c>
      <c r="CN96" s="72">
        <f t="shared" ref="CN96" ca="1" si="2060">($M96=CM96)*$D$11</f>
        <v>0</v>
      </c>
      <c r="CO96" s="63"/>
      <c r="CP96" s="796" t="s">
        <v>77</v>
      </c>
      <c r="CQ96" s="72">
        <f t="shared" ref="CQ96" ca="1" si="2061">($M96=CP96)*$D$11</f>
        <v>0</v>
      </c>
      <c r="CR96" s="63"/>
      <c r="CS96" s="796" t="s">
        <v>77</v>
      </c>
      <c r="CT96" s="72">
        <f t="shared" ref="CT96" ca="1" si="2062">($M96=CS96)*$D$11</f>
        <v>0</v>
      </c>
      <c r="CU96" s="63"/>
      <c r="CV96" s="796" t="s">
        <v>1261</v>
      </c>
      <c r="CW96" s="72">
        <f t="shared" ref="CW96" ca="1" si="2063">($M96=CV96)*$D$11</f>
        <v>0</v>
      </c>
      <c r="CX96" s="63"/>
      <c r="CY96" s="796" t="s">
        <v>77</v>
      </c>
      <c r="CZ96" s="72">
        <f t="shared" ref="CZ96" ca="1" si="2064">($M96=CY96)*$D$11</f>
        <v>0</v>
      </c>
      <c r="DA96" s="63"/>
      <c r="DB96" s="796" t="s">
        <v>77</v>
      </c>
      <c r="DC96" s="72">
        <f t="shared" ref="DC96" ca="1" si="2065">($M96=DB96)*$D$11</f>
        <v>0</v>
      </c>
      <c r="DD96" s="63"/>
      <c r="DE96" s="796" t="s">
        <v>77</v>
      </c>
      <c r="DF96" s="72">
        <f ca="1">($M96=DE96)*$D$11</f>
        <v>0</v>
      </c>
      <c r="DG96" s="63"/>
      <c r="DH96" s="796" t="s">
        <v>77</v>
      </c>
      <c r="DI96" s="72">
        <f ca="1">($M96=DH96)*$D$11</f>
        <v>0</v>
      </c>
      <c r="DJ96" s="63"/>
      <c r="DK96" s="796" t="s">
        <v>77</v>
      </c>
      <c r="DL96" s="72">
        <f ca="1">($M96=DK96)*$D$11</f>
        <v>0</v>
      </c>
      <c r="DM96" s="63"/>
      <c r="DN96" s="73"/>
      <c r="DO96" s="72">
        <f t="shared" ref="DO96" ca="1" si="2066">($M96=DN96)*$D$11</f>
        <v>0</v>
      </c>
      <c r="DP96" s="63"/>
      <c r="DQ96" s="796" t="s">
        <v>77</v>
      </c>
      <c r="DR96" s="72">
        <f t="shared" ref="DR96" ca="1" si="2067">($M96=DQ96)*$D$11</f>
        <v>0</v>
      </c>
      <c r="DS96" s="63"/>
      <c r="DT96" s="73" t="s">
        <v>77</v>
      </c>
      <c r="DU96" s="72">
        <f t="shared" ref="DU96" ca="1" si="2068">($M96=DT96)*$D$11</f>
        <v>0</v>
      </c>
      <c r="DV96" s="63"/>
      <c r="DW96" s="73"/>
      <c r="DX96" s="72">
        <f t="shared" ref="DX96" ca="1" si="2069">($M96=DW96)*$D$11</f>
        <v>0</v>
      </c>
      <c r="DY96" s="63"/>
      <c r="DZ96" s="73"/>
      <c r="EA96" s="72">
        <f ca="1">($M96=DZ96)*$D$11</f>
        <v>0</v>
      </c>
      <c r="EB96" s="63"/>
      <c r="EC96" s="73"/>
      <c r="ED96" s="72">
        <f t="shared" ref="ED96" ca="1" si="2070">($M96=EC96)*$D$11</f>
        <v>0</v>
      </c>
      <c r="EE96" s="63"/>
      <c r="EF96" s="73"/>
      <c r="EG96" s="72">
        <f t="shared" ref="EG96" ca="1" si="2071">($M96=EF96)*$D$11</f>
        <v>0</v>
      </c>
      <c r="EH96" s="63"/>
      <c r="EI96" s="73"/>
      <c r="EJ96" s="72">
        <f t="shared" ref="EJ96" ca="1" si="2072">($M96=EI96)*$D$11</f>
        <v>0</v>
      </c>
      <c r="EK96" s="63"/>
      <c r="EL96" s="73"/>
      <c r="EM96" s="72">
        <f t="shared" ref="EM96" ca="1" si="2073">($M96=EL96)*$D$11</f>
        <v>0</v>
      </c>
      <c r="EN96" s="63"/>
      <c r="EO96" s="73"/>
      <c r="EP96" s="72">
        <f t="shared" ref="EP96" ca="1" si="2074">($M96=EO96)*$D$11</f>
        <v>0</v>
      </c>
      <c r="EQ96" s="63"/>
      <c r="ER96" s="73"/>
      <c r="ES96" s="72">
        <f t="shared" ref="ES96" ca="1" si="2075">($M96=ER96)*$D$11</f>
        <v>0</v>
      </c>
      <c r="ET96" s="63"/>
      <c r="EU96" s="73"/>
      <c r="EV96" s="72">
        <f t="shared" ref="EV96" ca="1" si="2076">($M96=EU96)*$D$11</f>
        <v>0</v>
      </c>
      <c r="EW96" s="63"/>
      <c r="EX96" s="73"/>
      <c r="EY96" s="72">
        <f t="shared" ref="EY96" ca="1" si="2077">($M96=EX96)*$D$11</f>
        <v>0</v>
      </c>
      <c r="EZ96" s="63"/>
      <c r="FA96" s="73"/>
      <c r="FB96" s="72">
        <f t="shared" ref="FB96" ca="1" si="2078">($M96=FA96)*$D$11</f>
        <v>0</v>
      </c>
      <c r="FC96" s="63"/>
      <c r="FD96" s="73"/>
      <c r="FE96" s="72">
        <f t="shared" ref="FE96" ca="1" si="2079">($M96=FD96)*$D$11</f>
        <v>0</v>
      </c>
      <c r="FF96" s="63"/>
      <c r="FG96" s="73"/>
      <c r="FH96" s="72">
        <f t="shared" ref="FH96" ca="1" si="2080">($M96=FG96)*$D$11</f>
        <v>0</v>
      </c>
      <c r="FI96" s="63"/>
      <c r="FJ96" s="73"/>
      <c r="FK96" s="72">
        <f t="shared" ref="FK96" ca="1" si="2081">($M96=FJ96)*$D$11</f>
        <v>0</v>
      </c>
      <c r="FL96" s="63"/>
      <c r="FM96" s="73"/>
      <c r="FN96" s="72">
        <f t="shared" ref="FN96" ca="1" si="2082">($M96=FM96)*$D$11</f>
        <v>0</v>
      </c>
      <c r="FO96" s="63"/>
      <c r="FP96" s="73"/>
      <c r="FQ96" s="72">
        <f t="shared" ref="FQ96" ca="1" si="2083">($M96=FP96)*$D$11</f>
        <v>0</v>
      </c>
      <c r="FR96" s="63"/>
      <c r="FS96" s="73"/>
      <c r="FT96" s="72">
        <f t="shared" ref="FT96" ca="1" si="2084">($M96=FS96)*$D$11</f>
        <v>0</v>
      </c>
      <c r="FU96" s="63"/>
      <c r="FV96" s="73"/>
      <c r="FW96" s="72">
        <f t="shared" ref="FW96" ca="1" si="2085">($M96=FV96)*$D$11</f>
        <v>0</v>
      </c>
      <c r="FX96" s="63"/>
      <c r="FY96" s="73"/>
      <c r="FZ96" s="72">
        <f t="shared" ref="FZ96" ca="1" si="2086">($M96=FY96)*$D$11</f>
        <v>0</v>
      </c>
      <c r="GA96" s="63"/>
      <c r="GB96" s="73"/>
      <c r="GC96" s="72">
        <f t="shared" ref="GC96" ca="1" si="2087">($M96=GB96)*$D$11</f>
        <v>0</v>
      </c>
      <c r="GD96" s="63"/>
      <c r="GE96" s="73"/>
      <c r="GF96" s="72">
        <f t="shared" ref="GF96" ca="1" si="2088">($M96=GE96)*$D$11</f>
        <v>0</v>
      </c>
      <c r="GG96" s="63"/>
      <c r="GH96" s="73"/>
      <c r="GI96" s="72">
        <f t="shared" ref="GI96" ca="1" si="2089">($M96=GH96)*$D$11</f>
        <v>0</v>
      </c>
      <c r="GJ96" s="63"/>
      <c r="GK96" s="73"/>
      <c r="GL96" s="72">
        <f t="shared" ref="GL96" ca="1" si="2090">($M96=GK96)*$D$11</f>
        <v>0</v>
      </c>
      <c r="GM96" s="63"/>
      <c r="GN96" s="73"/>
      <c r="GO96" s="72">
        <f t="shared" ref="GO96" ca="1" si="2091">($M96=GN96)*$D$11</f>
        <v>0</v>
      </c>
      <c r="GP96" s="63"/>
      <c r="GQ96" s="73"/>
      <c r="GR96" s="72">
        <f t="shared" ref="GR96" ca="1" si="2092">($M96=GQ96)*$D$11</f>
        <v>0</v>
      </c>
      <c r="GS96" s="63"/>
      <c r="GT96" s="73"/>
      <c r="GU96" s="72">
        <f t="shared" ref="GU96" ca="1" si="2093">($M96=GT96)*$D$11</f>
        <v>0</v>
      </c>
      <c r="GV96" s="63"/>
      <c r="GW96" s="73"/>
      <c r="GX96" s="72">
        <f t="shared" ref="GX96" ca="1" si="2094">($M96=GW96)*$D$11</f>
        <v>0</v>
      </c>
      <c r="GY96" s="63"/>
      <c r="GZ96" s="73"/>
      <c r="HA96" s="72">
        <f t="shared" ref="HA96" ca="1" si="2095">($M96=GZ96)*$D$11</f>
        <v>0</v>
      </c>
      <c r="HB96" s="63"/>
      <c r="HC96" s="73"/>
      <c r="HD96" s="72">
        <f t="shared" ref="HD96" ca="1" si="2096">($M96=HC96)*$D$11</f>
        <v>0</v>
      </c>
      <c r="HE96" s="63"/>
      <c r="HF96" s="73"/>
      <c r="HG96" s="72">
        <f t="shared" ref="HG96" ca="1" si="2097">($M96=HF96)*$D$11</f>
        <v>0</v>
      </c>
      <c r="HH96" s="63"/>
      <c r="HI96" s="73"/>
      <c r="HJ96" s="72">
        <f t="shared" ref="HJ96" ca="1" si="2098">($M96=HI96)*$D$11</f>
        <v>0</v>
      </c>
      <c r="HK96" s="63"/>
      <c r="HL96" s="73"/>
      <c r="HM96" s="72">
        <f t="shared" ref="HM96" ca="1" si="2099">($M96=HL96)*$D$11</f>
        <v>0</v>
      </c>
      <c r="HN96" s="63"/>
      <c r="HO96" s="73"/>
      <c r="HP96" s="72">
        <f t="shared" ref="HP96" ca="1" si="2100">($M96=HO96)*$D$11</f>
        <v>0</v>
      </c>
      <c r="HQ96" s="63"/>
      <c r="HR96" s="73"/>
      <c r="HS96" s="72">
        <f t="shared" ref="HS96" ca="1" si="2101">($M96=HR96)*$D$11</f>
        <v>0</v>
      </c>
      <c r="HT96" s="63"/>
      <c r="HU96" s="73"/>
      <c r="HV96" s="72">
        <f t="shared" ref="HV96" ca="1" si="2102">($M96=HU96)*$D$11</f>
        <v>0</v>
      </c>
      <c r="HW96" s="63"/>
      <c r="HX96" s="73"/>
      <c r="HY96" s="72">
        <f t="shared" ref="HY96" ca="1" si="2103">($M96=HX96)*$D$11</f>
        <v>0</v>
      </c>
      <c r="HZ96" s="63"/>
      <c r="IA96" s="73"/>
      <c r="IB96" s="72">
        <f t="shared" ref="IB96" ca="1" si="2104">($M96=IA96)*$D$11</f>
        <v>0</v>
      </c>
      <c r="IC96" s="63"/>
      <c r="ID96" s="73"/>
      <c r="IE96" s="72">
        <f t="shared" ref="IE96" ca="1" si="2105">($M96=ID96)*$D$11</f>
        <v>0</v>
      </c>
      <c r="IF96" s="63"/>
      <c r="IG96" s="73"/>
      <c r="IH96" s="72">
        <f t="shared" ref="IH96" ca="1" si="2106">($M96=IG96)*$D$11</f>
        <v>0</v>
      </c>
      <c r="II96" s="63"/>
      <c r="IJ96" s="73"/>
      <c r="IK96" s="72">
        <f t="shared" ref="IK96" ca="1" si="2107">($M96=IJ96)*$D$11</f>
        <v>0</v>
      </c>
      <c r="IL96" s="63"/>
      <c r="IM96" s="73"/>
      <c r="IN96" s="72">
        <f t="shared" ref="IN96" ca="1" si="2108">($M96=IM96)*$D$11</f>
        <v>0</v>
      </c>
      <c r="IO96" s="63"/>
      <c r="IP96" s="73"/>
      <c r="IQ96" s="72">
        <f t="shared" ref="IQ96" ca="1" si="2109">($M96=IP96)*$D$11</f>
        <v>0</v>
      </c>
      <c r="IR96" s="63"/>
      <c r="IS96" s="73"/>
      <c r="IT96" s="72">
        <f t="shared" ref="IT96" ca="1" si="2110">($M96=IS96)*$D$11</f>
        <v>0</v>
      </c>
      <c r="IU96" s="63"/>
      <c r="IV96" s="73"/>
      <c r="IW96" s="72">
        <f t="shared" ref="IW96" ca="1" si="2111">($M96=IV96)*$D$11</f>
        <v>0</v>
      </c>
      <c r="IX96" s="63"/>
      <c r="IY96" s="73"/>
      <c r="IZ96" s="72">
        <f t="shared" ref="IZ96" ca="1" si="2112">($M96=IY96)*$D$11</f>
        <v>0</v>
      </c>
      <c r="JA96" s="63"/>
      <c r="JB96" s="73"/>
      <c r="JC96" s="72">
        <f t="shared" ref="JC96" ca="1" si="2113">($M96=JB96)*$D$11</f>
        <v>0</v>
      </c>
      <c r="JD96" s="63"/>
      <c r="JE96" s="73"/>
      <c r="JF96" s="72">
        <f t="shared" ref="JF96" ca="1" si="2114">($M96=JE96)*$D$11</f>
        <v>0</v>
      </c>
      <c r="JG96" s="63"/>
      <c r="JH96" s="73"/>
      <c r="JI96" s="72">
        <f t="shared" ref="JI96" ca="1" si="2115">($M96=JH96)*$D$11</f>
        <v>0</v>
      </c>
      <c r="JJ96" s="63"/>
      <c r="JK96" s="73"/>
      <c r="JL96" s="72">
        <f t="shared" ref="JL96" ca="1" si="2116">($M96=JK96)*$D$11</f>
        <v>0</v>
      </c>
      <c r="JM96" s="63"/>
      <c r="JN96" s="73"/>
      <c r="JO96" s="72">
        <f t="shared" ref="JO96" ca="1" si="2117">($M96=JN96)*$D$11</f>
        <v>0</v>
      </c>
      <c r="JP96" s="63"/>
      <c r="JQ96" s="73"/>
      <c r="JR96" s="72">
        <f t="shared" ref="JR96" ca="1" si="2118">($M96=JQ96)*$D$11</f>
        <v>0</v>
      </c>
      <c r="JS96" s="63"/>
      <c r="JT96" s="73"/>
      <c r="JU96" s="72">
        <f t="shared" ref="JU96" ca="1" si="2119">($M96=JT96)*$D$11</f>
        <v>0</v>
      </c>
      <c r="JV96" s="63"/>
      <c r="JW96" s="73"/>
      <c r="JX96" s="72">
        <f t="shared" ref="JX96" ca="1" si="2120">($M96=JW96)*$D$11</f>
        <v>0</v>
      </c>
      <c r="JY96" s="63"/>
      <c r="JZ96" s="73"/>
      <c r="KA96" s="72">
        <f t="shared" ref="KA96" ca="1" si="2121">($M96=JZ96)*$D$11</f>
        <v>0</v>
      </c>
      <c r="KB96" s="63"/>
      <c r="KC96" s="73"/>
      <c r="KD96" s="72">
        <f t="shared" ref="KD96" ca="1" si="2122">($M96=KC96)*$D$11</f>
        <v>0</v>
      </c>
      <c r="KE96" s="63"/>
      <c r="KF96" s="73"/>
      <c r="KG96" s="72">
        <f t="shared" ref="KG96" ca="1" si="2123">($M96=KF96)*$D$11</f>
        <v>0</v>
      </c>
      <c r="KH96" s="63"/>
      <c r="KI96" s="73"/>
      <c r="KJ96" s="72">
        <f t="shared" ref="KJ96" ca="1" si="2124">($M96=KI96)*$D$11</f>
        <v>0</v>
      </c>
      <c r="KK96" s="63"/>
      <c r="KL96" s="73"/>
      <c r="KM96" s="72">
        <f t="shared" ref="KM96" ca="1" si="2125">($M96=KL96)*$D$11</f>
        <v>0</v>
      </c>
      <c r="KN96" s="63"/>
      <c r="KO96" s="73"/>
      <c r="KP96" s="72">
        <f t="shared" ref="KP96" ca="1" si="2126">($M96=KO96)*$D$11</f>
        <v>0</v>
      </c>
      <c r="KQ96" s="63"/>
      <c r="KR96" s="73"/>
      <c r="KS96" s="72">
        <f t="shared" ref="KS96" ca="1" si="2127">($M96=KR96)*$D$11</f>
        <v>0</v>
      </c>
      <c r="KT96" s="63"/>
      <c r="KU96" s="73"/>
      <c r="KV96" s="72">
        <f t="shared" ref="KV96" ca="1" si="2128">($M96=KU96)*$D$11</f>
        <v>0</v>
      </c>
      <c r="KW96" s="63"/>
      <c r="KX96" s="73"/>
      <c r="KY96" s="72">
        <f t="shared" ref="KY96" ca="1" si="2129">($M96=KX96)*$D$11</f>
        <v>0</v>
      </c>
      <c r="KZ96" s="63"/>
      <c r="LA96" s="73"/>
      <c r="LB96" s="72">
        <f t="shared" ref="LB96" ca="1" si="2130">($M96=LA96)*$D$11</f>
        <v>0</v>
      </c>
      <c r="LC96" s="63"/>
      <c r="LD96" s="73"/>
      <c r="LE96" s="72">
        <f t="shared" ref="LE96" ca="1" si="2131">($M96=LD96)*$D$11</f>
        <v>0</v>
      </c>
      <c r="LF96" s="63"/>
    </row>
    <row r="97" spans="1:318" s="784" customFormat="1">
      <c r="A97" s="49"/>
      <c r="B97" s="49"/>
      <c r="C97" s="49"/>
      <c r="D97" s="49"/>
      <c r="E97" s="109"/>
      <c r="F97" s="125">
        <f t="shared" ref="F97" si="2132">$D$12</f>
        <v>20</v>
      </c>
      <c r="G97" s="443">
        <f ca="1">VLOOKUP(H97,Equipos!$Q$1:$R$25,2,0)</f>
        <v>15</v>
      </c>
      <c r="H97" s="444">
        <f ca="1">$H$62</f>
        <v>46198</v>
      </c>
      <c r="I97" s="50"/>
      <c r="J97" s="846"/>
      <c r="K97" s="56" t="str">
        <f>Idiomas!D167</f>
        <v>2º GRUPO E</v>
      </c>
      <c r="L97" s="53"/>
      <c r="M97" s="55" t="str">
        <f ca="1">IF(OR(SUM(WORLDCUP!$AN$38:$AN$41)=12,WORLDCUP!$AJ$99=144),WORLDCUP!AL39,LEFT(K97,1)&amp;RIGHT(K97,1))</f>
        <v>2E</v>
      </c>
      <c r="N97" s="25"/>
      <c r="O97" s="25"/>
      <c r="P97" s="25"/>
      <c r="Q97" s="25"/>
      <c r="R97" s="108"/>
      <c r="S97" s="796" t="s">
        <v>1261</v>
      </c>
      <c r="T97" s="72">
        <f t="shared" ref="T97" ca="1" si="2133">($M97=S97)*$D$12</f>
        <v>0</v>
      </c>
      <c r="U97" s="63"/>
      <c r="V97" s="73" t="s">
        <v>1261</v>
      </c>
      <c r="W97" s="72">
        <f t="shared" ref="W97" ca="1" si="2134">($M97=V97)*$D$12</f>
        <v>0</v>
      </c>
      <c r="X97" s="63"/>
      <c r="Y97" s="796" t="s">
        <v>77</v>
      </c>
      <c r="Z97" s="72">
        <f t="shared" ref="Z97" ca="1" si="2135">($M97=Y97)*$D$12</f>
        <v>0</v>
      </c>
      <c r="AA97" s="63"/>
      <c r="AB97" s="796" t="s">
        <v>1261</v>
      </c>
      <c r="AC97" s="72">
        <f t="shared" ref="AC97" ca="1" si="2136">($M97=AB97)*$D$12</f>
        <v>0</v>
      </c>
      <c r="AD97" s="63"/>
      <c r="AE97" s="796" t="s">
        <v>1261</v>
      </c>
      <c r="AF97" s="72">
        <f t="shared" ref="AF97" ca="1" si="2137">($M97=AE97)*$D$12</f>
        <v>0</v>
      </c>
      <c r="AG97" s="63"/>
      <c r="AH97" s="796" t="s">
        <v>1261</v>
      </c>
      <c r="AI97" s="72">
        <f t="shared" ref="AI97" ca="1" si="2138">($M97=AH97)*$D$12</f>
        <v>0</v>
      </c>
      <c r="AJ97" s="63"/>
      <c r="AK97" s="806" t="s">
        <v>1261</v>
      </c>
      <c r="AL97" s="72">
        <f t="shared" ref="AL97" ca="1" si="2139">($M97=AK97)*$D$12</f>
        <v>0</v>
      </c>
      <c r="AM97" s="63"/>
      <c r="AN97" s="796" t="s">
        <v>1261</v>
      </c>
      <c r="AO97" s="72">
        <f t="shared" ref="AO97" ca="1" si="2140">($M97=AN97)*$D$12</f>
        <v>0</v>
      </c>
      <c r="AP97" s="63"/>
      <c r="AQ97" s="806" t="s">
        <v>1261</v>
      </c>
      <c r="AR97" s="72">
        <f t="shared" ref="AR97" ca="1" si="2141">($M97=AQ97)*$D$12</f>
        <v>0</v>
      </c>
      <c r="AS97" s="63"/>
      <c r="AT97" s="796" t="s">
        <v>77</v>
      </c>
      <c r="AU97" s="72">
        <f t="shared" ref="AU97" ca="1" si="2142">($M97=AT97)*$D$12</f>
        <v>0</v>
      </c>
      <c r="AV97" s="63"/>
      <c r="AW97" s="796" t="s">
        <v>1261</v>
      </c>
      <c r="AX97" s="72">
        <f t="shared" ref="AX97" ca="1" si="2143">($M97=AW97)*$D$12</f>
        <v>0</v>
      </c>
      <c r="AY97" s="63"/>
      <c r="AZ97" s="796" t="s">
        <v>1633</v>
      </c>
      <c r="BA97" s="72">
        <f t="shared" ref="BA97" ca="1" si="2144">($M97=AZ97)*$D$12</f>
        <v>0</v>
      </c>
      <c r="BB97" s="63"/>
      <c r="BC97" s="796" t="s">
        <v>1261</v>
      </c>
      <c r="BD97" s="72">
        <f t="shared" ref="BD97" ca="1" si="2145">($M97=BC97)*$D$12</f>
        <v>0</v>
      </c>
      <c r="BE97" s="63"/>
      <c r="BF97" s="796" t="s">
        <v>77</v>
      </c>
      <c r="BG97" s="72">
        <f t="shared" ref="BG97" ca="1" si="2146">($M97=BF97)*$D$12</f>
        <v>0</v>
      </c>
      <c r="BH97" s="63"/>
      <c r="BI97" s="796" t="s">
        <v>1633</v>
      </c>
      <c r="BJ97" s="72">
        <f t="shared" ref="BJ97" ca="1" si="2147">($M97=BI97)*$D$12</f>
        <v>0</v>
      </c>
      <c r="BK97" s="63"/>
      <c r="BL97" s="796" t="s">
        <v>1633</v>
      </c>
      <c r="BM97" s="72">
        <f t="shared" ref="BM97" ca="1" si="2148">($M97=BL97)*$D$12</f>
        <v>0</v>
      </c>
      <c r="BN97" s="63"/>
      <c r="BO97" s="816" t="s">
        <v>1261</v>
      </c>
      <c r="BP97" s="72">
        <f t="shared" ref="BP97" ca="1" si="2149">($M97=BO97)*$D$12</f>
        <v>0</v>
      </c>
      <c r="BQ97" s="63"/>
      <c r="BR97" s="796" t="s">
        <v>1261</v>
      </c>
      <c r="BS97" s="72">
        <f t="shared" ref="BS97" ca="1" si="2150">($M97=BR97)*$D$12</f>
        <v>0</v>
      </c>
      <c r="BT97" s="63"/>
      <c r="BU97" s="796" t="s">
        <v>1261</v>
      </c>
      <c r="BV97" s="72">
        <f t="shared" ref="BV97" ca="1" si="2151">($M97=BU97)*$D$12</f>
        <v>0</v>
      </c>
      <c r="BW97" s="63"/>
      <c r="BX97" s="73" t="s">
        <v>1261</v>
      </c>
      <c r="BY97" s="72">
        <f t="shared" ref="BY97" ca="1" si="2152">($M97=BX97)*$D$12</f>
        <v>0</v>
      </c>
      <c r="BZ97" s="63"/>
      <c r="CA97" s="816" t="s">
        <v>1261</v>
      </c>
      <c r="CB97" s="72">
        <f t="shared" ref="CB97" ca="1" si="2153">($M97=CA97)*$D$12</f>
        <v>0</v>
      </c>
      <c r="CC97" s="63"/>
      <c r="CD97" s="825" t="s">
        <v>1261</v>
      </c>
      <c r="CE97" s="72">
        <f t="shared" ref="CE97" ca="1" si="2154">($M97=CD97)*$D$12</f>
        <v>0</v>
      </c>
      <c r="CF97" s="63"/>
      <c r="CG97" s="796" t="s">
        <v>1261</v>
      </c>
      <c r="CH97" s="72">
        <f t="shared" ref="CH97" ca="1" si="2155">($M97=CG97)*$D$12</f>
        <v>0</v>
      </c>
      <c r="CI97" s="63"/>
      <c r="CJ97" s="796" t="s">
        <v>1261</v>
      </c>
      <c r="CK97" s="72">
        <f t="shared" ref="CK97" ca="1" si="2156">($M97=CJ97)*$D$12</f>
        <v>0</v>
      </c>
      <c r="CL97" s="63"/>
      <c r="CM97" s="796" t="s">
        <v>1261</v>
      </c>
      <c r="CN97" s="72">
        <f t="shared" ref="CN97" ca="1" si="2157">($M97=CM97)*$D$12</f>
        <v>0</v>
      </c>
      <c r="CO97" s="63"/>
      <c r="CP97" s="796" t="s">
        <v>1261</v>
      </c>
      <c r="CQ97" s="72">
        <f t="shared" ref="CQ97" ca="1" si="2158">($M97=CP97)*$D$12</f>
        <v>0</v>
      </c>
      <c r="CR97" s="63"/>
      <c r="CS97" s="796" t="s">
        <v>1261</v>
      </c>
      <c r="CT97" s="72">
        <f t="shared" ref="CT97" ca="1" si="2159">($M97=CS97)*$D$12</f>
        <v>0</v>
      </c>
      <c r="CU97" s="63"/>
      <c r="CV97" s="796" t="s">
        <v>77</v>
      </c>
      <c r="CW97" s="72">
        <f t="shared" ref="CW97" ca="1" si="2160">($M97=CV97)*$D$12</f>
        <v>0</v>
      </c>
      <c r="CX97" s="63"/>
      <c r="CY97" s="796" t="s">
        <v>1261</v>
      </c>
      <c r="CZ97" s="72">
        <f t="shared" ref="CZ97" ca="1" si="2161">($M97=CY97)*$D$12</f>
        <v>0</v>
      </c>
      <c r="DA97" s="63"/>
      <c r="DB97" s="796" t="s">
        <v>1261</v>
      </c>
      <c r="DC97" s="72">
        <f t="shared" ref="DC97" ca="1" si="2162">($M97=DB97)*$D$12</f>
        <v>0</v>
      </c>
      <c r="DD97" s="63"/>
      <c r="DE97" s="796" t="s">
        <v>1633</v>
      </c>
      <c r="DF97" s="72">
        <f ca="1">($M97=DE97)*$D$12</f>
        <v>0</v>
      </c>
      <c r="DG97" s="63"/>
      <c r="DH97" s="796" t="s">
        <v>1261</v>
      </c>
      <c r="DI97" s="72">
        <f ca="1">($M97=DH97)*$D$12</f>
        <v>0</v>
      </c>
      <c r="DJ97" s="63"/>
      <c r="DK97" s="796" t="s">
        <v>1261</v>
      </c>
      <c r="DL97" s="72">
        <f ca="1">($M97=DK97)*$D$12</f>
        <v>0</v>
      </c>
      <c r="DM97" s="63"/>
      <c r="DN97" s="73"/>
      <c r="DO97" s="72">
        <f t="shared" ref="DO97" ca="1" si="2163">($M97=DN97)*$D$12</f>
        <v>0</v>
      </c>
      <c r="DP97" s="63"/>
      <c r="DQ97" s="796" t="s">
        <v>1261</v>
      </c>
      <c r="DR97" s="72">
        <f t="shared" ref="DR97" ca="1" si="2164">($M97=DQ97)*$D$12</f>
        <v>0</v>
      </c>
      <c r="DS97" s="63"/>
      <c r="DT97" s="73" t="s">
        <v>1261</v>
      </c>
      <c r="DU97" s="72">
        <f t="shared" ref="DU97" ca="1" si="2165">($M97=DT97)*$D$12</f>
        <v>0</v>
      </c>
      <c r="DV97" s="63"/>
      <c r="DW97" s="73"/>
      <c r="DX97" s="72">
        <f t="shared" ref="DX97" ca="1" si="2166">($M97=DW97)*$D$12</f>
        <v>0</v>
      </c>
      <c r="DY97" s="63"/>
      <c r="DZ97" s="73"/>
      <c r="EA97" s="72">
        <f ca="1">($M97=DZ97)*$D$12</f>
        <v>0</v>
      </c>
      <c r="EB97" s="63"/>
      <c r="EC97" s="73"/>
      <c r="ED97" s="72">
        <f t="shared" ref="ED97" ca="1" si="2167">($M97=EC97)*$D$12</f>
        <v>0</v>
      </c>
      <c r="EE97" s="63"/>
      <c r="EF97" s="73"/>
      <c r="EG97" s="72">
        <f t="shared" ref="EG97" ca="1" si="2168">($M97=EF97)*$D$12</f>
        <v>0</v>
      </c>
      <c r="EH97" s="63"/>
      <c r="EI97" s="73"/>
      <c r="EJ97" s="72">
        <f t="shared" ref="EJ97" ca="1" si="2169">($M97=EI97)*$D$12</f>
        <v>0</v>
      </c>
      <c r="EK97" s="63"/>
      <c r="EL97" s="73"/>
      <c r="EM97" s="72">
        <f t="shared" ref="EM97" ca="1" si="2170">($M97=EL97)*$D$12</f>
        <v>0</v>
      </c>
      <c r="EN97" s="63"/>
      <c r="EO97" s="73"/>
      <c r="EP97" s="72">
        <f t="shared" ref="EP97" ca="1" si="2171">($M97=EO97)*$D$12</f>
        <v>0</v>
      </c>
      <c r="EQ97" s="63"/>
      <c r="ER97" s="73"/>
      <c r="ES97" s="72">
        <f t="shared" ref="ES97" ca="1" si="2172">($M97=ER97)*$D$12</f>
        <v>0</v>
      </c>
      <c r="ET97" s="63"/>
      <c r="EU97" s="73"/>
      <c r="EV97" s="72">
        <f t="shared" ref="EV97" ca="1" si="2173">($M97=EU97)*$D$12</f>
        <v>0</v>
      </c>
      <c r="EW97" s="63"/>
      <c r="EX97" s="73"/>
      <c r="EY97" s="72">
        <f t="shared" ref="EY97" ca="1" si="2174">($M97=EX97)*$D$12</f>
        <v>0</v>
      </c>
      <c r="EZ97" s="63"/>
      <c r="FA97" s="73"/>
      <c r="FB97" s="72">
        <f t="shared" ref="FB97" ca="1" si="2175">($M97=FA97)*$D$12</f>
        <v>0</v>
      </c>
      <c r="FC97" s="63"/>
      <c r="FD97" s="73"/>
      <c r="FE97" s="72">
        <f t="shared" ref="FE97" ca="1" si="2176">($M97=FD97)*$D$12</f>
        <v>0</v>
      </c>
      <c r="FF97" s="63"/>
      <c r="FG97" s="73"/>
      <c r="FH97" s="72">
        <f t="shared" ref="FH97" ca="1" si="2177">($M97=FG97)*$D$12</f>
        <v>0</v>
      </c>
      <c r="FI97" s="63"/>
      <c r="FJ97" s="73"/>
      <c r="FK97" s="72">
        <f t="shared" ref="FK97" ca="1" si="2178">($M97=FJ97)*$D$12</f>
        <v>0</v>
      </c>
      <c r="FL97" s="63"/>
      <c r="FM97" s="73"/>
      <c r="FN97" s="72">
        <f t="shared" ref="FN97" ca="1" si="2179">($M97=FM97)*$D$12</f>
        <v>0</v>
      </c>
      <c r="FO97" s="63"/>
      <c r="FP97" s="73"/>
      <c r="FQ97" s="72">
        <f t="shared" ref="FQ97" ca="1" si="2180">($M97=FP97)*$D$12</f>
        <v>0</v>
      </c>
      <c r="FR97" s="63"/>
      <c r="FS97" s="73"/>
      <c r="FT97" s="72">
        <f t="shared" ref="FT97" ca="1" si="2181">($M97=FS97)*$D$12</f>
        <v>0</v>
      </c>
      <c r="FU97" s="63"/>
      <c r="FV97" s="73"/>
      <c r="FW97" s="72">
        <f t="shared" ref="FW97" ca="1" si="2182">($M97=FV97)*$D$12</f>
        <v>0</v>
      </c>
      <c r="FX97" s="63"/>
      <c r="FY97" s="73"/>
      <c r="FZ97" s="72">
        <f t="shared" ref="FZ97" ca="1" si="2183">($M97=FY97)*$D$12</f>
        <v>0</v>
      </c>
      <c r="GA97" s="63"/>
      <c r="GB97" s="73"/>
      <c r="GC97" s="72">
        <f t="shared" ref="GC97" ca="1" si="2184">($M97=GB97)*$D$12</f>
        <v>0</v>
      </c>
      <c r="GD97" s="63"/>
      <c r="GE97" s="73"/>
      <c r="GF97" s="72">
        <f t="shared" ref="GF97" ca="1" si="2185">($M97=GE97)*$D$12</f>
        <v>0</v>
      </c>
      <c r="GG97" s="63"/>
      <c r="GH97" s="73"/>
      <c r="GI97" s="72">
        <f t="shared" ref="GI97" ca="1" si="2186">($M97=GH97)*$D$12</f>
        <v>0</v>
      </c>
      <c r="GJ97" s="63"/>
      <c r="GK97" s="73"/>
      <c r="GL97" s="72">
        <f t="shared" ref="GL97" ca="1" si="2187">($M97=GK97)*$D$12</f>
        <v>0</v>
      </c>
      <c r="GM97" s="63"/>
      <c r="GN97" s="73"/>
      <c r="GO97" s="72">
        <f t="shared" ref="GO97" ca="1" si="2188">($M97=GN97)*$D$12</f>
        <v>0</v>
      </c>
      <c r="GP97" s="63"/>
      <c r="GQ97" s="73"/>
      <c r="GR97" s="72">
        <f t="shared" ref="GR97" ca="1" si="2189">($M97=GQ97)*$D$12</f>
        <v>0</v>
      </c>
      <c r="GS97" s="63"/>
      <c r="GT97" s="73"/>
      <c r="GU97" s="72">
        <f t="shared" ref="GU97" ca="1" si="2190">($M97=GT97)*$D$12</f>
        <v>0</v>
      </c>
      <c r="GV97" s="63"/>
      <c r="GW97" s="73"/>
      <c r="GX97" s="72">
        <f t="shared" ref="GX97" ca="1" si="2191">($M97=GW97)*$D$12</f>
        <v>0</v>
      </c>
      <c r="GY97" s="63"/>
      <c r="GZ97" s="73"/>
      <c r="HA97" s="72">
        <f t="shared" ref="HA97" ca="1" si="2192">($M97=GZ97)*$D$12</f>
        <v>0</v>
      </c>
      <c r="HB97" s="63"/>
      <c r="HC97" s="73"/>
      <c r="HD97" s="72">
        <f t="shared" ref="HD97" ca="1" si="2193">($M97=HC97)*$D$12</f>
        <v>0</v>
      </c>
      <c r="HE97" s="63"/>
      <c r="HF97" s="73"/>
      <c r="HG97" s="72">
        <f t="shared" ref="HG97" ca="1" si="2194">($M97=HF97)*$D$12</f>
        <v>0</v>
      </c>
      <c r="HH97" s="63"/>
      <c r="HI97" s="73"/>
      <c r="HJ97" s="72">
        <f t="shared" ref="HJ97" ca="1" si="2195">($M97=HI97)*$D$12</f>
        <v>0</v>
      </c>
      <c r="HK97" s="63"/>
      <c r="HL97" s="73"/>
      <c r="HM97" s="72">
        <f t="shared" ref="HM97" ca="1" si="2196">($M97=HL97)*$D$12</f>
        <v>0</v>
      </c>
      <c r="HN97" s="63"/>
      <c r="HO97" s="73"/>
      <c r="HP97" s="72">
        <f t="shared" ref="HP97" ca="1" si="2197">($M97=HO97)*$D$12</f>
        <v>0</v>
      </c>
      <c r="HQ97" s="63"/>
      <c r="HR97" s="73"/>
      <c r="HS97" s="72">
        <f t="shared" ref="HS97" ca="1" si="2198">($M97=HR97)*$D$12</f>
        <v>0</v>
      </c>
      <c r="HT97" s="63"/>
      <c r="HU97" s="73"/>
      <c r="HV97" s="72">
        <f t="shared" ref="HV97" ca="1" si="2199">($M97=HU97)*$D$12</f>
        <v>0</v>
      </c>
      <c r="HW97" s="63"/>
      <c r="HX97" s="73"/>
      <c r="HY97" s="72">
        <f t="shared" ref="HY97" ca="1" si="2200">($M97=HX97)*$D$12</f>
        <v>0</v>
      </c>
      <c r="HZ97" s="63"/>
      <c r="IA97" s="73"/>
      <c r="IB97" s="72">
        <f t="shared" ref="IB97" ca="1" si="2201">($M97=IA97)*$D$12</f>
        <v>0</v>
      </c>
      <c r="IC97" s="63"/>
      <c r="ID97" s="73"/>
      <c r="IE97" s="72">
        <f t="shared" ref="IE97" ca="1" si="2202">($M97=ID97)*$D$12</f>
        <v>0</v>
      </c>
      <c r="IF97" s="63"/>
      <c r="IG97" s="73"/>
      <c r="IH97" s="72">
        <f t="shared" ref="IH97" ca="1" si="2203">($M97=IG97)*$D$12</f>
        <v>0</v>
      </c>
      <c r="II97" s="63"/>
      <c r="IJ97" s="73"/>
      <c r="IK97" s="72">
        <f t="shared" ref="IK97" ca="1" si="2204">($M97=IJ97)*$D$12</f>
        <v>0</v>
      </c>
      <c r="IL97" s="63"/>
      <c r="IM97" s="73"/>
      <c r="IN97" s="72">
        <f t="shared" ref="IN97" ca="1" si="2205">($M97=IM97)*$D$12</f>
        <v>0</v>
      </c>
      <c r="IO97" s="63"/>
      <c r="IP97" s="73"/>
      <c r="IQ97" s="72">
        <f t="shared" ref="IQ97" ca="1" si="2206">($M97=IP97)*$D$12</f>
        <v>0</v>
      </c>
      <c r="IR97" s="63"/>
      <c r="IS97" s="73"/>
      <c r="IT97" s="72">
        <f t="shared" ref="IT97" ca="1" si="2207">($M97=IS97)*$D$12</f>
        <v>0</v>
      </c>
      <c r="IU97" s="63"/>
      <c r="IV97" s="73"/>
      <c r="IW97" s="72">
        <f t="shared" ref="IW97" ca="1" si="2208">($M97=IV97)*$D$12</f>
        <v>0</v>
      </c>
      <c r="IX97" s="63"/>
      <c r="IY97" s="73"/>
      <c r="IZ97" s="72">
        <f t="shared" ref="IZ97" ca="1" si="2209">($M97=IY97)*$D$12</f>
        <v>0</v>
      </c>
      <c r="JA97" s="63"/>
      <c r="JB97" s="73"/>
      <c r="JC97" s="72">
        <f t="shared" ref="JC97" ca="1" si="2210">($M97=JB97)*$D$12</f>
        <v>0</v>
      </c>
      <c r="JD97" s="63"/>
      <c r="JE97" s="73"/>
      <c r="JF97" s="72">
        <f t="shared" ref="JF97" ca="1" si="2211">($M97=JE97)*$D$12</f>
        <v>0</v>
      </c>
      <c r="JG97" s="63"/>
      <c r="JH97" s="73"/>
      <c r="JI97" s="72">
        <f t="shared" ref="JI97" ca="1" si="2212">($M97=JH97)*$D$12</f>
        <v>0</v>
      </c>
      <c r="JJ97" s="63"/>
      <c r="JK97" s="73"/>
      <c r="JL97" s="72">
        <f t="shared" ref="JL97" ca="1" si="2213">($M97=JK97)*$D$12</f>
        <v>0</v>
      </c>
      <c r="JM97" s="63"/>
      <c r="JN97" s="73"/>
      <c r="JO97" s="72">
        <f t="shared" ref="JO97" ca="1" si="2214">($M97=JN97)*$D$12</f>
        <v>0</v>
      </c>
      <c r="JP97" s="63"/>
      <c r="JQ97" s="73"/>
      <c r="JR97" s="72">
        <f t="shared" ref="JR97" ca="1" si="2215">($M97=JQ97)*$D$12</f>
        <v>0</v>
      </c>
      <c r="JS97" s="63"/>
      <c r="JT97" s="73"/>
      <c r="JU97" s="72">
        <f t="shared" ref="JU97" ca="1" si="2216">($M97=JT97)*$D$12</f>
        <v>0</v>
      </c>
      <c r="JV97" s="63"/>
      <c r="JW97" s="73"/>
      <c r="JX97" s="72">
        <f t="shared" ref="JX97" ca="1" si="2217">($M97=JW97)*$D$12</f>
        <v>0</v>
      </c>
      <c r="JY97" s="63"/>
      <c r="JZ97" s="73"/>
      <c r="KA97" s="72">
        <f t="shared" ref="KA97" ca="1" si="2218">($M97=JZ97)*$D$12</f>
        <v>0</v>
      </c>
      <c r="KB97" s="63"/>
      <c r="KC97" s="73"/>
      <c r="KD97" s="72">
        <f t="shared" ref="KD97" ca="1" si="2219">($M97=KC97)*$D$12</f>
        <v>0</v>
      </c>
      <c r="KE97" s="63"/>
      <c r="KF97" s="73"/>
      <c r="KG97" s="72">
        <f t="shared" ref="KG97" ca="1" si="2220">($M97=KF97)*$D$12</f>
        <v>0</v>
      </c>
      <c r="KH97" s="63"/>
      <c r="KI97" s="73"/>
      <c r="KJ97" s="72">
        <f t="shared" ref="KJ97" ca="1" si="2221">($M97=KI97)*$D$12</f>
        <v>0</v>
      </c>
      <c r="KK97" s="63"/>
      <c r="KL97" s="73"/>
      <c r="KM97" s="72">
        <f t="shared" ref="KM97" ca="1" si="2222">($M97=KL97)*$D$12</f>
        <v>0</v>
      </c>
      <c r="KN97" s="63"/>
      <c r="KO97" s="73"/>
      <c r="KP97" s="72">
        <f t="shared" ref="KP97" ca="1" si="2223">($M97=KO97)*$D$12</f>
        <v>0</v>
      </c>
      <c r="KQ97" s="63"/>
      <c r="KR97" s="73"/>
      <c r="KS97" s="72">
        <f t="shared" ref="KS97" ca="1" si="2224">($M97=KR97)*$D$12</f>
        <v>0</v>
      </c>
      <c r="KT97" s="63"/>
      <c r="KU97" s="73"/>
      <c r="KV97" s="72">
        <f t="shared" ref="KV97" ca="1" si="2225">($M97=KU97)*$D$12</f>
        <v>0</v>
      </c>
      <c r="KW97" s="63"/>
      <c r="KX97" s="73"/>
      <c r="KY97" s="72">
        <f t="shared" ref="KY97" ca="1" si="2226">($M97=KX97)*$D$12</f>
        <v>0</v>
      </c>
      <c r="KZ97" s="63"/>
      <c r="LA97" s="73"/>
      <c r="LB97" s="72">
        <f t="shared" ref="LB97" ca="1" si="2227">($M97=LA97)*$D$12</f>
        <v>0</v>
      </c>
      <c r="LC97" s="63"/>
      <c r="LD97" s="73"/>
      <c r="LE97" s="72">
        <f t="shared" ref="LE97" ca="1" si="2228">($M97=LD97)*$D$12</f>
        <v>0</v>
      </c>
      <c r="LF97" s="63"/>
    </row>
    <row r="98" spans="1:318" s="784" customFormat="1">
      <c r="A98" s="49"/>
      <c r="B98" s="49"/>
      <c r="C98" s="49"/>
      <c r="D98" s="49"/>
      <c r="E98" s="109"/>
      <c r="F98" s="125">
        <f t="shared" ref="F98" si="2229">$D$13</f>
        <v>20</v>
      </c>
      <c r="G98" s="443">
        <f ca="1">VLOOKUP(H98,Equipos!$Q$1:$R$25,2,0)</f>
        <v>15</v>
      </c>
      <c r="H98" s="444">
        <f ca="1">$H$62</f>
        <v>46198</v>
      </c>
      <c r="I98" s="50"/>
      <c r="J98" s="846"/>
      <c r="K98" s="56" t="str">
        <f>Idiomas!D168</f>
        <v>3º GRUPO E</v>
      </c>
      <c r="L98" s="53"/>
      <c r="M98" s="55" t="str">
        <f ca="1">IF(OR(SUM(WORLDCUP!$AN$38:$AN$41)=12,WORLDCUP!$AJ$99=144),WORLDCUP!AL40,LEFT(K98,1)&amp;RIGHT(K98,1))</f>
        <v>3E</v>
      </c>
      <c r="N98" s="25"/>
      <c r="O98" s="25"/>
      <c r="P98" s="25"/>
      <c r="Q98" s="25"/>
      <c r="R98" s="108"/>
      <c r="S98" s="796" t="s">
        <v>1633</v>
      </c>
      <c r="T98" s="72">
        <f t="shared" ref="T98" ca="1" si="2230">($M98=S98)*$D$13</f>
        <v>0</v>
      </c>
      <c r="U98" s="63"/>
      <c r="V98" s="73" t="s">
        <v>1633</v>
      </c>
      <c r="W98" s="72">
        <f t="shared" ref="W98" ca="1" si="2231">($M98=V98)*$D$13</f>
        <v>0</v>
      </c>
      <c r="X98" s="63"/>
      <c r="Y98" s="796" t="s">
        <v>1633</v>
      </c>
      <c r="Z98" s="72">
        <f t="shared" ref="Z98" ca="1" si="2232">($M98=Y98)*$D$13</f>
        <v>0</v>
      </c>
      <c r="AA98" s="63"/>
      <c r="AB98" s="796" t="s">
        <v>1633</v>
      </c>
      <c r="AC98" s="72">
        <f t="shared" ref="AC98" ca="1" si="2233">($M98=AB98)*$D$13</f>
        <v>0</v>
      </c>
      <c r="AD98" s="63"/>
      <c r="AE98" s="796" t="s">
        <v>1633</v>
      </c>
      <c r="AF98" s="72">
        <f t="shared" ref="AF98" ca="1" si="2234">($M98=AE98)*$D$13</f>
        <v>0</v>
      </c>
      <c r="AG98" s="63"/>
      <c r="AH98" s="796" t="s">
        <v>1633</v>
      </c>
      <c r="AI98" s="72">
        <f t="shared" ref="AI98" ca="1" si="2235">($M98=AH98)*$D$13</f>
        <v>0</v>
      </c>
      <c r="AJ98" s="63"/>
      <c r="AK98" s="806" t="s">
        <v>1633</v>
      </c>
      <c r="AL98" s="72">
        <f t="shared" ref="AL98" ca="1" si="2236">($M98=AK98)*$D$13</f>
        <v>0</v>
      </c>
      <c r="AM98" s="63"/>
      <c r="AN98" s="796" t="s">
        <v>1633</v>
      </c>
      <c r="AO98" s="72">
        <f t="shared" ref="AO98" ca="1" si="2237">($M98=AN98)*$D$13</f>
        <v>0</v>
      </c>
      <c r="AP98" s="63"/>
      <c r="AQ98" s="806" t="s">
        <v>1633</v>
      </c>
      <c r="AR98" s="72">
        <f t="shared" ref="AR98" ca="1" si="2238">($M98=AQ98)*$D$13</f>
        <v>0</v>
      </c>
      <c r="AS98" s="63"/>
      <c r="AT98" s="796" t="s">
        <v>1633</v>
      </c>
      <c r="AU98" s="72">
        <f t="shared" ref="AU98" ca="1" si="2239">($M98=AT98)*$D$13</f>
        <v>0</v>
      </c>
      <c r="AV98" s="63"/>
      <c r="AW98" s="796" t="s">
        <v>1633</v>
      </c>
      <c r="AX98" s="72">
        <f t="shared" ref="AX98" ca="1" si="2240">($M98=AW98)*$D$13</f>
        <v>0</v>
      </c>
      <c r="AY98" s="63"/>
      <c r="AZ98" s="796" t="s">
        <v>1261</v>
      </c>
      <c r="BA98" s="72">
        <f t="shared" ref="BA98" ca="1" si="2241">($M98=AZ98)*$D$13</f>
        <v>0</v>
      </c>
      <c r="BB98" s="63"/>
      <c r="BC98" s="796" t="s">
        <v>1633</v>
      </c>
      <c r="BD98" s="72">
        <f t="shared" ref="BD98" ca="1" si="2242">($M98=BC98)*$D$13</f>
        <v>0</v>
      </c>
      <c r="BE98" s="63"/>
      <c r="BF98" s="796" t="s">
        <v>1633</v>
      </c>
      <c r="BG98" s="72">
        <f t="shared" ref="BG98" ca="1" si="2243">($M98=BF98)*$D$13</f>
        <v>0</v>
      </c>
      <c r="BH98" s="63"/>
      <c r="BI98" s="796" t="s">
        <v>1261</v>
      </c>
      <c r="BJ98" s="72">
        <f t="shared" ref="BJ98" ca="1" si="2244">($M98=BI98)*$D$13</f>
        <v>0</v>
      </c>
      <c r="BK98" s="63"/>
      <c r="BL98" s="796" t="s">
        <v>1261</v>
      </c>
      <c r="BM98" s="72">
        <f t="shared" ref="BM98" ca="1" si="2245">($M98=BL98)*$D$13</f>
        <v>0</v>
      </c>
      <c r="BN98" s="63"/>
      <c r="BO98" s="816" t="s">
        <v>1633</v>
      </c>
      <c r="BP98" s="72">
        <f t="shared" ref="BP98" ca="1" si="2246">($M98=BO98)*$D$13</f>
        <v>0</v>
      </c>
      <c r="BQ98" s="63"/>
      <c r="BR98" s="796" t="s">
        <v>1633</v>
      </c>
      <c r="BS98" s="72">
        <f t="shared" ref="BS98" ca="1" si="2247">($M98=BR98)*$D$13</f>
        <v>0</v>
      </c>
      <c r="BT98" s="63"/>
      <c r="BU98" s="796" t="s">
        <v>1633</v>
      </c>
      <c r="BV98" s="72">
        <f t="shared" ref="BV98" ca="1" si="2248">($M98=BU98)*$D$13</f>
        <v>0</v>
      </c>
      <c r="BW98" s="63"/>
      <c r="BX98" s="73" t="s">
        <v>1633</v>
      </c>
      <c r="BY98" s="72">
        <f t="shared" ref="BY98" ca="1" si="2249">($M98=BX98)*$D$13</f>
        <v>0</v>
      </c>
      <c r="BZ98" s="63"/>
      <c r="CA98" s="816" t="s">
        <v>1633</v>
      </c>
      <c r="CB98" s="72">
        <f t="shared" ref="CB98" ca="1" si="2250">($M98=CA98)*$D$13</f>
        <v>0</v>
      </c>
      <c r="CC98" s="63"/>
      <c r="CD98" s="825" t="s">
        <v>1633</v>
      </c>
      <c r="CE98" s="72">
        <f t="shared" ref="CE98" ca="1" si="2251">($M98=CD98)*$D$13</f>
        <v>0</v>
      </c>
      <c r="CF98" s="63"/>
      <c r="CG98" s="796" t="s">
        <v>1633</v>
      </c>
      <c r="CH98" s="72">
        <f t="shared" ref="CH98" ca="1" si="2252">($M98=CG98)*$D$13</f>
        <v>0</v>
      </c>
      <c r="CI98" s="63"/>
      <c r="CJ98" s="796" t="s">
        <v>1633</v>
      </c>
      <c r="CK98" s="72">
        <f t="shared" ref="CK98" ca="1" si="2253">($M98=CJ98)*$D$13</f>
        <v>0</v>
      </c>
      <c r="CL98" s="63"/>
      <c r="CM98" s="796" t="s">
        <v>1633</v>
      </c>
      <c r="CN98" s="72">
        <f t="shared" ref="CN98" ca="1" si="2254">($M98=CM98)*$D$13</f>
        <v>0</v>
      </c>
      <c r="CO98" s="63"/>
      <c r="CP98" s="796" t="s">
        <v>1633</v>
      </c>
      <c r="CQ98" s="72">
        <f t="shared" ref="CQ98" ca="1" si="2255">($M98=CP98)*$D$13</f>
        <v>0</v>
      </c>
      <c r="CR98" s="63"/>
      <c r="CS98" s="796" t="s">
        <v>1633</v>
      </c>
      <c r="CT98" s="72">
        <f t="shared" ref="CT98" ca="1" si="2256">($M98=CS98)*$D$13</f>
        <v>0</v>
      </c>
      <c r="CU98" s="63"/>
      <c r="CV98" s="796" t="s">
        <v>1633</v>
      </c>
      <c r="CW98" s="72">
        <f t="shared" ref="CW98" ca="1" si="2257">($M98=CV98)*$D$13</f>
        <v>0</v>
      </c>
      <c r="CX98" s="63"/>
      <c r="CY98" s="796" t="s">
        <v>1633</v>
      </c>
      <c r="CZ98" s="72">
        <f t="shared" ref="CZ98" ca="1" si="2258">($M98=CY98)*$D$13</f>
        <v>0</v>
      </c>
      <c r="DA98" s="63"/>
      <c r="DB98" s="796" t="s">
        <v>1633</v>
      </c>
      <c r="DC98" s="72">
        <f t="shared" ref="DC98" ca="1" si="2259">($M98=DB98)*$D$13</f>
        <v>0</v>
      </c>
      <c r="DD98" s="63"/>
      <c r="DE98" s="796" t="s">
        <v>1261</v>
      </c>
      <c r="DF98" s="72">
        <f ca="1">($M98=DE98)*$D$13</f>
        <v>0</v>
      </c>
      <c r="DG98" s="63"/>
      <c r="DH98" s="796" t="s">
        <v>1633</v>
      </c>
      <c r="DI98" s="72">
        <f ca="1">($M98=DH98)*$D$13</f>
        <v>0</v>
      </c>
      <c r="DJ98" s="63"/>
      <c r="DK98" s="796" t="s">
        <v>1633</v>
      </c>
      <c r="DL98" s="72">
        <f ca="1">($M98=DK98)*$D$13</f>
        <v>0</v>
      </c>
      <c r="DM98" s="63"/>
      <c r="DN98" s="73"/>
      <c r="DO98" s="72">
        <f t="shared" ref="DO98" ca="1" si="2260">($M98=DN98)*$D$13</f>
        <v>0</v>
      </c>
      <c r="DP98" s="63"/>
      <c r="DQ98" s="796" t="s">
        <v>1633</v>
      </c>
      <c r="DR98" s="72">
        <f t="shared" ref="DR98" ca="1" si="2261">($M98=DQ98)*$D$13</f>
        <v>0</v>
      </c>
      <c r="DS98" s="63"/>
      <c r="DT98" s="73" t="s">
        <v>1633</v>
      </c>
      <c r="DU98" s="72">
        <f t="shared" ref="DU98" ca="1" si="2262">($M98=DT98)*$D$13</f>
        <v>0</v>
      </c>
      <c r="DV98" s="63"/>
      <c r="DW98" s="73"/>
      <c r="DX98" s="72">
        <f t="shared" ref="DX98" ca="1" si="2263">($M98=DW98)*$D$13</f>
        <v>0</v>
      </c>
      <c r="DY98" s="63"/>
      <c r="DZ98" s="73"/>
      <c r="EA98" s="72">
        <f ca="1">($M98=DZ98)*$D$13</f>
        <v>0</v>
      </c>
      <c r="EB98" s="63"/>
      <c r="EC98" s="73"/>
      <c r="ED98" s="72">
        <f t="shared" ref="ED98" ca="1" si="2264">($M98=EC98)*$D$13</f>
        <v>0</v>
      </c>
      <c r="EE98" s="63"/>
      <c r="EF98" s="73"/>
      <c r="EG98" s="72">
        <f t="shared" ref="EG98" ca="1" si="2265">($M98=EF98)*$D$13</f>
        <v>0</v>
      </c>
      <c r="EH98" s="63"/>
      <c r="EI98" s="73"/>
      <c r="EJ98" s="72">
        <f t="shared" ref="EJ98" ca="1" si="2266">($M98=EI98)*$D$13</f>
        <v>0</v>
      </c>
      <c r="EK98" s="63"/>
      <c r="EL98" s="73"/>
      <c r="EM98" s="72">
        <f t="shared" ref="EM98" ca="1" si="2267">($M98=EL98)*$D$13</f>
        <v>0</v>
      </c>
      <c r="EN98" s="63"/>
      <c r="EO98" s="73"/>
      <c r="EP98" s="72">
        <f t="shared" ref="EP98" ca="1" si="2268">($M98=EO98)*$D$13</f>
        <v>0</v>
      </c>
      <c r="EQ98" s="63"/>
      <c r="ER98" s="73"/>
      <c r="ES98" s="72">
        <f t="shared" ref="ES98" ca="1" si="2269">($M98=ER98)*$D$13</f>
        <v>0</v>
      </c>
      <c r="ET98" s="63"/>
      <c r="EU98" s="73"/>
      <c r="EV98" s="72">
        <f t="shared" ref="EV98" ca="1" si="2270">($M98=EU98)*$D$13</f>
        <v>0</v>
      </c>
      <c r="EW98" s="63"/>
      <c r="EX98" s="73"/>
      <c r="EY98" s="72">
        <f t="shared" ref="EY98" ca="1" si="2271">($M98=EX98)*$D$13</f>
        <v>0</v>
      </c>
      <c r="EZ98" s="63"/>
      <c r="FA98" s="73"/>
      <c r="FB98" s="72">
        <f t="shared" ref="FB98" ca="1" si="2272">($M98=FA98)*$D$13</f>
        <v>0</v>
      </c>
      <c r="FC98" s="63"/>
      <c r="FD98" s="73"/>
      <c r="FE98" s="72">
        <f t="shared" ref="FE98" ca="1" si="2273">($M98=FD98)*$D$13</f>
        <v>0</v>
      </c>
      <c r="FF98" s="63"/>
      <c r="FG98" s="73"/>
      <c r="FH98" s="72">
        <f t="shared" ref="FH98" ca="1" si="2274">($M98=FG98)*$D$13</f>
        <v>0</v>
      </c>
      <c r="FI98" s="63"/>
      <c r="FJ98" s="73"/>
      <c r="FK98" s="72">
        <f t="shared" ref="FK98" ca="1" si="2275">($M98=FJ98)*$D$13</f>
        <v>0</v>
      </c>
      <c r="FL98" s="63"/>
      <c r="FM98" s="73"/>
      <c r="FN98" s="72">
        <f t="shared" ref="FN98" ca="1" si="2276">($M98=FM98)*$D$13</f>
        <v>0</v>
      </c>
      <c r="FO98" s="63"/>
      <c r="FP98" s="73"/>
      <c r="FQ98" s="72">
        <f t="shared" ref="FQ98" ca="1" si="2277">($M98=FP98)*$D$13</f>
        <v>0</v>
      </c>
      <c r="FR98" s="63"/>
      <c r="FS98" s="73"/>
      <c r="FT98" s="72">
        <f t="shared" ref="FT98" ca="1" si="2278">($M98=FS98)*$D$13</f>
        <v>0</v>
      </c>
      <c r="FU98" s="63"/>
      <c r="FV98" s="73"/>
      <c r="FW98" s="72">
        <f t="shared" ref="FW98" ca="1" si="2279">($M98=FV98)*$D$13</f>
        <v>0</v>
      </c>
      <c r="FX98" s="63"/>
      <c r="FY98" s="73"/>
      <c r="FZ98" s="72">
        <f t="shared" ref="FZ98" ca="1" si="2280">($M98=FY98)*$D$13</f>
        <v>0</v>
      </c>
      <c r="GA98" s="63"/>
      <c r="GB98" s="73"/>
      <c r="GC98" s="72">
        <f t="shared" ref="GC98" ca="1" si="2281">($M98=GB98)*$D$13</f>
        <v>0</v>
      </c>
      <c r="GD98" s="63"/>
      <c r="GE98" s="73"/>
      <c r="GF98" s="72">
        <f t="shared" ref="GF98" ca="1" si="2282">($M98=GE98)*$D$13</f>
        <v>0</v>
      </c>
      <c r="GG98" s="63"/>
      <c r="GH98" s="73"/>
      <c r="GI98" s="72">
        <f t="shared" ref="GI98" ca="1" si="2283">($M98=GH98)*$D$13</f>
        <v>0</v>
      </c>
      <c r="GJ98" s="63"/>
      <c r="GK98" s="73"/>
      <c r="GL98" s="72">
        <f t="shared" ref="GL98" ca="1" si="2284">($M98=GK98)*$D$13</f>
        <v>0</v>
      </c>
      <c r="GM98" s="63"/>
      <c r="GN98" s="73"/>
      <c r="GO98" s="72">
        <f t="shared" ref="GO98" ca="1" si="2285">($M98=GN98)*$D$13</f>
        <v>0</v>
      </c>
      <c r="GP98" s="63"/>
      <c r="GQ98" s="73"/>
      <c r="GR98" s="72">
        <f t="shared" ref="GR98" ca="1" si="2286">($M98=GQ98)*$D$13</f>
        <v>0</v>
      </c>
      <c r="GS98" s="63"/>
      <c r="GT98" s="73"/>
      <c r="GU98" s="72">
        <f t="shared" ref="GU98" ca="1" si="2287">($M98=GT98)*$D$13</f>
        <v>0</v>
      </c>
      <c r="GV98" s="63"/>
      <c r="GW98" s="73"/>
      <c r="GX98" s="72">
        <f t="shared" ref="GX98" ca="1" si="2288">($M98=GW98)*$D$13</f>
        <v>0</v>
      </c>
      <c r="GY98" s="63"/>
      <c r="GZ98" s="73"/>
      <c r="HA98" s="72">
        <f t="shared" ref="HA98" ca="1" si="2289">($M98=GZ98)*$D$13</f>
        <v>0</v>
      </c>
      <c r="HB98" s="63"/>
      <c r="HC98" s="73"/>
      <c r="HD98" s="72">
        <f t="shared" ref="HD98" ca="1" si="2290">($M98=HC98)*$D$13</f>
        <v>0</v>
      </c>
      <c r="HE98" s="63"/>
      <c r="HF98" s="73"/>
      <c r="HG98" s="72">
        <f t="shared" ref="HG98" ca="1" si="2291">($M98=HF98)*$D$13</f>
        <v>0</v>
      </c>
      <c r="HH98" s="63"/>
      <c r="HI98" s="73"/>
      <c r="HJ98" s="72">
        <f t="shared" ref="HJ98" ca="1" si="2292">($M98=HI98)*$D$13</f>
        <v>0</v>
      </c>
      <c r="HK98" s="63"/>
      <c r="HL98" s="73"/>
      <c r="HM98" s="72">
        <f t="shared" ref="HM98" ca="1" si="2293">($M98=HL98)*$D$13</f>
        <v>0</v>
      </c>
      <c r="HN98" s="63"/>
      <c r="HO98" s="73"/>
      <c r="HP98" s="72">
        <f t="shared" ref="HP98" ca="1" si="2294">($M98=HO98)*$D$13</f>
        <v>0</v>
      </c>
      <c r="HQ98" s="63"/>
      <c r="HR98" s="73"/>
      <c r="HS98" s="72">
        <f t="shared" ref="HS98" ca="1" si="2295">($M98=HR98)*$D$13</f>
        <v>0</v>
      </c>
      <c r="HT98" s="63"/>
      <c r="HU98" s="73"/>
      <c r="HV98" s="72">
        <f t="shared" ref="HV98" ca="1" si="2296">($M98=HU98)*$D$13</f>
        <v>0</v>
      </c>
      <c r="HW98" s="63"/>
      <c r="HX98" s="73"/>
      <c r="HY98" s="72">
        <f t="shared" ref="HY98" ca="1" si="2297">($M98=HX98)*$D$13</f>
        <v>0</v>
      </c>
      <c r="HZ98" s="63"/>
      <c r="IA98" s="73"/>
      <c r="IB98" s="72">
        <f t="shared" ref="IB98" ca="1" si="2298">($M98=IA98)*$D$13</f>
        <v>0</v>
      </c>
      <c r="IC98" s="63"/>
      <c r="ID98" s="73"/>
      <c r="IE98" s="72">
        <f t="shared" ref="IE98" ca="1" si="2299">($M98=ID98)*$D$13</f>
        <v>0</v>
      </c>
      <c r="IF98" s="63"/>
      <c r="IG98" s="73"/>
      <c r="IH98" s="72">
        <f t="shared" ref="IH98" ca="1" si="2300">($M98=IG98)*$D$13</f>
        <v>0</v>
      </c>
      <c r="II98" s="63"/>
      <c r="IJ98" s="73"/>
      <c r="IK98" s="72">
        <f t="shared" ref="IK98" ca="1" si="2301">($M98=IJ98)*$D$13</f>
        <v>0</v>
      </c>
      <c r="IL98" s="63"/>
      <c r="IM98" s="73"/>
      <c r="IN98" s="72">
        <f t="shared" ref="IN98" ca="1" si="2302">($M98=IM98)*$D$13</f>
        <v>0</v>
      </c>
      <c r="IO98" s="63"/>
      <c r="IP98" s="73"/>
      <c r="IQ98" s="72">
        <f t="shared" ref="IQ98" ca="1" si="2303">($M98=IP98)*$D$13</f>
        <v>0</v>
      </c>
      <c r="IR98" s="63"/>
      <c r="IS98" s="73"/>
      <c r="IT98" s="72">
        <f t="shared" ref="IT98" ca="1" si="2304">($M98=IS98)*$D$13</f>
        <v>0</v>
      </c>
      <c r="IU98" s="63"/>
      <c r="IV98" s="73"/>
      <c r="IW98" s="72">
        <f t="shared" ref="IW98" ca="1" si="2305">($M98=IV98)*$D$13</f>
        <v>0</v>
      </c>
      <c r="IX98" s="63"/>
      <c r="IY98" s="73"/>
      <c r="IZ98" s="72">
        <f t="shared" ref="IZ98" ca="1" si="2306">($M98=IY98)*$D$13</f>
        <v>0</v>
      </c>
      <c r="JA98" s="63"/>
      <c r="JB98" s="73"/>
      <c r="JC98" s="72">
        <f t="shared" ref="JC98" ca="1" si="2307">($M98=JB98)*$D$13</f>
        <v>0</v>
      </c>
      <c r="JD98" s="63"/>
      <c r="JE98" s="73"/>
      <c r="JF98" s="72">
        <f t="shared" ref="JF98" ca="1" si="2308">($M98=JE98)*$D$13</f>
        <v>0</v>
      </c>
      <c r="JG98" s="63"/>
      <c r="JH98" s="73"/>
      <c r="JI98" s="72">
        <f t="shared" ref="JI98" ca="1" si="2309">($M98=JH98)*$D$13</f>
        <v>0</v>
      </c>
      <c r="JJ98" s="63"/>
      <c r="JK98" s="73"/>
      <c r="JL98" s="72">
        <f t="shared" ref="JL98" ca="1" si="2310">($M98=JK98)*$D$13</f>
        <v>0</v>
      </c>
      <c r="JM98" s="63"/>
      <c r="JN98" s="73"/>
      <c r="JO98" s="72">
        <f t="shared" ref="JO98" ca="1" si="2311">($M98=JN98)*$D$13</f>
        <v>0</v>
      </c>
      <c r="JP98" s="63"/>
      <c r="JQ98" s="73"/>
      <c r="JR98" s="72">
        <f t="shared" ref="JR98" ca="1" si="2312">($M98=JQ98)*$D$13</f>
        <v>0</v>
      </c>
      <c r="JS98" s="63"/>
      <c r="JT98" s="73"/>
      <c r="JU98" s="72">
        <f t="shared" ref="JU98" ca="1" si="2313">($M98=JT98)*$D$13</f>
        <v>0</v>
      </c>
      <c r="JV98" s="63"/>
      <c r="JW98" s="73"/>
      <c r="JX98" s="72">
        <f t="shared" ref="JX98" ca="1" si="2314">($M98=JW98)*$D$13</f>
        <v>0</v>
      </c>
      <c r="JY98" s="63"/>
      <c r="JZ98" s="73"/>
      <c r="KA98" s="72">
        <f t="shared" ref="KA98" ca="1" si="2315">($M98=JZ98)*$D$13</f>
        <v>0</v>
      </c>
      <c r="KB98" s="63"/>
      <c r="KC98" s="73"/>
      <c r="KD98" s="72">
        <f t="shared" ref="KD98" ca="1" si="2316">($M98=KC98)*$D$13</f>
        <v>0</v>
      </c>
      <c r="KE98" s="63"/>
      <c r="KF98" s="73"/>
      <c r="KG98" s="72">
        <f t="shared" ref="KG98" ca="1" si="2317">($M98=KF98)*$D$13</f>
        <v>0</v>
      </c>
      <c r="KH98" s="63"/>
      <c r="KI98" s="73"/>
      <c r="KJ98" s="72">
        <f t="shared" ref="KJ98" ca="1" si="2318">($M98=KI98)*$D$13</f>
        <v>0</v>
      </c>
      <c r="KK98" s="63"/>
      <c r="KL98" s="73"/>
      <c r="KM98" s="72">
        <f t="shared" ref="KM98" ca="1" si="2319">($M98=KL98)*$D$13</f>
        <v>0</v>
      </c>
      <c r="KN98" s="63"/>
      <c r="KO98" s="73"/>
      <c r="KP98" s="72">
        <f t="shared" ref="KP98" ca="1" si="2320">($M98=KO98)*$D$13</f>
        <v>0</v>
      </c>
      <c r="KQ98" s="63"/>
      <c r="KR98" s="73"/>
      <c r="KS98" s="72">
        <f t="shared" ref="KS98" ca="1" si="2321">($M98=KR98)*$D$13</f>
        <v>0</v>
      </c>
      <c r="KT98" s="63"/>
      <c r="KU98" s="73"/>
      <c r="KV98" s="72">
        <f t="shared" ref="KV98" ca="1" si="2322">($M98=KU98)*$D$13</f>
        <v>0</v>
      </c>
      <c r="KW98" s="63"/>
      <c r="KX98" s="73"/>
      <c r="KY98" s="72">
        <f t="shared" ref="KY98" ca="1" si="2323">($M98=KX98)*$D$13</f>
        <v>0</v>
      </c>
      <c r="KZ98" s="63"/>
      <c r="LA98" s="73"/>
      <c r="LB98" s="72">
        <f t="shared" ref="LB98" ca="1" si="2324">($M98=LA98)*$D$13</f>
        <v>0</v>
      </c>
      <c r="LC98" s="63"/>
      <c r="LD98" s="73"/>
      <c r="LE98" s="72">
        <f t="shared" ref="LE98" ca="1" si="2325">($M98=LD98)*$D$13</f>
        <v>0</v>
      </c>
      <c r="LF98" s="63"/>
    </row>
    <row r="99" spans="1:318" s="784" customFormat="1">
      <c r="A99" s="49"/>
      <c r="B99" s="49"/>
      <c r="C99" s="49"/>
      <c r="D99" s="49"/>
      <c r="E99" s="109"/>
      <c r="F99" s="125">
        <f t="shared" ref="F99" si="2326">$D$14</f>
        <v>20</v>
      </c>
      <c r="G99" s="443">
        <f ca="1">VLOOKUP(H99,Equipos!$Q$1:$R$25,2,0)</f>
        <v>15</v>
      </c>
      <c r="H99" s="444">
        <f ca="1">$H$62</f>
        <v>46198</v>
      </c>
      <c r="I99" s="50"/>
      <c r="J99" s="846"/>
      <c r="K99" s="56" t="str">
        <f>Idiomas!D169</f>
        <v>4º GRUPO E</v>
      </c>
      <c r="L99" s="53"/>
      <c r="M99" s="55" t="str">
        <f ca="1">IF(OR(SUM(WORLDCUP!$AN$38:$AN$41)=12,WORLDCUP!$AJ$99=144),WORLDCUP!AL41,LEFT(K99,1)&amp;RIGHT(K99,1))</f>
        <v>4E</v>
      </c>
      <c r="N99" s="25"/>
      <c r="O99" s="25"/>
      <c r="P99" s="25"/>
      <c r="Q99" s="25"/>
      <c r="R99" s="108"/>
      <c r="S99" s="796" t="s">
        <v>1726</v>
      </c>
      <c r="T99" s="72">
        <f t="shared" ref="T99" ca="1" si="2327">($M99=S99)*$D$14</f>
        <v>0</v>
      </c>
      <c r="U99" s="63"/>
      <c r="V99" s="73" t="s">
        <v>1726</v>
      </c>
      <c r="W99" s="72">
        <f t="shared" ref="W99" ca="1" si="2328">($M99=V99)*$D$14</f>
        <v>0</v>
      </c>
      <c r="X99" s="63"/>
      <c r="Y99" s="796" t="s">
        <v>1726</v>
      </c>
      <c r="Z99" s="72">
        <f t="shared" ref="Z99" ca="1" si="2329">($M99=Y99)*$D$14</f>
        <v>0</v>
      </c>
      <c r="AA99" s="63"/>
      <c r="AB99" s="796" t="s">
        <v>1726</v>
      </c>
      <c r="AC99" s="72">
        <f t="shared" ref="AC99" ca="1" si="2330">($M99=AB99)*$D$14</f>
        <v>0</v>
      </c>
      <c r="AD99" s="63"/>
      <c r="AE99" s="796" t="s">
        <v>1726</v>
      </c>
      <c r="AF99" s="72">
        <f t="shared" ref="AF99" ca="1" si="2331">($M99=AE99)*$D$14</f>
        <v>0</v>
      </c>
      <c r="AG99" s="63"/>
      <c r="AH99" s="796" t="s">
        <v>1726</v>
      </c>
      <c r="AI99" s="72">
        <f t="shared" ref="AI99" ca="1" si="2332">($M99=AH99)*$D$14</f>
        <v>0</v>
      </c>
      <c r="AJ99" s="63"/>
      <c r="AK99" s="806" t="s">
        <v>1726</v>
      </c>
      <c r="AL99" s="72">
        <f t="shared" ref="AL99" ca="1" si="2333">($M99=AK99)*$D$14</f>
        <v>0</v>
      </c>
      <c r="AM99" s="63"/>
      <c r="AN99" s="796" t="s">
        <v>1726</v>
      </c>
      <c r="AO99" s="72">
        <f t="shared" ref="AO99" ca="1" si="2334">($M99=AN99)*$D$14</f>
        <v>0</v>
      </c>
      <c r="AP99" s="63"/>
      <c r="AQ99" s="806" t="s">
        <v>1726</v>
      </c>
      <c r="AR99" s="72">
        <f t="shared" ref="AR99" ca="1" si="2335">($M99=AQ99)*$D$14</f>
        <v>0</v>
      </c>
      <c r="AS99" s="63"/>
      <c r="AT99" s="796" t="s">
        <v>1726</v>
      </c>
      <c r="AU99" s="72">
        <f t="shared" ref="AU99" ca="1" si="2336">($M99=AT99)*$D$14</f>
        <v>0</v>
      </c>
      <c r="AV99" s="63"/>
      <c r="AW99" s="796" t="s">
        <v>1726</v>
      </c>
      <c r="AX99" s="72">
        <f t="shared" ref="AX99" ca="1" si="2337">($M99=AW99)*$D$14</f>
        <v>0</v>
      </c>
      <c r="AY99" s="63"/>
      <c r="AZ99" s="796" t="s">
        <v>77</v>
      </c>
      <c r="BA99" s="72">
        <f t="shared" ref="BA99" ca="1" si="2338">($M99=AZ99)*$D$14</f>
        <v>0</v>
      </c>
      <c r="BB99" s="63"/>
      <c r="BC99" s="796" t="s">
        <v>1726</v>
      </c>
      <c r="BD99" s="72">
        <f t="shared" ref="BD99" ca="1" si="2339">($M99=BC99)*$D$14</f>
        <v>0</v>
      </c>
      <c r="BE99" s="63"/>
      <c r="BF99" s="796" t="s">
        <v>1726</v>
      </c>
      <c r="BG99" s="72">
        <f t="shared" ref="BG99" ca="1" si="2340">($M99=BF99)*$D$14</f>
        <v>0</v>
      </c>
      <c r="BH99" s="63"/>
      <c r="BI99" s="796" t="s">
        <v>1726</v>
      </c>
      <c r="BJ99" s="72">
        <f t="shared" ref="BJ99" ca="1" si="2341">($M99=BI99)*$D$14</f>
        <v>0</v>
      </c>
      <c r="BK99" s="63"/>
      <c r="BL99" s="796" t="s">
        <v>1726</v>
      </c>
      <c r="BM99" s="72">
        <f t="shared" ref="BM99" ca="1" si="2342">($M99=BL99)*$D$14</f>
        <v>0</v>
      </c>
      <c r="BN99" s="63"/>
      <c r="BO99" s="816" t="s">
        <v>1726</v>
      </c>
      <c r="BP99" s="72">
        <f t="shared" ref="BP99" ca="1" si="2343">($M99=BO99)*$D$14</f>
        <v>0</v>
      </c>
      <c r="BQ99" s="63"/>
      <c r="BR99" s="796" t="s">
        <v>1726</v>
      </c>
      <c r="BS99" s="72">
        <f t="shared" ref="BS99" ca="1" si="2344">($M99=BR99)*$D$14</f>
        <v>0</v>
      </c>
      <c r="BT99" s="63"/>
      <c r="BU99" s="796" t="s">
        <v>1726</v>
      </c>
      <c r="BV99" s="72">
        <f t="shared" ref="BV99" ca="1" si="2345">($M99=BU99)*$D$14</f>
        <v>0</v>
      </c>
      <c r="BW99" s="63"/>
      <c r="BX99" s="73" t="s">
        <v>1726</v>
      </c>
      <c r="BY99" s="72">
        <f t="shared" ref="BY99" ca="1" si="2346">($M99=BX99)*$D$14</f>
        <v>0</v>
      </c>
      <c r="BZ99" s="63"/>
      <c r="CA99" s="816" t="s">
        <v>1726</v>
      </c>
      <c r="CB99" s="72">
        <f t="shared" ref="CB99" ca="1" si="2347">($M99=CA99)*$D$14</f>
        <v>0</v>
      </c>
      <c r="CC99" s="63"/>
      <c r="CD99" s="825" t="s">
        <v>1726</v>
      </c>
      <c r="CE99" s="72">
        <f t="shared" ref="CE99" ca="1" si="2348">($M99=CD99)*$D$14</f>
        <v>0</v>
      </c>
      <c r="CF99" s="63"/>
      <c r="CG99" s="796" t="s">
        <v>1726</v>
      </c>
      <c r="CH99" s="72">
        <f t="shared" ref="CH99" ca="1" si="2349">($M99=CG99)*$D$14</f>
        <v>0</v>
      </c>
      <c r="CI99" s="63"/>
      <c r="CJ99" s="796" t="s">
        <v>1726</v>
      </c>
      <c r="CK99" s="72">
        <f t="shared" ref="CK99" ca="1" si="2350">($M99=CJ99)*$D$14</f>
        <v>0</v>
      </c>
      <c r="CL99" s="63"/>
      <c r="CM99" s="796" t="s">
        <v>1726</v>
      </c>
      <c r="CN99" s="72">
        <f t="shared" ref="CN99" ca="1" si="2351">($M99=CM99)*$D$14</f>
        <v>0</v>
      </c>
      <c r="CO99" s="63"/>
      <c r="CP99" s="796" t="s">
        <v>1726</v>
      </c>
      <c r="CQ99" s="72">
        <f t="shared" ref="CQ99" ca="1" si="2352">($M99=CP99)*$D$14</f>
        <v>0</v>
      </c>
      <c r="CR99" s="63"/>
      <c r="CS99" s="796" t="s">
        <v>1726</v>
      </c>
      <c r="CT99" s="72">
        <f t="shared" ref="CT99" ca="1" si="2353">($M99=CS99)*$D$14</f>
        <v>0</v>
      </c>
      <c r="CU99" s="63"/>
      <c r="CV99" s="796" t="s">
        <v>1726</v>
      </c>
      <c r="CW99" s="72">
        <f t="shared" ref="CW99" ca="1" si="2354">($M99=CV99)*$D$14</f>
        <v>0</v>
      </c>
      <c r="CX99" s="63"/>
      <c r="CY99" s="796" t="s">
        <v>1726</v>
      </c>
      <c r="CZ99" s="72">
        <f t="shared" ref="CZ99" ca="1" si="2355">($M99=CY99)*$D$14</f>
        <v>0</v>
      </c>
      <c r="DA99" s="63"/>
      <c r="DB99" s="796" t="s">
        <v>1726</v>
      </c>
      <c r="DC99" s="72">
        <f t="shared" ref="DC99" ca="1" si="2356">($M99=DB99)*$D$14</f>
        <v>0</v>
      </c>
      <c r="DD99" s="63"/>
      <c r="DE99" s="796" t="s">
        <v>1726</v>
      </c>
      <c r="DF99" s="72">
        <f ca="1">($M99=DE99)*$D$14</f>
        <v>0</v>
      </c>
      <c r="DG99" s="63"/>
      <c r="DH99" s="796" t="s">
        <v>1726</v>
      </c>
      <c r="DI99" s="72">
        <f ca="1">($M99=DH99)*$D$14</f>
        <v>0</v>
      </c>
      <c r="DJ99" s="63"/>
      <c r="DK99" s="796" t="s">
        <v>1726</v>
      </c>
      <c r="DL99" s="72">
        <f ca="1">($M99=DK99)*$D$14</f>
        <v>0</v>
      </c>
      <c r="DM99" s="63"/>
      <c r="DN99" s="73"/>
      <c r="DO99" s="72">
        <f t="shared" ref="DO99" ca="1" si="2357">($M99=DN99)*$D$14</f>
        <v>0</v>
      </c>
      <c r="DP99" s="63"/>
      <c r="DQ99" s="796" t="s">
        <v>1726</v>
      </c>
      <c r="DR99" s="72">
        <f t="shared" ref="DR99" ca="1" si="2358">($M99=DQ99)*$D$14</f>
        <v>0</v>
      </c>
      <c r="DS99" s="63"/>
      <c r="DT99" s="73" t="s">
        <v>1726</v>
      </c>
      <c r="DU99" s="72">
        <f t="shared" ref="DU99" ca="1" si="2359">($M99=DT99)*$D$14</f>
        <v>0</v>
      </c>
      <c r="DV99" s="63"/>
      <c r="DW99" s="73"/>
      <c r="DX99" s="72">
        <f t="shared" ref="DX99" ca="1" si="2360">($M99=DW99)*$D$14</f>
        <v>0</v>
      </c>
      <c r="DY99" s="63"/>
      <c r="DZ99" s="73"/>
      <c r="EA99" s="72">
        <f ca="1">($M99=DZ99)*$D$14</f>
        <v>0</v>
      </c>
      <c r="EB99" s="63"/>
      <c r="EC99" s="73"/>
      <c r="ED99" s="72">
        <f t="shared" ref="ED99" ca="1" si="2361">($M99=EC99)*$D$14</f>
        <v>0</v>
      </c>
      <c r="EE99" s="63"/>
      <c r="EF99" s="73"/>
      <c r="EG99" s="72">
        <f t="shared" ref="EG99" ca="1" si="2362">($M99=EF99)*$D$14</f>
        <v>0</v>
      </c>
      <c r="EH99" s="63"/>
      <c r="EI99" s="73"/>
      <c r="EJ99" s="72">
        <f t="shared" ref="EJ99" ca="1" si="2363">($M99=EI99)*$D$14</f>
        <v>0</v>
      </c>
      <c r="EK99" s="63"/>
      <c r="EL99" s="73"/>
      <c r="EM99" s="72">
        <f t="shared" ref="EM99" ca="1" si="2364">($M99=EL99)*$D$14</f>
        <v>0</v>
      </c>
      <c r="EN99" s="63"/>
      <c r="EO99" s="73"/>
      <c r="EP99" s="72">
        <f t="shared" ref="EP99" ca="1" si="2365">($M99=EO99)*$D$14</f>
        <v>0</v>
      </c>
      <c r="EQ99" s="63"/>
      <c r="ER99" s="73"/>
      <c r="ES99" s="72">
        <f t="shared" ref="ES99" ca="1" si="2366">($M99=ER99)*$D$14</f>
        <v>0</v>
      </c>
      <c r="ET99" s="63"/>
      <c r="EU99" s="73"/>
      <c r="EV99" s="72">
        <f t="shared" ref="EV99" ca="1" si="2367">($M99=EU99)*$D$14</f>
        <v>0</v>
      </c>
      <c r="EW99" s="63"/>
      <c r="EX99" s="73"/>
      <c r="EY99" s="72">
        <f t="shared" ref="EY99" ca="1" si="2368">($M99=EX99)*$D$14</f>
        <v>0</v>
      </c>
      <c r="EZ99" s="63"/>
      <c r="FA99" s="73"/>
      <c r="FB99" s="72">
        <f t="shared" ref="FB99" ca="1" si="2369">($M99=FA99)*$D$14</f>
        <v>0</v>
      </c>
      <c r="FC99" s="63"/>
      <c r="FD99" s="73"/>
      <c r="FE99" s="72">
        <f t="shared" ref="FE99" ca="1" si="2370">($M99=FD99)*$D$14</f>
        <v>0</v>
      </c>
      <c r="FF99" s="63"/>
      <c r="FG99" s="73"/>
      <c r="FH99" s="72">
        <f t="shared" ref="FH99" ca="1" si="2371">($M99=FG99)*$D$14</f>
        <v>0</v>
      </c>
      <c r="FI99" s="63"/>
      <c r="FJ99" s="73"/>
      <c r="FK99" s="72">
        <f t="shared" ref="FK99" ca="1" si="2372">($M99=FJ99)*$D$14</f>
        <v>0</v>
      </c>
      <c r="FL99" s="63"/>
      <c r="FM99" s="73"/>
      <c r="FN99" s="72">
        <f t="shared" ref="FN99" ca="1" si="2373">($M99=FM99)*$D$14</f>
        <v>0</v>
      </c>
      <c r="FO99" s="63"/>
      <c r="FP99" s="73"/>
      <c r="FQ99" s="72">
        <f t="shared" ref="FQ99" ca="1" si="2374">($M99=FP99)*$D$14</f>
        <v>0</v>
      </c>
      <c r="FR99" s="63"/>
      <c r="FS99" s="73"/>
      <c r="FT99" s="72">
        <f t="shared" ref="FT99" ca="1" si="2375">($M99=FS99)*$D$14</f>
        <v>0</v>
      </c>
      <c r="FU99" s="63"/>
      <c r="FV99" s="73"/>
      <c r="FW99" s="72">
        <f t="shared" ref="FW99" ca="1" si="2376">($M99=FV99)*$D$14</f>
        <v>0</v>
      </c>
      <c r="FX99" s="63"/>
      <c r="FY99" s="73"/>
      <c r="FZ99" s="72">
        <f t="shared" ref="FZ99" ca="1" si="2377">($M99=FY99)*$D$14</f>
        <v>0</v>
      </c>
      <c r="GA99" s="63"/>
      <c r="GB99" s="73"/>
      <c r="GC99" s="72">
        <f t="shared" ref="GC99" ca="1" si="2378">($M99=GB99)*$D$14</f>
        <v>0</v>
      </c>
      <c r="GD99" s="63"/>
      <c r="GE99" s="73"/>
      <c r="GF99" s="72">
        <f t="shared" ref="GF99" ca="1" si="2379">($M99=GE99)*$D$14</f>
        <v>0</v>
      </c>
      <c r="GG99" s="63"/>
      <c r="GH99" s="73"/>
      <c r="GI99" s="72">
        <f t="shared" ref="GI99" ca="1" si="2380">($M99=GH99)*$D$14</f>
        <v>0</v>
      </c>
      <c r="GJ99" s="63"/>
      <c r="GK99" s="73"/>
      <c r="GL99" s="72">
        <f t="shared" ref="GL99" ca="1" si="2381">($M99=GK99)*$D$14</f>
        <v>0</v>
      </c>
      <c r="GM99" s="63"/>
      <c r="GN99" s="73"/>
      <c r="GO99" s="72">
        <f t="shared" ref="GO99" ca="1" si="2382">($M99=GN99)*$D$14</f>
        <v>0</v>
      </c>
      <c r="GP99" s="63"/>
      <c r="GQ99" s="73"/>
      <c r="GR99" s="72">
        <f t="shared" ref="GR99" ca="1" si="2383">($M99=GQ99)*$D$14</f>
        <v>0</v>
      </c>
      <c r="GS99" s="63"/>
      <c r="GT99" s="73"/>
      <c r="GU99" s="72">
        <f t="shared" ref="GU99" ca="1" si="2384">($M99=GT99)*$D$14</f>
        <v>0</v>
      </c>
      <c r="GV99" s="63"/>
      <c r="GW99" s="73"/>
      <c r="GX99" s="72">
        <f t="shared" ref="GX99" ca="1" si="2385">($M99=GW99)*$D$14</f>
        <v>0</v>
      </c>
      <c r="GY99" s="63"/>
      <c r="GZ99" s="73"/>
      <c r="HA99" s="72">
        <f t="shared" ref="HA99" ca="1" si="2386">($M99=GZ99)*$D$14</f>
        <v>0</v>
      </c>
      <c r="HB99" s="63"/>
      <c r="HC99" s="73"/>
      <c r="HD99" s="72">
        <f t="shared" ref="HD99" ca="1" si="2387">($M99=HC99)*$D$14</f>
        <v>0</v>
      </c>
      <c r="HE99" s="63"/>
      <c r="HF99" s="73"/>
      <c r="HG99" s="72">
        <f t="shared" ref="HG99" ca="1" si="2388">($M99=HF99)*$D$14</f>
        <v>0</v>
      </c>
      <c r="HH99" s="63"/>
      <c r="HI99" s="73"/>
      <c r="HJ99" s="72">
        <f t="shared" ref="HJ99" ca="1" si="2389">($M99=HI99)*$D$14</f>
        <v>0</v>
      </c>
      <c r="HK99" s="63"/>
      <c r="HL99" s="73"/>
      <c r="HM99" s="72">
        <f t="shared" ref="HM99" ca="1" si="2390">($M99=HL99)*$D$14</f>
        <v>0</v>
      </c>
      <c r="HN99" s="63"/>
      <c r="HO99" s="73"/>
      <c r="HP99" s="72">
        <f t="shared" ref="HP99" ca="1" si="2391">($M99=HO99)*$D$14</f>
        <v>0</v>
      </c>
      <c r="HQ99" s="63"/>
      <c r="HR99" s="73"/>
      <c r="HS99" s="72">
        <f t="shared" ref="HS99" ca="1" si="2392">($M99=HR99)*$D$14</f>
        <v>0</v>
      </c>
      <c r="HT99" s="63"/>
      <c r="HU99" s="73"/>
      <c r="HV99" s="72">
        <f t="shared" ref="HV99" ca="1" si="2393">($M99=HU99)*$D$14</f>
        <v>0</v>
      </c>
      <c r="HW99" s="63"/>
      <c r="HX99" s="73"/>
      <c r="HY99" s="72">
        <f t="shared" ref="HY99" ca="1" si="2394">($M99=HX99)*$D$14</f>
        <v>0</v>
      </c>
      <c r="HZ99" s="63"/>
      <c r="IA99" s="73"/>
      <c r="IB99" s="72">
        <f t="shared" ref="IB99" ca="1" si="2395">($M99=IA99)*$D$14</f>
        <v>0</v>
      </c>
      <c r="IC99" s="63"/>
      <c r="ID99" s="73"/>
      <c r="IE99" s="72">
        <f t="shared" ref="IE99" ca="1" si="2396">($M99=ID99)*$D$14</f>
        <v>0</v>
      </c>
      <c r="IF99" s="63"/>
      <c r="IG99" s="73"/>
      <c r="IH99" s="72">
        <f t="shared" ref="IH99" ca="1" si="2397">($M99=IG99)*$D$14</f>
        <v>0</v>
      </c>
      <c r="II99" s="63"/>
      <c r="IJ99" s="73"/>
      <c r="IK99" s="72">
        <f t="shared" ref="IK99" ca="1" si="2398">($M99=IJ99)*$D$14</f>
        <v>0</v>
      </c>
      <c r="IL99" s="63"/>
      <c r="IM99" s="73"/>
      <c r="IN99" s="72">
        <f t="shared" ref="IN99" ca="1" si="2399">($M99=IM99)*$D$14</f>
        <v>0</v>
      </c>
      <c r="IO99" s="63"/>
      <c r="IP99" s="73"/>
      <c r="IQ99" s="72">
        <f t="shared" ref="IQ99" ca="1" si="2400">($M99=IP99)*$D$14</f>
        <v>0</v>
      </c>
      <c r="IR99" s="63"/>
      <c r="IS99" s="73"/>
      <c r="IT99" s="72">
        <f t="shared" ref="IT99" ca="1" si="2401">($M99=IS99)*$D$14</f>
        <v>0</v>
      </c>
      <c r="IU99" s="63"/>
      <c r="IV99" s="73"/>
      <c r="IW99" s="72">
        <f t="shared" ref="IW99" ca="1" si="2402">($M99=IV99)*$D$14</f>
        <v>0</v>
      </c>
      <c r="IX99" s="63"/>
      <c r="IY99" s="73"/>
      <c r="IZ99" s="72">
        <f t="shared" ref="IZ99" ca="1" si="2403">($M99=IY99)*$D$14</f>
        <v>0</v>
      </c>
      <c r="JA99" s="63"/>
      <c r="JB99" s="73"/>
      <c r="JC99" s="72">
        <f t="shared" ref="JC99" ca="1" si="2404">($M99=JB99)*$D$14</f>
        <v>0</v>
      </c>
      <c r="JD99" s="63"/>
      <c r="JE99" s="73"/>
      <c r="JF99" s="72">
        <f t="shared" ref="JF99" ca="1" si="2405">($M99=JE99)*$D$14</f>
        <v>0</v>
      </c>
      <c r="JG99" s="63"/>
      <c r="JH99" s="73"/>
      <c r="JI99" s="72">
        <f t="shared" ref="JI99" ca="1" si="2406">($M99=JH99)*$D$14</f>
        <v>0</v>
      </c>
      <c r="JJ99" s="63"/>
      <c r="JK99" s="73"/>
      <c r="JL99" s="72">
        <f t="shared" ref="JL99" ca="1" si="2407">($M99=JK99)*$D$14</f>
        <v>0</v>
      </c>
      <c r="JM99" s="63"/>
      <c r="JN99" s="73"/>
      <c r="JO99" s="72">
        <f t="shared" ref="JO99" ca="1" si="2408">($M99=JN99)*$D$14</f>
        <v>0</v>
      </c>
      <c r="JP99" s="63"/>
      <c r="JQ99" s="73"/>
      <c r="JR99" s="72">
        <f t="shared" ref="JR99" ca="1" si="2409">($M99=JQ99)*$D$14</f>
        <v>0</v>
      </c>
      <c r="JS99" s="63"/>
      <c r="JT99" s="73"/>
      <c r="JU99" s="72">
        <f t="shared" ref="JU99" ca="1" si="2410">($M99=JT99)*$D$14</f>
        <v>0</v>
      </c>
      <c r="JV99" s="63"/>
      <c r="JW99" s="73"/>
      <c r="JX99" s="72">
        <f t="shared" ref="JX99" ca="1" si="2411">($M99=JW99)*$D$14</f>
        <v>0</v>
      </c>
      <c r="JY99" s="63"/>
      <c r="JZ99" s="73"/>
      <c r="KA99" s="72">
        <f t="shared" ref="KA99" ca="1" si="2412">($M99=JZ99)*$D$14</f>
        <v>0</v>
      </c>
      <c r="KB99" s="63"/>
      <c r="KC99" s="73"/>
      <c r="KD99" s="72">
        <f t="shared" ref="KD99" ca="1" si="2413">($M99=KC99)*$D$14</f>
        <v>0</v>
      </c>
      <c r="KE99" s="63"/>
      <c r="KF99" s="73"/>
      <c r="KG99" s="72">
        <f t="shared" ref="KG99" ca="1" si="2414">($M99=KF99)*$D$14</f>
        <v>0</v>
      </c>
      <c r="KH99" s="63"/>
      <c r="KI99" s="73"/>
      <c r="KJ99" s="72">
        <f t="shared" ref="KJ99" ca="1" si="2415">($M99=KI99)*$D$14</f>
        <v>0</v>
      </c>
      <c r="KK99" s="63"/>
      <c r="KL99" s="73"/>
      <c r="KM99" s="72">
        <f t="shared" ref="KM99" ca="1" si="2416">($M99=KL99)*$D$14</f>
        <v>0</v>
      </c>
      <c r="KN99" s="63"/>
      <c r="KO99" s="73"/>
      <c r="KP99" s="72">
        <f t="shared" ref="KP99" ca="1" si="2417">($M99=KO99)*$D$14</f>
        <v>0</v>
      </c>
      <c r="KQ99" s="63"/>
      <c r="KR99" s="73"/>
      <c r="KS99" s="72">
        <f t="shared" ref="KS99" ca="1" si="2418">($M99=KR99)*$D$14</f>
        <v>0</v>
      </c>
      <c r="KT99" s="63"/>
      <c r="KU99" s="73"/>
      <c r="KV99" s="72">
        <f t="shared" ref="KV99" ca="1" si="2419">($M99=KU99)*$D$14</f>
        <v>0</v>
      </c>
      <c r="KW99" s="63"/>
      <c r="KX99" s="73"/>
      <c r="KY99" s="72">
        <f t="shared" ref="KY99" ca="1" si="2420">($M99=KX99)*$D$14</f>
        <v>0</v>
      </c>
      <c r="KZ99" s="63"/>
      <c r="LA99" s="73"/>
      <c r="LB99" s="72">
        <f t="shared" ref="LB99" ca="1" si="2421">($M99=LA99)*$D$14</f>
        <v>0</v>
      </c>
      <c r="LC99" s="63"/>
      <c r="LD99" s="73"/>
      <c r="LE99" s="72">
        <f t="shared" ref="LE99" ca="1" si="2422">($M99=LD99)*$D$14</f>
        <v>0</v>
      </c>
      <c r="LF99" s="63"/>
    </row>
    <row r="100" spans="1:318" s="784" customFormat="1">
      <c r="A100" s="49"/>
      <c r="B100" s="49"/>
      <c r="C100" s="49"/>
      <c r="D100" s="49"/>
      <c r="E100" s="109"/>
      <c r="F100" s="125">
        <f t="shared" ref="F100" si="2423">$D$11</f>
        <v>20</v>
      </c>
      <c r="G100" s="443">
        <f ca="1">VLOOKUP(H100,Equipos!$Q$1:$R$25,2,0)</f>
        <v>15</v>
      </c>
      <c r="H100" s="444">
        <f ca="1">$H$64</f>
        <v>46198</v>
      </c>
      <c r="I100" s="50"/>
      <c r="J100" s="845" t="s">
        <v>4</v>
      </c>
      <c r="K100" s="56" t="str">
        <f>Idiomas!D170</f>
        <v>1º GRUPO F</v>
      </c>
      <c r="L100" s="53"/>
      <c r="M100" s="55" t="str">
        <f ca="1">IF(OR(SUM(WORLDCUP!$AN$46:$AN$49)=12,WORLDCUP!$AJ$99=144),WORLDCUP!AL46,LEFT(K100,1)&amp;RIGHT(K100,1))</f>
        <v>1F</v>
      </c>
      <c r="N100" s="25"/>
      <c r="O100" s="25"/>
      <c r="P100" s="25"/>
      <c r="Q100" s="25"/>
      <c r="R100" s="108"/>
      <c r="S100" s="796" t="s">
        <v>111</v>
      </c>
      <c r="T100" s="72">
        <f t="shared" ref="T100" ca="1" si="2424">($M100=S100)*$D$11</f>
        <v>0</v>
      </c>
      <c r="U100" s="63"/>
      <c r="V100" s="73" t="s">
        <v>111</v>
      </c>
      <c r="W100" s="72">
        <f t="shared" ref="W100" ca="1" si="2425">($M100=V100)*$D$11</f>
        <v>0</v>
      </c>
      <c r="X100" s="63"/>
      <c r="Y100" s="796" t="s">
        <v>111</v>
      </c>
      <c r="Z100" s="72">
        <f t="shared" ref="Z100" ca="1" si="2426">($M100=Y100)*$D$11</f>
        <v>0</v>
      </c>
      <c r="AA100" s="63"/>
      <c r="AB100" s="796" t="s">
        <v>111</v>
      </c>
      <c r="AC100" s="72">
        <f t="shared" ref="AC100" ca="1" si="2427">($M100=AB100)*$D$11</f>
        <v>0</v>
      </c>
      <c r="AD100" s="63"/>
      <c r="AE100" s="796" t="s">
        <v>111</v>
      </c>
      <c r="AF100" s="72">
        <f t="shared" ref="AF100" ca="1" si="2428">($M100=AE100)*$D$11</f>
        <v>0</v>
      </c>
      <c r="AG100" s="63"/>
      <c r="AH100" s="796" t="s">
        <v>111</v>
      </c>
      <c r="AI100" s="72">
        <f t="shared" ref="AI100" ca="1" si="2429">($M100=AH100)*$D$11</f>
        <v>0</v>
      </c>
      <c r="AJ100" s="63"/>
      <c r="AK100" s="806" t="s">
        <v>111</v>
      </c>
      <c r="AL100" s="72">
        <f t="shared" ref="AL100" ca="1" si="2430">($M100=AK100)*$D$11</f>
        <v>0</v>
      </c>
      <c r="AM100" s="63"/>
      <c r="AN100" s="796" t="s">
        <v>111</v>
      </c>
      <c r="AO100" s="72">
        <f t="shared" ref="AO100" ca="1" si="2431">($M100=AN100)*$D$11</f>
        <v>0</v>
      </c>
      <c r="AP100" s="63"/>
      <c r="AQ100" s="806" t="s">
        <v>111</v>
      </c>
      <c r="AR100" s="72">
        <f t="shared" ref="AR100" ca="1" si="2432">($M100=AQ100)*$D$11</f>
        <v>0</v>
      </c>
      <c r="AS100" s="63"/>
      <c r="AT100" s="796" t="s">
        <v>111</v>
      </c>
      <c r="AU100" s="72">
        <f t="shared" ref="AU100" ca="1" si="2433">($M100=AT100)*$D$11</f>
        <v>0</v>
      </c>
      <c r="AV100" s="63"/>
      <c r="AW100" s="796" t="s">
        <v>111</v>
      </c>
      <c r="AX100" s="72">
        <f t="shared" ref="AX100" ca="1" si="2434">($M100=AW100)*$D$11</f>
        <v>0</v>
      </c>
      <c r="AY100" s="63"/>
      <c r="AZ100" s="796" t="s">
        <v>1322</v>
      </c>
      <c r="BA100" s="72">
        <f t="shared" ref="BA100" ca="1" si="2435">($M100=AZ100)*$D$11</f>
        <v>0</v>
      </c>
      <c r="BB100" s="63"/>
      <c r="BC100" s="796" t="s">
        <v>111</v>
      </c>
      <c r="BD100" s="72">
        <f t="shared" ref="BD100" ca="1" si="2436">($M100=BC100)*$D$11</f>
        <v>0</v>
      </c>
      <c r="BE100" s="63"/>
      <c r="BF100" s="796" t="s">
        <v>111</v>
      </c>
      <c r="BG100" s="72">
        <f t="shared" ref="BG100" ca="1" si="2437">($M100=BF100)*$D$11</f>
        <v>0</v>
      </c>
      <c r="BH100" s="63"/>
      <c r="BI100" s="796" t="s">
        <v>1263</v>
      </c>
      <c r="BJ100" s="72">
        <f t="shared" ref="BJ100" ca="1" si="2438">($M100=BI100)*$D$11</f>
        <v>0</v>
      </c>
      <c r="BK100" s="63"/>
      <c r="BL100" s="796" t="s">
        <v>111</v>
      </c>
      <c r="BM100" s="72">
        <f t="shared" ref="BM100" ca="1" si="2439">($M100=BL100)*$D$11</f>
        <v>0</v>
      </c>
      <c r="BN100" s="63"/>
      <c r="BO100" s="816" t="s">
        <v>111</v>
      </c>
      <c r="BP100" s="72">
        <f t="shared" ref="BP100" ca="1" si="2440">($M100=BO100)*$D$11</f>
        <v>0</v>
      </c>
      <c r="BQ100" s="63"/>
      <c r="BR100" s="796" t="s">
        <v>111</v>
      </c>
      <c r="BS100" s="72">
        <f t="shared" ref="BS100" ca="1" si="2441">($M100=BR100)*$D$11</f>
        <v>0</v>
      </c>
      <c r="BT100" s="63"/>
      <c r="BU100" s="796" t="s">
        <v>1263</v>
      </c>
      <c r="BV100" s="72">
        <f t="shared" ref="BV100" ca="1" si="2442">($M100=BU100)*$D$11</f>
        <v>0</v>
      </c>
      <c r="BW100" s="63"/>
      <c r="BX100" s="73" t="s">
        <v>111</v>
      </c>
      <c r="BY100" s="72">
        <f t="shared" ref="BY100" ca="1" si="2443">($M100=BX100)*$D$11</f>
        <v>0</v>
      </c>
      <c r="BZ100" s="63"/>
      <c r="CA100" s="816" t="s">
        <v>111</v>
      </c>
      <c r="CB100" s="72">
        <f t="shared" ref="CB100" ca="1" si="2444">($M100=CA100)*$D$11</f>
        <v>0</v>
      </c>
      <c r="CC100" s="63"/>
      <c r="CD100" s="825" t="s">
        <v>111</v>
      </c>
      <c r="CE100" s="72">
        <f t="shared" ref="CE100" ca="1" si="2445">($M100=CD100)*$D$11</f>
        <v>0</v>
      </c>
      <c r="CF100" s="63"/>
      <c r="CG100" s="796" t="s">
        <v>111</v>
      </c>
      <c r="CH100" s="72">
        <f t="shared" ref="CH100" ca="1" si="2446">($M100=CG100)*$D$11</f>
        <v>0</v>
      </c>
      <c r="CI100" s="63"/>
      <c r="CJ100" s="796" t="s">
        <v>111</v>
      </c>
      <c r="CK100" s="72">
        <f t="shared" ref="CK100" ca="1" si="2447">($M100=CJ100)*$D$11</f>
        <v>0</v>
      </c>
      <c r="CL100" s="63"/>
      <c r="CM100" s="796" t="s">
        <v>111</v>
      </c>
      <c r="CN100" s="72">
        <f t="shared" ref="CN100" ca="1" si="2448">($M100=CM100)*$D$11</f>
        <v>0</v>
      </c>
      <c r="CO100" s="63"/>
      <c r="CP100" s="796" t="s">
        <v>1263</v>
      </c>
      <c r="CQ100" s="72">
        <f t="shared" ref="CQ100" ca="1" si="2449">($M100=CP100)*$D$11</f>
        <v>0</v>
      </c>
      <c r="CR100" s="63"/>
      <c r="CS100" s="796" t="s">
        <v>1263</v>
      </c>
      <c r="CT100" s="72">
        <f t="shared" ref="CT100" ca="1" si="2450">($M100=CS100)*$D$11</f>
        <v>0</v>
      </c>
      <c r="CU100" s="63"/>
      <c r="CV100" s="796" t="s">
        <v>1263</v>
      </c>
      <c r="CW100" s="72">
        <f t="shared" ref="CW100" ca="1" si="2451">($M100=CV100)*$D$11</f>
        <v>0</v>
      </c>
      <c r="CX100" s="63"/>
      <c r="CY100" s="796" t="s">
        <v>111</v>
      </c>
      <c r="CZ100" s="72">
        <f t="shared" ref="CZ100" ca="1" si="2452">($M100=CY100)*$D$11</f>
        <v>0</v>
      </c>
      <c r="DA100" s="63"/>
      <c r="DB100" s="796" t="s">
        <v>1263</v>
      </c>
      <c r="DC100" s="72">
        <f t="shared" ref="DC100" ca="1" si="2453">($M100=DB100)*$D$11</f>
        <v>0</v>
      </c>
      <c r="DD100" s="63"/>
      <c r="DE100" s="796" t="s">
        <v>1263</v>
      </c>
      <c r="DF100" s="72">
        <f ca="1">($M100=DE100)*$D$11</f>
        <v>0</v>
      </c>
      <c r="DG100" s="63"/>
      <c r="DH100" s="796" t="s">
        <v>111</v>
      </c>
      <c r="DI100" s="72">
        <f ca="1">($M100=DH100)*$D$11</f>
        <v>0</v>
      </c>
      <c r="DJ100" s="63"/>
      <c r="DK100" s="796" t="s">
        <v>111</v>
      </c>
      <c r="DL100" s="72">
        <f ca="1">($M100=DK100)*$D$11</f>
        <v>0</v>
      </c>
      <c r="DM100" s="63"/>
      <c r="DN100" s="73"/>
      <c r="DO100" s="72">
        <f t="shared" ref="DO100" ca="1" si="2454">($M100=DN100)*$D$11</f>
        <v>0</v>
      </c>
      <c r="DP100" s="63"/>
      <c r="DQ100" s="796" t="s">
        <v>111</v>
      </c>
      <c r="DR100" s="72">
        <f t="shared" ref="DR100" ca="1" si="2455">($M100=DQ100)*$D$11</f>
        <v>0</v>
      </c>
      <c r="DS100" s="63"/>
      <c r="DT100" s="73" t="s">
        <v>111</v>
      </c>
      <c r="DU100" s="72">
        <f t="shared" ref="DU100" ca="1" si="2456">($M100=DT100)*$D$11</f>
        <v>0</v>
      </c>
      <c r="DV100" s="63"/>
      <c r="DW100" s="73"/>
      <c r="DX100" s="72">
        <f t="shared" ref="DX100" ca="1" si="2457">($M100=DW100)*$D$11</f>
        <v>0</v>
      </c>
      <c r="DY100" s="63"/>
      <c r="DZ100" s="73"/>
      <c r="EA100" s="72">
        <f ca="1">($M100=DZ100)*$D$11</f>
        <v>0</v>
      </c>
      <c r="EB100" s="63"/>
      <c r="EC100" s="73"/>
      <c r="ED100" s="72">
        <f t="shared" ref="ED100" ca="1" si="2458">($M100=EC100)*$D$11</f>
        <v>0</v>
      </c>
      <c r="EE100" s="63"/>
      <c r="EF100" s="73"/>
      <c r="EG100" s="72">
        <f t="shared" ref="EG100" ca="1" si="2459">($M100=EF100)*$D$11</f>
        <v>0</v>
      </c>
      <c r="EH100" s="63"/>
      <c r="EI100" s="73"/>
      <c r="EJ100" s="72">
        <f t="shared" ref="EJ100" ca="1" si="2460">($M100=EI100)*$D$11</f>
        <v>0</v>
      </c>
      <c r="EK100" s="63"/>
      <c r="EL100" s="73"/>
      <c r="EM100" s="72">
        <f t="shared" ref="EM100" ca="1" si="2461">($M100=EL100)*$D$11</f>
        <v>0</v>
      </c>
      <c r="EN100" s="63"/>
      <c r="EO100" s="73"/>
      <c r="EP100" s="72">
        <f t="shared" ref="EP100" ca="1" si="2462">($M100=EO100)*$D$11</f>
        <v>0</v>
      </c>
      <c r="EQ100" s="63"/>
      <c r="ER100" s="73"/>
      <c r="ES100" s="72">
        <f t="shared" ref="ES100" ca="1" si="2463">($M100=ER100)*$D$11</f>
        <v>0</v>
      </c>
      <c r="ET100" s="63"/>
      <c r="EU100" s="73"/>
      <c r="EV100" s="72">
        <f t="shared" ref="EV100" ca="1" si="2464">($M100=EU100)*$D$11</f>
        <v>0</v>
      </c>
      <c r="EW100" s="63"/>
      <c r="EX100" s="73"/>
      <c r="EY100" s="72">
        <f t="shared" ref="EY100" ca="1" si="2465">($M100=EX100)*$D$11</f>
        <v>0</v>
      </c>
      <c r="EZ100" s="63"/>
      <c r="FA100" s="73"/>
      <c r="FB100" s="72">
        <f t="shared" ref="FB100" ca="1" si="2466">($M100=FA100)*$D$11</f>
        <v>0</v>
      </c>
      <c r="FC100" s="63"/>
      <c r="FD100" s="73"/>
      <c r="FE100" s="72">
        <f t="shared" ref="FE100" ca="1" si="2467">($M100=FD100)*$D$11</f>
        <v>0</v>
      </c>
      <c r="FF100" s="63"/>
      <c r="FG100" s="73"/>
      <c r="FH100" s="72">
        <f t="shared" ref="FH100" ca="1" si="2468">($M100=FG100)*$D$11</f>
        <v>0</v>
      </c>
      <c r="FI100" s="63"/>
      <c r="FJ100" s="73"/>
      <c r="FK100" s="72">
        <f t="shared" ref="FK100" ca="1" si="2469">($M100=FJ100)*$D$11</f>
        <v>0</v>
      </c>
      <c r="FL100" s="63"/>
      <c r="FM100" s="73"/>
      <c r="FN100" s="72">
        <f t="shared" ref="FN100" ca="1" si="2470">($M100=FM100)*$D$11</f>
        <v>0</v>
      </c>
      <c r="FO100" s="63"/>
      <c r="FP100" s="73"/>
      <c r="FQ100" s="72">
        <f t="shared" ref="FQ100" ca="1" si="2471">($M100=FP100)*$D$11</f>
        <v>0</v>
      </c>
      <c r="FR100" s="63"/>
      <c r="FS100" s="73"/>
      <c r="FT100" s="72">
        <f t="shared" ref="FT100" ca="1" si="2472">($M100=FS100)*$D$11</f>
        <v>0</v>
      </c>
      <c r="FU100" s="63"/>
      <c r="FV100" s="73"/>
      <c r="FW100" s="72">
        <f t="shared" ref="FW100" ca="1" si="2473">($M100=FV100)*$D$11</f>
        <v>0</v>
      </c>
      <c r="FX100" s="63"/>
      <c r="FY100" s="73"/>
      <c r="FZ100" s="72">
        <f t="shared" ref="FZ100" ca="1" si="2474">($M100=FY100)*$D$11</f>
        <v>0</v>
      </c>
      <c r="GA100" s="63"/>
      <c r="GB100" s="73"/>
      <c r="GC100" s="72">
        <f t="shared" ref="GC100" ca="1" si="2475">($M100=GB100)*$D$11</f>
        <v>0</v>
      </c>
      <c r="GD100" s="63"/>
      <c r="GE100" s="73"/>
      <c r="GF100" s="72">
        <f t="shared" ref="GF100" ca="1" si="2476">($M100=GE100)*$D$11</f>
        <v>0</v>
      </c>
      <c r="GG100" s="63"/>
      <c r="GH100" s="73"/>
      <c r="GI100" s="72">
        <f t="shared" ref="GI100" ca="1" si="2477">($M100=GH100)*$D$11</f>
        <v>0</v>
      </c>
      <c r="GJ100" s="63"/>
      <c r="GK100" s="73"/>
      <c r="GL100" s="72">
        <f t="shared" ref="GL100" ca="1" si="2478">($M100=GK100)*$D$11</f>
        <v>0</v>
      </c>
      <c r="GM100" s="63"/>
      <c r="GN100" s="73"/>
      <c r="GO100" s="72">
        <f t="shared" ref="GO100" ca="1" si="2479">($M100=GN100)*$D$11</f>
        <v>0</v>
      </c>
      <c r="GP100" s="63"/>
      <c r="GQ100" s="73"/>
      <c r="GR100" s="72">
        <f t="shared" ref="GR100" ca="1" si="2480">($M100=GQ100)*$D$11</f>
        <v>0</v>
      </c>
      <c r="GS100" s="63"/>
      <c r="GT100" s="73"/>
      <c r="GU100" s="72">
        <f t="shared" ref="GU100" ca="1" si="2481">($M100=GT100)*$D$11</f>
        <v>0</v>
      </c>
      <c r="GV100" s="63"/>
      <c r="GW100" s="73"/>
      <c r="GX100" s="72">
        <f t="shared" ref="GX100" ca="1" si="2482">($M100=GW100)*$D$11</f>
        <v>0</v>
      </c>
      <c r="GY100" s="63"/>
      <c r="GZ100" s="73"/>
      <c r="HA100" s="72">
        <f t="shared" ref="HA100" ca="1" si="2483">($M100=GZ100)*$D$11</f>
        <v>0</v>
      </c>
      <c r="HB100" s="63"/>
      <c r="HC100" s="73"/>
      <c r="HD100" s="72">
        <f t="shared" ref="HD100" ca="1" si="2484">($M100=HC100)*$D$11</f>
        <v>0</v>
      </c>
      <c r="HE100" s="63"/>
      <c r="HF100" s="73"/>
      <c r="HG100" s="72">
        <f t="shared" ref="HG100" ca="1" si="2485">($M100=HF100)*$D$11</f>
        <v>0</v>
      </c>
      <c r="HH100" s="63"/>
      <c r="HI100" s="73"/>
      <c r="HJ100" s="72">
        <f t="shared" ref="HJ100" ca="1" si="2486">($M100=HI100)*$D$11</f>
        <v>0</v>
      </c>
      <c r="HK100" s="63"/>
      <c r="HL100" s="73"/>
      <c r="HM100" s="72">
        <f t="shared" ref="HM100" ca="1" si="2487">($M100=HL100)*$D$11</f>
        <v>0</v>
      </c>
      <c r="HN100" s="63"/>
      <c r="HO100" s="73"/>
      <c r="HP100" s="72">
        <f t="shared" ref="HP100" ca="1" si="2488">($M100=HO100)*$D$11</f>
        <v>0</v>
      </c>
      <c r="HQ100" s="63"/>
      <c r="HR100" s="73"/>
      <c r="HS100" s="72">
        <f t="shared" ref="HS100" ca="1" si="2489">($M100=HR100)*$D$11</f>
        <v>0</v>
      </c>
      <c r="HT100" s="63"/>
      <c r="HU100" s="73"/>
      <c r="HV100" s="72">
        <f t="shared" ref="HV100" ca="1" si="2490">($M100=HU100)*$D$11</f>
        <v>0</v>
      </c>
      <c r="HW100" s="63"/>
      <c r="HX100" s="73"/>
      <c r="HY100" s="72">
        <f t="shared" ref="HY100" ca="1" si="2491">($M100=HX100)*$D$11</f>
        <v>0</v>
      </c>
      <c r="HZ100" s="63"/>
      <c r="IA100" s="73"/>
      <c r="IB100" s="72">
        <f t="shared" ref="IB100" ca="1" si="2492">($M100=IA100)*$D$11</f>
        <v>0</v>
      </c>
      <c r="IC100" s="63"/>
      <c r="ID100" s="73"/>
      <c r="IE100" s="72">
        <f t="shared" ref="IE100" ca="1" si="2493">($M100=ID100)*$D$11</f>
        <v>0</v>
      </c>
      <c r="IF100" s="63"/>
      <c r="IG100" s="73"/>
      <c r="IH100" s="72">
        <f t="shared" ref="IH100" ca="1" si="2494">($M100=IG100)*$D$11</f>
        <v>0</v>
      </c>
      <c r="II100" s="63"/>
      <c r="IJ100" s="73"/>
      <c r="IK100" s="72">
        <f t="shared" ref="IK100" ca="1" si="2495">($M100=IJ100)*$D$11</f>
        <v>0</v>
      </c>
      <c r="IL100" s="63"/>
      <c r="IM100" s="73"/>
      <c r="IN100" s="72">
        <f t="shared" ref="IN100" ca="1" si="2496">($M100=IM100)*$D$11</f>
        <v>0</v>
      </c>
      <c r="IO100" s="63"/>
      <c r="IP100" s="73"/>
      <c r="IQ100" s="72">
        <f t="shared" ref="IQ100" ca="1" si="2497">($M100=IP100)*$D$11</f>
        <v>0</v>
      </c>
      <c r="IR100" s="63"/>
      <c r="IS100" s="73"/>
      <c r="IT100" s="72">
        <f t="shared" ref="IT100" ca="1" si="2498">($M100=IS100)*$D$11</f>
        <v>0</v>
      </c>
      <c r="IU100" s="63"/>
      <c r="IV100" s="73"/>
      <c r="IW100" s="72">
        <f t="shared" ref="IW100" ca="1" si="2499">($M100=IV100)*$D$11</f>
        <v>0</v>
      </c>
      <c r="IX100" s="63"/>
      <c r="IY100" s="73"/>
      <c r="IZ100" s="72">
        <f t="shared" ref="IZ100" ca="1" si="2500">($M100=IY100)*$D$11</f>
        <v>0</v>
      </c>
      <c r="JA100" s="63"/>
      <c r="JB100" s="73"/>
      <c r="JC100" s="72">
        <f t="shared" ref="JC100" ca="1" si="2501">($M100=JB100)*$D$11</f>
        <v>0</v>
      </c>
      <c r="JD100" s="63"/>
      <c r="JE100" s="73"/>
      <c r="JF100" s="72">
        <f t="shared" ref="JF100" ca="1" si="2502">($M100=JE100)*$D$11</f>
        <v>0</v>
      </c>
      <c r="JG100" s="63"/>
      <c r="JH100" s="73"/>
      <c r="JI100" s="72">
        <f t="shared" ref="JI100" ca="1" si="2503">($M100=JH100)*$D$11</f>
        <v>0</v>
      </c>
      <c r="JJ100" s="63"/>
      <c r="JK100" s="73"/>
      <c r="JL100" s="72">
        <f t="shared" ref="JL100" ca="1" si="2504">($M100=JK100)*$D$11</f>
        <v>0</v>
      </c>
      <c r="JM100" s="63"/>
      <c r="JN100" s="73"/>
      <c r="JO100" s="72">
        <f t="shared" ref="JO100" ca="1" si="2505">($M100=JN100)*$D$11</f>
        <v>0</v>
      </c>
      <c r="JP100" s="63"/>
      <c r="JQ100" s="73"/>
      <c r="JR100" s="72">
        <f t="shared" ref="JR100" ca="1" si="2506">($M100=JQ100)*$D$11</f>
        <v>0</v>
      </c>
      <c r="JS100" s="63"/>
      <c r="JT100" s="73"/>
      <c r="JU100" s="72">
        <f t="shared" ref="JU100" ca="1" si="2507">($M100=JT100)*$D$11</f>
        <v>0</v>
      </c>
      <c r="JV100" s="63"/>
      <c r="JW100" s="73"/>
      <c r="JX100" s="72">
        <f t="shared" ref="JX100" ca="1" si="2508">($M100=JW100)*$D$11</f>
        <v>0</v>
      </c>
      <c r="JY100" s="63"/>
      <c r="JZ100" s="73"/>
      <c r="KA100" s="72">
        <f t="shared" ref="KA100" ca="1" si="2509">($M100=JZ100)*$D$11</f>
        <v>0</v>
      </c>
      <c r="KB100" s="63"/>
      <c r="KC100" s="73"/>
      <c r="KD100" s="72">
        <f t="shared" ref="KD100" ca="1" si="2510">($M100=KC100)*$D$11</f>
        <v>0</v>
      </c>
      <c r="KE100" s="63"/>
      <c r="KF100" s="73"/>
      <c r="KG100" s="72">
        <f t="shared" ref="KG100" ca="1" si="2511">($M100=KF100)*$D$11</f>
        <v>0</v>
      </c>
      <c r="KH100" s="63"/>
      <c r="KI100" s="73"/>
      <c r="KJ100" s="72">
        <f t="shared" ref="KJ100" ca="1" si="2512">($M100=KI100)*$D$11</f>
        <v>0</v>
      </c>
      <c r="KK100" s="63"/>
      <c r="KL100" s="73"/>
      <c r="KM100" s="72">
        <f t="shared" ref="KM100" ca="1" si="2513">($M100=KL100)*$D$11</f>
        <v>0</v>
      </c>
      <c r="KN100" s="63"/>
      <c r="KO100" s="73"/>
      <c r="KP100" s="72">
        <f t="shared" ref="KP100" ca="1" si="2514">($M100=KO100)*$D$11</f>
        <v>0</v>
      </c>
      <c r="KQ100" s="63"/>
      <c r="KR100" s="73"/>
      <c r="KS100" s="72">
        <f t="shared" ref="KS100" ca="1" si="2515">($M100=KR100)*$D$11</f>
        <v>0</v>
      </c>
      <c r="KT100" s="63"/>
      <c r="KU100" s="73"/>
      <c r="KV100" s="72">
        <f t="shared" ref="KV100" ca="1" si="2516">($M100=KU100)*$D$11</f>
        <v>0</v>
      </c>
      <c r="KW100" s="63"/>
      <c r="KX100" s="73"/>
      <c r="KY100" s="72">
        <f t="shared" ref="KY100" ca="1" si="2517">($M100=KX100)*$D$11</f>
        <v>0</v>
      </c>
      <c r="KZ100" s="63"/>
      <c r="LA100" s="73"/>
      <c r="LB100" s="72">
        <f t="shared" ref="LB100" ca="1" si="2518">($M100=LA100)*$D$11</f>
        <v>0</v>
      </c>
      <c r="LC100" s="63"/>
      <c r="LD100" s="73"/>
      <c r="LE100" s="72">
        <f t="shared" ref="LE100" ca="1" si="2519">($M100=LD100)*$D$11</f>
        <v>0</v>
      </c>
      <c r="LF100" s="63"/>
    </row>
    <row r="101" spans="1:318" s="784" customFormat="1">
      <c r="A101" s="49"/>
      <c r="B101" s="49"/>
      <c r="C101" s="49"/>
      <c r="D101" s="49"/>
      <c r="E101" s="109"/>
      <c r="F101" s="125">
        <f t="shared" ref="F101" si="2520">$D$12</f>
        <v>20</v>
      </c>
      <c r="G101" s="443">
        <f ca="1">VLOOKUP(H101,Equipos!$Q$1:$R$25,2,0)</f>
        <v>15</v>
      </c>
      <c r="H101" s="444">
        <f ca="1">$H$64</f>
        <v>46198</v>
      </c>
      <c r="I101" s="50"/>
      <c r="J101" s="845"/>
      <c r="K101" s="56" t="str">
        <f>Idiomas!D171</f>
        <v>2º GRUPO F</v>
      </c>
      <c r="L101" s="53"/>
      <c r="M101" s="55" t="str">
        <f ca="1">IF(OR(SUM(WORLDCUP!$AN$46:$AN$49)=12,WORLDCUP!$AJ$99=144),WORLDCUP!AL47,LEFT(K101,1)&amp;RIGHT(K101,1))</f>
        <v>2F</v>
      </c>
      <c r="N101" s="25"/>
      <c r="O101" s="25"/>
      <c r="P101" s="25"/>
      <c r="Q101" s="25"/>
      <c r="R101" s="108"/>
      <c r="S101" s="796" t="s">
        <v>1263</v>
      </c>
      <c r="T101" s="72">
        <f t="shared" ref="T101" ca="1" si="2521">($M101=S101)*$D$12</f>
        <v>0</v>
      </c>
      <c r="U101" s="63"/>
      <c r="V101" s="73" t="s">
        <v>1833</v>
      </c>
      <c r="W101" s="72">
        <f t="shared" ref="W101" ca="1" si="2522">($M101=V101)*$D$12</f>
        <v>0</v>
      </c>
      <c r="X101" s="63"/>
      <c r="Y101" s="796" t="s">
        <v>1833</v>
      </c>
      <c r="Z101" s="72">
        <f t="shared" ref="Z101" ca="1" si="2523">($M101=Y101)*$D$12</f>
        <v>0</v>
      </c>
      <c r="AA101" s="63"/>
      <c r="AB101" s="796" t="s">
        <v>1833</v>
      </c>
      <c r="AC101" s="72">
        <f t="shared" ref="AC101" ca="1" si="2524">($M101=AB101)*$D$12</f>
        <v>0</v>
      </c>
      <c r="AD101" s="63"/>
      <c r="AE101" s="796" t="s">
        <v>1263</v>
      </c>
      <c r="AF101" s="72">
        <f t="shared" ref="AF101" ca="1" si="2525">($M101=AE101)*$D$12</f>
        <v>0</v>
      </c>
      <c r="AG101" s="63"/>
      <c r="AH101" s="796" t="s">
        <v>1263</v>
      </c>
      <c r="AI101" s="72">
        <f t="shared" ref="AI101" ca="1" si="2526">($M101=AH101)*$D$12</f>
        <v>0</v>
      </c>
      <c r="AJ101" s="63"/>
      <c r="AK101" s="806" t="s">
        <v>1263</v>
      </c>
      <c r="AL101" s="72">
        <f t="shared" ref="AL101" ca="1" si="2527">($M101=AK101)*$D$12</f>
        <v>0</v>
      </c>
      <c r="AM101" s="63"/>
      <c r="AN101" s="796" t="s">
        <v>1833</v>
      </c>
      <c r="AO101" s="72">
        <f t="shared" ref="AO101" ca="1" si="2528">($M101=AN101)*$D$12</f>
        <v>0</v>
      </c>
      <c r="AP101" s="63"/>
      <c r="AQ101" s="806" t="s">
        <v>1833</v>
      </c>
      <c r="AR101" s="72">
        <f t="shared" ref="AR101" ca="1" si="2529">($M101=AQ101)*$D$12</f>
        <v>0</v>
      </c>
      <c r="AS101" s="63"/>
      <c r="AT101" s="796" t="s">
        <v>1263</v>
      </c>
      <c r="AU101" s="72">
        <f t="shared" ref="AU101" ca="1" si="2530">($M101=AT101)*$D$12</f>
        <v>0</v>
      </c>
      <c r="AV101" s="63"/>
      <c r="AW101" s="796" t="s">
        <v>1833</v>
      </c>
      <c r="AX101" s="72">
        <f t="shared" ref="AX101" ca="1" si="2531">($M101=AW101)*$D$12</f>
        <v>0</v>
      </c>
      <c r="AY101" s="63"/>
      <c r="AZ101" s="796" t="s">
        <v>1833</v>
      </c>
      <c r="BA101" s="72">
        <f t="shared" ref="BA101" ca="1" si="2532">($M101=AZ101)*$D$12</f>
        <v>0</v>
      </c>
      <c r="BB101" s="63"/>
      <c r="BC101" s="796" t="s">
        <v>1263</v>
      </c>
      <c r="BD101" s="72">
        <f t="shared" ref="BD101" ca="1" si="2533">($M101=BC101)*$D$12</f>
        <v>0</v>
      </c>
      <c r="BE101" s="63"/>
      <c r="BF101" s="796" t="s">
        <v>1833</v>
      </c>
      <c r="BG101" s="72">
        <f t="shared" ref="BG101" ca="1" si="2534">($M101=BF101)*$D$12</f>
        <v>0</v>
      </c>
      <c r="BH101" s="63"/>
      <c r="BI101" s="796" t="s">
        <v>111</v>
      </c>
      <c r="BJ101" s="72">
        <f t="shared" ref="BJ101" ca="1" si="2535">($M101=BI101)*$D$12</f>
        <v>0</v>
      </c>
      <c r="BK101" s="63"/>
      <c r="BL101" s="796" t="s">
        <v>1263</v>
      </c>
      <c r="BM101" s="72">
        <f t="shared" ref="BM101" ca="1" si="2536">($M101=BL101)*$D$12</f>
        <v>0</v>
      </c>
      <c r="BN101" s="63"/>
      <c r="BO101" s="816" t="s">
        <v>1263</v>
      </c>
      <c r="BP101" s="72">
        <f t="shared" ref="BP101" ca="1" si="2537">($M101=BO101)*$D$12</f>
        <v>0</v>
      </c>
      <c r="BQ101" s="63"/>
      <c r="BR101" s="796" t="s">
        <v>1263</v>
      </c>
      <c r="BS101" s="72">
        <f t="shared" ref="BS101" ca="1" si="2538">($M101=BR101)*$D$12</f>
        <v>0</v>
      </c>
      <c r="BT101" s="63"/>
      <c r="BU101" s="796" t="s">
        <v>111</v>
      </c>
      <c r="BV101" s="72">
        <f t="shared" ref="BV101" ca="1" si="2539">($M101=BU101)*$D$12</f>
        <v>0</v>
      </c>
      <c r="BW101" s="63"/>
      <c r="BX101" s="73" t="s">
        <v>1263</v>
      </c>
      <c r="BY101" s="72">
        <f t="shared" ref="BY101" ca="1" si="2540">($M101=BX101)*$D$12</f>
        <v>0</v>
      </c>
      <c r="BZ101" s="63"/>
      <c r="CA101" s="816" t="s">
        <v>1263</v>
      </c>
      <c r="CB101" s="72">
        <f t="shared" ref="CB101" ca="1" si="2541">($M101=CA101)*$D$12</f>
        <v>0</v>
      </c>
      <c r="CC101" s="63"/>
      <c r="CD101" s="825" t="s">
        <v>1833</v>
      </c>
      <c r="CE101" s="72">
        <f t="shared" ref="CE101" ca="1" si="2542">($M101=CD101)*$D$12</f>
        <v>0</v>
      </c>
      <c r="CF101" s="63"/>
      <c r="CG101" s="796" t="s">
        <v>1263</v>
      </c>
      <c r="CH101" s="72">
        <f t="shared" ref="CH101" ca="1" si="2543">($M101=CG101)*$D$12</f>
        <v>0</v>
      </c>
      <c r="CI101" s="63"/>
      <c r="CJ101" s="796" t="s">
        <v>1263</v>
      </c>
      <c r="CK101" s="72">
        <f t="shared" ref="CK101" ca="1" si="2544">($M101=CJ101)*$D$12</f>
        <v>0</v>
      </c>
      <c r="CL101" s="63"/>
      <c r="CM101" s="796" t="s">
        <v>1263</v>
      </c>
      <c r="CN101" s="72">
        <f t="shared" ref="CN101" ca="1" si="2545">($M101=CM101)*$D$12</f>
        <v>0</v>
      </c>
      <c r="CO101" s="63"/>
      <c r="CP101" s="796" t="s">
        <v>1833</v>
      </c>
      <c r="CQ101" s="72">
        <f t="shared" ref="CQ101" ca="1" si="2546">($M101=CP101)*$D$12</f>
        <v>0</v>
      </c>
      <c r="CR101" s="63"/>
      <c r="CS101" s="796" t="s">
        <v>111</v>
      </c>
      <c r="CT101" s="72">
        <f t="shared" ref="CT101" ca="1" si="2547">($M101=CS101)*$D$12</f>
        <v>0</v>
      </c>
      <c r="CU101" s="63"/>
      <c r="CV101" s="796" t="s">
        <v>111</v>
      </c>
      <c r="CW101" s="72">
        <f t="shared" ref="CW101" ca="1" si="2548">($M101=CV101)*$D$12</f>
        <v>0</v>
      </c>
      <c r="CX101" s="63"/>
      <c r="CY101" s="796" t="s">
        <v>1263</v>
      </c>
      <c r="CZ101" s="72">
        <f t="shared" ref="CZ101" ca="1" si="2549">($M101=CY101)*$D$12</f>
        <v>0</v>
      </c>
      <c r="DA101" s="63"/>
      <c r="DB101" s="796" t="s">
        <v>111</v>
      </c>
      <c r="DC101" s="72">
        <f t="shared" ref="DC101" ca="1" si="2550">($M101=DB101)*$D$12</f>
        <v>0</v>
      </c>
      <c r="DD101" s="63"/>
      <c r="DE101" s="796" t="s">
        <v>111</v>
      </c>
      <c r="DF101" s="72">
        <f ca="1">($M101=DE101)*$D$12</f>
        <v>0</v>
      </c>
      <c r="DG101" s="63"/>
      <c r="DH101" s="796" t="s">
        <v>1263</v>
      </c>
      <c r="DI101" s="72">
        <f ca="1">($M101=DH101)*$D$12</f>
        <v>0</v>
      </c>
      <c r="DJ101" s="63"/>
      <c r="DK101" s="796" t="s">
        <v>1263</v>
      </c>
      <c r="DL101" s="72">
        <f ca="1">($M101=DK101)*$D$12</f>
        <v>0</v>
      </c>
      <c r="DM101" s="63"/>
      <c r="DN101" s="73"/>
      <c r="DO101" s="72">
        <f t="shared" ref="DO101" ca="1" si="2551">($M101=DN101)*$D$12</f>
        <v>0</v>
      </c>
      <c r="DP101" s="63"/>
      <c r="DQ101" s="796" t="s">
        <v>1263</v>
      </c>
      <c r="DR101" s="72">
        <f t="shared" ref="DR101" ca="1" si="2552">($M101=DQ101)*$D$12</f>
        <v>0</v>
      </c>
      <c r="DS101" s="63"/>
      <c r="DT101" s="73" t="s">
        <v>1263</v>
      </c>
      <c r="DU101" s="72">
        <f t="shared" ref="DU101" ca="1" si="2553">($M101=DT101)*$D$12</f>
        <v>0</v>
      </c>
      <c r="DV101" s="63"/>
      <c r="DW101" s="73"/>
      <c r="DX101" s="72">
        <f t="shared" ref="DX101" ca="1" si="2554">($M101=DW101)*$D$12</f>
        <v>0</v>
      </c>
      <c r="DY101" s="63"/>
      <c r="DZ101" s="73"/>
      <c r="EA101" s="72">
        <f ca="1">($M101=DZ101)*$D$12</f>
        <v>0</v>
      </c>
      <c r="EB101" s="63"/>
      <c r="EC101" s="73"/>
      <c r="ED101" s="72">
        <f t="shared" ref="ED101" ca="1" si="2555">($M101=EC101)*$D$12</f>
        <v>0</v>
      </c>
      <c r="EE101" s="63"/>
      <c r="EF101" s="73"/>
      <c r="EG101" s="72">
        <f t="shared" ref="EG101" ca="1" si="2556">($M101=EF101)*$D$12</f>
        <v>0</v>
      </c>
      <c r="EH101" s="63"/>
      <c r="EI101" s="73"/>
      <c r="EJ101" s="72">
        <f t="shared" ref="EJ101" ca="1" si="2557">($M101=EI101)*$D$12</f>
        <v>0</v>
      </c>
      <c r="EK101" s="63"/>
      <c r="EL101" s="73"/>
      <c r="EM101" s="72">
        <f t="shared" ref="EM101" ca="1" si="2558">($M101=EL101)*$D$12</f>
        <v>0</v>
      </c>
      <c r="EN101" s="63"/>
      <c r="EO101" s="73"/>
      <c r="EP101" s="72">
        <f t="shared" ref="EP101" ca="1" si="2559">($M101=EO101)*$D$12</f>
        <v>0</v>
      </c>
      <c r="EQ101" s="63"/>
      <c r="ER101" s="73"/>
      <c r="ES101" s="72">
        <f t="shared" ref="ES101" ca="1" si="2560">($M101=ER101)*$D$12</f>
        <v>0</v>
      </c>
      <c r="ET101" s="63"/>
      <c r="EU101" s="73"/>
      <c r="EV101" s="72">
        <f t="shared" ref="EV101" ca="1" si="2561">($M101=EU101)*$D$12</f>
        <v>0</v>
      </c>
      <c r="EW101" s="63"/>
      <c r="EX101" s="73"/>
      <c r="EY101" s="72">
        <f t="shared" ref="EY101" ca="1" si="2562">($M101=EX101)*$D$12</f>
        <v>0</v>
      </c>
      <c r="EZ101" s="63"/>
      <c r="FA101" s="73"/>
      <c r="FB101" s="72">
        <f t="shared" ref="FB101" ca="1" si="2563">($M101=FA101)*$D$12</f>
        <v>0</v>
      </c>
      <c r="FC101" s="63"/>
      <c r="FD101" s="73"/>
      <c r="FE101" s="72">
        <f t="shared" ref="FE101" ca="1" si="2564">($M101=FD101)*$D$12</f>
        <v>0</v>
      </c>
      <c r="FF101" s="63"/>
      <c r="FG101" s="73"/>
      <c r="FH101" s="72">
        <f t="shared" ref="FH101" ca="1" si="2565">($M101=FG101)*$D$12</f>
        <v>0</v>
      </c>
      <c r="FI101" s="63"/>
      <c r="FJ101" s="73"/>
      <c r="FK101" s="72">
        <f t="shared" ref="FK101" ca="1" si="2566">($M101=FJ101)*$D$12</f>
        <v>0</v>
      </c>
      <c r="FL101" s="63"/>
      <c r="FM101" s="73"/>
      <c r="FN101" s="72">
        <f t="shared" ref="FN101" ca="1" si="2567">($M101=FM101)*$D$12</f>
        <v>0</v>
      </c>
      <c r="FO101" s="63"/>
      <c r="FP101" s="73"/>
      <c r="FQ101" s="72">
        <f t="shared" ref="FQ101" ca="1" si="2568">($M101=FP101)*$D$12</f>
        <v>0</v>
      </c>
      <c r="FR101" s="63"/>
      <c r="FS101" s="73"/>
      <c r="FT101" s="72">
        <f t="shared" ref="FT101" ca="1" si="2569">($M101=FS101)*$D$12</f>
        <v>0</v>
      </c>
      <c r="FU101" s="63"/>
      <c r="FV101" s="73"/>
      <c r="FW101" s="72">
        <f t="shared" ref="FW101" ca="1" si="2570">($M101=FV101)*$D$12</f>
        <v>0</v>
      </c>
      <c r="FX101" s="63"/>
      <c r="FY101" s="73"/>
      <c r="FZ101" s="72">
        <f t="shared" ref="FZ101" ca="1" si="2571">($M101=FY101)*$D$12</f>
        <v>0</v>
      </c>
      <c r="GA101" s="63"/>
      <c r="GB101" s="73"/>
      <c r="GC101" s="72">
        <f t="shared" ref="GC101" ca="1" si="2572">($M101=GB101)*$D$12</f>
        <v>0</v>
      </c>
      <c r="GD101" s="63"/>
      <c r="GE101" s="73"/>
      <c r="GF101" s="72">
        <f t="shared" ref="GF101" ca="1" si="2573">($M101=GE101)*$D$12</f>
        <v>0</v>
      </c>
      <c r="GG101" s="63"/>
      <c r="GH101" s="73"/>
      <c r="GI101" s="72">
        <f t="shared" ref="GI101" ca="1" si="2574">($M101=GH101)*$D$12</f>
        <v>0</v>
      </c>
      <c r="GJ101" s="63"/>
      <c r="GK101" s="73"/>
      <c r="GL101" s="72">
        <f t="shared" ref="GL101" ca="1" si="2575">($M101=GK101)*$D$12</f>
        <v>0</v>
      </c>
      <c r="GM101" s="63"/>
      <c r="GN101" s="73"/>
      <c r="GO101" s="72">
        <f t="shared" ref="GO101" ca="1" si="2576">($M101=GN101)*$D$12</f>
        <v>0</v>
      </c>
      <c r="GP101" s="63"/>
      <c r="GQ101" s="73"/>
      <c r="GR101" s="72">
        <f t="shared" ref="GR101" ca="1" si="2577">($M101=GQ101)*$D$12</f>
        <v>0</v>
      </c>
      <c r="GS101" s="63"/>
      <c r="GT101" s="73"/>
      <c r="GU101" s="72">
        <f t="shared" ref="GU101" ca="1" si="2578">($M101=GT101)*$D$12</f>
        <v>0</v>
      </c>
      <c r="GV101" s="63"/>
      <c r="GW101" s="73"/>
      <c r="GX101" s="72">
        <f t="shared" ref="GX101" ca="1" si="2579">($M101=GW101)*$D$12</f>
        <v>0</v>
      </c>
      <c r="GY101" s="63"/>
      <c r="GZ101" s="73"/>
      <c r="HA101" s="72">
        <f t="shared" ref="HA101" ca="1" si="2580">($M101=GZ101)*$D$12</f>
        <v>0</v>
      </c>
      <c r="HB101" s="63"/>
      <c r="HC101" s="73"/>
      <c r="HD101" s="72">
        <f t="shared" ref="HD101" ca="1" si="2581">($M101=HC101)*$D$12</f>
        <v>0</v>
      </c>
      <c r="HE101" s="63"/>
      <c r="HF101" s="73"/>
      <c r="HG101" s="72">
        <f t="shared" ref="HG101" ca="1" si="2582">($M101=HF101)*$D$12</f>
        <v>0</v>
      </c>
      <c r="HH101" s="63"/>
      <c r="HI101" s="73"/>
      <c r="HJ101" s="72">
        <f t="shared" ref="HJ101" ca="1" si="2583">($M101=HI101)*$D$12</f>
        <v>0</v>
      </c>
      <c r="HK101" s="63"/>
      <c r="HL101" s="73"/>
      <c r="HM101" s="72">
        <f t="shared" ref="HM101" ca="1" si="2584">($M101=HL101)*$D$12</f>
        <v>0</v>
      </c>
      <c r="HN101" s="63"/>
      <c r="HO101" s="73"/>
      <c r="HP101" s="72">
        <f t="shared" ref="HP101" ca="1" si="2585">($M101=HO101)*$D$12</f>
        <v>0</v>
      </c>
      <c r="HQ101" s="63"/>
      <c r="HR101" s="73"/>
      <c r="HS101" s="72">
        <f t="shared" ref="HS101" ca="1" si="2586">($M101=HR101)*$D$12</f>
        <v>0</v>
      </c>
      <c r="HT101" s="63"/>
      <c r="HU101" s="73"/>
      <c r="HV101" s="72">
        <f t="shared" ref="HV101" ca="1" si="2587">($M101=HU101)*$D$12</f>
        <v>0</v>
      </c>
      <c r="HW101" s="63"/>
      <c r="HX101" s="73"/>
      <c r="HY101" s="72">
        <f t="shared" ref="HY101" ca="1" si="2588">($M101=HX101)*$D$12</f>
        <v>0</v>
      </c>
      <c r="HZ101" s="63"/>
      <c r="IA101" s="73"/>
      <c r="IB101" s="72">
        <f t="shared" ref="IB101" ca="1" si="2589">($M101=IA101)*$D$12</f>
        <v>0</v>
      </c>
      <c r="IC101" s="63"/>
      <c r="ID101" s="73"/>
      <c r="IE101" s="72">
        <f t="shared" ref="IE101" ca="1" si="2590">($M101=ID101)*$D$12</f>
        <v>0</v>
      </c>
      <c r="IF101" s="63"/>
      <c r="IG101" s="73"/>
      <c r="IH101" s="72">
        <f t="shared" ref="IH101" ca="1" si="2591">($M101=IG101)*$D$12</f>
        <v>0</v>
      </c>
      <c r="II101" s="63"/>
      <c r="IJ101" s="73"/>
      <c r="IK101" s="72">
        <f t="shared" ref="IK101" ca="1" si="2592">($M101=IJ101)*$D$12</f>
        <v>0</v>
      </c>
      <c r="IL101" s="63"/>
      <c r="IM101" s="73"/>
      <c r="IN101" s="72">
        <f t="shared" ref="IN101" ca="1" si="2593">($M101=IM101)*$D$12</f>
        <v>0</v>
      </c>
      <c r="IO101" s="63"/>
      <c r="IP101" s="73"/>
      <c r="IQ101" s="72">
        <f t="shared" ref="IQ101" ca="1" si="2594">($M101=IP101)*$D$12</f>
        <v>0</v>
      </c>
      <c r="IR101" s="63"/>
      <c r="IS101" s="73"/>
      <c r="IT101" s="72">
        <f t="shared" ref="IT101" ca="1" si="2595">($M101=IS101)*$D$12</f>
        <v>0</v>
      </c>
      <c r="IU101" s="63"/>
      <c r="IV101" s="73"/>
      <c r="IW101" s="72">
        <f t="shared" ref="IW101" ca="1" si="2596">($M101=IV101)*$D$12</f>
        <v>0</v>
      </c>
      <c r="IX101" s="63"/>
      <c r="IY101" s="73"/>
      <c r="IZ101" s="72">
        <f t="shared" ref="IZ101" ca="1" si="2597">($M101=IY101)*$D$12</f>
        <v>0</v>
      </c>
      <c r="JA101" s="63"/>
      <c r="JB101" s="73"/>
      <c r="JC101" s="72">
        <f t="shared" ref="JC101" ca="1" si="2598">($M101=JB101)*$D$12</f>
        <v>0</v>
      </c>
      <c r="JD101" s="63"/>
      <c r="JE101" s="73"/>
      <c r="JF101" s="72">
        <f t="shared" ref="JF101" ca="1" si="2599">($M101=JE101)*$D$12</f>
        <v>0</v>
      </c>
      <c r="JG101" s="63"/>
      <c r="JH101" s="73"/>
      <c r="JI101" s="72">
        <f t="shared" ref="JI101" ca="1" si="2600">($M101=JH101)*$D$12</f>
        <v>0</v>
      </c>
      <c r="JJ101" s="63"/>
      <c r="JK101" s="73"/>
      <c r="JL101" s="72">
        <f t="shared" ref="JL101" ca="1" si="2601">($M101=JK101)*$D$12</f>
        <v>0</v>
      </c>
      <c r="JM101" s="63"/>
      <c r="JN101" s="73"/>
      <c r="JO101" s="72">
        <f t="shared" ref="JO101" ca="1" si="2602">($M101=JN101)*$D$12</f>
        <v>0</v>
      </c>
      <c r="JP101" s="63"/>
      <c r="JQ101" s="73"/>
      <c r="JR101" s="72">
        <f t="shared" ref="JR101" ca="1" si="2603">($M101=JQ101)*$D$12</f>
        <v>0</v>
      </c>
      <c r="JS101" s="63"/>
      <c r="JT101" s="73"/>
      <c r="JU101" s="72">
        <f t="shared" ref="JU101" ca="1" si="2604">($M101=JT101)*$D$12</f>
        <v>0</v>
      </c>
      <c r="JV101" s="63"/>
      <c r="JW101" s="73"/>
      <c r="JX101" s="72">
        <f t="shared" ref="JX101" ca="1" si="2605">($M101=JW101)*$D$12</f>
        <v>0</v>
      </c>
      <c r="JY101" s="63"/>
      <c r="JZ101" s="73"/>
      <c r="KA101" s="72">
        <f t="shared" ref="KA101" ca="1" si="2606">($M101=JZ101)*$D$12</f>
        <v>0</v>
      </c>
      <c r="KB101" s="63"/>
      <c r="KC101" s="73"/>
      <c r="KD101" s="72">
        <f t="shared" ref="KD101" ca="1" si="2607">($M101=KC101)*$D$12</f>
        <v>0</v>
      </c>
      <c r="KE101" s="63"/>
      <c r="KF101" s="73"/>
      <c r="KG101" s="72">
        <f t="shared" ref="KG101" ca="1" si="2608">($M101=KF101)*$D$12</f>
        <v>0</v>
      </c>
      <c r="KH101" s="63"/>
      <c r="KI101" s="73"/>
      <c r="KJ101" s="72">
        <f t="shared" ref="KJ101" ca="1" si="2609">($M101=KI101)*$D$12</f>
        <v>0</v>
      </c>
      <c r="KK101" s="63"/>
      <c r="KL101" s="73"/>
      <c r="KM101" s="72">
        <f t="shared" ref="KM101" ca="1" si="2610">($M101=KL101)*$D$12</f>
        <v>0</v>
      </c>
      <c r="KN101" s="63"/>
      <c r="KO101" s="73"/>
      <c r="KP101" s="72">
        <f t="shared" ref="KP101" ca="1" si="2611">($M101=KO101)*$D$12</f>
        <v>0</v>
      </c>
      <c r="KQ101" s="63"/>
      <c r="KR101" s="73"/>
      <c r="KS101" s="72">
        <f t="shared" ref="KS101" ca="1" si="2612">($M101=KR101)*$D$12</f>
        <v>0</v>
      </c>
      <c r="KT101" s="63"/>
      <c r="KU101" s="73"/>
      <c r="KV101" s="72">
        <f t="shared" ref="KV101" ca="1" si="2613">($M101=KU101)*$D$12</f>
        <v>0</v>
      </c>
      <c r="KW101" s="63"/>
      <c r="KX101" s="73"/>
      <c r="KY101" s="72">
        <f t="shared" ref="KY101" ca="1" si="2614">($M101=KX101)*$D$12</f>
        <v>0</v>
      </c>
      <c r="KZ101" s="63"/>
      <c r="LA101" s="73"/>
      <c r="LB101" s="72">
        <f t="shared" ref="LB101" ca="1" si="2615">($M101=LA101)*$D$12</f>
        <v>0</v>
      </c>
      <c r="LC101" s="63"/>
      <c r="LD101" s="73"/>
      <c r="LE101" s="72">
        <f t="shared" ref="LE101" ca="1" si="2616">($M101=LD101)*$D$12</f>
        <v>0</v>
      </c>
      <c r="LF101" s="63"/>
    </row>
    <row r="102" spans="1:318" s="784" customFormat="1">
      <c r="A102" s="49"/>
      <c r="B102" s="49"/>
      <c r="C102" s="49"/>
      <c r="D102" s="49"/>
      <c r="E102" s="109"/>
      <c r="F102" s="125">
        <f t="shared" ref="F102" si="2617">$D$13</f>
        <v>20</v>
      </c>
      <c r="G102" s="443">
        <f ca="1">VLOOKUP(H102,Equipos!$Q$1:$R$25,2,0)</f>
        <v>15</v>
      </c>
      <c r="H102" s="444">
        <f ca="1">$H$64</f>
        <v>46198</v>
      </c>
      <c r="I102" s="50"/>
      <c r="J102" s="845"/>
      <c r="K102" s="56" t="str">
        <f>Idiomas!D172</f>
        <v>3º GRUPO F</v>
      </c>
      <c r="L102" s="53"/>
      <c r="M102" s="55" t="str">
        <f ca="1">IF(OR(SUM(WORLDCUP!$AN$46:$AN$49)=12,WORLDCUP!$AJ$99=144),WORLDCUP!AL48,LEFT(K102,1)&amp;RIGHT(K102,1))</f>
        <v>3F</v>
      </c>
      <c r="N102" s="25"/>
      <c r="O102" s="25"/>
      <c r="P102" s="25"/>
      <c r="Q102" s="25"/>
      <c r="R102" s="108"/>
      <c r="S102" s="796" t="s">
        <v>1833</v>
      </c>
      <c r="T102" s="72">
        <f t="shared" ref="T102" ca="1" si="2618">($M102=S102)*$D$13</f>
        <v>0</v>
      </c>
      <c r="U102" s="63"/>
      <c r="V102" s="73" t="s">
        <v>1263</v>
      </c>
      <c r="W102" s="72">
        <f t="shared" ref="W102" ca="1" si="2619">($M102=V102)*$D$13</f>
        <v>0</v>
      </c>
      <c r="X102" s="63"/>
      <c r="Y102" s="796" t="s">
        <v>1263</v>
      </c>
      <c r="Z102" s="72">
        <f t="shared" ref="Z102" ca="1" si="2620">($M102=Y102)*$D$13</f>
        <v>0</v>
      </c>
      <c r="AA102" s="63"/>
      <c r="AB102" s="796" t="s">
        <v>1263</v>
      </c>
      <c r="AC102" s="72">
        <f t="shared" ref="AC102" ca="1" si="2621">($M102=AB102)*$D$13</f>
        <v>0</v>
      </c>
      <c r="AD102" s="63"/>
      <c r="AE102" s="796" t="s">
        <v>1833</v>
      </c>
      <c r="AF102" s="72">
        <f t="shared" ref="AF102" ca="1" si="2622">($M102=AE102)*$D$13</f>
        <v>0</v>
      </c>
      <c r="AG102" s="63"/>
      <c r="AH102" s="796" t="s">
        <v>1833</v>
      </c>
      <c r="AI102" s="72">
        <f t="shared" ref="AI102" ca="1" si="2623">($M102=AH102)*$D$13</f>
        <v>0</v>
      </c>
      <c r="AJ102" s="63"/>
      <c r="AK102" s="806" t="s">
        <v>1833</v>
      </c>
      <c r="AL102" s="72">
        <f t="shared" ref="AL102" ca="1" si="2624">($M102=AK102)*$D$13</f>
        <v>0</v>
      </c>
      <c r="AM102" s="63"/>
      <c r="AN102" s="796" t="s">
        <v>1263</v>
      </c>
      <c r="AO102" s="72">
        <f t="shared" ref="AO102" ca="1" si="2625">($M102=AN102)*$D$13</f>
        <v>0</v>
      </c>
      <c r="AP102" s="63"/>
      <c r="AQ102" s="806" t="s">
        <v>1322</v>
      </c>
      <c r="AR102" s="72">
        <f t="shared" ref="AR102" ca="1" si="2626">($M102=AQ102)*$D$13</f>
        <v>0</v>
      </c>
      <c r="AS102" s="63"/>
      <c r="AT102" s="796" t="s">
        <v>1833</v>
      </c>
      <c r="AU102" s="72">
        <f t="shared" ref="AU102" ca="1" si="2627">($M102=AT102)*$D$13</f>
        <v>0</v>
      </c>
      <c r="AV102" s="63"/>
      <c r="AW102" s="796" t="s">
        <v>1263</v>
      </c>
      <c r="AX102" s="72">
        <f t="shared" ref="AX102" ca="1" si="2628">($M102=AW102)*$D$13</f>
        <v>0</v>
      </c>
      <c r="AY102" s="63"/>
      <c r="AZ102" s="796" t="s">
        <v>111</v>
      </c>
      <c r="BA102" s="72">
        <f t="shared" ref="BA102" ca="1" si="2629">($M102=AZ102)*$D$13</f>
        <v>0</v>
      </c>
      <c r="BB102" s="63"/>
      <c r="BC102" s="796" t="s">
        <v>1833</v>
      </c>
      <c r="BD102" s="72">
        <f t="shared" ref="BD102" ca="1" si="2630">($M102=BC102)*$D$13</f>
        <v>0</v>
      </c>
      <c r="BE102" s="63"/>
      <c r="BF102" s="796" t="s">
        <v>1263</v>
      </c>
      <c r="BG102" s="72">
        <f t="shared" ref="BG102" ca="1" si="2631">($M102=BF102)*$D$13</f>
        <v>0</v>
      </c>
      <c r="BH102" s="63"/>
      <c r="BI102" s="796" t="s">
        <v>1833</v>
      </c>
      <c r="BJ102" s="72">
        <f t="shared" ref="BJ102" ca="1" si="2632">($M102=BI102)*$D$13</f>
        <v>0</v>
      </c>
      <c r="BK102" s="63"/>
      <c r="BL102" s="796" t="s">
        <v>1833</v>
      </c>
      <c r="BM102" s="72">
        <f t="shared" ref="BM102" ca="1" si="2633">($M102=BL102)*$D$13</f>
        <v>0</v>
      </c>
      <c r="BN102" s="63"/>
      <c r="BO102" s="816" t="s">
        <v>1833</v>
      </c>
      <c r="BP102" s="72">
        <f t="shared" ref="BP102" ca="1" si="2634">($M102=BO102)*$D$13</f>
        <v>0</v>
      </c>
      <c r="BQ102" s="63"/>
      <c r="BR102" s="796" t="s">
        <v>1833</v>
      </c>
      <c r="BS102" s="72">
        <f t="shared" ref="BS102" ca="1" si="2635">($M102=BR102)*$D$13</f>
        <v>0</v>
      </c>
      <c r="BT102" s="63"/>
      <c r="BU102" s="796" t="s">
        <v>1833</v>
      </c>
      <c r="BV102" s="72">
        <f t="shared" ref="BV102" ca="1" si="2636">($M102=BU102)*$D$13</f>
        <v>0</v>
      </c>
      <c r="BW102" s="63"/>
      <c r="BX102" s="73" t="s">
        <v>1833</v>
      </c>
      <c r="BY102" s="72">
        <f t="shared" ref="BY102" ca="1" si="2637">($M102=BX102)*$D$13</f>
        <v>0</v>
      </c>
      <c r="BZ102" s="63"/>
      <c r="CA102" s="816" t="s">
        <v>1322</v>
      </c>
      <c r="CB102" s="72">
        <f t="shared" ref="CB102" ca="1" si="2638">($M102=CA102)*$D$13</f>
        <v>0</v>
      </c>
      <c r="CC102" s="63"/>
      <c r="CD102" s="825" t="s">
        <v>1263</v>
      </c>
      <c r="CE102" s="72">
        <f t="shared" ref="CE102" ca="1" si="2639">($M102=CD102)*$D$13</f>
        <v>0</v>
      </c>
      <c r="CF102" s="63"/>
      <c r="CG102" s="796" t="s">
        <v>1833</v>
      </c>
      <c r="CH102" s="72">
        <f t="shared" ref="CH102" ca="1" si="2640">($M102=CG102)*$D$13</f>
        <v>0</v>
      </c>
      <c r="CI102" s="63"/>
      <c r="CJ102" s="796" t="s">
        <v>1833</v>
      </c>
      <c r="CK102" s="72">
        <f t="shared" ref="CK102" ca="1" si="2641">($M102=CJ102)*$D$13</f>
        <v>0</v>
      </c>
      <c r="CL102" s="63"/>
      <c r="CM102" s="796" t="s">
        <v>1833</v>
      </c>
      <c r="CN102" s="72">
        <f t="shared" ref="CN102" ca="1" si="2642">($M102=CM102)*$D$13</f>
        <v>0</v>
      </c>
      <c r="CO102" s="63"/>
      <c r="CP102" s="796" t="s">
        <v>111</v>
      </c>
      <c r="CQ102" s="72">
        <f t="shared" ref="CQ102" ca="1" si="2643">($M102=CP102)*$D$13</f>
        <v>0</v>
      </c>
      <c r="CR102" s="63"/>
      <c r="CS102" s="796" t="s">
        <v>1833</v>
      </c>
      <c r="CT102" s="72">
        <f t="shared" ref="CT102" ca="1" si="2644">($M102=CS102)*$D$13</f>
        <v>0</v>
      </c>
      <c r="CU102" s="63"/>
      <c r="CV102" s="796" t="s">
        <v>1833</v>
      </c>
      <c r="CW102" s="72">
        <f t="shared" ref="CW102" ca="1" si="2645">($M102=CV102)*$D$13</f>
        <v>0</v>
      </c>
      <c r="CX102" s="63"/>
      <c r="CY102" s="796" t="s">
        <v>1833</v>
      </c>
      <c r="CZ102" s="72">
        <f t="shared" ref="CZ102" ca="1" si="2646">($M102=CY102)*$D$13</f>
        <v>0</v>
      </c>
      <c r="DA102" s="63"/>
      <c r="DB102" s="796" t="s">
        <v>1833</v>
      </c>
      <c r="DC102" s="72">
        <f t="shared" ref="DC102" ca="1" si="2647">($M102=DB102)*$D$13</f>
        <v>0</v>
      </c>
      <c r="DD102" s="63"/>
      <c r="DE102" s="796" t="s">
        <v>1833</v>
      </c>
      <c r="DF102" s="72">
        <f ca="1">($M102=DE102)*$D$13</f>
        <v>0</v>
      </c>
      <c r="DG102" s="63"/>
      <c r="DH102" s="796" t="s">
        <v>1833</v>
      </c>
      <c r="DI102" s="72">
        <f ca="1">($M102=DH102)*$D$13</f>
        <v>0</v>
      </c>
      <c r="DJ102" s="63"/>
      <c r="DK102" s="796" t="s">
        <v>1833</v>
      </c>
      <c r="DL102" s="72">
        <f ca="1">($M102=DK102)*$D$13</f>
        <v>0</v>
      </c>
      <c r="DM102" s="63"/>
      <c r="DN102" s="73"/>
      <c r="DO102" s="72">
        <f t="shared" ref="DO102" ca="1" si="2648">($M102=DN102)*$D$13</f>
        <v>0</v>
      </c>
      <c r="DP102" s="63"/>
      <c r="DQ102" s="796" t="s">
        <v>1833</v>
      </c>
      <c r="DR102" s="72">
        <f t="shared" ref="DR102" ca="1" si="2649">($M102=DQ102)*$D$13</f>
        <v>0</v>
      </c>
      <c r="DS102" s="63"/>
      <c r="DT102" s="73" t="s">
        <v>1833</v>
      </c>
      <c r="DU102" s="72">
        <f t="shared" ref="DU102" ca="1" si="2650">($M102=DT102)*$D$13</f>
        <v>0</v>
      </c>
      <c r="DV102" s="63"/>
      <c r="DW102" s="73"/>
      <c r="DX102" s="72">
        <f t="shared" ref="DX102" ca="1" si="2651">($M102=DW102)*$D$13</f>
        <v>0</v>
      </c>
      <c r="DY102" s="63"/>
      <c r="DZ102" s="73"/>
      <c r="EA102" s="72">
        <f ca="1">($M102=DZ102)*$D$13</f>
        <v>0</v>
      </c>
      <c r="EB102" s="63"/>
      <c r="EC102" s="73"/>
      <c r="ED102" s="72">
        <f t="shared" ref="ED102" ca="1" si="2652">($M102=EC102)*$D$13</f>
        <v>0</v>
      </c>
      <c r="EE102" s="63"/>
      <c r="EF102" s="73"/>
      <c r="EG102" s="72">
        <f t="shared" ref="EG102" ca="1" si="2653">($M102=EF102)*$D$13</f>
        <v>0</v>
      </c>
      <c r="EH102" s="63"/>
      <c r="EI102" s="73"/>
      <c r="EJ102" s="72">
        <f t="shared" ref="EJ102" ca="1" si="2654">($M102=EI102)*$D$13</f>
        <v>0</v>
      </c>
      <c r="EK102" s="63"/>
      <c r="EL102" s="73"/>
      <c r="EM102" s="72">
        <f t="shared" ref="EM102" ca="1" si="2655">($M102=EL102)*$D$13</f>
        <v>0</v>
      </c>
      <c r="EN102" s="63"/>
      <c r="EO102" s="73"/>
      <c r="EP102" s="72">
        <f t="shared" ref="EP102" ca="1" si="2656">($M102=EO102)*$D$13</f>
        <v>0</v>
      </c>
      <c r="EQ102" s="63"/>
      <c r="ER102" s="73"/>
      <c r="ES102" s="72">
        <f t="shared" ref="ES102" ca="1" si="2657">($M102=ER102)*$D$13</f>
        <v>0</v>
      </c>
      <c r="ET102" s="63"/>
      <c r="EU102" s="73"/>
      <c r="EV102" s="72">
        <f t="shared" ref="EV102" ca="1" si="2658">($M102=EU102)*$D$13</f>
        <v>0</v>
      </c>
      <c r="EW102" s="63"/>
      <c r="EX102" s="73"/>
      <c r="EY102" s="72">
        <f t="shared" ref="EY102" ca="1" si="2659">($M102=EX102)*$D$13</f>
        <v>0</v>
      </c>
      <c r="EZ102" s="63"/>
      <c r="FA102" s="73"/>
      <c r="FB102" s="72">
        <f t="shared" ref="FB102" ca="1" si="2660">($M102=FA102)*$D$13</f>
        <v>0</v>
      </c>
      <c r="FC102" s="63"/>
      <c r="FD102" s="73"/>
      <c r="FE102" s="72">
        <f t="shared" ref="FE102" ca="1" si="2661">($M102=FD102)*$D$13</f>
        <v>0</v>
      </c>
      <c r="FF102" s="63"/>
      <c r="FG102" s="73"/>
      <c r="FH102" s="72">
        <f t="shared" ref="FH102" ca="1" si="2662">($M102=FG102)*$D$13</f>
        <v>0</v>
      </c>
      <c r="FI102" s="63"/>
      <c r="FJ102" s="73"/>
      <c r="FK102" s="72">
        <f t="shared" ref="FK102" ca="1" si="2663">($M102=FJ102)*$D$13</f>
        <v>0</v>
      </c>
      <c r="FL102" s="63"/>
      <c r="FM102" s="73"/>
      <c r="FN102" s="72">
        <f t="shared" ref="FN102" ca="1" si="2664">($M102=FM102)*$D$13</f>
        <v>0</v>
      </c>
      <c r="FO102" s="63"/>
      <c r="FP102" s="73"/>
      <c r="FQ102" s="72">
        <f t="shared" ref="FQ102" ca="1" si="2665">($M102=FP102)*$D$13</f>
        <v>0</v>
      </c>
      <c r="FR102" s="63"/>
      <c r="FS102" s="73"/>
      <c r="FT102" s="72">
        <f t="shared" ref="FT102" ca="1" si="2666">($M102=FS102)*$D$13</f>
        <v>0</v>
      </c>
      <c r="FU102" s="63"/>
      <c r="FV102" s="73"/>
      <c r="FW102" s="72">
        <f t="shared" ref="FW102" ca="1" si="2667">($M102=FV102)*$D$13</f>
        <v>0</v>
      </c>
      <c r="FX102" s="63"/>
      <c r="FY102" s="73"/>
      <c r="FZ102" s="72">
        <f t="shared" ref="FZ102" ca="1" si="2668">($M102=FY102)*$D$13</f>
        <v>0</v>
      </c>
      <c r="GA102" s="63"/>
      <c r="GB102" s="73"/>
      <c r="GC102" s="72">
        <f t="shared" ref="GC102" ca="1" si="2669">($M102=GB102)*$D$13</f>
        <v>0</v>
      </c>
      <c r="GD102" s="63"/>
      <c r="GE102" s="73"/>
      <c r="GF102" s="72">
        <f t="shared" ref="GF102" ca="1" si="2670">($M102=GE102)*$D$13</f>
        <v>0</v>
      </c>
      <c r="GG102" s="63"/>
      <c r="GH102" s="73"/>
      <c r="GI102" s="72">
        <f t="shared" ref="GI102" ca="1" si="2671">($M102=GH102)*$D$13</f>
        <v>0</v>
      </c>
      <c r="GJ102" s="63"/>
      <c r="GK102" s="73"/>
      <c r="GL102" s="72">
        <f t="shared" ref="GL102" ca="1" si="2672">($M102=GK102)*$D$13</f>
        <v>0</v>
      </c>
      <c r="GM102" s="63"/>
      <c r="GN102" s="73"/>
      <c r="GO102" s="72">
        <f t="shared" ref="GO102" ca="1" si="2673">($M102=GN102)*$D$13</f>
        <v>0</v>
      </c>
      <c r="GP102" s="63"/>
      <c r="GQ102" s="73"/>
      <c r="GR102" s="72">
        <f t="shared" ref="GR102" ca="1" si="2674">($M102=GQ102)*$D$13</f>
        <v>0</v>
      </c>
      <c r="GS102" s="63"/>
      <c r="GT102" s="73"/>
      <c r="GU102" s="72">
        <f t="shared" ref="GU102" ca="1" si="2675">($M102=GT102)*$D$13</f>
        <v>0</v>
      </c>
      <c r="GV102" s="63"/>
      <c r="GW102" s="73"/>
      <c r="GX102" s="72">
        <f t="shared" ref="GX102" ca="1" si="2676">($M102=GW102)*$D$13</f>
        <v>0</v>
      </c>
      <c r="GY102" s="63"/>
      <c r="GZ102" s="73"/>
      <c r="HA102" s="72">
        <f t="shared" ref="HA102" ca="1" si="2677">($M102=GZ102)*$D$13</f>
        <v>0</v>
      </c>
      <c r="HB102" s="63"/>
      <c r="HC102" s="73"/>
      <c r="HD102" s="72">
        <f t="shared" ref="HD102" ca="1" si="2678">($M102=HC102)*$D$13</f>
        <v>0</v>
      </c>
      <c r="HE102" s="63"/>
      <c r="HF102" s="73"/>
      <c r="HG102" s="72">
        <f t="shared" ref="HG102" ca="1" si="2679">($M102=HF102)*$D$13</f>
        <v>0</v>
      </c>
      <c r="HH102" s="63"/>
      <c r="HI102" s="73"/>
      <c r="HJ102" s="72">
        <f t="shared" ref="HJ102" ca="1" si="2680">($M102=HI102)*$D$13</f>
        <v>0</v>
      </c>
      <c r="HK102" s="63"/>
      <c r="HL102" s="73"/>
      <c r="HM102" s="72">
        <f t="shared" ref="HM102" ca="1" si="2681">($M102=HL102)*$D$13</f>
        <v>0</v>
      </c>
      <c r="HN102" s="63"/>
      <c r="HO102" s="73"/>
      <c r="HP102" s="72">
        <f t="shared" ref="HP102" ca="1" si="2682">($M102=HO102)*$D$13</f>
        <v>0</v>
      </c>
      <c r="HQ102" s="63"/>
      <c r="HR102" s="73"/>
      <c r="HS102" s="72">
        <f t="shared" ref="HS102" ca="1" si="2683">($M102=HR102)*$D$13</f>
        <v>0</v>
      </c>
      <c r="HT102" s="63"/>
      <c r="HU102" s="73"/>
      <c r="HV102" s="72">
        <f t="shared" ref="HV102" ca="1" si="2684">($M102=HU102)*$D$13</f>
        <v>0</v>
      </c>
      <c r="HW102" s="63"/>
      <c r="HX102" s="73"/>
      <c r="HY102" s="72">
        <f t="shared" ref="HY102" ca="1" si="2685">($M102=HX102)*$D$13</f>
        <v>0</v>
      </c>
      <c r="HZ102" s="63"/>
      <c r="IA102" s="73"/>
      <c r="IB102" s="72">
        <f t="shared" ref="IB102" ca="1" si="2686">($M102=IA102)*$D$13</f>
        <v>0</v>
      </c>
      <c r="IC102" s="63"/>
      <c r="ID102" s="73"/>
      <c r="IE102" s="72">
        <f t="shared" ref="IE102" ca="1" si="2687">($M102=ID102)*$D$13</f>
        <v>0</v>
      </c>
      <c r="IF102" s="63"/>
      <c r="IG102" s="73"/>
      <c r="IH102" s="72">
        <f t="shared" ref="IH102" ca="1" si="2688">($M102=IG102)*$D$13</f>
        <v>0</v>
      </c>
      <c r="II102" s="63"/>
      <c r="IJ102" s="73"/>
      <c r="IK102" s="72">
        <f t="shared" ref="IK102" ca="1" si="2689">($M102=IJ102)*$D$13</f>
        <v>0</v>
      </c>
      <c r="IL102" s="63"/>
      <c r="IM102" s="73"/>
      <c r="IN102" s="72">
        <f t="shared" ref="IN102" ca="1" si="2690">($M102=IM102)*$D$13</f>
        <v>0</v>
      </c>
      <c r="IO102" s="63"/>
      <c r="IP102" s="73"/>
      <c r="IQ102" s="72">
        <f t="shared" ref="IQ102" ca="1" si="2691">($M102=IP102)*$D$13</f>
        <v>0</v>
      </c>
      <c r="IR102" s="63"/>
      <c r="IS102" s="73"/>
      <c r="IT102" s="72">
        <f t="shared" ref="IT102" ca="1" si="2692">($M102=IS102)*$D$13</f>
        <v>0</v>
      </c>
      <c r="IU102" s="63"/>
      <c r="IV102" s="73"/>
      <c r="IW102" s="72">
        <f t="shared" ref="IW102" ca="1" si="2693">($M102=IV102)*$D$13</f>
        <v>0</v>
      </c>
      <c r="IX102" s="63"/>
      <c r="IY102" s="73"/>
      <c r="IZ102" s="72">
        <f t="shared" ref="IZ102" ca="1" si="2694">($M102=IY102)*$D$13</f>
        <v>0</v>
      </c>
      <c r="JA102" s="63"/>
      <c r="JB102" s="73"/>
      <c r="JC102" s="72">
        <f t="shared" ref="JC102" ca="1" si="2695">($M102=JB102)*$D$13</f>
        <v>0</v>
      </c>
      <c r="JD102" s="63"/>
      <c r="JE102" s="73"/>
      <c r="JF102" s="72">
        <f t="shared" ref="JF102" ca="1" si="2696">($M102=JE102)*$D$13</f>
        <v>0</v>
      </c>
      <c r="JG102" s="63"/>
      <c r="JH102" s="73"/>
      <c r="JI102" s="72">
        <f t="shared" ref="JI102" ca="1" si="2697">($M102=JH102)*$D$13</f>
        <v>0</v>
      </c>
      <c r="JJ102" s="63"/>
      <c r="JK102" s="73"/>
      <c r="JL102" s="72">
        <f t="shared" ref="JL102" ca="1" si="2698">($M102=JK102)*$D$13</f>
        <v>0</v>
      </c>
      <c r="JM102" s="63"/>
      <c r="JN102" s="73"/>
      <c r="JO102" s="72">
        <f t="shared" ref="JO102" ca="1" si="2699">($M102=JN102)*$D$13</f>
        <v>0</v>
      </c>
      <c r="JP102" s="63"/>
      <c r="JQ102" s="73"/>
      <c r="JR102" s="72">
        <f t="shared" ref="JR102" ca="1" si="2700">($M102=JQ102)*$D$13</f>
        <v>0</v>
      </c>
      <c r="JS102" s="63"/>
      <c r="JT102" s="73"/>
      <c r="JU102" s="72">
        <f t="shared" ref="JU102" ca="1" si="2701">($M102=JT102)*$D$13</f>
        <v>0</v>
      </c>
      <c r="JV102" s="63"/>
      <c r="JW102" s="73"/>
      <c r="JX102" s="72">
        <f t="shared" ref="JX102" ca="1" si="2702">($M102=JW102)*$D$13</f>
        <v>0</v>
      </c>
      <c r="JY102" s="63"/>
      <c r="JZ102" s="73"/>
      <c r="KA102" s="72">
        <f t="shared" ref="KA102" ca="1" si="2703">($M102=JZ102)*$D$13</f>
        <v>0</v>
      </c>
      <c r="KB102" s="63"/>
      <c r="KC102" s="73"/>
      <c r="KD102" s="72">
        <f t="shared" ref="KD102" ca="1" si="2704">($M102=KC102)*$D$13</f>
        <v>0</v>
      </c>
      <c r="KE102" s="63"/>
      <c r="KF102" s="73"/>
      <c r="KG102" s="72">
        <f t="shared" ref="KG102" ca="1" si="2705">($M102=KF102)*$D$13</f>
        <v>0</v>
      </c>
      <c r="KH102" s="63"/>
      <c r="KI102" s="73"/>
      <c r="KJ102" s="72">
        <f t="shared" ref="KJ102" ca="1" si="2706">($M102=KI102)*$D$13</f>
        <v>0</v>
      </c>
      <c r="KK102" s="63"/>
      <c r="KL102" s="73"/>
      <c r="KM102" s="72">
        <f t="shared" ref="KM102" ca="1" si="2707">($M102=KL102)*$D$13</f>
        <v>0</v>
      </c>
      <c r="KN102" s="63"/>
      <c r="KO102" s="73"/>
      <c r="KP102" s="72">
        <f t="shared" ref="KP102" ca="1" si="2708">($M102=KO102)*$D$13</f>
        <v>0</v>
      </c>
      <c r="KQ102" s="63"/>
      <c r="KR102" s="73"/>
      <c r="KS102" s="72">
        <f t="shared" ref="KS102" ca="1" si="2709">($M102=KR102)*$D$13</f>
        <v>0</v>
      </c>
      <c r="KT102" s="63"/>
      <c r="KU102" s="73"/>
      <c r="KV102" s="72">
        <f t="shared" ref="KV102" ca="1" si="2710">($M102=KU102)*$D$13</f>
        <v>0</v>
      </c>
      <c r="KW102" s="63"/>
      <c r="KX102" s="73"/>
      <c r="KY102" s="72">
        <f t="shared" ref="KY102" ca="1" si="2711">($M102=KX102)*$D$13</f>
        <v>0</v>
      </c>
      <c r="KZ102" s="63"/>
      <c r="LA102" s="73"/>
      <c r="LB102" s="72">
        <f t="shared" ref="LB102" ca="1" si="2712">($M102=LA102)*$D$13</f>
        <v>0</v>
      </c>
      <c r="LC102" s="63"/>
      <c r="LD102" s="73"/>
      <c r="LE102" s="72">
        <f t="shared" ref="LE102" ca="1" si="2713">($M102=LD102)*$D$13</f>
        <v>0</v>
      </c>
      <c r="LF102" s="63"/>
    </row>
    <row r="103" spans="1:318" s="784" customFormat="1">
      <c r="A103" s="49"/>
      <c r="B103" s="49"/>
      <c r="C103" s="49"/>
      <c r="D103" s="49"/>
      <c r="E103" s="109"/>
      <c r="F103" s="125">
        <f t="shared" ref="F103" si="2714">$D$14</f>
        <v>20</v>
      </c>
      <c r="G103" s="443">
        <f ca="1">VLOOKUP(H103,Equipos!$Q$1:$R$25,2,0)</f>
        <v>15</v>
      </c>
      <c r="H103" s="444">
        <f ca="1">$H$64</f>
        <v>46198</v>
      </c>
      <c r="I103" s="50"/>
      <c r="J103" s="845"/>
      <c r="K103" s="56" t="str">
        <f>Idiomas!D173</f>
        <v>4º GRUPO F</v>
      </c>
      <c r="L103" s="53"/>
      <c r="M103" s="55" t="str">
        <f ca="1">IF(OR(SUM(WORLDCUP!$AN$46:$AN$49)=12,WORLDCUP!$AJ$99=144),WORLDCUP!AL49,LEFT(K103,1)&amp;RIGHT(K103,1))</f>
        <v>4F</v>
      </c>
      <c r="N103" s="25"/>
      <c r="O103" s="25"/>
      <c r="P103" s="25"/>
      <c r="Q103" s="25"/>
      <c r="R103" s="108"/>
      <c r="S103" s="796" t="s">
        <v>1322</v>
      </c>
      <c r="T103" s="72">
        <f t="shared" ref="T103" ca="1" si="2715">($M103=S103)*$D$14</f>
        <v>0</v>
      </c>
      <c r="U103" s="63"/>
      <c r="V103" s="73" t="s">
        <v>1322</v>
      </c>
      <c r="W103" s="72">
        <f t="shared" ref="W103" ca="1" si="2716">($M103=V103)*$D$14</f>
        <v>0</v>
      </c>
      <c r="X103" s="63"/>
      <c r="Y103" s="796" t="s">
        <v>1322</v>
      </c>
      <c r="Z103" s="72">
        <f t="shared" ref="Z103" ca="1" si="2717">($M103=Y103)*$D$14</f>
        <v>0</v>
      </c>
      <c r="AA103" s="63"/>
      <c r="AB103" s="796" t="s">
        <v>1322</v>
      </c>
      <c r="AC103" s="72">
        <f t="shared" ref="AC103" ca="1" si="2718">($M103=AB103)*$D$14</f>
        <v>0</v>
      </c>
      <c r="AD103" s="63"/>
      <c r="AE103" s="796" t="s">
        <v>1322</v>
      </c>
      <c r="AF103" s="72">
        <f t="shared" ref="AF103" ca="1" si="2719">($M103=AE103)*$D$14</f>
        <v>0</v>
      </c>
      <c r="AG103" s="63"/>
      <c r="AH103" s="796" t="s">
        <v>1322</v>
      </c>
      <c r="AI103" s="72">
        <f t="shared" ref="AI103" ca="1" si="2720">($M103=AH103)*$D$14</f>
        <v>0</v>
      </c>
      <c r="AJ103" s="63"/>
      <c r="AK103" s="806" t="s">
        <v>1322</v>
      </c>
      <c r="AL103" s="72">
        <f t="shared" ref="AL103" ca="1" si="2721">($M103=AK103)*$D$14</f>
        <v>0</v>
      </c>
      <c r="AM103" s="63"/>
      <c r="AN103" s="796" t="s">
        <v>1322</v>
      </c>
      <c r="AO103" s="72">
        <f t="shared" ref="AO103" ca="1" si="2722">($M103=AN103)*$D$14</f>
        <v>0</v>
      </c>
      <c r="AP103" s="63"/>
      <c r="AQ103" s="806" t="s">
        <v>1263</v>
      </c>
      <c r="AR103" s="72">
        <f t="shared" ref="AR103" ca="1" si="2723">($M103=AQ103)*$D$14</f>
        <v>0</v>
      </c>
      <c r="AS103" s="63"/>
      <c r="AT103" s="796" t="s">
        <v>1322</v>
      </c>
      <c r="AU103" s="72">
        <f t="shared" ref="AU103" ca="1" si="2724">($M103=AT103)*$D$14</f>
        <v>0</v>
      </c>
      <c r="AV103" s="63"/>
      <c r="AW103" s="796" t="s">
        <v>1322</v>
      </c>
      <c r="AX103" s="72">
        <f t="shared" ref="AX103" ca="1" si="2725">($M103=AW103)*$D$14</f>
        <v>0</v>
      </c>
      <c r="AY103" s="63"/>
      <c r="AZ103" s="796" t="s">
        <v>1263</v>
      </c>
      <c r="BA103" s="72">
        <f t="shared" ref="BA103" ca="1" si="2726">($M103=AZ103)*$D$14</f>
        <v>0</v>
      </c>
      <c r="BB103" s="63"/>
      <c r="BC103" s="796" t="s">
        <v>1322</v>
      </c>
      <c r="BD103" s="72">
        <f t="shared" ref="BD103" ca="1" si="2727">($M103=BC103)*$D$14</f>
        <v>0</v>
      </c>
      <c r="BE103" s="63"/>
      <c r="BF103" s="796" t="s">
        <v>1322</v>
      </c>
      <c r="BG103" s="72">
        <f t="shared" ref="BG103" ca="1" si="2728">($M103=BF103)*$D$14</f>
        <v>0</v>
      </c>
      <c r="BH103" s="63"/>
      <c r="BI103" s="796" t="s">
        <v>1322</v>
      </c>
      <c r="BJ103" s="72">
        <f t="shared" ref="BJ103" ca="1" si="2729">($M103=BI103)*$D$14</f>
        <v>0</v>
      </c>
      <c r="BK103" s="63"/>
      <c r="BL103" s="796" t="s">
        <v>1322</v>
      </c>
      <c r="BM103" s="72">
        <f t="shared" ref="BM103" ca="1" si="2730">($M103=BL103)*$D$14</f>
        <v>0</v>
      </c>
      <c r="BN103" s="63"/>
      <c r="BO103" s="816" t="s">
        <v>1322</v>
      </c>
      <c r="BP103" s="72">
        <f t="shared" ref="BP103" ca="1" si="2731">($M103=BO103)*$D$14</f>
        <v>0</v>
      </c>
      <c r="BQ103" s="63"/>
      <c r="BR103" s="796" t="s">
        <v>1322</v>
      </c>
      <c r="BS103" s="72">
        <f t="shared" ref="BS103" ca="1" si="2732">($M103=BR103)*$D$14</f>
        <v>0</v>
      </c>
      <c r="BT103" s="63"/>
      <c r="BU103" s="796" t="s">
        <v>1322</v>
      </c>
      <c r="BV103" s="72">
        <f t="shared" ref="BV103" ca="1" si="2733">($M103=BU103)*$D$14</f>
        <v>0</v>
      </c>
      <c r="BW103" s="63"/>
      <c r="BX103" s="73" t="s">
        <v>1322</v>
      </c>
      <c r="BY103" s="72">
        <f t="shared" ref="BY103" ca="1" si="2734">($M103=BX103)*$D$14</f>
        <v>0</v>
      </c>
      <c r="BZ103" s="63"/>
      <c r="CA103" s="816" t="s">
        <v>1833</v>
      </c>
      <c r="CB103" s="72">
        <f t="shared" ref="CB103" ca="1" si="2735">($M103=CA103)*$D$14</f>
        <v>0</v>
      </c>
      <c r="CC103" s="63"/>
      <c r="CD103" s="825" t="s">
        <v>1322</v>
      </c>
      <c r="CE103" s="72">
        <f t="shared" ref="CE103" ca="1" si="2736">($M103=CD103)*$D$14</f>
        <v>0</v>
      </c>
      <c r="CF103" s="63"/>
      <c r="CG103" s="796" t="s">
        <v>1322</v>
      </c>
      <c r="CH103" s="72">
        <f t="shared" ref="CH103" ca="1" si="2737">($M103=CG103)*$D$14</f>
        <v>0</v>
      </c>
      <c r="CI103" s="63"/>
      <c r="CJ103" s="796" t="s">
        <v>1322</v>
      </c>
      <c r="CK103" s="72">
        <f t="shared" ref="CK103" ca="1" si="2738">($M103=CJ103)*$D$14</f>
        <v>0</v>
      </c>
      <c r="CL103" s="63"/>
      <c r="CM103" s="796" t="s">
        <v>1322</v>
      </c>
      <c r="CN103" s="72">
        <f t="shared" ref="CN103" ca="1" si="2739">($M103=CM103)*$D$14</f>
        <v>0</v>
      </c>
      <c r="CO103" s="63"/>
      <c r="CP103" s="796" t="s">
        <v>1322</v>
      </c>
      <c r="CQ103" s="72">
        <f t="shared" ref="CQ103" ca="1" si="2740">($M103=CP103)*$D$14</f>
        <v>0</v>
      </c>
      <c r="CR103" s="63"/>
      <c r="CS103" s="796" t="s">
        <v>1322</v>
      </c>
      <c r="CT103" s="72">
        <f t="shared" ref="CT103" ca="1" si="2741">($M103=CS103)*$D$14</f>
        <v>0</v>
      </c>
      <c r="CU103" s="63"/>
      <c r="CV103" s="796" t="s">
        <v>1322</v>
      </c>
      <c r="CW103" s="72">
        <f t="shared" ref="CW103" ca="1" si="2742">($M103=CV103)*$D$14</f>
        <v>0</v>
      </c>
      <c r="CX103" s="63"/>
      <c r="CY103" s="796" t="s">
        <v>1322</v>
      </c>
      <c r="CZ103" s="72">
        <f t="shared" ref="CZ103" ca="1" si="2743">($M103=CY103)*$D$14</f>
        <v>0</v>
      </c>
      <c r="DA103" s="63"/>
      <c r="DB103" s="796" t="s">
        <v>1322</v>
      </c>
      <c r="DC103" s="72">
        <f t="shared" ref="DC103" ca="1" si="2744">($M103=DB103)*$D$14</f>
        <v>0</v>
      </c>
      <c r="DD103" s="63"/>
      <c r="DE103" s="796" t="s">
        <v>1322</v>
      </c>
      <c r="DF103" s="72">
        <f ca="1">($M103=DE103)*$D$14</f>
        <v>0</v>
      </c>
      <c r="DG103" s="63"/>
      <c r="DH103" s="796" t="s">
        <v>1322</v>
      </c>
      <c r="DI103" s="72">
        <f ca="1">($M103=DH103)*$D$14</f>
        <v>0</v>
      </c>
      <c r="DJ103" s="63"/>
      <c r="DK103" s="796" t="s">
        <v>1322</v>
      </c>
      <c r="DL103" s="72">
        <f ca="1">($M103=DK103)*$D$14</f>
        <v>0</v>
      </c>
      <c r="DM103" s="63"/>
      <c r="DN103" s="73"/>
      <c r="DO103" s="72">
        <f t="shared" ref="DO103" ca="1" si="2745">($M103=DN103)*$D$14</f>
        <v>0</v>
      </c>
      <c r="DP103" s="63"/>
      <c r="DQ103" s="796" t="s">
        <v>1322</v>
      </c>
      <c r="DR103" s="72">
        <f t="shared" ref="DR103" ca="1" si="2746">($M103=DQ103)*$D$14</f>
        <v>0</v>
      </c>
      <c r="DS103" s="63"/>
      <c r="DT103" s="73" t="s">
        <v>1322</v>
      </c>
      <c r="DU103" s="72">
        <f t="shared" ref="DU103" ca="1" si="2747">($M103=DT103)*$D$14</f>
        <v>0</v>
      </c>
      <c r="DV103" s="63"/>
      <c r="DW103" s="73"/>
      <c r="DX103" s="72">
        <f t="shared" ref="DX103" ca="1" si="2748">($M103=DW103)*$D$14</f>
        <v>0</v>
      </c>
      <c r="DY103" s="63"/>
      <c r="DZ103" s="73"/>
      <c r="EA103" s="72">
        <f ca="1">($M103=DZ103)*$D$14</f>
        <v>0</v>
      </c>
      <c r="EB103" s="63"/>
      <c r="EC103" s="73"/>
      <c r="ED103" s="72">
        <f t="shared" ref="ED103" ca="1" si="2749">($M103=EC103)*$D$14</f>
        <v>0</v>
      </c>
      <c r="EE103" s="63"/>
      <c r="EF103" s="73"/>
      <c r="EG103" s="72">
        <f t="shared" ref="EG103" ca="1" si="2750">($M103=EF103)*$D$14</f>
        <v>0</v>
      </c>
      <c r="EH103" s="63"/>
      <c r="EI103" s="73"/>
      <c r="EJ103" s="72">
        <f t="shared" ref="EJ103" ca="1" si="2751">($M103=EI103)*$D$14</f>
        <v>0</v>
      </c>
      <c r="EK103" s="63"/>
      <c r="EL103" s="73"/>
      <c r="EM103" s="72">
        <f t="shared" ref="EM103" ca="1" si="2752">($M103=EL103)*$D$14</f>
        <v>0</v>
      </c>
      <c r="EN103" s="63"/>
      <c r="EO103" s="73"/>
      <c r="EP103" s="72">
        <f t="shared" ref="EP103" ca="1" si="2753">($M103=EO103)*$D$14</f>
        <v>0</v>
      </c>
      <c r="EQ103" s="63"/>
      <c r="ER103" s="73"/>
      <c r="ES103" s="72">
        <f t="shared" ref="ES103" ca="1" si="2754">($M103=ER103)*$D$14</f>
        <v>0</v>
      </c>
      <c r="ET103" s="63"/>
      <c r="EU103" s="73"/>
      <c r="EV103" s="72">
        <f t="shared" ref="EV103" ca="1" si="2755">($M103=EU103)*$D$14</f>
        <v>0</v>
      </c>
      <c r="EW103" s="63"/>
      <c r="EX103" s="73"/>
      <c r="EY103" s="72">
        <f t="shared" ref="EY103" ca="1" si="2756">($M103=EX103)*$D$14</f>
        <v>0</v>
      </c>
      <c r="EZ103" s="63"/>
      <c r="FA103" s="73"/>
      <c r="FB103" s="72">
        <f t="shared" ref="FB103" ca="1" si="2757">($M103=FA103)*$D$14</f>
        <v>0</v>
      </c>
      <c r="FC103" s="63"/>
      <c r="FD103" s="73"/>
      <c r="FE103" s="72">
        <f t="shared" ref="FE103" ca="1" si="2758">($M103=FD103)*$D$14</f>
        <v>0</v>
      </c>
      <c r="FF103" s="63"/>
      <c r="FG103" s="73"/>
      <c r="FH103" s="72">
        <f t="shared" ref="FH103" ca="1" si="2759">($M103=FG103)*$D$14</f>
        <v>0</v>
      </c>
      <c r="FI103" s="63"/>
      <c r="FJ103" s="73"/>
      <c r="FK103" s="72">
        <f t="shared" ref="FK103" ca="1" si="2760">($M103=FJ103)*$D$14</f>
        <v>0</v>
      </c>
      <c r="FL103" s="63"/>
      <c r="FM103" s="73"/>
      <c r="FN103" s="72">
        <f t="shared" ref="FN103" ca="1" si="2761">($M103=FM103)*$D$14</f>
        <v>0</v>
      </c>
      <c r="FO103" s="63"/>
      <c r="FP103" s="73"/>
      <c r="FQ103" s="72">
        <f t="shared" ref="FQ103" ca="1" si="2762">($M103=FP103)*$D$14</f>
        <v>0</v>
      </c>
      <c r="FR103" s="63"/>
      <c r="FS103" s="73"/>
      <c r="FT103" s="72">
        <f t="shared" ref="FT103" ca="1" si="2763">($M103=FS103)*$D$14</f>
        <v>0</v>
      </c>
      <c r="FU103" s="63"/>
      <c r="FV103" s="73"/>
      <c r="FW103" s="72">
        <f t="shared" ref="FW103" ca="1" si="2764">($M103=FV103)*$D$14</f>
        <v>0</v>
      </c>
      <c r="FX103" s="63"/>
      <c r="FY103" s="73"/>
      <c r="FZ103" s="72">
        <f t="shared" ref="FZ103" ca="1" si="2765">($M103=FY103)*$D$14</f>
        <v>0</v>
      </c>
      <c r="GA103" s="63"/>
      <c r="GB103" s="73"/>
      <c r="GC103" s="72">
        <f t="shared" ref="GC103" ca="1" si="2766">($M103=GB103)*$D$14</f>
        <v>0</v>
      </c>
      <c r="GD103" s="63"/>
      <c r="GE103" s="73"/>
      <c r="GF103" s="72">
        <f t="shared" ref="GF103" ca="1" si="2767">($M103=GE103)*$D$14</f>
        <v>0</v>
      </c>
      <c r="GG103" s="63"/>
      <c r="GH103" s="73"/>
      <c r="GI103" s="72">
        <f t="shared" ref="GI103" ca="1" si="2768">($M103=GH103)*$D$14</f>
        <v>0</v>
      </c>
      <c r="GJ103" s="63"/>
      <c r="GK103" s="73"/>
      <c r="GL103" s="72">
        <f t="shared" ref="GL103" ca="1" si="2769">($M103=GK103)*$D$14</f>
        <v>0</v>
      </c>
      <c r="GM103" s="63"/>
      <c r="GN103" s="73"/>
      <c r="GO103" s="72">
        <f t="shared" ref="GO103" ca="1" si="2770">($M103=GN103)*$D$14</f>
        <v>0</v>
      </c>
      <c r="GP103" s="63"/>
      <c r="GQ103" s="73"/>
      <c r="GR103" s="72">
        <f t="shared" ref="GR103" ca="1" si="2771">($M103=GQ103)*$D$14</f>
        <v>0</v>
      </c>
      <c r="GS103" s="63"/>
      <c r="GT103" s="73"/>
      <c r="GU103" s="72">
        <f t="shared" ref="GU103" ca="1" si="2772">($M103=GT103)*$D$14</f>
        <v>0</v>
      </c>
      <c r="GV103" s="63"/>
      <c r="GW103" s="73"/>
      <c r="GX103" s="72">
        <f t="shared" ref="GX103" ca="1" si="2773">($M103=GW103)*$D$14</f>
        <v>0</v>
      </c>
      <c r="GY103" s="63"/>
      <c r="GZ103" s="73"/>
      <c r="HA103" s="72">
        <f t="shared" ref="HA103" ca="1" si="2774">($M103=GZ103)*$D$14</f>
        <v>0</v>
      </c>
      <c r="HB103" s="63"/>
      <c r="HC103" s="73"/>
      <c r="HD103" s="72">
        <f t="shared" ref="HD103" ca="1" si="2775">($M103=HC103)*$D$14</f>
        <v>0</v>
      </c>
      <c r="HE103" s="63"/>
      <c r="HF103" s="73"/>
      <c r="HG103" s="72">
        <f t="shared" ref="HG103" ca="1" si="2776">($M103=HF103)*$D$14</f>
        <v>0</v>
      </c>
      <c r="HH103" s="63"/>
      <c r="HI103" s="73"/>
      <c r="HJ103" s="72">
        <f t="shared" ref="HJ103" ca="1" si="2777">($M103=HI103)*$D$14</f>
        <v>0</v>
      </c>
      <c r="HK103" s="63"/>
      <c r="HL103" s="73"/>
      <c r="HM103" s="72">
        <f t="shared" ref="HM103" ca="1" si="2778">($M103=HL103)*$D$14</f>
        <v>0</v>
      </c>
      <c r="HN103" s="63"/>
      <c r="HO103" s="73"/>
      <c r="HP103" s="72">
        <f t="shared" ref="HP103" ca="1" si="2779">($M103=HO103)*$D$14</f>
        <v>0</v>
      </c>
      <c r="HQ103" s="63"/>
      <c r="HR103" s="73"/>
      <c r="HS103" s="72">
        <f t="shared" ref="HS103" ca="1" si="2780">($M103=HR103)*$D$14</f>
        <v>0</v>
      </c>
      <c r="HT103" s="63"/>
      <c r="HU103" s="73"/>
      <c r="HV103" s="72">
        <f t="shared" ref="HV103" ca="1" si="2781">($M103=HU103)*$D$14</f>
        <v>0</v>
      </c>
      <c r="HW103" s="63"/>
      <c r="HX103" s="73"/>
      <c r="HY103" s="72">
        <f t="shared" ref="HY103" ca="1" si="2782">($M103=HX103)*$D$14</f>
        <v>0</v>
      </c>
      <c r="HZ103" s="63"/>
      <c r="IA103" s="73"/>
      <c r="IB103" s="72">
        <f t="shared" ref="IB103" ca="1" si="2783">($M103=IA103)*$D$14</f>
        <v>0</v>
      </c>
      <c r="IC103" s="63"/>
      <c r="ID103" s="73"/>
      <c r="IE103" s="72">
        <f t="shared" ref="IE103" ca="1" si="2784">($M103=ID103)*$D$14</f>
        <v>0</v>
      </c>
      <c r="IF103" s="63"/>
      <c r="IG103" s="73"/>
      <c r="IH103" s="72">
        <f t="shared" ref="IH103" ca="1" si="2785">($M103=IG103)*$D$14</f>
        <v>0</v>
      </c>
      <c r="II103" s="63"/>
      <c r="IJ103" s="73"/>
      <c r="IK103" s="72">
        <f t="shared" ref="IK103" ca="1" si="2786">($M103=IJ103)*$D$14</f>
        <v>0</v>
      </c>
      <c r="IL103" s="63"/>
      <c r="IM103" s="73"/>
      <c r="IN103" s="72">
        <f t="shared" ref="IN103" ca="1" si="2787">($M103=IM103)*$D$14</f>
        <v>0</v>
      </c>
      <c r="IO103" s="63"/>
      <c r="IP103" s="73"/>
      <c r="IQ103" s="72">
        <f t="shared" ref="IQ103" ca="1" si="2788">($M103=IP103)*$D$14</f>
        <v>0</v>
      </c>
      <c r="IR103" s="63"/>
      <c r="IS103" s="73"/>
      <c r="IT103" s="72">
        <f t="shared" ref="IT103" ca="1" si="2789">($M103=IS103)*$D$14</f>
        <v>0</v>
      </c>
      <c r="IU103" s="63"/>
      <c r="IV103" s="73"/>
      <c r="IW103" s="72">
        <f t="shared" ref="IW103" ca="1" si="2790">($M103=IV103)*$D$14</f>
        <v>0</v>
      </c>
      <c r="IX103" s="63"/>
      <c r="IY103" s="73"/>
      <c r="IZ103" s="72">
        <f t="shared" ref="IZ103" ca="1" si="2791">($M103=IY103)*$D$14</f>
        <v>0</v>
      </c>
      <c r="JA103" s="63"/>
      <c r="JB103" s="73"/>
      <c r="JC103" s="72">
        <f t="shared" ref="JC103" ca="1" si="2792">($M103=JB103)*$D$14</f>
        <v>0</v>
      </c>
      <c r="JD103" s="63"/>
      <c r="JE103" s="73"/>
      <c r="JF103" s="72">
        <f t="shared" ref="JF103" ca="1" si="2793">($M103=JE103)*$D$14</f>
        <v>0</v>
      </c>
      <c r="JG103" s="63"/>
      <c r="JH103" s="73"/>
      <c r="JI103" s="72">
        <f t="shared" ref="JI103" ca="1" si="2794">($M103=JH103)*$D$14</f>
        <v>0</v>
      </c>
      <c r="JJ103" s="63"/>
      <c r="JK103" s="73"/>
      <c r="JL103" s="72">
        <f t="shared" ref="JL103" ca="1" si="2795">($M103=JK103)*$D$14</f>
        <v>0</v>
      </c>
      <c r="JM103" s="63"/>
      <c r="JN103" s="73"/>
      <c r="JO103" s="72">
        <f t="shared" ref="JO103" ca="1" si="2796">($M103=JN103)*$D$14</f>
        <v>0</v>
      </c>
      <c r="JP103" s="63"/>
      <c r="JQ103" s="73"/>
      <c r="JR103" s="72">
        <f t="shared" ref="JR103" ca="1" si="2797">($M103=JQ103)*$D$14</f>
        <v>0</v>
      </c>
      <c r="JS103" s="63"/>
      <c r="JT103" s="73"/>
      <c r="JU103" s="72">
        <f t="shared" ref="JU103" ca="1" si="2798">($M103=JT103)*$D$14</f>
        <v>0</v>
      </c>
      <c r="JV103" s="63"/>
      <c r="JW103" s="73"/>
      <c r="JX103" s="72">
        <f t="shared" ref="JX103" ca="1" si="2799">($M103=JW103)*$D$14</f>
        <v>0</v>
      </c>
      <c r="JY103" s="63"/>
      <c r="JZ103" s="73"/>
      <c r="KA103" s="72">
        <f t="shared" ref="KA103" ca="1" si="2800">($M103=JZ103)*$D$14</f>
        <v>0</v>
      </c>
      <c r="KB103" s="63"/>
      <c r="KC103" s="73"/>
      <c r="KD103" s="72">
        <f t="shared" ref="KD103" ca="1" si="2801">($M103=KC103)*$D$14</f>
        <v>0</v>
      </c>
      <c r="KE103" s="63"/>
      <c r="KF103" s="73"/>
      <c r="KG103" s="72">
        <f t="shared" ref="KG103" ca="1" si="2802">($M103=KF103)*$D$14</f>
        <v>0</v>
      </c>
      <c r="KH103" s="63"/>
      <c r="KI103" s="73"/>
      <c r="KJ103" s="72">
        <f t="shared" ref="KJ103" ca="1" si="2803">($M103=KI103)*$D$14</f>
        <v>0</v>
      </c>
      <c r="KK103" s="63"/>
      <c r="KL103" s="73"/>
      <c r="KM103" s="72">
        <f t="shared" ref="KM103" ca="1" si="2804">($M103=KL103)*$D$14</f>
        <v>0</v>
      </c>
      <c r="KN103" s="63"/>
      <c r="KO103" s="73"/>
      <c r="KP103" s="72">
        <f t="shared" ref="KP103" ca="1" si="2805">($M103=KO103)*$D$14</f>
        <v>0</v>
      </c>
      <c r="KQ103" s="63"/>
      <c r="KR103" s="73"/>
      <c r="KS103" s="72">
        <f t="shared" ref="KS103" ca="1" si="2806">($M103=KR103)*$D$14</f>
        <v>0</v>
      </c>
      <c r="KT103" s="63"/>
      <c r="KU103" s="73"/>
      <c r="KV103" s="72">
        <f t="shared" ref="KV103" ca="1" si="2807">($M103=KU103)*$D$14</f>
        <v>0</v>
      </c>
      <c r="KW103" s="63"/>
      <c r="KX103" s="73"/>
      <c r="KY103" s="72">
        <f t="shared" ref="KY103" ca="1" si="2808">($M103=KX103)*$D$14</f>
        <v>0</v>
      </c>
      <c r="KZ103" s="63"/>
      <c r="LA103" s="73"/>
      <c r="LB103" s="72">
        <f t="shared" ref="LB103" ca="1" si="2809">($M103=LA103)*$D$14</f>
        <v>0</v>
      </c>
      <c r="LC103" s="63"/>
      <c r="LD103" s="73"/>
      <c r="LE103" s="72">
        <f t="shared" ref="LE103" ca="1" si="2810">($M103=LD103)*$D$14</f>
        <v>0</v>
      </c>
      <c r="LF103" s="63"/>
    </row>
    <row r="104" spans="1:318" s="784" customFormat="1">
      <c r="A104" s="49"/>
      <c r="B104" s="49"/>
      <c r="C104" s="49"/>
      <c r="D104" s="49"/>
      <c r="E104" s="109"/>
      <c r="F104" s="125">
        <f t="shared" ref="F104" si="2811">$D$11</f>
        <v>20</v>
      </c>
      <c r="G104" s="443">
        <f ca="1">VLOOKUP(H104,Equipos!$Q$1:$R$25,2,0)</f>
        <v>16</v>
      </c>
      <c r="H104" s="444">
        <f ca="1">$H$66</f>
        <v>46199</v>
      </c>
      <c r="I104" s="50"/>
      <c r="J104" s="846" t="s">
        <v>6</v>
      </c>
      <c r="K104" s="56" t="str">
        <f>Idiomas!D174</f>
        <v>1º GRUPO G</v>
      </c>
      <c r="L104" s="53"/>
      <c r="M104" s="55" t="str">
        <f ca="1">IF(OR(SUM(WORLDCUP!$AN$54:$AN$57)=12,WORLDCUP!$AJ$99=144),WORLDCUP!AL54,LEFT(K104,1)&amp;RIGHT(K104,1))</f>
        <v>1G</v>
      </c>
      <c r="N104" s="25"/>
      <c r="O104" s="25"/>
      <c r="P104" s="25"/>
      <c r="Q104" s="25"/>
      <c r="R104" s="108"/>
      <c r="S104" s="796" t="s">
        <v>110</v>
      </c>
      <c r="T104" s="72">
        <f t="shared" ref="T104" ca="1" si="2812">($M104=S104)*$D$11</f>
        <v>0</v>
      </c>
      <c r="U104" s="63"/>
      <c r="V104" s="73" t="s">
        <v>110</v>
      </c>
      <c r="W104" s="72">
        <f t="shared" ref="W104" ca="1" si="2813">($M104=V104)*$D$11</f>
        <v>0</v>
      </c>
      <c r="X104" s="63"/>
      <c r="Y104" s="796" t="s">
        <v>110</v>
      </c>
      <c r="Z104" s="72">
        <f t="shared" ref="Z104" ca="1" si="2814">($M104=Y104)*$D$11</f>
        <v>0</v>
      </c>
      <c r="AA104" s="63"/>
      <c r="AB104" s="796" t="s">
        <v>110</v>
      </c>
      <c r="AC104" s="72">
        <f t="shared" ref="AC104" ca="1" si="2815">($M104=AB104)*$D$11</f>
        <v>0</v>
      </c>
      <c r="AD104" s="63"/>
      <c r="AE104" s="796" t="s">
        <v>110</v>
      </c>
      <c r="AF104" s="72">
        <f t="shared" ref="AF104" ca="1" si="2816">($M104=AE104)*$D$11</f>
        <v>0</v>
      </c>
      <c r="AG104" s="63"/>
      <c r="AH104" s="796" t="s">
        <v>110</v>
      </c>
      <c r="AI104" s="72">
        <f t="shared" ref="AI104" ca="1" si="2817">($M104=AH104)*$D$11</f>
        <v>0</v>
      </c>
      <c r="AJ104" s="63"/>
      <c r="AK104" s="806" t="s">
        <v>110</v>
      </c>
      <c r="AL104" s="72">
        <f t="shared" ref="AL104" ca="1" si="2818">($M104=AK104)*$D$11</f>
        <v>0</v>
      </c>
      <c r="AM104" s="63"/>
      <c r="AN104" s="796" t="s">
        <v>110</v>
      </c>
      <c r="AO104" s="72">
        <f t="shared" ref="AO104" ca="1" si="2819">($M104=AN104)*$D$11</f>
        <v>0</v>
      </c>
      <c r="AP104" s="63"/>
      <c r="AQ104" s="806" t="s">
        <v>110</v>
      </c>
      <c r="AR104" s="72">
        <f t="shared" ref="AR104" ca="1" si="2820">($M104=AQ104)*$D$11</f>
        <v>0</v>
      </c>
      <c r="AS104" s="63"/>
      <c r="AT104" s="796" t="s">
        <v>110</v>
      </c>
      <c r="AU104" s="72">
        <f t="shared" ref="AU104" ca="1" si="2821">($M104=AT104)*$D$11</f>
        <v>0</v>
      </c>
      <c r="AV104" s="63"/>
      <c r="AW104" s="796" t="s">
        <v>110</v>
      </c>
      <c r="AX104" s="72">
        <f t="shared" ref="AX104" ca="1" si="2822">($M104=AW104)*$D$11</f>
        <v>0</v>
      </c>
      <c r="AY104" s="63"/>
      <c r="AZ104" s="796" t="s">
        <v>1262</v>
      </c>
      <c r="BA104" s="72">
        <f t="shared" ref="BA104" ca="1" si="2823">($M104=AZ104)*$D$11</f>
        <v>0</v>
      </c>
      <c r="BB104" s="63"/>
      <c r="BC104" s="796" t="s">
        <v>110</v>
      </c>
      <c r="BD104" s="72">
        <f t="shared" ref="BD104" ca="1" si="2824">($M104=BC104)*$D$11</f>
        <v>0</v>
      </c>
      <c r="BE104" s="63"/>
      <c r="BF104" s="796" t="s">
        <v>110</v>
      </c>
      <c r="BG104" s="72">
        <f t="shared" ref="BG104" ca="1" si="2825">($M104=BF104)*$D$11</f>
        <v>0</v>
      </c>
      <c r="BH104" s="63"/>
      <c r="BI104" s="796" t="s">
        <v>110</v>
      </c>
      <c r="BJ104" s="72">
        <f t="shared" ref="BJ104" ca="1" si="2826">($M104=BI104)*$D$11</f>
        <v>0</v>
      </c>
      <c r="BK104" s="63"/>
      <c r="BL104" s="796" t="s">
        <v>110</v>
      </c>
      <c r="BM104" s="72">
        <f t="shared" ref="BM104" ca="1" si="2827">($M104=BL104)*$D$11</f>
        <v>0</v>
      </c>
      <c r="BN104" s="63"/>
      <c r="BO104" s="816" t="s">
        <v>110</v>
      </c>
      <c r="BP104" s="72">
        <f t="shared" ref="BP104" ca="1" si="2828">($M104=BO104)*$D$11</f>
        <v>0</v>
      </c>
      <c r="BQ104" s="63"/>
      <c r="BR104" s="796" t="s">
        <v>110</v>
      </c>
      <c r="BS104" s="72">
        <f t="shared" ref="BS104" ca="1" si="2829">($M104=BR104)*$D$11</f>
        <v>0</v>
      </c>
      <c r="BT104" s="63"/>
      <c r="BU104" s="796" t="s">
        <v>110</v>
      </c>
      <c r="BV104" s="72">
        <f t="shared" ref="BV104" ca="1" si="2830">($M104=BU104)*$D$11</f>
        <v>0</v>
      </c>
      <c r="BW104" s="63"/>
      <c r="BX104" s="73" t="s">
        <v>1550</v>
      </c>
      <c r="BY104" s="72">
        <f t="shared" ref="BY104" ca="1" si="2831">($M104=BX104)*$D$11</f>
        <v>0</v>
      </c>
      <c r="BZ104" s="63"/>
      <c r="CA104" s="816" t="s">
        <v>110</v>
      </c>
      <c r="CB104" s="72">
        <f t="shared" ref="CB104" ca="1" si="2832">($M104=CA104)*$D$11</f>
        <v>0</v>
      </c>
      <c r="CC104" s="63"/>
      <c r="CD104" s="825" t="s">
        <v>110</v>
      </c>
      <c r="CE104" s="72">
        <f t="shared" ref="CE104" ca="1" si="2833">($M104=CD104)*$D$11</f>
        <v>0</v>
      </c>
      <c r="CF104" s="63"/>
      <c r="CG104" s="796" t="s">
        <v>110</v>
      </c>
      <c r="CH104" s="72">
        <f t="shared" ref="CH104" ca="1" si="2834">($M104=CG104)*$D$11</f>
        <v>0</v>
      </c>
      <c r="CI104" s="63"/>
      <c r="CJ104" s="796" t="s">
        <v>110</v>
      </c>
      <c r="CK104" s="72">
        <f t="shared" ref="CK104" ca="1" si="2835">($M104=CJ104)*$D$11</f>
        <v>0</v>
      </c>
      <c r="CL104" s="63"/>
      <c r="CM104" s="796" t="s">
        <v>110</v>
      </c>
      <c r="CN104" s="72">
        <f t="shared" ref="CN104" ca="1" si="2836">($M104=CM104)*$D$11</f>
        <v>0</v>
      </c>
      <c r="CO104" s="63"/>
      <c r="CP104" s="796" t="s">
        <v>110</v>
      </c>
      <c r="CQ104" s="72">
        <f t="shared" ref="CQ104" ca="1" si="2837">($M104=CP104)*$D$11</f>
        <v>0</v>
      </c>
      <c r="CR104" s="63"/>
      <c r="CS104" s="796" t="s">
        <v>110</v>
      </c>
      <c r="CT104" s="72">
        <f t="shared" ref="CT104" ca="1" si="2838">($M104=CS104)*$D$11</f>
        <v>0</v>
      </c>
      <c r="CU104" s="63"/>
      <c r="CV104" s="796" t="s">
        <v>1550</v>
      </c>
      <c r="CW104" s="72">
        <f t="shared" ref="CW104" ca="1" si="2839">($M104=CV104)*$D$11</f>
        <v>0</v>
      </c>
      <c r="CX104" s="63"/>
      <c r="CY104" s="796" t="s">
        <v>110</v>
      </c>
      <c r="CZ104" s="72">
        <f t="shared" ref="CZ104" ca="1" si="2840">($M104=CY104)*$D$11</f>
        <v>0</v>
      </c>
      <c r="DA104" s="63"/>
      <c r="DB104" s="796" t="s">
        <v>110</v>
      </c>
      <c r="DC104" s="72">
        <f t="shared" ref="DC104" ca="1" si="2841">($M104=DB104)*$D$11</f>
        <v>0</v>
      </c>
      <c r="DD104" s="63"/>
      <c r="DE104" s="796" t="s">
        <v>110</v>
      </c>
      <c r="DF104" s="72">
        <f ca="1">($M104=DE104)*$D$11</f>
        <v>0</v>
      </c>
      <c r="DG104" s="63"/>
      <c r="DH104" s="796" t="s">
        <v>110</v>
      </c>
      <c r="DI104" s="72">
        <f ca="1">($M104=DH104)*$D$11</f>
        <v>0</v>
      </c>
      <c r="DJ104" s="63"/>
      <c r="DK104" s="796" t="s">
        <v>110</v>
      </c>
      <c r="DL104" s="72">
        <f ca="1">($M104=DK104)*$D$11</f>
        <v>0</v>
      </c>
      <c r="DM104" s="63"/>
      <c r="DN104" s="73"/>
      <c r="DO104" s="72">
        <f t="shared" ref="DO104" ca="1" si="2842">($M104=DN104)*$D$11</f>
        <v>0</v>
      </c>
      <c r="DP104" s="63"/>
      <c r="DQ104" s="796" t="s">
        <v>110</v>
      </c>
      <c r="DR104" s="72">
        <f t="shared" ref="DR104" ca="1" si="2843">($M104=DQ104)*$D$11</f>
        <v>0</v>
      </c>
      <c r="DS104" s="63"/>
      <c r="DT104" s="73" t="s">
        <v>110</v>
      </c>
      <c r="DU104" s="72">
        <f t="shared" ref="DU104" ca="1" si="2844">($M104=DT104)*$D$11</f>
        <v>0</v>
      </c>
      <c r="DV104" s="63"/>
      <c r="DW104" s="73"/>
      <c r="DX104" s="72">
        <f t="shared" ref="DX104" ca="1" si="2845">($M104=DW104)*$D$11</f>
        <v>0</v>
      </c>
      <c r="DY104" s="63"/>
      <c r="DZ104" s="73"/>
      <c r="EA104" s="72">
        <f ca="1">($M104=DZ104)*$D$11</f>
        <v>0</v>
      </c>
      <c r="EB104" s="63"/>
      <c r="EC104" s="73"/>
      <c r="ED104" s="72">
        <f t="shared" ref="ED104" ca="1" si="2846">($M104=EC104)*$D$11</f>
        <v>0</v>
      </c>
      <c r="EE104" s="63"/>
      <c r="EF104" s="73"/>
      <c r="EG104" s="72">
        <f t="shared" ref="EG104" ca="1" si="2847">($M104=EF104)*$D$11</f>
        <v>0</v>
      </c>
      <c r="EH104" s="63"/>
      <c r="EI104" s="73"/>
      <c r="EJ104" s="72">
        <f t="shared" ref="EJ104" ca="1" si="2848">($M104=EI104)*$D$11</f>
        <v>0</v>
      </c>
      <c r="EK104" s="63"/>
      <c r="EL104" s="73"/>
      <c r="EM104" s="72">
        <f t="shared" ref="EM104" ca="1" si="2849">($M104=EL104)*$D$11</f>
        <v>0</v>
      </c>
      <c r="EN104" s="63"/>
      <c r="EO104" s="73"/>
      <c r="EP104" s="72">
        <f t="shared" ref="EP104" ca="1" si="2850">($M104=EO104)*$D$11</f>
        <v>0</v>
      </c>
      <c r="EQ104" s="63"/>
      <c r="ER104" s="73"/>
      <c r="ES104" s="72">
        <f t="shared" ref="ES104" ca="1" si="2851">($M104=ER104)*$D$11</f>
        <v>0</v>
      </c>
      <c r="ET104" s="63"/>
      <c r="EU104" s="73"/>
      <c r="EV104" s="72">
        <f t="shared" ref="EV104" ca="1" si="2852">($M104=EU104)*$D$11</f>
        <v>0</v>
      </c>
      <c r="EW104" s="63"/>
      <c r="EX104" s="73"/>
      <c r="EY104" s="72">
        <f t="shared" ref="EY104" ca="1" si="2853">($M104=EX104)*$D$11</f>
        <v>0</v>
      </c>
      <c r="EZ104" s="63"/>
      <c r="FA104" s="73"/>
      <c r="FB104" s="72">
        <f t="shared" ref="FB104" ca="1" si="2854">($M104=FA104)*$D$11</f>
        <v>0</v>
      </c>
      <c r="FC104" s="63"/>
      <c r="FD104" s="73"/>
      <c r="FE104" s="72">
        <f t="shared" ref="FE104" ca="1" si="2855">($M104=FD104)*$D$11</f>
        <v>0</v>
      </c>
      <c r="FF104" s="63"/>
      <c r="FG104" s="73"/>
      <c r="FH104" s="72">
        <f t="shared" ref="FH104" ca="1" si="2856">($M104=FG104)*$D$11</f>
        <v>0</v>
      </c>
      <c r="FI104" s="63"/>
      <c r="FJ104" s="73"/>
      <c r="FK104" s="72">
        <f t="shared" ref="FK104" ca="1" si="2857">($M104=FJ104)*$D$11</f>
        <v>0</v>
      </c>
      <c r="FL104" s="63"/>
      <c r="FM104" s="73"/>
      <c r="FN104" s="72">
        <f t="shared" ref="FN104" ca="1" si="2858">($M104=FM104)*$D$11</f>
        <v>0</v>
      </c>
      <c r="FO104" s="63"/>
      <c r="FP104" s="73"/>
      <c r="FQ104" s="72">
        <f t="shared" ref="FQ104" ca="1" si="2859">($M104=FP104)*$D$11</f>
        <v>0</v>
      </c>
      <c r="FR104" s="63"/>
      <c r="FS104" s="73"/>
      <c r="FT104" s="72">
        <f t="shared" ref="FT104" ca="1" si="2860">($M104=FS104)*$D$11</f>
        <v>0</v>
      </c>
      <c r="FU104" s="63"/>
      <c r="FV104" s="73"/>
      <c r="FW104" s="72">
        <f t="shared" ref="FW104" ca="1" si="2861">($M104=FV104)*$D$11</f>
        <v>0</v>
      </c>
      <c r="FX104" s="63"/>
      <c r="FY104" s="73"/>
      <c r="FZ104" s="72">
        <f t="shared" ref="FZ104" ca="1" si="2862">($M104=FY104)*$D$11</f>
        <v>0</v>
      </c>
      <c r="GA104" s="63"/>
      <c r="GB104" s="73"/>
      <c r="GC104" s="72">
        <f t="shared" ref="GC104" ca="1" si="2863">($M104=GB104)*$D$11</f>
        <v>0</v>
      </c>
      <c r="GD104" s="63"/>
      <c r="GE104" s="73"/>
      <c r="GF104" s="72">
        <f t="shared" ref="GF104" ca="1" si="2864">($M104=GE104)*$D$11</f>
        <v>0</v>
      </c>
      <c r="GG104" s="63"/>
      <c r="GH104" s="73"/>
      <c r="GI104" s="72">
        <f t="shared" ref="GI104" ca="1" si="2865">($M104=GH104)*$D$11</f>
        <v>0</v>
      </c>
      <c r="GJ104" s="63"/>
      <c r="GK104" s="73"/>
      <c r="GL104" s="72">
        <f t="shared" ref="GL104" ca="1" si="2866">($M104=GK104)*$D$11</f>
        <v>0</v>
      </c>
      <c r="GM104" s="63"/>
      <c r="GN104" s="73"/>
      <c r="GO104" s="72">
        <f t="shared" ref="GO104" ca="1" si="2867">($M104=GN104)*$D$11</f>
        <v>0</v>
      </c>
      <c r="GP104" s="63"/>
      <c r="GQ104" s="73"/>
      <c r="GR104" s="72">
        <f t="shared" ref="GR104" ca="1" si="2868">($M104=GQ104)*$D$11</f>
        <v>0</v>
      </c>
      <c r="GS104" s="63"/>
      <c r="GT104" s="73"/>
      <c r="GU104" s="72">
        <f t="shared" ref="GU104" ca="1" si="2869">($M104=GT104)*$D$11</f>
        <v>0</v>
      </c>
      <c r="GV104" s="63"/>
      <c r="GW104" s="73"/>
      <c r="GX104" s="72">
        <f t="shared" ref="GX104" ca="1" si="2870">($M104=GW104)*$D$11</f>
        <v>0</v>
      </c>
      <c r="GY104" s="63"/>
      <c r="GZ104" s="73"/>
      <c r="HA104" s="72">
        <f t="shared" ref="HA104" ca="1" si="2871">($M104=GZ104)*$D$11</f>
        <v>0</v>
      </c>
      <c r="HB104" s="63"/>
      <c r="HC104" s="73"/>
      <c r="HD104" s="72">
        <f t="shared" ref="HD104" ca="1" si="2872">($M104=HC104)*$D$11</f>
        <v>0</v>
      </c>
      <c r="HE104" s="63"/>
      <c r="HF104" s="73"/>
      <c r="HG104" s="72">
        <f t="shared" ref="HG104" ca="1" si="2873">($M104=HF104)*$D$11</f>
        <v>0</v>
      </c>
      <c r="HH104" s="63"/>
      <c r="HI104" s="73"/>
      <c r="HJ104" s="72">
        <f t="shared" ref="HJ104" ca="1" si="2874">($M104=HI104)*$D$11</f>
        <v>0</v>
      </c>
      <c r="HK104" s="63"/>
      <c r="HL104" s="73"/>
      <c r="HM104" s="72">
        <f t="shared" ref="HM104" ca="1" si="2875">($M104=HL104)*$D$11</f>
        <v>0</v>
      </c>
      <c r="HN104" s="63"/>
      <c r="HO104" s="73"/>
      <c r="HP104" s="72">
        <f t="shared" ref="HP104" ca="1" si="2876">($M104=HO104)*$D$11</f>
        <v>0</v>
      </c>
      <c r="HQ104" s="63"/>
      <c r="HR104" s="73"/>
      <c r="HS104" s="72">
        <f t="shared" ref="HS104" ca="1" si="2877">($M104=HR104)*$D$11</f>
        <v>0</v>
      </c>
      <c r="HT104" s="63"/>
      <c r="HU104" s="73"/>
      <c r="HV104" s="72">
        <f t="shared" ref="HV104" ca="1" si="2878">($M104=HU104)*$D$11</f>
        <v>0</v>
      </c>
      <c r="HW104" s="63"/>
      <c r="HX104" s="73"/>
      <c r="HY104" s="72">
        <f t="shared" ref="HY104" ca="1" si="2879">($M104=HX104)*$D$11</f>
        <v>0</v>
      </c>
      <c r="HZ104" s="63"/>
      <c r="IA104" s="73"/>
      <c r="IB104" s="72">
        <f t="shared" ref="IB104" ca="1" si="2880">($M104=IA104)*$D$11</f>
        <v>0</v>
      </c>
      <c r="IC104" s="63"/>
      <c r="ID104" s="73"/>
      <c r="IE104" s="72">
        <f t="shared" ref="IE104" ca="1" si="2881">($M104=ID104)*$D$11</f>
        <v>0</v>
      </c>
      <c r="IF104" s="63"/>
      <c r="IG104" s="73"/>
      <c r="IH104" s="72">
        <f t="shared" ref="IH104" ca="1" si="2882">($M104=IG104)*$D$11</f>
        <v>0</v>
      </c>
      <c r="II104" s="63"/>
      <c r="IJ104" s="73"/>
      <c r="IK104" s="72">
        <f t="shared" ref="IK104" ca="1" si="2883">($M104=IJ104)*$D$11</f>
        <v>0</v>
      </c>
      <c r="IL104" s="63"/>
      <c r="IM104" s="73"/>
      <c r="IN104" s="72">
        <f t="shared" ref="IN104" ca="1" si="2884">($M104=IM104)*$D$11</f>
        <v>0</v>
      </c>
      <c r="IO104" s="63"/>
      <c r="IP104" s="73"/>
      <c r="IQ104" s="72">
        <f t="shared" ref="IQ104" ca="1" si="2885">($M104=IP104)*$D$11</f>
        <v>0</v>
      </c>
      <c r="IR104" s="63"/>
      <c r="IS104" s="73"/>
      <c r="IT104" s="72">
        <f t="shared" ref="IT104" ca="1" si="2886">($M104=IS104)*$D$11</f>
        <v>0</v>
      </c>
      <c r="IU104" s="63"/>
      <c r="IV104" s="73"/>
      <c r="IW104" s="72">
        <f t="shared" ref="IW104" ca="1" si="2887">($M104=IV104)*$D$11</f>
        <v>0</v>
      </c>
      <c r="IX104" s="63"/>
      <c r="IY104" s="73"/>
      <c r="IZ104" s="72">
        <f t="shared" ref="IZ104" ca="1" si="2888">($M104=IY104)*$D$11</f>
        <v>0</v>
      </c>
      <c r="JA104" s="63"/>
      <c r="JB104" s="73"/>
      <c r="JC104" s="72">
        <f t="shared" ref="JC104" ca="1" si="2889">($M104=JB104)*$D$11</f>
        <v>0</v>
      </c>
      <c r="JD104" s="63"/>
      <c r="JE104" s="73"/>
      <c r="JF104" s="72">
        <f t="shared" ref="JF104" ca="1" si="2890">($M104=JE104)*$D$11</f>
        <v>0</v>
      </c>
      <c r="JG104" s="63"/>
      <c r="JH104" s="73"/>
      <c r="JI104" s="72">
        <f t="shared" ref="JI104" ca="1" si="2891">($M104=JH104)*$D$11</f>
        <v>0</v>
      </c>
      <c r="JJ104" s="63"/>
      <c r="JK104" s="73"/>
      <c r="JL104" s="72">
        <f t="shared" ref="JL104" ca="1" si="2892">($M104=JK104)*$D$11</f>
        <v>0</v>
      </c>
      <c r="JM104" s="63"/>
      <c r="JN104" s="73"/>
      <c r="JO104" s="72">
        <f t="shared" ref="JO104" ca="1" si="2893">($M104=JN104)*$D$11</f>
        <v>0</v>
      </c>
      <c r="JP104" s="63"/>
      <c r="JQ104" s="73"/>
      <c r="JR104" s="72">
        <f t="shared" ref="JR104" ca="1" si="2894">($M104=JQ104)*$D$11</f>
        <v>0</v>
      </c>
      <c r="JS104" s="63"/>
      <c r="JT104" s="73"/>
      <c r="JU104" s="72">
        <f t="shared" ref="JU104" ca="1" si="2895">($M104=JT104)*$D$11</f>
        <v>0</v>
      </c>
      <c r="JV104" s="63"/>
      <c r="JW104" s="73"/>
      <c r="JX104" s="72">
        <f t="shared" ref="JX104" ca="1" si="2896">($M104=JW104)*$D$11</f>
        <v>0</v>
      </c>
      <c r="JY104" s="63"/>
      <c r="JZ104" s="73"/>
      <c r="KA104" s="72">
        <f t="shared" ref="KA104" ca="1" si="2897">($M104=JZ104)*$D$11</f>
        <v>0</v>
      </c>
      <c r="KB104" s="63"/>
      <c r="KC104" s="73"/>
      <c r="KD104" s="72">
        <f t="shared" ref="KD104" ca="1" si="2898">($M104=KC104)*$D$11</f>
        <v>0</v>
      </c>
      <c r="KE104" s="63"/>
      <c r="KF104" s="73"/>
      <c r="KG104" s="72">
        <f t="shared" ref="KG104" ca="1" si="2899">($M104=KF104)*$D$11</f>
        <v>0</v>
      </c>
      <c r="KH104" s="63"/>
      <c r="KI104" s="73"/>
      <c r="KJ104" s="72">
        <f t="shared" ref="KJ104" ca="1" si="2900">($M104=KI104)*$D$11</f>
        <v>0</v>
      </c>
      <c r="KK104" s="63"/>
      <c r="KL104" s="73"/>
      <c r="KM104" s="72">
        <f t="shared" ref="KM104" ca="1" si="2901">($M104=KL104)*$D$11</f>
        <v>0</v>
      </c>
      <c r="KN104" s="63"/>
      <c r="KO104" s="73"/>
      <c r="KP104" s="72">
        <f t="shared" ref="KP104" ca="1" si="2902">($M104=KO104)*$D$11</f>
        <v>0</v>
      </c>
      <c r="KQ104" s="63"/>
      <c r="KR104" s="73"/>
      <c r="KS104" s="72">
        <f t="shared" ref="KS104" ca="1" si="2903">($M104=KR104)*$D$11</f>
        <v>0</v>
      </c>
      <c r="KT104" s="63"/>
      <c r="KU104" s="73"/>
      <c r="KV104" s="72">
        <f t="shared" ref="KV104" ca="1" si="2904">($M104=KU104)*$D$11</f>
        <v>0</v>
      </c>
      <c r="KW104" s="63"/>
      <c r="KX104" s="73"/>
      <c r="KY104" s="72">
        <f t="shared" ref="KY104" ca="1" si="2905">($M104=KX104)*$D$11</f>
        <v>0</v>
      </c>
      <c r="KZ104" s="63"/>
      <c r="LA104" s="73"/>
      <c r="LB104" s="72">
        <f t="shared" ref="LB104" ca="1" si="2906">($M104=LA104)*$D$11</f>
        <v>0</v>
      </c>
      <c r="LC104" s="63"/>
      <c r="LD104" s="73"/>
      <c r="LE104" s="72">
        <f t="shared" ref="LE104" ca="1" si="2907">($M104=LD104)*$D$11</f>
        <v>0</v>
      </c>
      <c r="LF104" s="63"/>
    </row>
    <row r="105" spans="1:318" s="784" customFormat="1">
      <c r="A105" s="49"/>
      <c r="B105" s="49"/>
      <c r="C105" s="49"/>
      <c r="D105" s="49"/>
      <c r="E105" s="109"/>
      <c r="F105" s="125">
        <f t="shared" ref="F105" si="2908">$D$12</f>
        <v>20</v>
      </c>
      <c r="G105" s="443">
        <f ca="1">VLOOKUP(H105,Equipos!$Q$1:$R$25,2,0)</f>
        <v>16</v>
      </c>
      <c r="H105" s="444">
        <f ca="1">$H$66</f>
        <v>46199</v>
      </c>
      <c r="I105" s="50"/>
      <c r="J105" s="846"/>
      <c r="K105" s="56" t="str">
        <f>Idiomas!D175</f>
        <v>2º GRUPO G</v>
      </c>
      <c r="L105" s="53"/>
      <c r="M105" s="55" t="str">
        <f ca="1">IF(OR(SUM(WORLDCUP!$AN$54:$AN$57)=12,WORLDCUP!$AJ$99=144),WORLDCUP!AL55,LEFT(K105,1)&amp;RIGHT(K105,1))</f>
        <v>2G</v>
      </c>
      <c r="N105" s="25"/>
      <c r="O105" s="25"/>
      <c r="P105" s="25"/>
      <c r="Q105" s="25"/>
      <c r="R105" s="108"/>
      <c r="S105" s="796" t="s">
        <v>1550</v>
      </c>
      <c r="T105" s="72">
        <f t="shared" ref="T105" ca="1" si="2909">($M105=S105)*$D$12</f>
        <v>0</v>
      </c>
      <c r="U105" s="63"/>
      <c r="V105" s="73" t="s">
        <v>1550</v>
      </c>
      <c r="W105" s="72">
        <f t="shared" ref="W105" ca="1" si="2910">($M105=V105)*$D$12</f>
        <v>0</v>
      </c>
      <c r="X105" s="63"/>
      <c r="Y105" s="796" t="s">
        <v>1266</v>
      </c>
      <c r="Z105" s="72">
        <f t="shared" ref="Z105" ca="1" si="2911">($M105=Y105)*$D$12</f>
        <v>0</v>
      </c>
      <c r="AA105" s="63"/>
      <c r="AB105" s="796" t="s">
        <v>1550</v>
      </c>
      <c r="AC105" s="72">
        <f t="shared" ref="AC105" ca="1" si="2912">($M105=AB105)*$D$12</f>
        <v>0</v>
      </c>
      <c r="AD105" s="63"/>
      <c r="AE105" s="796" t="s">
        <v>1550</v>
      </c>
      <c r="AF105" s="72">
        <f t="shared" ref="AF105" ca="1" si="2913">($M105=AE105)*$D$12</f>
        <v>0</v>
      </c>
      <c r="AG105" s="63"/>
      <c r="AH105" s="796" t="s">
        <v>1550</v>
      </c>
      <c r="AI105" s="72">
        <f t="shared" ref="AI105" ca="1" si="2914">($M105=AH105)*$D$12</f>
        <v>0</v>
      </c>
      <c r="AJ105" s="63"/>
      <c r="AK105" s="806" t="s">
        <v>1550</v>
      </c>
      <c r="AL105" s="72">
        <f t="shared" ref="AL105" ca="1" si="2915">($M105=AK105)*$D$12</f>
        <v>0</v>
      </c>
      <c r="AM105" s="63"/>
      <c r="AN105" s="796" t="s">
        <v>1550</v>
      </c>
      <c r="AO105" s="72">
        <f t="shared" ref="AO105" ca="1" si="2916">($M105=AN105)*$D$12</f>
        <v>0</v>
      </c>
      <c r="AP105" s="63"/>
      <c r="AQ105" s="806" t="s">
        <v>1550</v>
      </c>
      <c r="AR105" s="72">
        <f t="shared" ref="AR105" ca="1" si="2917">($M105=AQ105)*$D$12</f>
        <v>0</v>
      </c>
      <c r="AS105" s="63"/>
      <c r="AT105" s="796" t="s">
        <v>1262</v>
      </c>
      <c r="AU105" s="72">
        <f t="shared" ref="AU105" ca="1" si="2918">($M105=AT105)*$D$12</f>
        <v>0</v>
      </c>
      <c r="AV105" s="63"/>
      <c r="AW105" s="796" t="s">
        <v>1262</v>
      </c>
      <c r="AX105" s="72">
        <f t="shared" ref="AX105" ca="1" si="2919">($M105=AW105)*$D$12</f>
        <v>0</v>
      </c>
      <c r="AY105" s="63"/>
      <c r="AZ105" s="796" t="s">
        <v>1550</v>
      </c>
      <c r="BA105" s="72">
        <f t="shared" ref="BA105" ca="1" si="2920">($M105=AZ105)*$D$12</f>
        <v>0</v>
      </c>
      <c r="BB105" s="63"/>
      <c r="BC105" s="796" t="s">
        <v>1550</v>
      </c>
      <c r="BD105" s="72">
        <f t="shared" ref="BD105" ca="1" si="2921">($M105=BC105)*$D$12</f>
        <v>0</v>
      </c>
      <c r="BE105" s="63"/>
      <c r="BF105" s="796" t="s">
        <v>1550</v>
      </c>
      <c r="BG105" s="72">
        <f t="shared" ref="BG105" ca="1" si="2922">($M105=BF105)*$D$12</f>
        <v>0</v>
      </c>
      <c r="BH105" s="63"/>
      <c r="BI105" s="796" t="s">
        <v>1550</v>
      </c>
      <c r="BJ105" s="72">
        <f t="shared" ref="BJ105" ca="1" si="2923">($M105=BI105)*$D$12</f>
        <v>0</v>
      </c>
      <c r="BK105" s="63"/>
      <c r="BL105" s="796" t="s">
        <v>1266</v>
      </c>
      <c r="BM105" s="72">
        <f t="shared" ref="BM105" ca="1" si="2924">($M105=BL105)*$D$12</f>
        <v>0</v>
      </c>
      <c r="BN105" s="63"/>
      <c r="BO105" s="816" t="s">
        <v>1550</v>
      </c>
      <c r="BP105" s="72">
        <f t="shared" ref="BP105" ca="1" si="2925">($M105=BO105)*$D$12</f>
        <v>0</v>
      </c>
      <c r="BQ105" s="63"/>
      <c r="BR105" s="796" t="s">
        <v>1550</v>
      </c>
      <c r="BS105" s="72">
        <f t="shared" ref="BS105" ca="1" si="2926">($M105=BR105)*$D$12</f>
        <v>0</v>
      </c>
      <c r="BT105" s="63"/>
      <c r="BU105" s="796" t="s">
        <v>1550</v>
      </c>
      <c r="BV105" s="72">
        <f t="shared" ref="BV105" ca="1" si="2927">($M105=BU105)*$D$12</f>
        <v>0</v>
      </c>
      <c r="BW105" s="63"/>
      <c r="BX105" s="73" t="s">
        <v>110</v>
      </c>
      <c r="BY105" s="72">
        <f t="shared" ref="BY105" ca="1" si="2928">($M105=BX105)*$D$12</f>
        <v>0</v>
      </c>
      <c r="BZ105" s="63"/>
      <c r="CA105" s="816" t="s">
        <v>1262</v>
      </c>
      <c r="CB105" s="72">
        <f t="shared" ref="CB105" ca="1" si="2929">($M105=CA105)*$D$12</f>
        <v>0</v>
      </c>
      <c r="CC105" s="63"/>
      <c r="CD105" s="825" t="s">
        <v>1550</v>
      </c>
      <c r="CE105" s="72">
        <f t="shared" ref="CE105" ca="1" si="2930">($M105=CD105)*$D$12</f>
        <v>0</v>
      </c>
      <c r="CF105" s="63"/>
      <c r="CG105" s="796" t="s">
        <v>1550</v>
      </c>
      <c r="CH105" s="72">
        <f t="shared" ref="CH105" ca="1" si="2931">($M105=CG105)*$D$12</f>
        <v>0</v>
      </c>
      <c r="CI105" s="63"/>
      <c r="CJ105" s="796" t="s">
        <v>1550</v>
      </c>
      <c r="CK105" s="72">
        <f t="shared" ref="CK105" ca="1" si="2932">($M105=CJ105)*$D$12</f>
        <v>0</v>
      </c>
      <c r="CL105" s="63"/>
      <c r="CM105" s="796" t="s">
        <v>1266</v>
      </c>
      <c r="CN105" s="72">
        <f t="shared" ref="CN105" ca="1" si="2933">($M105=CM105)*$D$12</f>
        <v>0</v>
      </c>
      <c r="CO105" s="63"/>
      <c r="CP105" s="796" t="s">
        <v>1266</v>
      </c>
      <c r="CQ105" s="72">
        <f t="shared" ref="CQ105" ca="1" si="2934">($M105=CP105)*$D$12</f>
        <v>0</v>
      </c>
      <c r="CR105" s="63"/>
      <c r="CS105" s="796" t="s">
        <v>1266</v>
      </c>
      <c r="CT105" s="72">
        <f t="shared" ref="CT105" ca="1" si="2935">($M105=CS105)*$D$12</f>
        <v>0</v>
      </c>
      <c r="CU105" s="63"/>
      <c r="CV105" s="796" t="s">
        <v>110</v>
      </c>
      <c r="CW105" s="72">
        <f t="shared" ref="CW105" ca="1" si="2936">($M105=CV105)*$D$12</f>
        <v>0</v>
      </c>
      <c r="CX105" s="63"/>
      <c r="CY105" s="796" t="s">
        <v>1550</v>
      </c>
      <c r="CZ105" s="72">
        <f t="shared" ref="CZ105" ca="1" si="2937">($M105=CY105)*$D$12</f>
        <v>0</v>
      </c>
      <c r="DA105" s="63"/>
      <c r="DB105" s="796" t="s">
        <v>1266</v>
      </c>
      <c r="DC105" s="72">
        <f t="shared" ref="DC105" ca="1" si="2938">($M105=DB105)*$D$12</f>
        <v>0</v>
      </c>
      <c r="DD105" s="63"/>
      <c r="DE105" s="796" t="s">
        <v>1550</v>
      </c>
      <c r="DF105" s="72">
        <f ca="1">($M105=DE105)*$D$12</f>
        <v>0</v>
      </c>
      <c r="DG105" s="63"/>
      <c r="DH105" s="796" t="s">
        <v>1550</v>
      </c>
      <c r="DI105" s="72">
        <f ca="1">($M105=DH105)*$D$12</f>
        <v>0</v>
      </c>
      <c r="DJ105" s="63"/>
      <c r="DK105" s="796" t="s">
        <v>1550</v>
      </c>
      <c r="DL105" s="72">
        <f ca="1">($M105=DK105)*$D$12</f>
        <v>0</v>
      </c>
      <c r="DM105" s="63"/>
      <c r="DN105" s="73"/>
      <c r="DO105" s="72">
        <f t="shared" ref="DO105" ca="1" si="2939">($M105=DN105)*$D$12</f>
        <v>0</v>
      </c>
      <c r="DP105" s="63"/>
      <c r="DQ105" s="796" t="s">
        <v>1550</v>
      </c>
      <c r="DR105" s="72">
        <f t="shared" ref="DR105" ca="1" si="2940">($M105=DQ105)*$D$12</f>
        <v>0</v>
      </c>
      <c r="DS105" s="63"/>
      <c r="DT105" s="73" t="s">
        <v>1550</v>
      </c>
      <c r="DU105" s="72">
        <f t="shared" ref="DU105" ca="1" si="2941">($M105=DT105)*$D$12</f>
        <v>0</v>
      </c>
      <c r="DV105" s="63"/>
      <c r="DW105" s="73"/>
      <c r="DX105" s="72">
        <f t="shared" ref="DX105" ca="1" si="2942">($M105=DW105)*$D$12</f>
        <v>0</v>
      </c>
      <c r="DY105" s="63"/>
      <c r="DZ105" s="73"/>
      <c r="EA105" s="72">
        <f ca="1">($M105=DZ105)*$D$12</f>
        <v>0</v>
      </c>
      <c r="EB105" s="63"/>
      <c r="EC105" s="73"/>
      <c r="ED105" s="72">
        <f t="shared" ref="ED105" ca="1" si="2943">($M105=EC105)*$D$12</f>
        <v>0</v>
      </c>
      <c r="EE105" s="63"/>
      <c r="EF105" s="73"/>
      <c r="EG105" s="72">
        <f t="shared" ref="EG105" ca="1" si="2944">($M105=EF105)*$D$12</f>
        <v>0</v>
      </c>
      <c r="EH105" s="63"/>
      <c r="EI105" s="73"/>
      <c r="EJ105" s="72">
        <f t="shared" ref="EJ105" ca="1" si="2945">($M105=EI105)*$D$12</f>
        <v>0</v>
      </c>
      <c r="EK105" s="63"/>
      <c r="EL105" s="73"/>
      <c r="EM105" s="72">
        <f t="shared" ref="EM105" ca="1" si="2946">($M105=EL105)*$D$12</f>
        <v>0</v>
      </c>
      <c r="EN105" s="63"/>
      <c r="EO105" s="73"/>
      <c r="EP105" s="72">
        <f t="shared" ref="EP105" ca="1" si="2947">($M105=EO105)*$D$12</f>
        <v>0</v>
      </c>
      <c r="EQ105" s="63"/>
      <c r="ER105" s="73"/>
      <c r="ES105" s="72">
        <f t="shared" ref="ES105" ca="1" si="2948">($M105=ER105)*$D$12</f>
        <v>0</v>
      </c>
      <c r="ET105" s="63"/>
      <c r="EU105" s="73"/>
      <c r="EV105" s="72">
        <f t="shared" ref="EV105" ca="1" si="2949">($M105=EU105)*$D$12</f>
        <v>0</v>
      </c>
      <c r="EW105" s="63"/>
      <c r="EX105" s="73"/>
      <c r="EY105" s="72">
        <f t="shared" ref="EY105" ca="1" si="2950">($M105=EX105)*$D$12</f>
        <v>0</v>
      </c>
      <c r="EZ105" s="63"/>
      <c r="FA105" s="73"/>
      <c r="FB105" s="72">
        <f t="shared" ref="FB105" ca="1" si="2951">($M105=FA105)*$D$12</f>
        <v>0</v>
      </c>
      <c r="FC105" s="63"/>
      <c r="FD105" s="73"/>
      <c r="FE105" s="72">
        <f t="shared" ref="FE105" ca="1" si="2952">($M105=FD105)*$D$12</f>
        <v>0</v>
      </c>
      <c r="FF105" s="63"/>
      <c r="FG105" s="73"/>
      <c r="FH105" s="72">
        <f t="shared" ref="FH105" ca="1" si="2953">($M105=FG105)*$D$12</f>
        <v>0</v>
      </c>
      <c r="FI105" s="63"/>
      <c r="FJ105" s="73"/>
      <c r="FK105" s="72">
        <f t="shared" ref="FK105" ca="1" si="2954">($M105=FJ105)*$D$12</f>
        <v>0</v>
      </c>
      <c r="FL105" s="63"/>
      <c r="FM105" s="73"/>
      <c r="FN105" s="72">
        <f t="shared" ref="FN105" ca="1" si="2955">($M105=FM105)*$D$12</f>
        <v>0</v>
      </c>
      <c r="FO105" s="63"/>
      <c r="FP105" s="73"/>
      <c r="FQ105" s="72">
        <f t="shared" ref="FQ105" ca="1" si="2956">($M105=FP105)*$D$12</f>
        <v>0</v>
      </c>
      <c r="FR105" s="63"/>
      <c r="FS105" s="73"/>
      <c r="FT105" s="72">
        <f t="shared" ref="FT105" ca="1" si="2957">($M105=FS105)*$D$12</f>
        <v>0</v>
      </c>
      <c r="FU105" s="63"/>
      <c r="FV105" s="73"/>
      <c r="FW105" s="72">
        <f t="shared" ref="FW105" ca="1" si="2958">($M105=FV105)*$D$12</f>
        <v>0</v>
      </c>
      <c r="FX105" s="63"/>
      <c r="FY105" s="73"/>
      <c r="FZ105" s="72">
        <f t="shared" ref="FZ105" ca="1" si="2959">($M105=FY105)*$D$12</f>
        <v>0</v>
      </c>
      <c r="GA105" s="63"/>
      <c r="GB105" s="73"/>
      <c r="GC105" s="72">
        <f t="shared" ref="GC105" ca="1" si="2960">($M105=GB105)*$D$12</f>
        <v>0</v>
      </c>
      <c r="GD105" s="63"/>
      <c r="GE105" s="73"/>
      <c r="GF105" s="72">
        <f t="shared" ref="GF105" ca="1" si="2961">($M105=GE105)*$D$12</f>
        <v>0</v>
      </c>
      <c r="GG105" s="63"/>
      <c r="GH105" s="73"/>
      <c r="GI105" s="72">
        <f t="shared" ref="GI105" ca="1" si="2962">($M105=GH105)*$D$12</f>
        <v>0</v>
      </c>
      <c r="GJ105" s="63"/>
      <c r="GK105" s="73"/>
      <c r="GL105" s="72">
        <f t="shared" ref="GL105" ca="1" si="2963">($M105=GK105)*$D$12</f>
        <v>0</v>
      </c>
      <c r="GM105" s="63"/>
      <c r="GN105" s="73"/>
      <c r="GO105" s="72">
        <f t="shared" ref="GO105" ca="1" si="2964">($M105=GN105)*$D$12</f>
        <v>0</v>
      </c>
      <c r="GP105" s="63"/>
      <c r="GQ105" s="73"/>
      <c r="GR105" s="72">
        <f t="shared" ref="GR105" ca="1" si="2965">($M105=GQ105)*$D$12</f>
        <v>0</v>
      </c>
      <c r="GS105" s="63"/>
      <c r="GT105" s="73"/>
      <c r="GU105" s="72">
        <f t="shared" ref="GU105" ca="1" si="2966">($M105=GT105)*$D$12</f>
        <v>0</v>
      </c>
      <c r="GV105" s="63"/>
      <c r="GW105" s="73"/>
      <c r="GX105" s="72">
        <f t="shared" ref="GX105" ca="1" si="2967">($M105=GW105)*$D$12</f>
        <v>0</v>
      </c>
      <c r="GY105" s="63"/>
      <c r="GZ105" s="73"/>
      <c r="HA105" s="72">
        <f t="shared" ref="HA105" ca="1" si="2968">($M105=GZ105)*$D$12</f>
        <v>0</v>
      </c>
      <c r="HB105" s="63"/>
      <c r="HC105" s="73"/>
      <c r="HD105" s="72">
        <f t="shared" ref="HD105" ca="1" si="2969">($M105=HC105)*$D$12</f>
        <v>0</v>
      </c>
      <c r="HE105" s="63"/>
      <c r="HF105" s="73"/>
      <c r="HG105" s="72">
        <f t="shared" ref="HG105" ca="1" si="2970">($M105=HF105)*$D$12</f>
        <v>0</v>
      </c>
      <c r="HH105" s="63"/>
      <c r="HI105" s="73"/>
      <c r="HJ105" s="72">
        <f t="shared" ref="HJ105" ca="1" si="2971">($M105=HI105)*$D$12</f>
        <v>0</v>
      </c>
      <c r="HK105" s="63"/>
      <c r="HL105" s="73"/>
      <c r="HM105" s="72">
        <f t="shared" ref="HM105" ca="1" si="2972">($M105=HL105)*$D$12</f>
        <v>0</v>
      </c>
      <c r="HN105" s="63"/>
      <c r="HO105" s="73"/>
      <c r="HP105" s="72">
        <f t="shared" ref="HP105" ca="1" si="2973">($M105=HO105)*$D$12</f>
        <v>0</v>
      </c>
      <c r="HQ105" s="63"/>
      <c r="HR105" s="73"/>
      <c r="HS105" s="72">
        <f t="shared" ref="HS105" ca="1" si="2974">($M105=HR105)*$D$12</f>
        <v>0</v>
      </c>
      <c r="HT105" s="63"/>
      <c r="HU105" s="73"/>
      <c r="HV105" s="72">
        <f t="shared" ref="HV105" ca="1" si="2975">($M105=HU105)*$D$12</f>
        <v>0</v>
      </c>
      <c r="HW105" s="63"/>
      <c r="HX105" s="73"/>
      <c r="HY105" s="72">
        <f t="shared" ref="HY105" ca="1" si="2976">($M105=HX105)*$D$12</f>
        <v>0</v>
      </c>
      <c r="HZ105" s="63"/>
      <c r="IA105" s="73"/>
      <c r="IB105" s="72">
        <f t="shared" ref="IB105" ca="1" si="2977">($M105=IA105)*$D$12</f>
        <v>0</v>
      </c>
      <c r="IC105" s="63"/>
      <c r="ID105" s="73"/>
      <c r="IE105" s="72">
        <f t="shared" ref="IE105" ca="1" si="2978">($M105=ID105)*$D$12</f>
        <v>0</v>
      </c>
      <c r="IF105" s="63"/>
      <c r="IG105" s="73"/>
      <c r="IH105" s="72">
        <f t="shared" ref="IH105" ca="1" si="2979">($M105=IG105)*$D$12</f>
        <v>0</v>
      </c>
      <c r="II105" s="63"/>
      <c r="IJ105" s="73"/>
      <c r="IK105" s="72">
        <f t="shared" ref="IK105" ca="1" si="2980">($M105=IJ105)*$D$12</f>
        <v>0</v>
      </c>
      <c r="IL105" s="63"/>
      <c r="IM105" s="73"/>
      <c r="IN105" s="72">
        <f t="shared" ref="IN105" ca="1" si="2981">($M105=IM105)*$D$12</f>
        <v>0</v>
      </c>
      <c r="IO105" s="63"/>
      <c r="IP105" s="73"/>
      <c r="IQ105" s="72">
        <f t="shared" ref="IQ105" ca="1" si="2982">($M105=IP105)*$D$12</f>
        <v>0</v>
      </c>
      <c r="IR105" s="63"/>
      <c r="IS105" s="73"/>
      <c r="IT105" s="72">
        <f t="shared" ref="IT105" ca="1" si="2983">($M105=IS105)*$D$12</f>
        <v>0</v>
      </c>
      <c r="IU105" s="63"/>
      <c r="IV105" s="73"/>
      <c r="IW105" s="72">
        <f t="shared" ref="IW105" ca="1" si="2984">($M105=IV105)*$D$12</f>
        <v>0</v>
      </c>
      <c r="IX105" s="63"/>
      <c r="IY105" s="73"/>
      <c r="IZ105" s="72">
        <f t="shared" ref="IZ105" ca="1" si="2985">($M105=IY105)*$D$12</f>
        <v>0</v>
      </c>
      <c r="JA105" s="63"/>
      <c r="JB105" s="73"/>
      <c r="JC105" s="72">
        <f t="shared" ref="JC105" ca="1" si="2986">($M105=JB105)*$D$12</f>
        <v>0</v>
      </c>
      <c r="JD105" s="63"/>
      <c r="JE105" s="73"/>
      <c r="JF105" s="72">
        <f t="shared" ref="JF105" ca="1" si="2987">($M105=JE105)*$D$12</f>
        <v>0</v>
      </c>
      <c r="JG105" s="63"/>
      <c r="JH105" s="73"/>
      <c r="JI105" s="72">
        <f t="shared" ref="JI105" ca="1" si="2988">($M105=JH105)*$D$12</f>
        <v>0</v>
      </c>
      <c r="JJ105" s="63"/>
      <c r="JK105" s="73"/>
      <c r="JL105" s="72">
        <f t="shared" ref="JL105" ca="1" si="2989">($M105=JK105)*$D$12</f>
        <v>0</v>
      </c>
      <c r="JM105" s="63"/>
      <c r="JN105" s="73"/>
      <c r="JO105" s="72">
        <f t="shared" ref="JO105" ca="1" si="2990">($M105=JN105)*$D$12</f>
        <v>0</v>
      </c>
      <c r="JP105" s="63"/>
      <c r="JQ105" s="73"/>
      <c r="JR105" s="72">
        <f t="shared" ref="JR105" ca="1" si="2991">($M105=JQ105)*$D$12</f>
        <v>0</v>
      </c>
      <c r="JS105" s="63"/>
      <c r="JT105" s="73"/>
      <c r="JU105" s="72">
        <f t="shared" ref="JU105" ca="1" si="2992">($M105=JT105)*$D$12</f>
        <v>0</v>
      </c>
      <c r="JV105" s="63"/>
      <c r="JW105" s="73"/>
      <c r="JX105" s="72">
        <f t="shared" ref="JX105" ca="1" si="2993">($M105=JW105)*$D$12</f>
        <v>0</v>
      </c>
      <c r="JY105" s="63"/>
      <c r="JZ105" s="73"/>
      <c r="KA105" s="72">
        <f t="shared" ref="KA105" ca="1" si="2994">($M105=JZ105)*$D$12</f>
        <v>0</v>
      </c>
      <c r="KB105" s="63"/>
      <c r="KC105" s="73"/>
      <c r="KD105" s="72">
        <f t="shared" ref="KD105" ca="1" si="2995">($M105=KC105)*$D$12</f>
        <v>0</v>
      </c>
      <c r="KE105" s="63"/>
      <c r="KF105" s="73"/>
      <c r="KG105" s="72">
        <f t="shared" ref="KG105" ca="1" si="2996">($M105=KF105)*$D$12</f>
        <v>0</v>
      </c>
      <c r="KH105" s="63"/>
      <c r="KI105" s="73"/>
      <c r="KJ105" s="72">
        <f t="shared" ref="KJ105" ca="1" si="2997">($M105=KI105)*$D$12</f>
        <v>0</v>
      </c>
      <c r="KK105" s="63"/>
      <c r="KL105" s="73"/>
      <c r="KM105" s="72">
        <f t="shared" ref="KM105" ca="1" si="2998">($M105=KL105)*$D$12</f>
        <v>0</v>
      </c>
      <c r="KN105" s="63"/>
      <c r="KO105" s="73"/>
      <c r="KP105" s="72">
        <f t="shared" ref="KP105" ca="1" si="2999">($M105=KO105)*$D$12</f>
        <v>0</v>
      </c>
      <c r="KQ105" s="63"/>
      <c r="KR105" s="73"/>
      <c r="KS105" s="72">
        <f t="shared" ref="KS105" ca="1" si="3000">($M105=KR105)*$D$12</f>
        <v>0</v>
      </c>
      <c r="KT105" s="63"/>
      <c r="KU105" s="73"/>
      <c r="KV105" s="72">
        <f t="shared" ref="KV105" ca="1" si="3001">($M105=KU105)*$D$12</f>
        <v>0</v>
      </c>
      <c r="KW105" s="63"/>
      <c r="KX105" s="73"/>
      <c r="KY105" s="72">
        <f t="shared" ref="KY105" ca="1" si="3002">($M105=KX105)*$D$12</f>
        <v>0</v>
      </c>
      <c r="KZ105" s="63"/>
      <c r="LA105" s="73"/>
      <c r="LB105" s="72">
        <f t="shared" ref="LB105" ca="1" si="3003">($M105=LA105)*$D$12</f>
        <v>0</v>
      </c>
      <c r="LC105" s="63"/>
      <c r="LD105" s="73"/>
      <c r="LE105" s="72">
        <f t="shared" ref="LE105" ca="1" si="3004">($M105=LD105)*$D$12</f>
        <v>0</v>
      </c>
      <c r="LF105" s="63"/>
    </row>
    <row r="106" spans="1:318" s="784" customFormat="1">
      <c r="A106" s="49"/>
      <c r="B106" s="49"/>
      <c r="C106" s="49"/>
      <c r="D106" s="49"/>
      <c r="E106" s="109"/>
      <c r="F106" s="125">
        <f t="shared" ref="F106" si="3005">$D$13</f>
        <v>20</v>
      </c>
      <c r="G106" s="443">
        <f ca="1">VLOOKUP(H106,Equipos!$Q$1:$R$25,2,0)</f>
        <v>16</v>
      </c>
      <c r="H106" s="444">
        <f ca="1">$H$66</f>
        <v>46199</v>
      </c>
      <c r="I106" s="50"/>
      <c r="J106" s="846"/>
      <c r="K106" s="56" t="str">
        <f>Idiomas!D176</f>
        <v>3º GRUPO G</v>
      </c>
      <c r="L106" s="53"/>
      <c r="M106" s="55" t="str">
        <f ca="1">IF(OR(SUM(WORLDCUP!$AN$54:$AN$57)=12,WORLDCUP!$AJ$99=144),WORLDCUP!AL56,LEFT(K106,1)&amp;RIGHT(K106,1))</f>
        <v>3G</v>
      </c>
      <c r="N106" s="25"/>
      <c r="O106" s="25"/>
      <c r="P106" s="25"/>
      <c r="Q106" s="25"/>
      <c r="R106" s="108"/>
      <c r="S106" s="796" t="s">
        <v>1266</v>
      </c>
      <c r="T106" s="72">
        <f t="shared" ref="T106" ca="1" si="3006">($M106=S106)*$D$13</f>
        <v>0</v>
      </c>
      <c r="U106" s="63"/>
      <c r="V106" s="73" t="s">
        <v>1262</v>
      </c>
      <c r="W106" s="72">
        <f t="shared" ref="W106" ca="1" si="3007">($M106=V106)*$D$13</f>
        <v>0</v>
      </c>
      <c r="X106" s="63"/>
      <c r="Y106" s="796" t="s">
        <v>1550</v>
      </c>
      <c r="Z106" s="72">
        <f t="shared" ref="Z106" ca="1" si="3008">($M106=Y106)*$D$13</f>
        <v>0</v>
      </c>
      <c r="AA106" s="63"/>
      <c r="AB106" s="796" t="s">
        <v>1266</v>
      </c>
      <c r="AC106" s="72">
        <f t="shared" ref="AC106" ca="1" si="3009">($M106=AB106)*$D$13</f>
        <v>0</v>
      </c>
      <c r="AD106" s="63"/>
      <c r="AE106" s="796" t="s">
        <v>1262</v>
      </c>
      <c r="AF106" s="72">
        <f t="shared" ref="AF106" ca="1" si="3010">($M106=AE106)*$D$13</f>
        <v>0</v>
      </c>
      <c r="AG106" s="63"/>
      <c r="AH106" s="796" t="s">
        <v>1266</v>
      </c>
      <c r="AI106" s="72">
        <f t="shared" ref="AI106" ca="1" si="3011">($M106=AH106)*$D$13</f>
        <v>0</v>
      </c>
      <c r="AJ106" s="63"/>
      <c r="AK106" s="806" t="s">
        <v>1262</v>
      </c>
      <c r="AL106" s="72">
        <f t="shared" ref="AL106" ca="1" si="3012">($M106=AK106)*$D$13</f>
        <v>0</v>
      </c>
      <c r="AM106" s="63"/>
      <c r="AN106" s="796" t="s">
        <v>1262</v>
      </c>
      <c r="AO106" s="72">
        <f t="shared" ref="AO106" ca="1" si="3013">($M106=AN106)*$D$13</f>
        <v>0</v>
      </c>
      <c r="AP106" s="63"/>
      <c r="AQ106" s="806" t="s">
        <v>1266</v>
      </c>
      <c r="AR106" s="72">
        <f t="shared" ref="AR106" ca="1" si="3014">($M106=AQ106)*$D$13</f>
        <v>0</v>
      </c>
      <c r="AS106" s="63"/>
      <c r="AT106" s="796" t="s">
        <v>1550</v>
      </c>
      <c r="AU106" s="72">
        <f t="shared" ref="AU106" ca="1" si="3015">($M106=AT106)*$D$13</f>
        <v>0</v>
      </c>
      <c r="AV106" s="63"/>
      <c r="AW106" s="796" t="s">
        <v>1550</v>
      </c>
      <c r="AX106" s="72">
        <f t="shared" ref="AX106" ca="1" si="3016">($M106=AW106)*$D$13</f>
        <v>0</v>
      </c>
      <c r="AY106" s="63"/>
      <c r="AZ106" s="796" t="s">
        <v>1266</v>
      </c>
      <c r="BA106" s="72">
        <f t="shared" ref="BA106" ca="1" si="3017">($M106=AZ106)*$D$13</f>
        <v>0</v>
      </c>
      <c r="BB106" s="63"/>
      <c r="BC106" s="796" t="s">
        <v>1262</v>
      </c>
      <c r="BD106" s="72">
        <f t="shared" ref="BD106" ca="1" si="3018">($M106=BC106)*$D$13</f>
        <v>0</v>
      </c>
      <c r="BE106" s="63"/>
      <c r="BF106" s="796" t="s">
        <v>1266</v>
      </c>
      <c r="BG106" s="72">
        <f t="shared" ref="BG106" ca="1" si="3019">($M106=BF106)*$D$13</f>
        <v>0</v>
      </c>
      <c r="BH106" s="63"/>
      <c r="BI106" s="796" t="s">
        <v>1262</v>
      </c>
      <c r="BJ106" s="72">
        <f t="shared" ref="BJ106" ca="1" si="3020">($M106=BI106)*$D$13</f>
        <v>0</v>
      </c>
      <c r="BK106" s="63"/>
      <c r="BL106" s="796" t="s">
        <v>1550</v>
      </c>
      <c r="BM106" s="72">
        <f t="shared" ref="BM106" ca="1" si="3021">($M106=BL106)*$D$13</f>
        <v>0</v>
      </c>
      <c r="BN106" s="63"/>
      <c r="BO106" s="816" t="s">
        <v>1262</v>
      </c>
      <c r="BP106" s="72">
        <f t="shared" ref="BP106" ca="1" si="3022">($M106=BO106)*$D$13</f>
        <v>0</v>
      </c>
      <c r="BQ106" s="63"/>
      <c r="BR106" s="796" t="s">
        <v>1262</v>
      </c>
      <c r="BS106" s="72">
        <f t="shared" ref="BS106" ca="1" si="3023">($M106=BR106)*$D$13</f>
        <v>0</v>
      </c>
      <c r="BT106" s="63"/>
      <c r="BU106" s="796" t="s">
        <v>1266</v>
      </c>
      <c r="BV106" s="72">
        <f t="shared" ref="BV106" ca="1" si="3024">($M106=BU106)*$D$13</f>
        <v>0</v>
      </c>
      <c r="BW106" s="63"/>
      <c r="BX106" s="73" t="s">
        <v>1262</v>
      </c>
      <c r="BY106" s="72">
        <f t="shared" ref="BY106" ca="1" si="3025">($M106=BX106)*$D$13</f>
        <v>0</v>
      </c>
      <c r="BZ106" s="63"/>
      <c r="CA106" s="816" t="s">
        <v>1266</v>
      </c>
      <c r="CB106" s="72">
        <f t="shared" ref="CB106" ca="1" si="3026">($M106=CA106)*$D$13</f>
        <v>0</v>
      </c>
      <c r="CC106" s="63"/>
      <c r="CD106" s="825" t="s">
        <v>1262</v>
      </c>
      <c r="CE106" s="72">
        <f t="shared" ref="CE106" ca="1" si="3027">($M106=CD106)*$D$13</f>
        <v>0</v>
      </c>
      <c r="CF106" s="63"/>
      <c r="CG106" s="796" t="s">
        <v>1262</v>
      </c>
      <c r="CH106" s="72">
        <f t="shared" ref="CH106" ca="1" si="3028">($M106=CG106)*$D$13</f>
        <v>0</v>
      </c>
      <c r="CI106" s="63"/>
      <c r="CJ106" s="796" t="s">
        <v>1262</v>
      </c>
      <c r="CK106" s="72">
        <f t="shared" ref="CK106" ca="1" si="3029">($M106=CJ106)*$D$13</f>
        <v>0</v>
      </c>
      <c r="CL106" s="63"/>
      <c r="CM106" s="796" t="s">
        <v>1550</v>
      </c>
      <c r="CN106" s="72">
        <f t="shared" ref="CN106" ca="1" si="3030">($M106=CM106)*$D$13</f>
        <v>0</v>
      </c>
      <c r="CO106" s="63"/>
      <c r="CP106" s="796" t="s">
        <v>1550</v>
      </c>
      <c r="CQ106" s="72">
        <f t="shared" ref="CQ106" ca="1" si="3031">($M106=CP106)*$D$13</f>
        <v>0</v>
      </c>
      <c r="CR106" s="63"/>
      <c r="CS106" s="796" t="s">
        <v>1262</v>
      </c>
      <c r="CT106" s="72">
        <f t="shared" ref="CT106" ca="1" si="3032">($M106=CS106)*$D$13</f>
        <v>0</v>
      </c>
      <c r="CU106" s="63"/>
      <c r="CV106" s="796" t="s">
        <v>1262</v>
      </c>
      <c r="CW106" s="72">
        <f t="shared" ref="CW106" ca="1" si="3033">($M106=CV106)*$D$13</f>
        <v>0</v>
      </c>
      <c r="CX106" s="63"/>
      <c r="CY106" s="796" t="s">
        <v>1262</v>
      </c>
      <c r="CZ106" s="72">
        <f t="shared" ref="CZ106" ca="1" si="3034">($M106=CY106)*$D$13</f>
        <v>0</v>
      </c>
      <c r="DA106" s="63"/>
      <c r="DB106" s="796" t="s">
        <v>1262</v>
      </c>
      <c r="DC106" s="72">
        <f t="shared" ref="DC106" ca="1" si="3035">($M106=DB106)*$D$13</f>
        <v>0</v>
      </c>
      <c r="DD106" s="63"/>
      <c r="DE106" s="796" t="s">
        <v>1262</v>
      </c>
      <c r="DF106" s="72">
        <f ca="1">($M106=DE106)*$D$13</f>
        <v>0</v>
      </c>
      <c r="DG106" s="63"/>
      <c r="DH106" s="796" t="s">
        <v>1262</v>
      </c>
      <c r="DI106" s="72">
        <f ca="1">($M106=DH106)*$D$13</f>
        <v>0</v>
      </c>
      <c r="DJ106" s="63"/>
      <c r="DK106" s="796" t="s">
        <v>1266</v>
      </c>
      <c r="DL106" s="72">
        <f ca="1">($M106=DK106)*$D$13</f>
        <v>0</v>
      </c>
      <c r="DM106" s="63"/>
      <c r="DN106" s="73"/>
      <c r="DO106" s="72">
        <f t="shared" ref="DO106" ca="1" si="3036">($M106=DN106)*$D$13</f>
        <v>0</v>
      </c>
      <c r="DP106" s="63"/>
      <c r="DQ106" s="796" t="s">
        <v>1266</v>
      </c>
      <c r="DR106" s="72">
        <f t="shared" ref="DR106" ca="1" si="3037">($M106=DQ106)*$D$13</f>
        <v>0</v>
      </c>
      <c r="DS106" s="63"/>
      <c r="DT106" s="73" t="s">
        <v>1262</v>
      </c>
      <c r="DU106" s="72">
        <f t="shared" ref="DU106" ca="1" si="3038">($M106=DT106)*$D$13</f>
        <v>0</v>
      </c>
      <c r="DV106" s="63"/>
      <c r="DW106" s="73"/>
      <c r="DX106" s="72">
        <f t="shared" ref="DX106" ca="1" si="3039">($M106=DW106)*$D$13</f>
        <v>0</v>
      </c>
      <c r="DY106" s="63"/>
      <c r="DZ106" s="73"/>
      <c r="EA106" s="72">
        <f ca="1">($M106=DZ106)*$D$13</f>
        <v>0</v>
      </c>
      <c r="EB106" s="63"/>
      <c r="EC106" s="73"/>
      <c r="ED106" s="72">
        <f t="shared" ref="ED106" ca="1" si="3040">($M106=EC106)*$D$13</f>
        <v>0</v>
      </c>
      <c r="EE106" s="63"/>
      <c r="EF106" s="73"/>
      <c r="EG106" s="72">
        <f t="shared" ref="EG106" ca="1" si="3041">($M106=EF106)*$D$13</f>
        <v>0</v>
      </c>
      <c r="EH106" s="63"/>
      <c r="EI106" s="73"/>
      <c r="EJ106" s="72">
        <f t="shared" ref="EJ106" ca="1" si="3042">($M106=EI106)*$D$13</f>
        <v>0</v>
      </c>
      <c r="EK106" s="63"/>
      <c r="EL106" s="73"/>
      <c r="EM106" s="72">
        <f t="shared" ref="EM106" ca="1" si="3043">($M106=EL106)*$D$13</f>
        <v>0</v>
      </c>
      <c r="EN106" s="63"/>
      <c r="EO106" s="73"/>
      <c r="EP106" s="72">
        <f t="shared" ref="EP106" ca="1" si="3044">($M106=EO106)*$D$13</f>
        <v>0</v>
      </c>
      <c r="EQ106" s="63"/>
      <c r="ER106" s="73"/>
      <c r="ES106" s="72">
        <f t="shared" ref="ES106" ca="1" si="3045">($M106=ER106)*$D$13</f>
        <v>0</v>
      </c>
      <c r="ET106" s="63"/>
      <c r="EU106" s="73"/>
      <c r="EV106" s="72">
        <f t="shared" ref="EV106" ca="1" si="3046">($M106=EU106)*$D$13</f>
        <v>0</v>
      </c>
      <c r="EW106" s="63"/>
      <c r="EX106" s="73"/>
      <c r="EY106" s="72">
        <f t="shared" ref="EY106" ca="1" si="3047">($M106=EX106)*$D$13</f>
        <v>0</v>
      </c>
      <c r="EZ106" s="63"/>
      <c r="FA106" s="73"/>
      <c r="FB106" s="72">
        <f t="shared" ref="FB106" ca="1" si="3048">($M106=FA106)*$D$13</f>
        <v>0</v>
      </c>
      <c r="FC106" s="63"/>
      <c r="FD106" s="73"/>
      <c r="FE106" s="72">
        <f t="shared" ref="FE106" ca="1" si="3049">($M106=FD106)*$D$13</f>
        <v>0</v>
      </c>
      <c r="FF106" s="63"/>
      <c r="FG106" s="73"/>
      <c r="FH106" s="72">
        <f t="shared" ref="FH106" ca="1" si="3050">($M106=FG106)*$D$13</f>
        <v>0</v>
      </c>
      <c r="FI106" s="63"/>
      <c r="FJ106" s="73"/>
      <c r="FK106" s="72">
        <f t="shared" ref="FK106" ca="1" si="3051">($M106=FJ106)*$D$13</f>
        <v>0</v>
      </c>
      <c r="FL106" s="63"/>
      <c r="FM106" s="73"/>
      <c r="FN106" s="72">
        <f t="shared" ref="FN106" ca="1" si="3052">($M106=FM106)*$D$13</f>
        <v>0</v>
      </c>
      <c r="FO106" s="63"/>
      <c r="FP106" s="73"/>
      <c r="FQ106" s="72">
        <f t="shared" ref="FQ106" ca="1" si="3053">($M106=FP106)*$D$13</f>
        <v>0</v>
      </c>
      <c r="FR106" s="63"/>
      <c r="FS106" s="73"/>
      <c r="FT106" s="72">
        <f t="shared" ref="FT106" ca="1" si="3054">($M106=FS106)*$D$13</f>
        <v>0</v>
      </c>
      <c r="FU106" s="63"/>
      <c r="FV106" s="73"/>
      <c r="FW106" s="72">
        <f t="shared" ref="FW106" ca="1" si="3055">($M106=FV106)*$D$13</f>
        <v>0</v>
      </c>
      <c r="FX106" s="63"/>
      <c r="FY106" s="73"/>
      <c r="FZ106" s="72">
        <f t="shared" ref="FZ106" ca="1" si="3056">($M106=FY106)*$D$13</f>
        <v>0</v>
      </c>
      <c r="GA106" s="63"/>
      <c r="GB106" s="73"/>
      <c r="GC106" s="72">
        <f t="shared" ref="GC106" ca="1" si="3057">($M106=GB106)*$D$13</f>
        <v>0</v>
      </c>
      <c r="GD106" s="63"/>
      <c r="GE106" s="73"/>
      <c r="GF106" s="72">
        <f t="shared" ref="GF106" ca="1" si="3058">($M106=GE106)*$D$13</f>
        <v>0</v>
      </c>
      <c r="GG106" s="63"/>
      <c r="GH106" s="73"/>
      <c r="GI106" s="72">
        <f t="shared" ref="GI106" ca="1" si="3059">($M106=GH106)*$D$13</f>
        <v>0</v>
      </c>
      <c r="GJ106" s="63"/>
      <c r="GK106" s="73"/>
      <c r="GL106" s="72">
        <f t="shared" ref="GL106" ca="1" si="3060">($M106=GK106)*$D$13</f>
        <v>0</v>
      </c>
      <c r="GM106" s="63"/>
      <c r="GN106" s="73"/>
      <c r="GO106" s="72">
        <f t="shared" ref="GO106" ca="1" si="3061">($M106=GN106)*$D$13</f>
        <v>0</v>
      </c>
      <c r="GP106" s="63"/>
      <c r="GQ106" s="73"/>
      <c r="GR106" s="72">
        <f t="shared" ref="GR106" ca="1" si="3062">($M106=GQ106)*$D$13</f>
        <v>0</v>
      </c>
      <c r="GS106" s="63"/>
      <c r="GT106" s="73"/>
      <c r="GU106" s="72">
        <f t="shared" ref="GU106" ca="1" si="3063">($M106=GT106)*$D$13</f>
        <v>0</v>
      </c>
      <c r="GV106" s="63"/>
      <c r="GW106" s="73"/>
      <c r="GX106" s="72">
        <f t="shared" ref="GX106" ca="1" si="3064">($M106=GW106)*$D$13</f>
        <v>0</v>
      </c>
      <c r="GY106" s="63"/>
      <c r="GZ106" s="73"/>
      <c r="HA106" s="72">
        <f t="shared" ref="HA106" ca="1" si="3065">($M106=GZ106)*$D$13</f>
        <v>0</v>
      </c>
      <c r="HB106" s="63"/>
      <c r="HC106" s="73"/>
      <c r="HD106" s="72">
        <f t="shared" ref="HD106" ca="1" si="3066">($M106=HC106)*$D$13</f>
        <v>0</v>
      </c>
      <c r="HE106" s="63"/>
      <c r="HF106" s="73"/>
      <c r="HG106" s="72">
        <f t="shared" ref="HG106" ca="1" si="3067">($M106=HF106)*$D$13</f>
        <v>0</v>
      </c>
      <c r="HH106" s="63"/>
      <c r="HI106" s="73"/>
      <c r="HJ106" s="72">
        <f t="shared" ref="HJ106" ca="1" si="3068">($M106=HI106)*$D$13</f>
        <v>0</v>
      </c>
      <c r="HK106" s="63"/>
      <c r="HL106" s="73"/>
      <c r="HM106" s="72">
        <f t="shared" ref="HM106" ca="1" si="3069">($M106=HL106)*$D$13</f>
        <v>0</v>
      </c>
      <c r="HN106" s="63"/>
      <c r="HO106" s="73"/>
      <c r="HP106" s="72">
        <f t="shared" ref="HP106" ca="1" si="3070">($M106=HO106)*$D$13</f>
        <v>0</v>
      </c>
      <c r="HQ106" s="63"/>
      <c r="HR106" s="73"/>
      <c r="HS106" s="72">
        <f t="shared" ref="HS106" ca="1" si="3071">($M106=HR106)*$D$13</f>
        <v>0</v>
      </c>
      <c r="HT106" s="63"/>
      <c r="HU106" s="73"/>
      <c r="HV106" s="72">
        <f t="shared" ref="HV106" ca="1" si="3072">($M106=HU106)*$D$13</f>
        <v>0</v>
      </c>
      <c r="HW106" s="63"/>
      <c r="HX106" s="73"/>
      <c r="HY106" s="72">
        <f t="shared" ref="HY106" ca="1" si="3073">($M106=HX106)*$D$13</f>
        <v>0</v>
      </c>
      <c r="HZ106" s="63"/>
      <c r="IA106" s="73"/>
      <c r="IB106" s="72">
        <f t="shared" ref="IB106" ca="1" si="3074">($M106=IA106)*$D$13</f>
        <v>0</v>
      </c>
      <c r="IC106" s="63"/>
      <c r="ID106" s="73"/>
      <c r="IE106" s="72">
        <f t="shared" ref="IE106" ca="1" si="3075">($M106=ID106)*$D$13</f>
        <v>0</v>
      </c>
      <c r="IF106" s="63"/>
      <c r="IG106" s="73"/>
      <c r="IH106" s="72">
        <f t="shared" ref="IH106" ca="1" si="3076">($M106=IG106)*$D$13</f>
        <v>0</v>
      </c>
      <c r="II106" s="63"/>
      <c r="IJ106" s="73"/>
      <c r="IK106" s="72">
        <f t="shared" ref="IK106" ca="1" si="3077">($M106=IJ106)*$D$13</f>
        <v>0</v>
      </c>
      <c r="IL106" s="63"/>
      <c r="IM106" s="73"/>
      <c r="IN106" s="72">
        <f t="shared" ref="IN106" ca="1" si="3078">($M106=IM106)*$D$13</f>
        <v>0</v>
      </c>
      <c r="IO106" s="63"/>
      <c r="IP106" s="73"/>
      <c r="IQ106" s="72">
        <f t="shared" ref="IQ106" ca="1" si="3079">($M106=IP106)*$D$13</f>
        <v>0</v>
      </c>
      <c r="IR106" s="63"/>
      <c r="IS106" s="73"/>
      <c r="IT106" s="72">
        <f t="shared" ref="IT106" ca="1" si="3080">($M106=IS106)*$D$13</f>
        <v>0</v>
      </c>
      <c r="IU106" s="63"/>
      <c r="IV106" s="73"/>
      <c r="IW106" s="72">
        <f t="shared" ref="IW106" ca="1" si="3081">($M106=IV106)*$D$13</f>
        <v>0</v>
      </c>
      <c r="IX106" s="63"/>
      <c r="IY106" s="73"/>
      <c r="IZ106" s="72">
        <f t="shared" ref="IZ106" ca="1" si="3082">($M106=IY106)*$D$13</f>
        <v>0</v>
      </c>
      <c r="JA106" s="63"/>
      <c r="JB106" s="73"/>
      <c r="JC106" s="72">
        <f t="shared" ref="JC106" ca="1" si="3083">($M106=JB106)*$D$13</f>
        <v>0</v>
      </c>
      <c r="JD106" s="63"/>
      <c r="JE106" s="73"/>
      <c r="JF106" s="72">
        <f t="shared" ref="JF106" ca="1" si="3084">($M106=JE106)*$D$13</f>
        <v>0</v>
      </c>
      <c r="JG106" s="63"/>
      <c r="JH106" s="73"/>
      <c r="JI106" s="72">
        <f t="shared" ref="JI106" ca="1" si="3085">($M106=JH106)*$D$13</f>
        <v>0</v>
      </c>
      <c r="JJ106" s="63"/>
      <c r="JK106" s="73"/>
      <c r="JL106" s="72">
        <f t="shared" ref="JL106" ca="1" si="3086">($M106=JK106)*$D$13</f>
        <v>0</v>
      </c>
      <c r="JM106" s="63"/>
      <c r="JN106" s="73"/>
      <c r="JO106" s="72">
        <f t="shared" ref="JO106" ca="1" si="3087">($M106=JN106)*$D$13</f>
        <v>0</v>
      </c>
      <c r="JP106" s="63"/>
      <c r="JQ106" s="73"/>
      <c r="JR106" s="72">
        <f t="shared" ref="JR106" ca="1" si="3088">($M106=JQ106)*$D$13</f>
        <v>0</v>
      </c>
      <c r="JS106" s="63"/>
      <c r="JT106" s="73"/>
      <c r="JU106" s="72">
        <f t="shared" ref="JU106" ca="1" si="3089">($M106=JT106)*$D$13</f>
        <v>0</v>
      </c>
      <c r="JV106" s="63"/>
      <c r="JW106" s="73"/>
      <c r="JX106" s="72">
        <f t="shared" ref="JX106" ca="1" si="3090">($M106=JW106)*$D$13</f>
        <v>0</v>
      </c>
      <c r="JY106" s="63"/>
      <c r="JZ106" s="73"/>
      <c r="KA106" s="72">
        <f t="shared" ref="KA106" ca="1" si="3091">($M106=JZ106)*$D$13</f>
        <v>0</v>
      </c>
      <c r="KB106" s="63"/>
      <c r="KC106" s="73"/>
      <c r="KD106" s="72">
        <f t="shared" ref="KD106" ca="1" si="3092">($M106=KC106)*$D$13</f>
        <v>0</v>
      </c>
      <c r="KE106" s="63"/>
      <c r="KF106" s="73"/>
      <c r="KG106" s="72">
        <f t="shared" ref="KG106" ca="1" si="3093">($M106=KF106)*$D$13</f>
        <v>0</v>
      </c>
      <c r="KH106" s="63"/>
      <c r="KI106" s="73"/>
      <c r="KJ106" s="72">
        <f t="shared" ref="KJ106" ca="1" si="3094">($M106=KI106)*$D$13</f>
        <v>0</v>
      </c>
      <c r="KK106" s="63"/>
      <c r="KL106" s="73"/>
      <c r="KM106" s="72">
        <f t="shared" ref="KM106" ca="1" si="3095">($M106=KL106)*$D$13</f>
        <v>0</v>
      </c>
      <c r="KN106" s="63"/>
      <c r="KO106" s="73"/>
      <c r="KP106" s="72">
        <f t="shared" ref="KP106" ca="1" si="3096">($M106=KO106)*$D$13</f>
        <v>0</v>
      </c>
      <c r="KQ106" s="63"/>
      <c r="KR106" s="73"/>
      <c r="KS106" s="72">
        <f t="shared" ref="KS106" ca="1" si="3097">($M106=KR106)*$D$13</f>
        <v>0</v>
      </c>
      <c r="KT106" s="63"/>
      <c r="KU106" s="73"/>
      <c r="KV106" s="72">
        <f t="shared" ref="KV106" ca="1" si="3098">($M106=KU106)*$D$13</f>
        <v>0</v>
      </c>
      <c r="KW106" s="63"/>
      <c r="KX106" s="73"/>
      <c r="KY106" s="72">
        <f t="shared" ref="KY106" ca="1" si="3099">($M106=KX106)*$D$13</f>
        <v>0</v>
      </c>
      <c r="KZ106" s="63"/>
      <c r="LA106" s="73"/>
      <c r="LB106" s="72">
        <f t="shared" ref="LB106" ca="1" si="3100">($M106=LA106)*$D$13</f>
        <v>0</v>
      </c>
      <c r="LC106" s="63"/>
      <c r="LD106" s="73"/>
      <c r="LE106" s="72">
        <f t="shared" ref="LE106" ca="1" si="3101">($M106=LD106)*$D$13</f>
        <v>0</v>
      </c>
      <c r="LF106" s="63"/>
    </row>
    <row r="107" spans="1:318" s="784" customFormat="1">
      <c r="A107" s="49"/>
      <c r="B107" s="49"/>
      <c r="C107" s="49"/>
      <c r="D107" s="49"/>
      <c r="E107" s="109"/>
      <c r="F107" s="125">
        <f t="shared" ref="F107" si="3102">$D$14</f>
        <v>20</v>
      </c>
      <c r="G107" s="443">
        <f ca="1">VLOOKUP(H107,Equipos!$Q$1:$R$25,2,0)</f>
        <v>16</v>
      </c>
      <c r="H107" s="444">
        <f ca="1">$H$66</f>
        <v>46199</v>
      </c>
      <c r="I107" s="50"/>
      <c r="J107" s="846"/>
      <c r="K107" s="56" t="str">
        <f>Idiomas!D177</f>
        <v>4º GRUPO G</v>
      </c>
      <c r="L107" s="53"/>
      <c r="M107" s="55" t="str">
        <f ca="1">IF(OR(SUM(WORLDCUP!$AN$54:$AN$57)=12,WORLDCUP!$AJ$99=144),WORLDCUP!AL57,LEFT(K107,1)&amp;RIGHT(K107,1))</f>
        <v>4G</v>
      </c>
      <c r="N107" s="25"/>
      <c r="O107" s="25"/>
      <c r="P107" s="25"/>
      <c r="Q107" s="25"/>
      <c r="R107" s="108"/>
      <c r="S107" s="796" t="s">
        <v>1262</v>
      </c>
      <c r="T107" s="72">
        <f t="shared" ref="T107" ca="1" si="3103">($M107=S107)*$D$14</f>
        <v>0</v>
      </c>
      <c r="U107" s="63"/>
      <c r="V107" s="73" t="s">
        <v>1266</v>
      </c>
      <c r="W107" s="72">
        <f t="shared" ref="W107" ca="1" si="3104">($M107=V107)*$D$14</f>
        <v>0</v>
      </c>
      <c r="X107" s="63"/>
      <c r="Y107" s="796" t="s">
        <v>1262</v>
      </c>
      <c r="Z107" s="72">
        <f t="shared" ref="Z107" ca="1" si="3105">($M107=Y107)*$D$14</f>
        <v>0</v>
      </c>
      <c r="AA107" s="63"/>
      <c r="AB107" s="796" t="s">
        <v>1262</v>
      </c>
      <c r="AC107" s="72">
        <f t="shared" ref="AC107" ca="1" si="3106">($M107=AB107)*$D$14</f>
        <v>0</v>
      </c>
      <c r="AD107" s="63"/>
      <c r="AE107" s="796" t="s">
        <v>1266</v>
      </c>
      <c r="AF107" s="72">
        <f t="shared" ref="AF107" ca="1" si="3107">($M107=AE107)*$D$14</f>
        <v>0</v>
      </c>
      <c r="AG107" s="63"/>
      <c r="AH107" s="796" t="s">
        <v>1262</v>
      </c>
      <c r="AI107" s="72">
        <f t="shared" ref="AI107" ca="1" si="3108">($M107=AH107)*$D$14</f>
        <v>0</v>
      </c>
      <c r="AJ107" s="63"/>
      <c r="AK107" s="806" t="s">
        <v>1266</v>
      </c>
      <c r="AL107" s="72">
        <f t="shared" ref="AL107" ca="1" si="3109">($M107=AK107)*$D$14</f>
        <v>0</v>
      </c>
      <c r="AM107" s="63"/>
      <c r="AN107" s="796" t="s">
        <v>1266</v>
      </c>
      <c r="AO107" s="72">
        <f t="shared" ref="AO107" ca="1" si="3110">($M107=AN107)*$D$14</f>
        <v>0</v>
      </c>
      <c r="AP107" s="63"/>
      <c r="AQ107" s="806" t="s">
        <v>1262</v>
      </c>
      <c r="AR107" s="72">
        <f t="shared" ref="AR107" ca="1" si="3111">($M107=AQ107)*$D$14</f>
        <v>0</v>
      </c>
      <c r="AS107" s="63"/>
      <c r="AT107" s="796" t="s">
        <v>1266</v>
      </c>
      <c r="AU107" s="72">
        <f t="shared" ref="AU107" ca="1" si="3112">($M107=AT107)*$D$14</f>
        <v>0</v>
      </c>
      <c r="AV107" s="63"/>
      <c r="AW107" s="796" t="s">
        <v>1266</v>
      </c>
      <c r="AX107" s="72">
        <f t="shared" ref="AX107" ca="1" si="3113">($M107=AW107)*$D$14</f>
        <v>0</v>
      </c>
      <c r="AY107" s="63"/>
      <c r="AZ107" s="796" t="s">
        <v>110</v>
      </c>
      <c r="BA107" s="72">
        <f t="shared" ref="BA107" ca="1" si="3114">($M107=AZ107)*$D$14</f>
        <v>0</v>
      </c>
      <c r="BB107" s="63"/>
      <c r="BC107" s="796" t="s">
        <v>1266</v>
      </c>
      <c r="BD107" s="72">
        <f t="shared" ref="BD107" ca="1" si="3115">($M107=BC107)*$D$14</f>
        <v>0</v>
      </c>
      <c r="BE107" s="63"/>
      <c r="BF107" s="796" t="s">
        <v>1262</v>
      </c>
      <c r="BG107" s="72">
        <f t="shared" ref="BG107" ca="1" si="3116">($M107=BF107)*$D$14</f>
        <v>0</v>
      </c>
      <c r="BH107" s="63"/>
      <c r="BI107" s="796" t="s">
        <v>1266</v>
      </c>
      <c r="BJ107" s="72">
        <f t="shared" ref="BJ107" ca="1" si="3117">($M107=BI107)*$D$14</f>
        <v>0</v>
      </c>
      <c r="BK107" s="63"/>
      <c r="BL107" s="796" t="s">
        <v>1262</v>
      </c>
      <c r="BM107" s="72">
        <f t="shared" ref="BM107" ca="1" si="3118">($M107=BL107)*$D$14</f>
        <v>0</v>
      </c>
      <c r="BN107" s="63"/>
      <c r="BO107" s="816" t="s">
        <v>1266</v>
      </c>
      <c r="BP107" s="72">
        <f t="shared" ref="BP107" ca="1" si="3119">($M107=BO107)*$D$14</f>
        <v>0</v>
      </c>
      <c r="BQ107" s="63"/>
      <c r="BR107" s="796" t="s">
        <v>1266</v>
      </c>
      <c r="BS107" s="72">
        <f t="shared" ref="BS107" ca="1" si="3120">($M107=BR107)*$D$14</f>
        <v>0</v>
      </c>
      <c r="BT107" s="63"/>
      <c r="BU107" s="796" t="s">
        <v>1262</v>
      </c>
      <c r="BV107" s="72">
        <f t="shared" ref="BV107" ca="1" si="3121">($M107=BU107)*$D$14</f>
        <v>0</v>
      </c>
      <c r="BW107" s="63"/>
      <c r="BX107" s="73" t="s">
        <v>1266</v>
      </c>
      <c r="BY107" s="72">
        <f t="shared" ref="BY107" ca="1" si="3122">($M107=BX107)*$D$14</f>
        <v>0</v>
      </c>
      <c r="BZ107" s="63"/>
      <c r="CA107" s="816" t="s">
        <v>1550</v>
      </c>
      <c r="CB107" s="72">
        <f t="shared" ref="CB107" ca="1" si="3123">($M107=CA107)*$D$14</f>
        <v>0</v>
      </c>
      <c r="CC107" s="63"/>
      <c r="CD107" s="825" t="s">
        <v>1266</v>
      </c>
      <c r="CE107" s="72">
        <f t="shared" ref="CE107" ca="1" si="3124">($M107=CD107)*$D$14</f>
        <v>0</v>
      </c>
      <c r="CF107" s="63"/>
      <c r="CG107" s="796" t="s">
        <v>1266</v>
      </c>
      <c r="CH107" s="72">
        <f t="shared" ref="CH107" ca="1" si="3125">($M107=CG107)*$D$14</f>
        <v>0</v>
      </c>
      <c r="CI107" s="63"/>
      <c r="CJ107" s="796" t="s">
        <v>1266</v>
      </c>
      <c r="CK107" s="72">
        <f t="shared" ref="CK107" ca="1" si="3126">($M107=CJ107)*$D$14</f>
        <v>0</v>
      </c>
      <c r="CL107" s="63"/>
      <c r="CM107" s="796" t="s">
        <v>1262</v>
      </c>
      <c r="CN107" s="72">
        <f t="shared" ref="CN107" ca="1" si="3127">($M107=CM107)*$D$14</f>
        <v>0</v>
      </c>
      <c r="CO107" s="63"/>
      <c r="CP107" s="796" t="s">
        <v>1262</v>
      </c>
      <c r="CQ107" s="72">
        <f t="shared" ref="CQ107" ca="1" si="3128">($M107=CP107)*$D$14</f>
        <v>0</v>
      </c>
      <c r="CR107" s="63"/>
      <c r="CS107" s="796" t="s">
        <v>1550</v>
      </c>
      <c r="CT107" s="72">
        <f t="shared" ref="CT107" ca="1" si="3129">($M107=CS107)*$D$14</f>
        <v>0</v>
      </c>
      <c r="CU107" s="63"/>
      <c r="CV107" s="796" t="s">
        <v>1266</v>
      </c>
      <c r="CW107" s="72">
        <f t="shared" ref="CW107" ca="1" si="3130">($M107=CV107)*$D$14</f>
        <v>0</v>
      </c>
      <c r="CX107" s="63"/>
      <c r="CY107" s="796" t="s">
        <v>1266</v>
      </c>
      <c r="CZ107" s="72">
        <f t="shared" ref="CZ107" ca="1" si="3131">($M107=CY107)*$D$14</f>
        <v>0</v>
      </c>
      <c r="DA107" s="63"/>
      <c r="DB107" s="796" t="s">
        <v>1550</v>
      </c>
      <c r="DC107" s="72">
        <f t="shared" ref="DC107" ca="1" si="3132">($M107=DB107)*$D$14</f>
        <v>0</v>
      </c>
      <c r="DD107" s="63"/>
      <c r="DE107" s="796" t="s">
        <v>1266</v>
      </c>
      <c r="DF107" s="72">
        <f ca="1">($M107=DE107)*$D$14</f>
        <v>0</v>
      </c>
      <c r="DG107" s="63"/>
      <c r="DH107" s="796" t="s">
        <v>1266</v>
      </c>
      <c r="DI107" s="72">
        <f ca="1">($M107=DH107)*$D$14</f>
        <v>0</v>
      </c>
      <c r="DJ107" s="63"/>
      <c r="DK107" s="796" t="s">
        <v>1262</v>
      </c>
      <c r="DL107" s="72">
        <f ca="1">($M107=DK107)*$D$14</f>
        <v>0</v>
      </c>
      <c r="DM107" s="63"/>
      <c r="DN107" s="73"/>
      <c r="DO107" s="72">
        <f t="shared" ref="DO107" ca="1" si="3133">($M107=DN107)*$D$14</f>
        <v>0</v>
      </c>
      <c r="DP107" s="63"/>
      <c r="DQ107" s="796" t="s">
        <v>1262</v>
      </c>
      <c r="DR107" s="72">
        <f t="shared" ref="DR107" ca="1" si="3134">($M107=DQ107)*$D$14</f>
        <v>0</v>
      </c>
      <c r="DS107" s="63"/>
      <c r="DT107" s="73" t="s">
        <v>1266</v>
      </c>
      <c r="DU107" s="72">
        <f t="shared" ref="DU107" ca="1" si="3135">($M107=DT107)*$D$14</f>
        <v>0</v>
      </c>
      <c r="DV107" s="63"/>
      <c r="DW107" s="73"/>
      <c r="DX107" s="72">
        <f t="shared" ref="DX107" ca="1" si="3136">($M107=DW107)*$D$14</f>
        <v>0</v>
      </c>
      <c r="DY107" s="63"/>
      <c r="DZ107" s="73"/>
      <c r="EA107" s="72">
        <f ca="1">($M107=DZ107)*$D$14</f>
        <v>0</v>
      </c>
      <c r="EB107" s="63"/>
      <c r="EC107" s="73"/>
      <c r="ED107" s="72">
        <f t="shared" ref="ED107" ca="1" si="3137">($M107=EC107)*$D$14</f>
        <v>0</v>
      </c>
      <c r="EE107" s="63"/>
      <c r="EF107" s="73"/>
      <c r="EG107" s="72">
        <f t="shared" ref="EG107" ca="1" si="3138">($M107=EF107)*$D$14</f>
        <v>0</v>
      </c>
      <c r="EH107" s="63"/>
      <c r="EI107" s="73"/>
      <c r="EJ107" s="72">
        <f t="shared" ref="EJ107" ca="1" si="3139">($M107=EI107)*$D$14</f>
        <v>0</v>
      </c>
      <c r="EK107" s="63"/>
      <c r="EL107" s="73"/>
      <c r="EM107" s="72">
        <f t="shared" ref="EM107" ca="1" si="3140">($M107=EL107)*$D$14</f>
        <v>0</v>
      </c>
      <c r="EN107" s="63"/>
      <c r="EO107" s="73"/>
      <c r="EP107" s="72">
        <f t="shared" ref="EP107" ca="1" si="3141">($M107=EO107)*$D$14</f>
        <v>0</v>
      </c>
      <c r="EQ107" s="63"/>
      <c r="ER107" s="73"/>
      <c r="ES107" s="72">
        <f t="shared" ref="ES107" ca="1" si="3142">($M107=ER107)*$D$14</f>
        <v>0</v>
      </c>
      <c r="ET107" s="63"/>
      <c r="EU107" s="73"/>
      <c r="EV107" s="72">
        <f t="shared" ref="EV107" ca="1" si="3143">($M107=EU107)*$D$14</f>
        <v>0</v>
      </c>
      <c r="EW107" s="63"/>
      <c r="EX107" s="73"/>
      <c r="EY107" s="72">
        <f t="shared" ref="EY107" ca="1" si="3144">($M107=EX107)*$D$14</f>
        <v>0</v>
      </c>
      <c r="EZ107" s="63"/>
      <c r="FA107" s="73"/>
      <c r="FB107" s="72">
        <f t="shared" ref="FB107" ca="1" si="3145">($M107=FA107)*$D$14</f>
        <v>0</v>
      </c>
      <c r="FC107" s="63"/>
      <c r="FD107" s="73"/>
      <c r="FE107" s="72">
        <f t="shared" ref="FE107" ca="1" si="3146">($M107=FD107)*$D$14</f>
        <v>0</v>
      </c>
      <c r="FF107" s="63"/>
      <c r="FG107" s="73"/>
      <c r="FH107" s="72">
        <f t="shared" ref="FH107" ca="1" si="3147">($M107=FG107)*$D$14</f>
        <v>0</v>
      </c>
      <c r="FI107" s="63"/>
      <c r="FJ107" s="73"/>
      <c r="FK107" s="72">
        <f t="shared" ref="FK107" ca="1" si="3148">($M107=FJ107)*$D$14</f>
        <v>0</v>
      </c>
      <c r="FL107" s="63"/>
      <c r="FM107" s="73"/>
      <c r="FN107" s="72">
        <f t="shared" ref="FN107" ca="1" si="3149">($M107=FM107)*$D$14</f>
        <v>0</v>
      </c>
      <c r="FO107" s="63"/>
      <c r="FP107" s="73"/>
      <c r="FQ107" s="72">
        <f t="shared" ref="FQ107" ca="1" si="3150">($M107=FP107)*$D$14</f>
        <v>0</v>
      </c>
      <c r="FR107" s="63"/>
      <c r="FS107" s="73"/>
      <c r="FT107" s="72">
        <f t="shared" ref="FT107" ca="1" si="3151">($M107=FS107)*$D$14</f>
        <v>0</v>
      </c>
      <c r="FU107" s="63"/>
      <c r="FV107" s="73"/>
      <c r="FW107" s="72">
        <f t="shared" ref="FW107" ca="1" si="3152">($M107=FV107)*$D$14</f>
        <v>0</v>
      </c>
      <c r="FX107" s="63"/>
      <c r="FY107" s="73"/>
      <c r="FZ107" s="72">
        <f t="shared" ref="FZ107" ca="1" si="3153">($M107=FY107)*$D$14</f>
        <v>0</v>
      </c>
      <c r="GA107" s="63"/>
      <c r="GB107" s="73"/>
      <c r="GC107" s="72">
        <f t="shared" ref="GC107" ca="1" si="3154">($M107=GB107)*$D$14</f>
        <v>0</v>
      </c>
      <c r="GD107" s="63"/>
      <c r="GE107" s="73"/>
      <c r="GF107" s="72">
        <f t="shared" ref="GF107" ca="1" si="3155">($M107=GE107)*$D$14</f>
        <v>0</v>
      </c>
      <c r="GG107" s="63"/>
      <c r="GH107" s="73"/>
      <c r="GI107" s="72">
        <f t="shared" ref="GI107" ca="1" si="3156">($M107=GH107)*$D$14</f>
        <v>0</v>
      </c>
      <c r="GJ107" s="63"/>
      <c r="GK107" s="73"/>
      <c r="GL107" s="72">
        <f t="shared" ref="GL107" ca="1" si="3157">($M107=GK107)*$D$14</f>
        <v>0</v>
      </c>
      <c r="GM107" s="63"/>
      <c r="GN107" s="73"/>
      <c r="GO107" s="72">
        <f t="shared" ref="GO107" ca="1" si="3158">($M107=GN107)*$D$14</f>
        <v>0</v>
      </c>
      <c r="GP107" s="63"/>
      <c r="GQ107" s="73"/>
      <c r="GR107" s="72">
        <f t="shared" ref="GR107" ca="1" si="3159">($M107=GQ107)*$D$14</f>
        <v>0</v>
      </c>
      <c r="GS107" s="63"/>
      <c r="GT107" s="73"/>
      <c r="GU107" s="72">
        <f t="shared" ref="GU107" ca="1" si="3160">($M107=GT107)*$D$14</f>
        <v>0</v>
      </c>
      <c r="GV107" s="63"/>
      <c r="GW107" s="73"/>
      <c r="GX107" s="72">
        <f t="shared" ref="GX107" ca="1" si="3161">($M107=GW107)*$D$14</f>
        <v>0</v>
      </c>
      <c r="GY107" s="63"/>
      <c r="GZ107" s="73"/>
      <c r="HA107" s="72">
        <f t="shared" ref="HA107" ca="1" si="3162">($M107=GZ107)*$D$14</f>
        <v>0</v>
      </c>
      <c r="HB107" s="63"/>
      <c r="HC107" s="73"/>
      <c r="HD107" s="72">
        <f t="shared" ref="HD107" ca="1" si="3163">($M107=HC107)*$D$14</f>
        <v>0</v>
      </c>
      <c r="HE107" s="63"/>
      <c r="HF107" s="73"/>
      <c r="HG107" s="72">
        <f t="shared" ref="HG107" ca="1" si="3164">($M107=HF107)*$D$14</f>
        <v>0</v>
      </c>
      <c r="HH107" s="63"/>
      <c r="HI107" s="73"/>
      <c r="HJ107" s="72">
        <f t="shared" ref="HJ107" ca="1" si="3165">($M107=HI107)*$D$14</f>
        <v>0</v>
      </c>
      <c r="HK107" s="63"/>
      <c r="HL107" s="73"/>
      <c r="HM107" s="72">
        <f t="shared" ref="HM107" ca="1" si="3166">($M107=HL107)*$D$14</f>
        <v>0</v>
      </c>
      <c r="HN107" s="63"/>
      <c r="HO107" s="73"/>
      <c r="HP107" s="72">
        <f t="shared" ref="HP107" ca="1" si="3167">($M107=HO107)*$D$14</f>
        <v>0</v>
      </c>
      <c r="HQ107" s="63"/>
      <c r="HR107" s="73"/>
      <c r="HS107" s="72">
        <f t="shared" ref="HS107" ca="1" si="3168">($M107=HR107)*$D$14</f>
        <v>0</v>
      </c>
      <c r="HT107" s="63"/>
      <c r="HU107" s="73"/>
      <c r="HV107" s="72">
        <f t="shared" ref="HV107" ca="1" si="3169">($M107=HU107)*$D$14</f>
        <v>0</v>
      </c>
      <c r="HW107" s="63"/>
      <c r="HX107" s="73"/>
      <c r="HY107" s="72">
        <f t="shared" ref="HY107" ca="1" si="3170">($M107=HX107)*$D$14</f>
        <v>0</v>
      </c>
      <c r="HZ107" s="63"/>
      <c r="IA107" s="73"/>
      <c r="IB107" s="72">
        <f t="shared" ref="IB107" ca="1" si="3171">($M107=IA107)*$D$14</f>
        <v>0</v>
      </c>
      <c r="IC107" s="63"/>
      <c r="ID107" s="73"/>
      <c r="IE107" s="72">
        <f t="shared" ref="IE107" ca="1" si="3172">($M107=ID107)*$D$14</f>
        <v>0</v>
      </c>
      <c r="IF107" s="63"/>
      <c r="IG107" s="73"/>
      <c r="IH107" s="72">
        <f t="shared" ref="IH107" ca="1" si="3173">($M107=IG107)*$D$14</f>
        <v>0</v>
      </c>
      <c r="II107" s="63"/>
      <c r="IJ107" s="73"/>
      <c r="IK107" s="72">
        <f t="shared" ref="IK107" ca="1" si="3174">($M107=IJ107)*$D$14</f>
        <v>0</v>
      </c>
      <c r="IL107" s="63"/>
      <c r="IM107" s="73"/>
      <c r="IN107" s="72">
        <f t="shared" ref="IN107" ca="1" si="3175">($M107=IM107)*$D$14</f>
        <v>0</v>
      </c>
      <c r="IO107" s="63"/>
      <c r="IP107" s="73"/>
      <c r="IQ107" s="72">
        <f t="shared" ref="IQ107" ca="1" si="3176">($M107=IP107)*$D$14</f>
        <v>0</v>
      </c>
      <c r="IR107" s="63"/>
      <c r="IS107" s="73"/>
      <c r="IT107" s="72">
        <f t="shared" ref="IT107" ca="1" si="3177">($M107=IS107)*$D$14</f>
        <v>0</v>
      </c>
      <c r="IU107" s="63"/>
      <c r="IV107" s="73"/>
      <c r="IW107" s="72">
        <f t="shared" ref="IW107" ca="1" si="3178">($M107=IV107)*$D$14</f>
        <v>0</v>
      </c>
      <c r="IX107" s="63"/>
      <c r="IY107" s="73"/>
      <c r="IZ107" s="72">
        <f t="shared" ref="IZ107" ca="1" si="3179">($M107=IY107)*$D$14</f>
        <v>0</v>
      </c>
      <c r="JA107" s="63"/>
      <c r="JB107" s="73"/>
      <c r="JC107" s="72">
        <f t="shared" ref="JC107" ca="1" si="3180">($M107=JB107)*$D$14</f>
        <v>0</v>
      </c>
      <c r="JD107" s="63"/>
      <c r="JE107" s="73"/>
      <c r="JF107" s="72">
        <f t="shared" ref="JF107" ca="1" si="3181">($M107=JE107)*$D$14</f>
        <v>0</v>
      </c>
      <c r="JG107" s="63"/>
      <c r="JH107" s="73"/>
      <c r="JI107" s="72">
        <f t="shared" ref="JI107" ca="1" si="3182">($M107=JH107)*$D$14</f>
        <v>0</v>
      </c>
      <c r="JJ107" s="63"/>
      <c r="JK107" s="73"/>
      <c r="JL107" s="72">
        <f t="shared" ref="JL107" ca="1" si="3183">($M107=JK107)*$D$14</f>
        <v>0</v>
      </c>
      <c r="JM107" s="63"/>
      <c r="JN107" s="73"/>
      <c r="JO107" s="72">
        <f t="shared" ref="JO107" ca="1" si="3184">($M107=JN107)*$D$14</f>
        <v>0</v>
      </c>
      <c r="JP107" s="63"/>
      <c r="JQ107" s="73"/>
      <c r="JR107" s="72">
        <f t="shared" ref="JR107" ca="1" si="3185">($M107=JQ107)*$D$14</f>
        <v>0</v>
      </c>
      <c r="JS107" s="63"/>
      <c r="JT107" s="73"/>
      <c r="JU107" s="72">
        <f t="shared" ref="JU107" ca="1" si="3186">($M107=JT107)*$D$14</f>
        <v>0</v>
      </c>
      <c r="JV107" s="63"/>
      <c r="JW107" s="73"/>
      <c r="JX107" s="72">
        <f t="shared" ref="JX107" ca="1" si="3187">($M107=JW107)*$D$14</f>
        <v>0</v>
      </c>
      <c r="JY107" s="63"/>
      <c r="JZ107" s="73"/>
      <c r="KA107" s="72">
        <f t="shared" ref="KA107" ca="1" si="3188">($M107=JZ107)*$D$14</f>
        <v>0</v>
      </c>
      <c r="KB107" s="63"/>
      <c r="KC107" s="73"/>
      <c r="KD107" s="72">
        <f t="shared" ref="KD107" ca="1" si="3189">($M107=KC107)*$D$14</f>
        <v>0</v>
      </c>
      <c r="KE107" s="63"/>
      <c r="KF107" s="73"/>
      <c r="KG107" s="72">
        <f t="shared" ref="KG107" ca="1" si="3190">($M107=KF107)*$D$14</f>
        <v>0</v>
      </c>
      <c r="KH107" s="63"/>
      <c r="KI107" s="73"/>
      <c r="KJ107" s="72">
        <f t="shared" ref="KJ107" ca="1" si="3191">($M107=KI107)*$D$14</f>
        <v>0</v>
      </c>
      <c r="KK107" s="63"/>
      <c r="KL107" s="73"/>
      <c r="KM107" s="72">
        <f t="shared" ref="KM107" ca="1" si="3192">($M107=KL107)*$D$14</f>
        <v>0</v>
      </c>
      <c r="KN107" s="63"/>
      <c r="KO107" s="73"/>
      <c r="KP107" s="72">
        <f t="shared" ref="KP107" ca="1" si="3193">($M107=KO107)*$D$14</f>
        <v>0</v>
      </c>
      <c r="KQ107" s="63"/>
      <c r="KR107" s="73"/>
      <c r="KS107" s="72">
        <f t="shared" ref="KS107" ca="1" si="3194">($M107=KR107)*$D$14</f>
        <v>0</v>
      </c>
      <c r="KT107" s="63"/>
      <c r="KU107" s="73"/>
      <c r="KV107" s="72">
        <f t="shared" ref="KV107" ca="1" si="3195">($M107=KU107)*$D$14</f>
        <v>0</v>
      </c>
      <c r="KW107" s="63"/>
      <c r="KX107" s="73"/>
      <c r="KY107" s="72">
        <f t="shared" ref="KY107" ca="1" si="3196">($M107=KX107)*$D$14</f>
        <v>0</v>
      </c>
      <c r="KZ107" s="63"/>
      <c r="LA107" s="73"/>
      <c r="LB107" s="72">
        <f t="shared" ref="LB107" ca="1" si="3197">($M107=LA107)*$D$14</f>
        <v>0</v>
      </c>
      <c r="LC107" s="63"/>
      <c r="LD107" s="73"/>
      <c r="LE107" s="72">
        <f t="shared" ref="LE107" ca="1" si="3198">($M107=LD107)*$D$14</f>
        <v>0</v>
      </c>
      <c r="LF107" s="63"/>
    </row>
    <row r="108" spans="1:318" s="784" customFormat="1">
      <c r="A108" s="49"/>
      <c r="B108" s="49"/>
      <c r="C108" s="49"/>
      <c r="D108" s="49"/>
      <c r="E108" s="109"/>
      <c r="F108" s="125">
        <f t="shared" ref="F108" si="3199">$D$11</f>
        <v>20</v>
      </c>
      <c r="G108" s="443">
        <f ca="1">VLOOKUP(H108,Equipos!$Q$1:$R$25,2,0)</f>
        <v>16</v>
      </c>
      <c r="H108" s="444">
        <f ca="1">$H$68</f>
        <v>46199</v>
      </c>
      <c r="I108" s="50"/>
      <c r="J108" s="845" t="s">
        <v>437</v>
      </c>
      <c r="K108" s="56" t="str">
        <f>Idiomas!D178</f>
        <v>1º GRUPO H</v>
      </c>
      <c r="L108" s="53"/>
      <c r="M108" s="55" t="str">
        <f ca="1">IF(OR(SUM(WORLDCUP!$AN$62:$AN$65)=12,WORLDCUP!$AJ$99=144),WORLDCUP!AL62,LEFT(K108,1)&amp;RIGHT(K108,1))</f>
        <v>1H</v>
      </c>
      <c r="N108" s="25"/>
      <c r="O108" s="25"/>
      <c r="P108" s="25"/>
      <c r="Q108" s="25"/>
      <c r="R108" s="108"/>
      <c r="S108" s="796" t="s">
        <v>38</v>
      </c>
      <c r="T108" s="72">
        <f t="shared" ref="T108" ca="1" si="3200">($M108=S108)*$D$11</f>
        <v>0</v>
      </c>
      <c r="U108" s="63"/>
      <c r="V108" s="73" t="s">
        <v>38</v>
      </c>
      <c r="W108" s="72">
        <f t="shared" ref="W108" ca="1" si="3201">($M108=V108)*$D$11</f>
        <v>0</v>
      </c>
      <c r="X108" s="63"/>
      <c r="Y108" s="796" t="s">
        <v>38</v>
      </c>
      <c r="Z108" s="72">
        <f t="shared" ref="Z108" ca="1" si="3202">($M108=Y108)*$D$11</f>
        <v>0</v>
      </c>
      <c r="AA108" s="63"/>
      <c r="AB108" s="796" t="s">
        <v>38</v>
      </c>
      <c r="AC108" s="72">
        <f t="shared" ref="AC108" ca="1" si="3203">($M108=AB108)*$D$11</f>
        <v>0</v>
      </c>
      <c r="AD108" s="63"/>
      <c r="AE108" s="796" t="s">
        <v>38</v>
      </c>
      <c r="AF108" s="72">
        <f t="shared" ref="AF108" ca="1" si="3204">($M108=AE108)*$D$11</f>
        <v>0</v>
      </c>
      <c r="AG108" s="63"/>
      <c r="AH108" s="796" t="s">
        <v>38</v>
      </c>
      <c r="AI108" s="72">
        <f t="shared" ref="AI108" ca="1" si="3205">($M108=AH108)*$D$11</f>
        <v>0</v>
      </c>
      <c r="AJ108" s="63"/>
      <c r="AK108" s="806" t="s">
        <v>38</v>
      </c>
      <c r="AL108" s="72">
        <f t="shared" ref="AL108" ca="1" si="3206">($M108=AK108)*$D$11</f>
        <v>0</v>
      </c>
      <c r="AM108" s="63"/>
      <c r="AN108" s="796" t="s">
        <v>38</v>
      </c>
      <c r="AO108" s="72">
        <f t="shared" ref="AO108" ca="1" si="3207">($M108=AN108)*$D$11</f>
        <v>0</v>
      </c>
      <c r="AP108" s="63"/>
      <c r="AQ108" s="806" t="s">
        <v>38</v>
      </c>
      <c r="AR108" s="72">
        <f t="shared" ref="AR108" ca="1" si="3208">($M108=AQ108)*$D$11</f>
        <v>0</v>
      </c>
      <c r="AS108" s="63"/>
      <c r="AT108" s="796" t="s">
        <v>38</v>
      </c>
      <c r="AU108" s="72">
        <f t="shared" ref="AU108" ca="1" si="3209">($M108=AT108)*$D$11</f>
        <v>0</v>
      </c>
      <c r="AV108" s="63"/>
      <c r="AW108" s="796" t="s">
        <v>38</v>
      </c>
      <c r="AX108" s="72">
        <f t="shared" ref="AX108" ca="1" si="3210">($M108=AW108)*$D$11</f>
        <v>0</v>
      </c>
      <c r="AY108" s="63"/>
      <c r="AZ108" s="796" t="s">
        <v>1632</v>
      </c>
      <c r="BA108" s="72">
        <f t="shared" ref="BA108" ca="1" si="3211">($M108=AZ108)*$D$11</f>
        <v>0</v>
      </c>
      <c r="BB108" s="63"/>
      <c r="BC108" s="796" t="s">
        <v>38</v>
      </c>
      <c r="BD108" s="72">
        <f t="shared" ref="BD108" ca="1" si="3212">($M108=BC108)*$D$11</f>
        <v>0</v>
      </c>
      <c r="BE108" s="63"/>
      <c r="BF108" s="796" t="s">
        <v>1318</v>
      </c>
      <c r="BG108" s="72">
        <f t="shared" ref="BG108" ca="1" si="3213">($M108=BF108)*$D$11</f>
        <v>0</v>
      </c>
      <c r="BH108" s="63"/>
      <c r="BI108" s="796" t="s">
        <v>38</v>
      </c>
      <c r="BJ108" s="72">
        <f t="shared" ref="BJ108" ca="1" si="3214">($M108=BI108)*$D$11</f>
        <v>0</v>
      </c>
      <c r="BK108" s="63"/>
      <c r="BL108" s="796" t="s">
        <v>38</v>
      </c>
      <c r="BM108" s="72">
        <f t="shared" ref="BM108" ca="1" si="3215">($M108=BL108)*$D$11</f>
        <v>0</v>
      </c>
      <c r="BN108" s="63"/>
      <c r="BO108" s="816" t="s">
        <v>38</v>
      </c>
      <c r="BP108" s="72">
        <f t="shared" ref="BP108" ca="1" si="3216">($M108=BO108)*$D$11</f>
        <v>0</v>
      </c>
      <c r="BQ108" s="63"/>
      <c r="BR108" s="796" t="s">
        <v>38</v>
      </c>
      <c r="BS108" s="72">
        <f t="shared" ref="BS108" ca="1" si="3217">($M108=BR108)*$D$11</f>
        <v>0</v>
      </c>
      <c r="BT108" s="63"/>
      <c r="BU108" s="796" t="s">
        <v>38</v>
      </c>
      <c r="BV108" s="72">
        <f t="shared" ref="BV108" ca="1" si="3218">($M108=BU108)*$D$11</f>
        <v>0</v>
      </c>
      <c r="BW108" s="63"/>
      <c r="BX108" s="73" t="s">
        <v>38</v>
      </c>
      <c r="BY108" s="72">
        <f t="shared" ref="BY108" ca="1" si="3219">($M108=BX108)*$D$11</f>
        <v>0</v>
      </c>
      <c r="BZ108" s="63"/>
      <c r="CA108" s="816" t="s">
        <v>38</v>
      </c>
      <c r="CB108" s="72">
        <f t="shared" ref="CB108" ca="1" si="3220">($M108=CA108)*$D$11</f>
        <v>0</v>
      </c>
      <c r="CC108" s="63"/>
      <c r="CD108" s="825" t="s">
        <v>38</v>
      </c>
      <c r="CE108" s="72">
        <f t="shared" ref="CE108" ca="1" si="3221">($M108=CD108)*$D$11</f>
        <v>0</v>
      </c>
      <c r="CF108" s="63"/>
      <c r="CG108" s="796" t="s">
        <v>38</v>
      </c>
      <c r="CH108" s="72">
        <f t="shared" ref="CH108" ca="1" si="3222">($M108=CG108)*$D$11</f>
        <v>0</v>
      </c>
      <c r="CI108" s="63"/>
      <c r="CJ108" s="796" t="s">
        <v>38</v>
      </c>
      <c r="CK108" s="72">
        <f t="shared" ref="CK108" ca="1" si="3223">($M108=CJ108)*$D$11</f>
        <v>0</v>
      </c>
      <c r="CL108" s="63"/>
      <c r="CM108" s="796" t="s">
        <v>38</v>
      </c>
      <c r="CN108" s="72">
        <f t="shared" ref="CN108" ca="1" si="3224">($M108=CM108)*$D$11</f>
        <v>0</v>
      </c>
      <c r="CO108" s="63"/>
      <c r="CP108" s="796" t="s">
        <v>1318</v>
      </c>
      <c r="CQ108" s="72">
        <f t="shared" ref="CQ108" ca="1" si="3225">($M108=CP108)*$D$11</f>
        <v>0</v>
      </c>
      <c r="CR108" s="63"/>
      <c r="CS108" s="796" t="s">
        <v>38</v>
      </c>
      <c r="CT108" s="72">
        <f t="shared" ref="CT108" ca="1" si="3226">($M108=CS108)*$D$11</f>
        <v>0</v>
      </c>
      <c r="CU108" s="63"/>
      <c r="CV108" s="796" t="s">
        <v>38</v>
      </c>
      <c r="CW108" s="72">
        <f t="shared" ref="CW108" ca="1" si="3227">($M108=CV108)*$D$11</f>
        <v>0</v>
      </c>
      <c r="CX108" s="63"/>
      <c r="CY108" s="796" t="s">
        <v>38</v>
      </c>
      <c r="CZ108" s="72">
        <f t="shared" ref="CZ108" ca="1" si="3228">($M108=CY108)*$D$11</f>
        <v>0</v>
      </c>
      <c r="DA108" s="63"/>
      <c r="DB108" s="796" t="s">
        <v>38</v>
      </c>
      <c r="DC108" s="72">
        <f t="shared" ref="DC108" ca="1" si="3229">($M108=DB108)*$D$11</f>
        <v>0</v>
      </c>
      <c r="DD108" s="63"/>
      <c r="DE108" s="796" t="s">
        <v>38</v>
      </c>
      <c r="DF108" s="72">
        <f ca="1">($M108=DE108)*$D$11</f>
        <v>0</v>
      </c>
      <c r="DG108" s="63"/>
      <c r="DH108" s="796" t="s">
        <v>38</v>
      </c>
      <c r="DI108" s="72">
        <f ca="1">($M108=DH108)*$D$11</f>
        <v>0</v>
      </c>
      <c r="DJ108" s="63"/>
      <c r="DK108" s="796" t="s">
        <v>38</v>
      </c>
      <c r="DL108" s="72">
        <f ca="1">($M108=DK108)*$D$11</f>
        <v>0</v>
      </c>
      <c r="DM108" s="63"/>
      <c r="DN108" s="73"/>
      <c r="DO108" s="72">
        <f t="shared" ref="DO108" ca="1" si="3230">($M108=DN108)*$D$11</f>
        <v>0</v>
      </c>
      <c r="DP108" s="63"/>
      <c r="DQ108" s="796" t="s">
        <v>38</v>
      </c>
      <c r="DR108" s="72">
        <f t="shared" ref="DR108" ca="1" si="3231">($M108=DQ108)*$D$11</f>
        <v>0</v>
      </c>
      <c r="DS108" s="63"/>
      <c r="DT108" s="73" t="s">
        <v>38</v>
      </c>
      <c r="DU108" s="72">
        <f t="shared" ref="DU108" ca="1" si="3232">($M108=DT108)*$D$11</f>
        <v>0</v>
      </c>
      <c r="DV108" s="63"/>
      <c r="DW108" s="73"/>
      <c r="DX108" s="72">
        <f t="shared" ref="DX108" ca="1" si="3233">($M108=DW108)*$D$11</f>
        <v>0</v>
      </c>
      <c r="DY108" s="63"/>
      <c r="DZ108" s="73"/>
      <c r="EA108" s="72">
        <f ca="1">($M108=DZ108)*$D$11</f>
        <v>0</v>
      </c>
      <c r="EB108" s="63"/>
      <c r="EC108" s="73"/>
      <c r="ED108" s="72">
        <f t="shared" ref="ED108" ca="1" si="3234">($M108=EC108)*$D$11</f>
        <v>0</v>
      </c>
      <c r="EE108" s="63"/>
      <c r="EF108" s="73"/>
      <c r="EG108" s="72">
        <f t="shared" ref="EG108" ca="1" si="3235">($M108=EF108)*$D$11</f>
        <v>0</v>
      </c>
      <c r="EH108" s="63"/>
      <c r="EI108" s="73"/>
      <c r="EJ108" s="72">
        <f t="shared" ref="EJ108" ca="1" si="3236">($M108=EI108)*$D$11</f>
        <v>0</v>
      </c>
      <c r="EK108" s="63"/>
      <c r="EL108" s="73"/>
      <c r="EM108" s="72">
        <f t="shared" ref="EM108" ca="1" si="3237">($M108=EL108)*$D$11</f>
        <v>0</v>
      </c>
      <c r="EN108" s="63"/>
      <c r="EO108" s="73"/>
      <c r="EP108" s="72">
        <f t="shared" ref="EP108" ca="1" si="3238">($M108=EO108)*$D$11</f>
        <v>0</v>
      </c>
      <c r="EQ108" s="63"/>
      <c r="ER108" s="73"/>
      <c r="ES108" s="72">
        <f t="shared" ref="ES108" ca="1" si="3239">($M108=ER108)*$D$11</f>
        <v>0</v>
      </c>
      <c r="ET108" s="63"/>
      <c r="EU108" s="73"/>
      <c r="EV108" s="72">
        <f t="shared" ref="EV108" ca="1" si="3240">($M108=EU108)*$D$11</f>
        <v>0</v>
      </c>
      <c r="EW108" s="63"/>
      <c r="EX108" s="73"/>
      <c r="EY108" s="72">
        <f t="shared" ref="EY108" ca="1" si="3241">($M108=EX108)*$D$11</f>
        <v>0</v>
      </c>
      <c r="EZ108" s="63"/>
      <c r="FA108" s="73"/>
      <c r="FB108" s="72">
        <f t="shared" ref="FB108" ca="1" si="3242">($M108=FA108)*$D$11</f>
        <v>0</v>
      </c>
      <c r="FC108" s="63"/>
      <c r="FD108" s="73"/>
      <c r="FE108" s="72">
        <f t="shared" ref="FE108" ca="1" si="3243">($M108=FD108)*$D$11</f>
        <v>0</v>
      </c>
      <c r="FF108" s="63"/>
      <c r="FG108" s="73"/>
      <c r="FH108" s="72">
        <f t="shared" ref="FH108" ca="1" si="3244">($M108=FG108)*$D$11</f>
        <v>0</v>
      </c>
      <c r="FI108" s="63"/>
      <c r="FJ108" s="73"/>
      <c r="FK108" s="72">
        <f t="shared" ref="FK108" ca="1" si="3245">($M108=FJ108)*$D$11</f>
        <v>0</v>
      </c>
      <c r="FL108" s="63"/>
      <c r="FM108" s="73"/>
      <c r="FN108" s="72">
        <f t="shared" ref="FN108" ca="1" si="3246">($M108=FM108)*$D$11</f>
        <v>0</v>
      </c>
      <c r="FO108" s="63"/>
      <c r="FP108" s="73"/>
      <c r="FQ108" s="72">
        <f t="shared" ref="FQ108" ca="1" si="3247">($M108=FP108)*$D$11</f>
        <v>0</v>
      </c>
      <c r="FR108" s="63"/>
      <c r="FS108" s="73"/>
      <c r="FT108" s="72">
        <f t="shared" ref="FT108" ca="1" si="3248">($M108=FS108)*$D$11</f>
        <v>0</v>
      </c>
      <c r="FU108" s="63"/>
      <c r="FV108" s="73"/>
      <c r="FW108" s="72">
        <f t="shared" ref="FW108" ca="1" si="3249">($M108=FV108)*$D$11</f>
        <v>0</v>
      </c>
      <c r="FX108" s="63"/>
      <c r="FY108" s="73"/>
      <c r="FZ108" s="72">
        <f t="shared" ref="FZ108" ca="1" si="3250">($M108=FY108)*$D$11</f>
        <v>0</v>
      </c>
      <c r="GA108" s="63"/>
      <c r="GB108" s="73"/>
      <c r="GC108" s="72">
        <f t="shared" ref="GC108" ca="1" si="3251">($M108=GB108)*$D$11</f>
        <v>0</v>
      </c>
      <c r="GD108" s="63"/>
      <c r="GE108" s="73"/>
      <c r="GF108" s="72">
        <f t="shared" ref="GF108" ca="1" si="3252">($M108=GE108)*$D$11</f>
        <v>0</v>
      </c>
      <c r="GG108" s="63"/>
      <c r="GH108" s="73"/>
      <c r="GI108" s="72">
        <f t="shared" ref="GI108" ca="1" si="3253">($M108=GH108)*$D$11</f>
        <v>0</v>
      </c>
      <c r="GJ108" s="63"/>
      <c r="GK108" s="73"/>
      <c r="GL108" s="72">
        <f t="shared" ref="GL108" ca="1" si="3254">($M108=GK108)*$D$11</f>
        <v>0</v>
      </c>
      <c r="GM108" s="63"/>
      <c r="GN108" s="73"/>
      <c r="GO108" s="72">
        <f t="shared" ref="GO108" ca="1" si="3255">($M108=GN108)*$D$11</f>
        <v>0</v>
      </c>
      <c r="GP108" s="63"/>
      <c r="GQ108" s="73"/>
      <c r="GR108" s="72">
        <f t="shared" ref="GR108" ca="1" si="3256">($M108=GQ108)*$D$11</f>
        <v>0</v>
      </c>
      <c r="GS108" s="63"/>
      <c r="GT108" s="73"/>
      <c r="GU108" s="72">
        <f t="shared" ref="GU108" ca="1" si="3257">($M108=GT108)*$D$11</f>
        <v>0</v>
      </c>
      <c r="GV108" s="63"/>
      <c r="GW108" s="73"/>
      <c r="GX108" s="72">
        <f t="shared" ref="GX108" ca="1" si="3258">($M108=GW108)*$D$11</f>
        <v>0</v>
      </c>
      <c r="GY108" s="63"/>
      <c r="GZ108" s="73"/>
      <c r="HA108" s="72">
        <f t="shared" ref="HA108" ca="1" si="3259">($M108=GZ108)*$D$11</f>
        <v>0</v>
      </c>
      <c r="HB108" s="63"/>
      <c r="HC108" s="73"/>
      <c r="HD108" s="72">
        <f t="shared" ref="HD108" ca="1" si="3260">($M108=HC108)*$D$11</f>
        <v>0</v>
      </c>
      <c r="HE108" s="63"/>
      <c r="HF108" s="73"/>
      <c r="HG108" s="72">
        <f t="shared" ref="HG108" ca="1" si="3261">($M108=HF108)*$D$11</f>
        <v>0</v>
      </c>
      <c r="HH108" s="63"/>
      <c r="HI108" s="73"/>
      <c r="HJ108" s="72">
        <f t="shared" ref="HJ108" ca="1" si="3262">($M108=HI108)*$D$11</f>
        <v>0</v>
      </c>
      <c r="HK108" s="63"/>
      <c r="HL108" s="73"/>
      <c r="HM108" s="72">
        <f t="shared" ref="HM108" ca="1" si="3263">($M108=HL108)*$D$11</f>
        <v>0</v>
      </c>
      <c r="HN108" s="63"/>
      <c r="HO108" s="73"/>
      <c r="HP108" s="72">
        <f t="shared" ref="HP108" ca="1" si="3264">($M108=HO108)*$D$11</f>
        <v>0</v>
      </c>
      <c r="HQ108" s="63"/>
      <c r="HR108" s="73"/>
      <c r="HS108" s="72">
        <f t="shared" ref="HS108" ca="1" si="3265">($M108=HR108)*$D$11</f>
        <v>0</v>
      </c>
      <c r="HT108" s="63"/>
      <c r="HU108" s="73"/>
      <c r="HV108" s="72">
        <f t="shared" ref="HV108" ca="1" si="3266">($M108=HU108)*$D$11</f>
        <v>0</v>
      </c>
      <c r="HW108" s="63"/>
      <c r="HX108" s="73"/>
      <c r="HY108" s="72">
        <f t="shared" ref="HY108" ca="1" si="3267">($M108=HX108)*$D$11</f>
        <v>0</v>
      </c>
      <c r="HZ108" s="63"/>
      <c r="IA108" s="73"/>
      <c r="IB108" s="72">
        <f t="shared" ref="IB108" ca="1" si="3268">($M108=IA108)*$D$11</f>
        <v>0</v>
      </c>
      <c r="IC108" s="63"/>
      <c r="ID108" s="73"/>
      <c r="IE108" s="72">
        <f t="shared" ref="IE108" ca="1" si="3269">($M108=ID108)*$D$11</f>
        <v>0</v>
      </c>
      <c r="IF108" s="63"/>
      <c r="IG108" s="73"/>
      <c r="IH108" s="72">
        <f t="shared" ref="IH108" ca="1" si="3270">($M108=IG108)*$D$11</f>
        <v>0</v>
      </c>
      <c r="II108" s="63"/>
      <c r="IJ108" s="73"/>
      <c r="IK108" s="72">
        <f t="shared" ref="IK108" ca="1" si="3271">($M108=IJ108)*$D$11</f>
        <v>0</v>
      </c>
      <c r="IL108" s="63"/>
      <c r="IM108" s="73"/>
      <c r="IN108" s="72">
        <f t="shared" ref="IN108" ca="1" si="3272">($M108=IM108)*$D$11</f>
        <v>0</v>
      </c>
      <c r="IO108" s="63"/>
      <c r="IP108" s="73"/>
      <c r="IQ108" s="72">
        <f t="shared" ref="IQ108" ca="1" si="3273">($M108=IP108)*$D$11</f>
        <v>0</v>
      </c>
      <c r="IR108" s="63"/>
      <c r="IS108" s="73"/>
      <c r="IT108" s="72">
        <f t="shared" ref="IT108" ca="1" si="3274">($M108=IS108)*$D$11</f>
        <v>0</v>
      </c>
      <c r="IU108" s="63"/>
      <c r="IV108" s="73"/>
      <c r="IW108" s="72">
        <f t="shared" ref="IW108" ca="1" si="3275">($M108=IV108)*$D$11</f>
        <v>0</v>
      </c>
      <c r="IX108" s="63"/>
      <c r="IY108" s="73"/>
      <c r="IZ108" s="72">
        <f t="shared" ref="IZ108" ca="1" si="3276">($M108=IY108)*$D$11</f>
        <v>0</v>
      </c>
      <c r="JA108" s="63"/>
      <c r="JB108" s="73"/>
      <c r="JC108" s="72">
        <f t="shared" ref="JC108" ca="1" si="3277">($M108=JB108)*$D$11</f>
        <v>0</v>
      </c>
      <c r="JD108" s="63"/>
      <c r="JE108" s="73"/>
      <c r="JF108" s="72">
        <f t="shared" ref="JF108" ca="1" si="3278">($M108=JE108)*$D$11</f>
        <v>0</v>
      </c>
      <c r="JG108" s="63"/>
      <c r="JH108" s="73"/>
      <c r="JI108" s="72">
        <f t="shared" ref="JI108" ca="1" si="3279">($M108=JH108)*$D$11</f>
        <v>0</v>
      </c>
      <c r="JJ108" s="63"/>
      <c r="JK108" s="73"/>
      <c r="JL108" s="72">
        <f t="shared" ref="JL108" ca="1" si="3280">($M108=JK108)*$D$11</f>
        <v>0</v>
      </c>
      <c r="JM108" s="63"/>
      <c r="JN108" s="73"/>
      <c r="JO108" s="72">
        <f t="shared" ref="JO108" ca="1" si="3281">($M108=JN108)*$D$11</f>
        <v>0</v>
      </c>
      <c r="JP108" s="63"/>
      <c r="JQ108" s="73"/>
      <c r="JR108" s="72">
        <f t="shared" ref="JR108" ca="1" si="3282">($M108=JQ108)*$D$11</f>
        <v>0</v>
      </c>
      <c r="JS108" s="63"/>
      <c r="JT108" s="73"/>
      <c r="JU108" s="72">
        <f t="shared" ref="JU108" ca="1" si="3283">($M108=JT108)*$D$11</f>
        <v>0</v>
      </c>
      <c r="JV108" s="63"/>
      <c r="JW108" s="73"/>
      <c r="JX108" s="72">
        <f t="shared" ref="JX108" ca="1" si="3284">($M108=JW108)*$D$11</f>
        <v>0</v>
      </c>
      <c r="JY108" s="63"/>
      <c r="JZ108" s="73"/>
      <c r="KA108" s="72">
        <f t="shared" ref="KA108" ca="1" si="3285">($M108=JZ108)*$D$11</f>
        <v>0</v>
      </c>
      <c r="KB108" s="63"/>
      <c r="KC108" s="73"/>
      <c r="KD108" s="72">
        <f t="shared" ref="KD108" ca="1" si="3286">($M108=KC108)*$D$11</f>
        <v>0</v>
      </c>
      <c r="KE108" s="63"/>
      <c r="KF108" s="73"/>
      <c r="KG108" s="72">
        <f t="shared" ref="KG108" ca="1" si="3287">($M108=KF108)*$D$11</f>
        <v>0</v>
      </c>
      <c r="KH108" s="63"/>
      <c r="KI108" s="73"/>
      <c r="KJ108" s="72">
        <f t="shared" ref="KJ108" ca="1" si="3288">($M108=KI108)*$D$11</f>
        <v>0</v>
      </c>
      <c r="KK108" s="63"/>
      <c r="KL108" s="73"/>
      <c r="KM108" s="72">
        <f t="shared" ref="KM108" ca="1" si="3289">($M108=KL108)*$D$11</f>
        <v>0</v>
      </c>
      <c r="KN108" s="63"/>
      <c r="KO108" s="73"/>
      <c r="KP108" s="72">
        <f t="shared" ref="KP108" ca="1" si="3290">($M108=KO108)*$D$11</f>
        <v>0</v>
      </c>
      <c r="KQ108" s="63"/>
      <c r="KR108" s="73"/>
      <c r="KS108" s="72">
        <f t="shared" ref="KS108" ca="1" si="3291">($M108=KR108)*$D$11</f>
        <v>0</v>
      </c>
      <c r="KT108" s="63"/>
      <c r="KU108" s="73"/>
      <c r="KV108" s="72">
        <f t="shared" ref="KV108" ca="1" si="3292">($M108=KU108)*$D$11</f>
        <v>0</v>
      </c>
      <c r="KW108" s="63"/>
      <c r="KX108" s="73"/>
      <c r="KY108" s="72">
        <f t="shared" ref="KY108" ca="1" si="3293">($M108=KX108)*$D$11</f>
        <v>0</v>
      </c>
      <c r="KZ108" s="63"/>
      <c r="LA108" s="73"/>
      <c r="LB108" s="72">
        <f t="shared" ref="LB108" ca="1" si="3294">($M108=LA108)*$D$11</f>
        <v>0</v>
      </c>
      <c r="LC108" s="63"/>
      <c r="LD108" s="73"/>
      <c r="LE108" s="72">
        <f t="shared" ref="LE108" ca="1" si="3295">($M108=LD108)*$D$11</f>
        <v>0</v>
      </c>
      <c r="LF108" s="63"/>
    </row>
    <row r="109" spans="1:318" s="784" customFormat="1">
      <c r="A109" s="49"/>
      <c r="B109" s="49"/>
      <c r="C109" s="49"/>
      <c r="D109" s="49"/>
      <c r="E109" s="109"/>
      <c r="F109" s="125">
        <f t="shared" ref="F109" si="3296">$D$12</f>
        <v>20</v>
      </c>
      <c r="G109" s="443">
        <f ca="1">VLOOKUP(H109,Equipos!$Q$1:$R$25,2,0)</f>
        <v>16</v>
      </c>
      <c r="H109" s="444">
        <f ca="1">$H$68</f>
        <v>46199</v>
      </c>
      <c r="I109" s="50"/>
      <c r="J109" s="845"/>
      <c r="K109" s="56" t="str">
        <f>Idiomas!D179</f>
        <v>2º GRUPO H</v>
      </c>
      <c r="L109" s="53"/>
      <c r="M109" s="55" t="str">
        <f ca="1">IF(OR(SUM(WORLDCUP!$AN$62:$AN$65)=12,WORLDCUP!$AJ$99=144),WORLDCUP!AL63,LEFT(K109,1)&amp;RIGHT(K109,1))</f>
        <v>2H</v>
      </c>
      <c r="N109" s="25"/>
      <c r="O109" s="25"/>
      <c r="P109" s="25"/>
      <c r="Q109" s="25"/>
      <c r="R109" s="108"/>
      <c r="S109" s="796" t="s">
        <v>1632</v>
      </c>
      <c r="T109" s="72">
        <f t="shared" ref="T109" ca="1" si="3297">($M109=S109)*$D$12</f>
        <v>0</v>
      </c>
      <c r="U109" s="63"/>
      <c r="V109" s="73" t="s">
        <v>1318</v>
      </c>
      <c r="W109" s="72">
        <f t="shared" ref="W109" ca="1" si="3298">($M109=V109)*$D$12</f>
        <v>0</v>
      </c>
      <c r="X109" s="63"/>
      <c r="Y109" s="796" t="s">
        <v>1318</v>
      </c>
      <c r="Z109" s="72">
        <f t="shared" ref="Z109" ca="1" si="3299">($M109=Y109)*$D$12</f>
        <v>0</v>
      </c>
      <c r="AA109" s="63"/>
      <c r="AB109" s="796" t="s">
        <v>1318</v>
      </c>
      <c r="AC109" s="72">
        <f t="shared" ref="AC109" ca="1" si="3300">($M109=AB109)*$D$12</f>
        <v>0</v>
      </c>
      <c r="AD109" s="63"/>
      <c r="AE109" s="796" t="s">
        <v>1318</v>
      </c>
      <c r="AF109" s="72">
        <f t="shared" ref="AF109" ca="1" si="3301">($M109=AE109)*$D$12</f>
        <v>0</v>
      </c>
      <c r="AG109" s="63"/>
      <c r="AH109" s="796" t="s">
        <v>1318</v>
      </c>
      <c r="AI109" s="72">
        <f t="shared" ref="AI109" ca="1" si="3302">($M109=AH109)*$D$12</f>
        <v>0</v>
      </c>
      <c r="AJ109" s="63"/>
      <c r="AK109" s="806" t="s">
        <v>1318</v>
      </c>
      <c r="AL109" s="72">
        <f t="shared" ref="AL109" ca="1" si="3303">($M109=AK109)*$D$12</f>
        <v>0</v>
      </c>
      <c r="AM109" s="63"/>
      <c r="AN109" s="796" t="s">
        <v>1318</v>
      </c>
      <c r="AO109" s="72">
        <f t="shared" ref="AO109" ca="1" si="3304">($M109=AN109)*$D$12</f>
        <v>0</v>
      </c>
      <c r="AP109" s="63"/>
      <c r="AQ109" s="806" t="s">
        <v>1318</v>
      </c>
      <c r="AR109" s="72">
        <f t="shared" ref="AR109" ca="1" si="3305">($M109=AQ109)*$D$12</f>
        <v>0</v>
      </c>
      <c r="AS109" s="63"/>
      <c r="AT109" s="796" t="s">
        <v>1318</v>
      </c>
      <c r="AU109" s="72">
        <f t="shared" ref="AU109" ca="1" si="3306">($M109=AT109)*$D$12</f>
        <v>0</v>
      </c>
      <c r="AV109" s="63"/>
      <c r="AW109" s="796" t="s">
        <v>1318</v>
      </c>
      <c r="AX109" s="72">
        <f t="shared" ref="AX109" ca="1" si="3307">($M109=AW109)*$D$12</f>
        <v>0</v>
      </c>
      <c r="AY109" s="63"/>
      <c r="AZ109" s="796" t="s">
        <v>1552</v>
      </c>
      <c r="BA109" s="72">
        <f t="shared" ref="BA109" ca="1" si="3308">($M109=AZ109)*$D$12</f>
        <v>0</v>
      </c>
      <c r="BB109" s="63"/>
      <c r="BC109" s="796" t="s">
        <v>1318</v>
      </c>
      <c r="BD109" s="72">
        <f t="shared" ref="BD109" ca="1" si="3309">($M109=BC109)*$D$12</f>
        <v>0</v>
      </c>
      <c r="BE109" s="63"/>
      <c r="BF109" s="796" t="s">
        <v>38</v>
      </c>
      <c r="BG109" s="72">
        <f t="shared" ref="BG109" ca="1" si="3310">($M109=BF109)*$D$12</f>
        <v>0</v>
      </c>
      <c r="BH109" s="63"/>
      <c r="BI109" s="796" t="s">
        <v>1318</v>
      </c>
      <c r="BJ109" s="72">
        <f t="shared" ref="BJ109" ca="1" si="3311">($M109=BI109)*$D$12</f>
        <v>0</v>
      </c>
      <c r="BK109" s="63"/>
      <c r="BL109" s="796" t="s">
        <v>1318</v>
      </c>
      <c r="BM109" s="72">
        <f t="shared" ref="BM109" ca="1" si="3312">($M109=BL109)*$D$12</f>
        <v>0</v>
      </c>
      <c r="BN109" s="63"/>
      <c r="BO109" s="816" t="s">
        <v>1318</v>
      </c>
      <c r="BP109" s="72">
        <f t="shared" ref="BP109" ca="1" si="3313">($M109=BO109)*$D$12</f>
        <v>0</v>
      </c>
      <c r="BQ109" s="63"/>
      <c r="BR109" s="796" t="s">
        <v>1318</v>
      </c>
      <c r="BS109" s="72">
        <f t="shared" ref="BS109" ca="1" si="3314">($M109=BR109)*$D$12</f>
        <v>0</v>
      </c>
      <c r="BT109" s="63"/>
      <c r="BU109" s="796" t="s">
        <v>1318</v>
      </c>
      <c r="BV109" s="72">
        <f t="shared" ref="BV109" ca="1" si="3315">($M109=BU109)*$D$12</f>
        <v>0</v>
      </c>
      <c r="BW109" s="63"/>
      <c r="BX109" s="73" t="s">
        <v>1318</v>
      </c>
      <c r="BY109" s="72">
        <f t="shared" ref="BY109" ca="1" si="3316">($M109=BX109)*$D$12</f>
        <v>0</v>
      </c>
      <c r="BZ109" s="63"/>
      <c r="CA109" s="816" t="s">
        <v>1318</v>
      </c>
      <c r="CB109" s="72">
        <f t="shared" ref="CB109" ca="1" si="3317">($M109=CA109)*$D$12</f>
        <v>0</v>
      </c>
      <c r="CC109" s="63"/>
      <c r="CD109" s="825" t="s">
        <v>1318</v>
      </c>
      <c r="CE109" s="72">
        <f t="shared" ref="CE109" ca="1" si="3318">($M109=CD109)*$D$12</f>
        <v>0</v>
      </c>
      <c r="CF109" s="63"/>
      <c r="CG109" s="796" t="s">
        <v>1318</v>
      </c>
      <c r="CH109" s="72">
        <f t="shared" ref="CH109" ca="1" si="3319">($M109=CG109)*$D$12</f>
        <v>0</v>
      </c>
      <c r="CI109" s="63"/>
      <c r="CJ109" s="796" t="s">
        <v>1318</v>
      </c>
      <c r="CK109" s="72">
        <f t="shared" ref="CK109" ca="1" si="3320">($M109=CJ109)*$D$12</f>
        <v>0</v>
      </c>
      <c r="CL109" s="63"/>
      <c r="CM109" s="796" t="s">
        <v>1318</v>
      </c>
      <c r="CN109" s="72">
        <f t="shared" ref="CN109" ca="1" si="3321">($M109=CM109)*$D$12</f>
        <v>0</v>
      </c>
      <c r="CO109" s="63"/>
      <c r="CP109" s="796" t="s">
        <v>38</v>
      </c>
      <c r="CQ109" s="72">
        <f t="shared" ref="CQ109" ca="1" si="3322">($M109=CP109)*$D$12</f>
        <v>0</v>
      </c>
      <c r="CR109" s="63"/>
      <c r="CS109" s="796" t="s">
        <v>1318</v>
      </c>
      <c r="CT109" s="72">
        <f t="shared" ref="CT109" ca="1" si="3323">($M109=CS109)*$D$12</f>
        <v>0</v>
      </c>
      <c r="CU109" s="63"/>
      <c r="CV109" s="796" t="s">
        <v>1318</v>
      </c>
      <c r="CW109" s="72">
        <f t="shared" ref="CW109" ca="1" si="3324">($M109=CV109)*$D$12</f>
        <v>0</v>
      </c>
      <c r="CX109" s="63"/>
      <c r="CY109" s="796" t="s">
        <v>1318</v>
      </c>
      <c r="CZ109" s="72">
        <f t="shared" ref="CZ109" ca="1" si="3325">($M109=CY109)*$D$12</f>
        <v>0</v>
      </c>
      <c r="DA109" s="63"/>
      <c r="DB109" s="796" t="s">
        <v>1318</v>
      </c>
      <c r="DC109" s="72">
        <f t="shared" ref="DC109" ca="1" si="3326">($M109=DB109)*$D$12</f>
        <v>0</v>
      </c>
      <c r="DD109" s="63"/>
      <c r="DE109" s="796" t="s">
        <v>1318</v>
      </c>
      <c r="DF109" s="72">
        <f ca="1">($M109=DE109)*$D$12</f>
        <v>0</v>
      </c>
      <c r="DG109" s="63"/>
      <c r="DH109" s="796" t="s">
        <v>1318</v>
      </c>
      <c r="DI109" s="72">
        <f ca="1">($M109=DH109)*$D$12</f>
        <v>0</v>
      </c>
      <c r="DJ109" s="63"/>
      <c r="DK109" s="796" t="s">
        <v>1318</v>
      </c>
      <c r="DL109" s="72">
        <f ca="1">($M109=DK109)*$D$12</f>
        <v>0</v>
      </c>
      <c r="DM109" s="63"/>
      <c r="DN109" s="73"/>
      <c r="DO109" s="72">
        <f t="shared" ref="DO109" ca="1" si="3327">($M109=DN109)*$D$12</f>
        <v>0</v>
      </c>
      <c r="DP109" s="63"/>
      <c r="DQ109" s="796" t="s">
        <v>1318</v>
      </c>
      <c r="DR109" s="72">
        <f t="shared" ref="DR109" ca="1" si="3328">($M109=DQ109)*$D$12</f>
        <v>0</v>
      </c>
      <c r="DS109" s="63"/>
      <c r="DT109" s="73" t="s">
        <v>1318</v>
      </c>
      <c r="DU109" s="72">
        <f t="shared" ref="DU109" ca="1" si="3329">($M109=DT109)*$D$12</f>
        <v>0</v>
      </c>
      <c r="DV109" s="63"/>
      <c r="DW109" s="73"/>
      <c r="DX109" s="72">
        <f t="shared" ref="DX109" ca="1" si="3330">($M109=DW109)*$D$12</f>
        <v>0</v>
      </c>
      <c r="DY109" s="63"/>
      <c r="DZ109" s="73"/>
      <c r="EA109" s="72">
        <f ca="1">($M109=DZ109)*$D$12</f>
        <v>0</v>
      </c>
      <c r="EB109" s="63"/>
      <c r="EC109" s="73"/>
      <c r="ED109" s="72">
        <f t="shared" ref="ED109" ca="1" si="3331">($M109=EC109)*$D$12</f>
        <v>0</v>
      </c>
      <c r="EE109" s="63"/>
      <c r="EF109" s="73"/>
      <c r="EG109" s="72">
        <f t="shared" ref="EG109" ca="1" si="3332">($M109=EF109)*$D$12</f>
        <v>0</v>
      </c>
      <c r="EH109" s="63"/>
      <c r="EI109" s="73"/>
      <c r="EJ109" s="72">
        <f t="shared" ref="EJ109" ca="1" si="3333">($M109=EI109)*$D$12</f>
        <v>0</v>
      </c>
      <c r="EK109" s="63"/>
      <c r="EL109" s="73"/>
      <c r="EM109" s="72">
        <f t="shared" ref="EM109" ca="1" si="3334">($M109=EL109)*$D$12</f>
        <v>0</v>
      </c>
      <c r="EN109" s="63"/>
      <c r="EO109" s="73"/>
      <c r="EP109" s="72">
        <f t="shared" ref="EP109" ca="1" si="3335">($M109=EO109)*$D$12</f>
        <v>0</v>
      </c>
      <c r="EQ109" s="63"/>
      <c r="ER109" s="73"/>
      <c r="ES109" s="72">
        <f t="shared" ref="ES109" ca="1" si="3336">($M109=ER109)*$D$12</f>
        <v>0</v>
      </c>
      <c r="ET109" s="63"/>
      <c r="EU109" s="73"/>
      <c r="EV109" s="72">
        <f t="shared" ref="EV109" ca="1" si="3337">($M109=EU109)*$D$12</f>
        <v>0</v>
      </c>
      <c r="EW109" s="63"/>
      <c r="EX109" s="73"/>
      <c r="EY109" s="72">
        <f t="shared" ref="EY109" ca="1" si="3338">($M109=EX109)*$D$12</f>
        <v>0</v>
      </c>
      <c r="EZ109" s="63"/>
      <c r="FA109" s="73"/>
      <c r="FB109" s="72">
        <f t="shared" ref="FB109" ca="1" si="3339">($M109=FA109)*$D$12</f>
        <v>0</v>
      </c>
      <c r="FC109" s="63"/>
      <c r="FD109" s="73"/>
      <c r="FE109" s="72">
        <f t="shared" ref="FE109" ca="1" si="3340">($M109=FD109)*$D$12</f>
        <v>0</v>
      </c>
      <c r="FF109" s="63"/>
      <c r="FG109" s="73"/>
      <c r="FH109" s="72">
        <f t="shared" ref="FH109" ca="1" si="3341">($M109=FG109)*$D$12</f>
        <v>0</v>
      </c>
      <c r="FI109" s="63"/>
      <c r="FJ109" s="73"/>
      <c r="FK109" s="72">
        <f t="shared" ref="FK109" ca="1" si="3342">($M109=FJ109)*$D$12</f>
        <v>0</v>
      </c>
      <c r="FL109" s="63"/>
      <c r="FM109" s="73"/>
      <c r="FN109" s="72">
        <f t="shared" ref="FN109" ca="1" si="3343">($M109=FM109)*$D$12</f>
        <v>0</v>
      </c>
      <c r="FO109" s="63"/>
      <c r="FP109" s="73"/>
      <c r="FQ109" s="72">
        <f t="shared" ref="FQ109" ca="1" si="3344">($M109=FP109)*$D$12</f>
        <v>0</v>
      </c>
      <c r="FR109" s="63"/>
      <c r="FS109" s="73"/>
      <c r="FT109" s="72">
        <f t="shared" ref="FT109" ca="1" si="3345">($M109=FS109)*$D$12</f>
        <v>0</v>
      </c>
      <c r="FU109" s="63"/>
      <c r="FV109" s="73"/>
      <c r="FW109" s="72">
        <f t="shared" ref="FW109" ca="1" si="3346">($M109=FV109)*$D$12</f>
        <v>0</v>
      </c>
      <c r="FX109" s="63"/>
      <c r="FY109" s="73"/>
      <c r="FZ109" s="72">
        <f t="shared" ref="FZ109" ca="1" si="3347">($M109=FY109)*$D$12</f>
        <v>0</v>
      </c>
      <c r="GA109" s="63"/>
      <c r="GB109" s="73"/>
      <c r="GC109" s="72">
        <f t="shared" ref="GC109" ca="1" si="3348">($M109=GB109)*$D$12</f>
        <v>0</v>
      </c>
      <c r="GD109" s="63"/>
      <c r="GE109" s="73"/>
      <c r="GF109" s="72">
        <f t="shared" ref="GF109" ca="1" si="3349">($M109=GE109)*$D$12</f>
        <v>0</v>
      </c>
      <c r="GG109" s="63"/>
      <c r="GH109" s="73"/>
      <c r="GI109" s="72">
        <f t="shared" ref="GI109" ca="1" si="3350">($M109=GH109)*$D$12</f>
        <v>0</v>
      </c>
      <c r="GJ109" s="63"/>
      <c r="GK109" s="73"/>
      <c r="GL109" s="72">
        <f t="shared" ref="GL109" ca="1" si="3351">($M109=GK109)*$D$12</f>
        <v>0</v>
      </c>
      <c r="GM109" s="63"/>
      <c r="GN109" s="73"/>
      <c r="GO109" s="72">
        <f t="shared" ref="GO109" ca="1" si="3352">($M109=GN109)*$D$12</f>
        <v>0</v>
      </c>
      <c r="GP109" s="63"/>
      <c r="GQ109" s="73"/>
      <c r="GR109" s="72">
        <f t="shared" ref="GR109" ca="1" si="3353">($M109=GQ109)*$D$12</f>
        <v>0</v>
      </c>
      <c r="GS109" s="63"/>
      <c r="GT109" s="73"/>
      <c r="GU109" s="72">
        <f t="shared" ref="GU109" ca="1" si="3354">($M109=GT109)*$D$12</f>
        <v>0</v>
      </c>
      <c r="GV109" s="63"/>
      <c r="GW109" s="73"/>
      <c r="GX109" s="72">
        <f t="shared" ref="GX109" ca="1" si="3355">($M109=GW109)*$D$12</f>
        <v>0</v>
      </c>
      <c r="GY109" s="63"/>
      <c r="GZ109" s="73"/>
      <c r="HA109" s="72">
        <f t="shared" ref="HA109" ca="1" si="3356">($M109=GZ109)*$D$12</f>
        <v>0</v>
      </c>
      <c r="HB109" s="63"/>
      <c r="HC109" s="73"/>
      <c r="HD109" s="72">
        <f t="shared" ref="HD109" ca="1" si="3357">($M109=HC109)*$D$12</f>
        <v>0</v>
      </c>
      <c r="HE109" s="63"/>
      <c r="HF109" s="73"/>
      <c r="HG109" s="72">
        <f t="shared" ref="HG109" ca="1" si="3358">($M109=HF109)*$D$12</f>
        <v>0</v>
      </c>
      <c r="HH109" s="63"/>
      <c r="HI109" s="73"/>
      <c r="HJ109" s="72">
        <f t="shared" ref="HJ109" ca="1" si="3359">($M109=HI109)*$D$12</f>
        <v>0</v>
      </c>
      <c r="HK109" s="63"/>
      <c r="HL109" s="73"/>
      <c r="HM109" s="72">
        <f t="shared" ref="HM109" ca="1" si="3360">($M109=HL109)*$D$12</f>
        <v>0</v>
      </c>
      <c r="HN109" s="63"/>
      <c r="HO109" s="73"/>
      <c r="HP109" s="72">
        <f t="shared" ref="HP109" ca="1" si="3361">($M109=HO109)*$D$12</f>
        <v>0</v>
      </c>
      <c r="HQ109" s="63"/>
      <c r="HR109" s="73"/>
      <c r="HS109" s="72">
        <f t="shared" ref="HS109" ca="1" si="3362">($M109=HR109)*$D$12</f>
        <v>0</v>
      </c>
      <c r="HT109" s="63"/>
      <c r="HU109" s="73"/>
      <c r="HV109" s="72">
        <f t="shared" ref="HV109" ca="1" si="3363">($M109=HU109)*$D$12</f>
        <v>0</v>
      </c>
      <c r="HW109" s="63"/>
      <c r="HX109" s="73"/>
      <c r="HY109" s="72">
        <f t="shared" ref="HY109" ca="1" si="3364">($M109=HX109)*$D$12</f>
        <v>0</v>
      </c>
      <c r="HZ109" s="63"/>
      <c r="IA109" s="73"/>
      <c r="IB109" s="72">
        <f t="shared" ref="IB109" ca="1" si="3365">($M109=IA109)*$D$12</f>
        <v>0</v>
      </c>
      <c r="IC109" s="63"/>
      <c r="ID109" s="73"/>
      <c r="IE109" s="72">
        <f t="shared" ref="IE109" ca="1" si="3366">($M109=ID109)*$D$12</f>
        <v>0</v>
      </c>
      <c r="IF109" s="63"/>
      <c r="IG109" s="73"/>
      <c r="IH109" s="72">
        <f t="shared" ref="IH109" ca="1" si="3367">($M109=IG109)*$D$12</f>
        <v>0</v>
      </c>
      <c r="II109" s="63"/>
      <c r="IJ109" s="73"/>
      <c r="IK109" s="72">
        <f t="shared" ref="IK109" ca="1" si="3368">($M109=IJ109)*$D$12</f>
        <v>0</v>
      </c>
      <c r="IL109" s="63"/>
      <c r="IM109" s="73"/>
      <c r="IN109" s="72">
        <f t="shared" ref="IN109" ca="1" si="3369">($M109=IM109)*$D$12</f>
        <v>0</v>
      </c>
      <c r="IO109" s="63"/>
      <c r="IP109" s="73"/>
      <c r="IQ109" s="72">
        <f t="shared" ref="IQ109" ca="1" si="3370">($M109=IP109)*$D$12</f>
        <v>0</v>
      </c>
      <c r="IR109" s="63"/>
      <c r="IS109" s="73"/>
      <c r="IT109" s="72">
        <f t="shared" ref="IT109" ca="1" si="3371">($M109=IS109)*$D$12</f>
        <v>0</v>
      </c>
      <c r="IU109" s="63"/>
      <c r="IV109" s="73"/>
      <c r="IW109" s="72">
        <f t="shared" ref="IW109" ca="1" si="3372">($M109=IV109)*$D$12</f>
        <v>0</v>
      </c>
      <c r="IX109" s="63"/>
      <c r="IY109" s="73"/>
      <c r="IZ109" s="72">
        <f t="shared" ref="IZ109" ca="1" si="3373">($M109=IY109)*$D$12</f>
        <v>0</v>
      </c>
      <c r="JA109" s="63"/>
      <c r="JB109" s="73"/>
      <c r="JC109" s="72">
        <f t="shared" ref="JC109" ca="1" si="3374">($M109=JB109)*$D$12</f>
        <v>0</v>
      </c>
      <c r="JD109" s="63"/>
      <c r="JE109" s="73"/>
      <c r="JF109" s="72">
        <f t="shared" ref="JF109" ca="1" si="3375">($M109=JE109)*$D$12</f>
        <v>0</v>
      </c>
      <c r="JG109" s="63"/>
      <c r="JH109" s="73"/>
      <c r="JI109" s="72">
        <f t="shared" ref="JI109" ca="1" si="3376">($M109=JH109)*$D$12</f>
        <v>0</v>
      </c>
      <c r="JJ109" s="63"/>
      <c r="JK109" s="73"/>
      <c r="JL109" s="72">
        <f t="shared" ref="JL109" ca="1" si="3377">($M109=JK109)*$D$12</f>
        <v>0</v>
      </c>
      <c r="JM109" s="63"/>
      <c r="JN109" s="73"/>
      <c r="JO109" s="72">
        <f t="shared" ref="JO109" ca="1" si="3378">($M109=JN109)*$D$12</f>
        <v>0</v>
      </c>
      <c r="JP109" s="63"/>
      <c r="JQ109" s="73"/>
      <c r="JR109" s="72">
        <f t="shared" ref="JR109" ca="1" si="3379">($M109=JQ109)*$D$12</f>
        <v>0</v>
      </c>
      <c r="JS109" s="63"/>
      <c r="JT109" s="73"/>
      <c r="JU109" s="72">
        <f t="shared" ref="JU109" ca="1" si="3380">($M109=JT109)*$D$12</f>
        <v>0</v>
      </c>
      <c r="JV109" s="63"/>
      <c r="JW109" s="73"/>
      <c r="JX109" s="72">
        <f t="shared" ref="JX109" ca="1" si="3381">($M109=JW109)*$D$12</f>
        <v>0</v>
      </c>
      <c r="JY109" s="63"/>
      <c r="JZ109" s="73"/>
      <c r="KA109" s="72">
        <f t="shared" ref="KA109" ca="1" si="3382">($M109=JZ109)*$D$12</f>
        <v>0</v>
      </c>
      <c r="KB109" s="63"/>
      <c r="KC109" s="73"/>
      <c r="KD109" s="72">
        <f t="shared" ref="KD109" ca="1" si="3383">($M109=KC109)*$D$12</f>
        <v>0</v>
      </c>
      <c r="KE109" s="63"/>
      <c r="KF109" s="73"/>
      <c r="KG109" s="72">
        <f t="shared" ref="KG109" ca="1" si="3384">($M109=KF109)*$D$12</f>
        <v>0</v>
      </c>
      <c r="KH109" s="63"/>
      <c r="KI109" s="73"/>
      <c r="KJ109" s="72">
        <f t="shared" ref="KJ109" ca="1" si="3385">($M109=KI109)*$D$12</f>
        <v>0</v>
      </c>
      <c r="KK109" s="63"/>
      <c r="KL109" s="73"/>
      <c r="KM109" s="72">
        <f t="shared" ref="KM109" ca="1" si="3386">($M109=KL109)*$D$12</f>
        <v>0</v>
      </c>
      <c r="KN109" s="63"/>
      <c r="KO109" s="73"/>
      <c r="KP109" s="72">
        <f t="shared" ref="KP109" ca="1" si="3387">($M109=KO109)*$D$12</f>
        <v>0</v>
      </c>
      <c r="KQ109" s="63"/>
      <c r="KR109" s="73"/>
      <c r="KS109" s="72">
        <f t="shared" ref="KS109" ca="1" si="3388">($M109=KR109)*$D$12</f>
        <v>0</v>
      </c>
      <c r="KT109" s="63"/>
      <c r="KU109" s="73"/>
      <c r="KV109" s="72">
        <f t="shared" ref="KV109" ca="1" si="3389">($M109=KU109)*$D$12</f>
        <v>0</v>
      </c>
      <c r="KW109" s="63"/>
      <c r="KX109" s="73"/>
      <c r="KY109" s="72">
        <f t="shared" ref="KY109" ca="1" si="3390">($M109=KX109)*$D$12</f>
        <v>0</v>
      </c>
      <c r="KZ109" s="63"/>
      <c r="LA109" s="73"/>
      <c r="LB109" s="72">
        <f t="shared" ref="LB109" ca="1" si="3391">($M109=LA109)*$D$12</f>
        <v>0</v>
      </c>
      <c r="LC109" s="63"/>
      <c r="LD109" s="73"/>
      <c r="LE109" s="72">
        <f t="shared" ref="LE109" ca="1" si="3392">($M109=LD109)*$D$12</f>
        <v>0</v>
      </c>
      <c r="LF109" s="63"/>
    </row>
    <row r="110" spans="1:318" s="784" customFormat="1">
      <c r="A110" s="49"/>
      <c r="B110" s="49"/>
      <c r="C110" s="49"/>
      <c r="D110" s="49"/>
      <c r="E110" s="109"/>
      <c r="F110" s="125">
        <f t="shared" ref="F110" si="3393">$D$13</f>
        <v>20</v>
      </c>
      <c r="G110" s="443">
        <f ca="1">VLOOKUP(H110,Equipos!$Q$1:$R$25,2,0)</f>
        <v>16</v>
      </c>
      <c r="H110" s="444">
        <f ca="1">$H$68</f>
        <v>46199</v>
      </c>
      <c r="I110" s="50"/>
      <c r="J110" s="845"/>
      <c r="K110" s="56" t="str">
        <f>Idiomas!D180</f>
        <v>3º GRUPO H</v>
      </c>
      <c r="L110" s="53"/>
      <c r="M110" s="55" t="str">
        <f ca="1">IF(OR(SUM(WORLDCUP!$AN$62:$AN$65)=12,WORLDCUP!$AJ$99=144),WORLDCUP!AL64,LEFT(K110,1)&amp;RIGHT(K110,1))</f>
        <v>3H</v>
      </c>
      <c r="N110" s="25"/>
      <c r="O110" s="25"/>
      <c r="P110" s="25"/>
      <c r="Q110" s="25"/>
      <c r="R110" s="108"/>
      <c r="S110" s="796" t="s">
        <v>1318</v>
      </c>
      <c r="T110" s="72">
        <f t="shared" ref="T110" ca="1" si="3394">($M110=S110)*$D$13</f>
        <v>0</v>
      </c>
      <c r="U110" s="63"/>
      <c r="V110" s="73" t="s">
        <v>1632</v>
      </c>
      <c r="W110" s="72">
        <f t="shared" ref="W110" ca="1" si="3395">($M110=V110)*$D$13</f>
        <v>0</v>
      </c>
      <c r="X110" s="63"/>
      <c r="Y110" s="796" t="s">
        <v>1632</v>
      </c>
      <c r="Z110" s="72">
        <f t="shared" ref="Z110" ca="1" si="3396">($M110=Y110)*$D$13</f>
        <v>0</v>
      </c>
      <c r="AA110" s="63"/>
      <c r="AB110" s="796" t="s">
        <v>1632</v>
      </c>
      <c r="AC110" s="72">
        <f t="shared" ref="AC110" ca="1" si="3397">($M110=AB110)*$D$13</f>
        <v>0</v>
      </c>
      <c r="AD110" s="63"/>
      <c r="AE110" s="796" t="s">
        <v>1632</v>
      </c>
      <c r="AF110" s="72">
        <f t="shared" ref="AF110" ca="1" si="3398">($M110=AE110)*$D$13</f>
        <v>0</v>
      </c>
      <c r="AG110" s="63"/>
      <c r="AH110" s="796" t="s">
        <v>1632</v>
      </c>
      <c r="AI110" s="72">
        <f t="shared" ref="AI110" ca="1" si="3399">($M110=AH110)*$D$13</f>
        <v>0</v>
      </c>
      <c r="AJ110" s="63"/>
      <c r="AK110" s="806" t="s">
        <v>1632</v>
      </c>
      <c r="AL110" s="72">
        <f t="shared" ref="AL110" ca="1" si="3400">($M110=AK110)*$D$13</f>
        <v>0</v>
      </c>
      <c r="AM110" s="63"/>
      <c r="AN110" s="796" t="s">
        <v>1632</v>
      </c>
      <c r="AO110" s="72">
        <f t="shared" ref="AO110" ca="1" si="3401">($M110=AN110)*$D$13</f>
        <v>0</v>
      </c>
      <c r="AP110" s="63"/>
      <c r="AQ110" s="806" t="s">
        <v>1632</v>
      </c>
      <c r="AR110" s="72">
        <f t="shared" ref="AR110" ca="1" si="3402">($M110=AQ110)*$D$13</f>
        <v>0</v>
      </c>
      <c r="AS110" s="63"/>
      <c r="AT110" s="796" t="s">
        <v>1632</v>
      </c>
      <c r="AU110" s="72">
        <f t="shared" ref="AU110" ca="1" si="3403">($M110=AT110)*$D$13</f>
        <v>0</v>
      </c>
      <c r="AV110" s="63"/>
      <c r="AW110" s="796" t="s">
        <v>1632</v>
      </c>
      <c r="AX110" s="72">
        <f t="shared" ref="AX110" ca="1" si="3404">($M110=AW110)*$D$13</f>
        <v>0</v>
      </c>
      <c r="AY110" s="63"/>
      <c r="AZ110" s="796" t="s">
        <v>1318</v>
      </c>
      <c r="BA110" s="72">
        <f t="shared" ref="BA110" ca="1" si="3405">($M110=AZ110)*$D$13</f>
        <v>0</v>
      </c>
      <c r="BB110" s="63"/>
      <c r="BC110" s="796" t="s">
        <v>1632</v>
      </c>
      <c r="BD110" s="72">
        <f t="shared" ref="BD110" ca="1" si="3406">($M110=BC110)*$D$13</f>
        <v>0</v>
      </c>
      <c r="BE110" s="63"/>
      <c r="BF110" s="796" t="s">
        <v>1632</v>
      </c>
      <c r="BG110" s="72">
        <f t="shared" ref="BG110" ca="1" si="3407">($M110=BF110)*$D$13</f>
        <v>0</v>
      </c>
      <c r="BH110" s="63"/>
      <c r="BI110" s="796" t="s">
        <v>1632</v>
      </c>
      <c r="BJ110" s="72">
        <f t="shared" ref="BJ110" ca="1" si="3408">($M110=BI110)*$D$13</f>
        <v>0</v>
      </c>
      <c r="BK110" s="63"/>
      <c r="BL110" s="796" t="s">
        <v>1552</v>
      </c>
      <c r="BM110" s="72">
        <f t="shared" ref="BM110" ca="1" si="3409">($M110=BL110)*$D$13</f>
        <v>0</v>
      </c>
      <c r="BN110" s="63"/>
      <c r="BO110" s="816" t="s">
        <v>1632</v>
      </c>
      <c r="BP110" s="72">
        <f t="shared" ref="BP110" ca="1" si="3410">($M110=BO110)*$D$13</f>
        <v>0</v>
      </c>
      <c r="BQ110" s="63"/>
      <c r="BR110" s="796" t="s">
        <v>1632</v>
      </c>
      <c r="BS110" s="72">
        <f t="shared" ref="BS110" ca="1" si="3411">($M110=BR110)*$D$13</f>
        <v>0</v>
      </c>
      <c r="BT110" s="63"/>
      <c r="BU110" s="796" t="s">
        <v>1632</v>
      </c>
      <c r="BV110" s="72">
        <f t="shared" ref="BV110" ca="1" si="3412">($M110=BU110)*$D$13</f>
        <v>0</v>
      </c>
      <c r="BW110" s="63"/>
      <c r="BX110" s="73" t="s">
        <v>1632</v>
      </c>
      <c r="BY110" s="72">
        <f t="shared" ref="BY110" ca="1" si="3413">($M110=BX110)*$D$13</f>
        <v>0</v>
      </c>
      <c r="BZ110" s="63"/>
      <c r="CA110" s="816" t="s">
        <v>1632</v>
      </c>
      <c r="CB110" s="72">
        <f t="shared" ref="CB110" ca="1" si="3414">($M110=CA110)*$D$13</f>
        <v>0</v>
      </c>
      <c r="CC110" s="63"/>
      <c r="CD110" s="825" t="s">
        <v>1632</v>
      </c>
      <c r="CE110" s="72">
        <f t="shared" ref="CE110" ca="1" si="3415">($M110=CD110)*$D$13</f>
        <v>0</v>
      </c>
      <c r="CF110" s="63"/>
      <c r="CG110" s="796" t="s">
        <v>1632</v>
      </c>
      <c r="CH110" s="72">
        <f t="shared" ref="CH110" ca="1" si="3416">($M110=CG110)*$D$13</f>
        <v>0</v>
      </c>
      <c r="CI110" s="63"/>
      <c r="CJ110" s="796" t="s">
        <v>1632</v>
      </c>
      <c r="CK110" s="72">
        <f t="shared" ref="CK110" ca="1" si="3417">($M110=CJ110)*$D$13</f>
        <v>0</v>
      </c>
      <c r="CL110" s="63"/>
      <c r="CM110" s="796" t="s">
        <v>1632</v>
      </c>
      <c r="CN110" s="72">
        <f t="shared" ref="CN110" ca="1" si="3418">($M110=CM110)*$D$13</f>
        <v>0</v>
      </c>
      <c r="CO110" s="63"/>
      <c r="CP110" s="796" t="s">
        <v>1632</v>
      </c>
      <c r="CQ110" s="72">
        <f t="shared" ref="CQ110" ca="1" si="3419">($M110=CP110)*$D$13</f>
        <v>0</v>
      </c>
      <c r="CR110" s="63"/>
      <c r="CS110" s="796" t="s">
        <v>1552</v>
      </c>
      <c r="CT110" s="72">
        <f t="shared" ref="CT110" ca="1" si="3420">($M110=CS110)*$D$13</f>
        <v>0</v>
      </c>
      <c r="CU110" s="63"/>
      <c r="CV110" s="796" t="s">
        <v>1632</v>
      </c>
      <c r="CW110" s="72">
        <f t="shared" ref="CW110" ca="1" si="3421">($M110=CV110)*$D$13</f>
        <v>0</v>
      </c>
      <c r="CX110" s="63"/>
      <c r="CY110" s="796" t="s">
        <v>1632</v>
      </c>
      <c r="CZ110" s="72">
        <f t="shared" ref="CZ110" ca="1" si="3422">($M110=CY110)*$D$13</f>
        <v>0</v>
      </c>
      <c r="DA110" s="63"/>
      <c r="DB110" s="796" t="s">
        <v>1632</v>
      </c>
      <c r="DC110" s="72">
        <f t="shared" ref="DC110" ca="1" si="3423">($M110=DB110)*$D$13</f>
        <v>0</v>
      </c>
      <c r="DD110" s="63"/>
      <c r="DE110" s="796" t="s">
        <v>1552</v>
      </c>
      <c r="DF110" s="72">
        <f ca="1">($M110=DE110)*$D$13</f>
        <v>0</v>
      </c>
      <c r="DG110" s="63"/>
      <c r="DH110" s="796" t="s">
        <v>1632</v>
      </c>
      <c r="DI110" s="72">
        <f ca="1">($M110=DH110)*$D$13</f>
        <v>0</v>
      </c>
      <c r="DJ110" s="63"/>
      <c r="DK110" s="796" t="s">
        <v>1632</v>
      </c>
      <c r="DL110" s="72">
        <f ca="1">($M110=DK110)*$D$13</f>
        <v>0</v>
      </c>
      <c r="DM110" s="63"/>
      <c r="DN110" s="73"/>
      <c r="DO110" s="72">
        <f t="shared" ref="DO110" ca="1" si="3424">($M110=DN110)*$D$13</f>
        <v>0</v>
      </c>
      <c r="DP110" s="63"/>
      <c r="DQ110" s="796" t="s">
        <v>1632</v>
      </c>
      <c r="DR110" s="72">
        <f t="shared" ref="DR110" ca="1" si="3425">($M110=DQ110)*$D$13</f>
        <v>0</v>
      </c>
      <c r="DS110" s="63"/>
      <c r="DT110" s="73" t="s">
        <v>1632</v>
      </c>
      <c r="DU110" s="72">
        <f t="shared" ref="DU110" ca="1" si="3426">($M110=DT110)*$D$13</f>
        <v>0</v>
      </c>
      <c r="DV110" s="63"/>
      <c r="DW110" s="73"/>
      <c r="DX110" s="72">
        <f t="shared" ref="DX110" ca="1" si="3427">($M110=DW110)*$D$13</f>
        <v>0</v>
      </c>
      <c r="DY110" s="63"/>
      <c r="DZ110" s="73"/>
      <c r="EA110" s="72">
        <f ca="1">($M110=DZ110)*$D$13</f>
        <v>0</v>
      </c>
      <c r="EB110" s="63"/>
      <c r="EC110" s="73"/>
      <c r="ED110" s="72">
        <f t="shared" ref="ED110" ca="1" si="3428">($M110=EC110)*$D$13</f>
        <v>0</v>
      </c>
      <c r="EE110" s="63"/>
      <c r="EF110" s="73"/>
      <c r="EG110" s="72">
        <f t="shared" ref="EG110" ca="1" si="3429">($M110=EF110)*$D$13</f>
        <v>0</v>
      </c>
      <c r="EH110" s="63"/>
      <c r="EI110" s="73"/>
      <c r="EJ110" s="72">
        <f t="shared" ref="EJ110" ca="1" si="3430">($M110=EI110)*$D$13</f>
        <v>0</v>
      </c>
      <c r="EK110" s="63"/>
      <c r="EL110" s="73"/>
      <c r="EM110" s="72">
        <f t="shared" ref="EM110" ca="1" si="3431">($M110=EL110)*$D$13</f>
        <v>0</v>
      </c>
      <c r="EN110" s="63"/>
      <c r="EO110" s="73"/>
      <c r="EP110" s="72">
        <f t="shared" ref="EP110" ca="1" si="3432">($M110=EO110)*$D$13</f>
        <v>0</v>
      </c>
      <c r="EQ110" s="63"/>
      <c r="ER110" s="73"/>
      <c r="ES110" s="72">
        <f t="shared" ref="ES110" ca="1" si="3433">($M110=ER110)*$D$13</f>
        <v>0</v>
      </c>
      <c r="ET110" s="63"/>
      <c r="EU110" s="73"/>
      <c r="EV110" s="72">
        <f t="shared" ref="EV110" ca="1" si="3434">($M110=EU110)*$D$13</f>
        <v>0</v>
      </c>
      <c r="EW110" s="63"/>
      <c r="EX110" s="73"/>
      <c r="EY110" s="72">
        <f t="shared" ref="EY110" ca="1" si="3435">($M110=EX110)*$D$13</f>
        <v>0</v>
      </c>
      <c r="EZ110" s="63"/>
      <c r="FA110" s="73"/>
      <c r="FB110" s="72">
        <f t="shared" ref="FB110" ca="1" si="3436">($M110=FA110)*$D$13</f>
        <v>0</v>
      </c>
      <c r="FC110" s="63"/>
      <c r="FD110" s="73"/>
      <c r="FE110" s="72">
        <f t="shared" ref="FE110" ca="1" si="3437">($M110=FD110)*$D$13</f>
        <v>0</v>
      </c>
      <c r="FF110" s="63"/>
      <c r="FG110" s="73"/>
      <c r="FH110" s="72">
        <f t="shared" ref="FH110" ca="1" si="3438">($M110=FG110)*$D$13</f>
        <v>0</v>
      </c>
      <c r="FI110" s="63"/>
      <c r="FJ110" s="73"/>
      <c r="FK110" s="72">
        <f t="shared" ref="FK110" ca="1" si="3439">($M110=FJ110)*$D$13</f>
        <v>0</v>
      </c>
      <c r="FL110" s="63"/>
      <c r="FM110" s="73"/>
      <c r="FN110" s="72">
        <f t="shared" ref="FN110" ca="1" si="3440">($M110=FM110)*$D$13</f>
        <v>0</v>
      </c>
      <c r="FO110" s="63"/>
      <c r="FP110" s="73"/>
      <c r="FQ110" s="72">
        <f t="shared" ref="FQ110" ca="1" si="3441">($M110=FP110)*$D$13</f>
        <v>0</v>
      </c>
      <c r="FR110" s="63"/>
      <c r="FS110" s="73"/>
      <c r="FT110" s="72">
        <f t="shared" ref="FT110" ca="1" si="3442">($M110=FS110)*$D$13</f>
        <v>0</v>
      </c>
      <c r="FU110" s="63"/>
      <c r="FV110" s="73"/>
      <c r="FW110" s="72">
        <f t="shared" ref="FW110" ca="1" si="3443">($M110=FV110)*$D$13</f>
        <v>0</v>
      </c>
      <c r="FX110" s="63"/>
      <c r="FY110" s="73"/>
      <c r="FZ110" s="72">
        <f t="shared" ref="FZ110" ca="1" si="3444">($M110=FY110)*$D$13</f>
        <v>0</v>
      </c>
      <c r="GA110" s="63"/>
      <c r="GB110" s="73"/>
      <c r="GC110" s="72">
        <f t="shared" ref="GC110" ca="1" si="3445">($M110=GB110)*$D$13</f>
        <v>0</v>
      </c>
      <c r="GD110" s="63"/>
      <c r="GE110" s="73"/>
      <c r="GF110" s="72">
        <f t="shared" ref="GF110" ca="1" si="3446">($M110=GE110)*$D$13</f>
        <v>0</v>
      </c>
      <c r="GG110" s="63"/>
      <c r="GH110" s="73"/>
      <c r="GI110" s="72">
        <f t="shared" ref="GI110" ca="1" si="3447">($M110=GH110)*$D$13</f>
        <v>0</v>
      </c>
      <c r="GJ110" s="63"/>
      <c r="GK110" s="73"/>
      <c r="GL110" s="72">
        <f t="shared" ref="GL110" ca="1" si="3448">($M110=GK110)*$D$13</f>
        <v>0</v>
      </c>
      <c r="GM110" s="63"/>
      <c r="GN110" s="73"/>
      <c r="GO110" s="72">
        <f t="shared" ref="GO110" ca="1" si="3449">($M110=GN110)*$D$13</f>
        <v>0</v>
      </c>
      <c r="GP110" s="63"/>
      <c r="GQ110" s="73"/>
      <c r="GR110" s="72">
        <f t="shared" ref="GR110" ca="1" si="3450">($M110=GQ110)*$D$13</f>
        <v>0</v>
      </c>
      <c r="GS110" s="63"/>
      <c r="GT110" s="73"/>
      <c r="GU110" s="72">
        <f t="shared" ref="GU110" ca="1" si="3451">($M110=GT110)*$D$13</f>
        <v>0</v>
      </c>
      <c r="GV110" s="63"/>
      <c r="GW110" s="73"/>
      <c r="GX110" s="72">
        <f t="shared" ref="GX110" ca="1" si="3452">($M110=GW110)*$D$13</f>
        <v>0</v>
      </c>
      <c r="GY110" s="63"/>
      <c r="GZ110" s="73"/>
      <c r="HA110" s="72">
        <f t="shared" ref="HA110" ca="1" si="3453">($M110=GZ110)*$D$13</f>
        <v>0</v>
      </c>
      <c r="HB110" s="63"/>
      <c r="HC110" s="73"/>
      <c r="HD110" s="72">
        <f t="shared" ref="HD110" ca="1" si="3454">($M110=HC110)*$D$13</f>
        <v>0</v>
      </c>
      <c r="HE110" s="63"/>
      <c r="HF110" s="73"/>
      <c r="HG110" s="72">
        <f t="shared" ref="HG110" ca="1" si="3455">($M110=HF110)*$D$13</f>
        <v>0</v>
      </c>
      <c r="HH110" s="63"/>
      <c r="HI110" s="73"/>
      <c r="HJ110" s="72">
        <f t="shared" ref="HJ110" ca="1" si="3456">($M110=HI110)*$D$13</f>
        <v>0</v>
      </c>
      <c r="HK110" s="63"/>
      <c r="HL110" s="73"/>
      <c r="HM110" s="72">
        <f t="shared" ref="HM110" ca="1" si="3457">($M110=HL110)*$D$13</f>
        <v>0</v>
      </c>
      <c r="HN110" s="63"/>
      <c r="HO110" s="73"/>
      <c r="HP110" s="72">
        <f t="shared" ref="HP110" ca="1" si="3458">($M110=HO110)*$D$13</f>
        <v>0</v>
      </c>
      <c r="HQ110" s="63"/>
      <c r="HR110" s="73"/>
      <c r="HS110" s="72">
        <f t="shared" ref="HS110" ca="1" si="3459">($M110=HR110)*$D$13</f>
        <v>0</v>
      </c>
      <c r="HT110" s="63"/>
      <c r="HU110" s="73"/>
      <c r="HV110" s="72">
        <f t="shared" ref="HV110" ca="1" si="3460">($M110=HU110)*$D$13</f>
        <v>0</v>
      </c>
      <c r="HW110" s="63"/>
      <c r="HX110" s="73"/>
      <c r="HY110" s="72">
        <f t="shared" ref="HY110" ca="1" si="3461">($M110=HX110)*$D$13</f>
        <v>0</v>
      </c>
      <c r="HZ110" s="63"/>
      <c r="IA110" s="73"/>
      <c r="IB110" s="72">
        <f t="shared" ref="IB110" ca="1" si="3462">($M110=IA110)*$D$13</f>
        <v>0</v>
      </c>
      <c r="IC110" s="63"/>
      <c r="ID110" s="73"/>
      <c r="IE110" s="72">
        <f t="shared" ref="IE110" ca="1" si="3463">($M110=ID110)*$D$13</f>
        <v>0</v>
      </c>
      <c r="IF110" s="63"/>
      <c r="IG110" s="73"/>
      <c r="IH110" s="72">
        <f t="shared" ref="IH110" ca="1" si="3464">($M110=IG110)*$D$13</f>
        <v>0</v>
      </c>
      <c r="II110" s="63"/>
      <c r="IJ110" s="73"/>
      <c r="IK110" s="72">
        <f t="shared" ref="IK110" ca="1" si="3465">($M110=IJ110)*$D$13</f>
        <v>0</v>
      </c>
      <c r="IL110" s="63"/>
      <c r="IM110" s="73"/>
      <c r="IN110" s="72">
        <f t="shared" ref="IN110" ca="1" si="3466">($M110=IM110)*$D$13</f>
        <v>0</v>
      </c>
      <c r="IO110" s="63"/>
      <c r="IP110" s="73"/>
      <c r="IQ110" s="72">
        <f t="shared" ref="IQ110" ca="1" si="3467">($M110=IP110)*$D$13</f>
        <v>0</v>
      </c>
      <c r="IR110" s="63"/>
      <c r="IS110" s="73"/>
      <c r="IT110" s="72">
        <f t="shared" ref="IT110" ca="1" si="3468">($M110=IS110)*$D$13</f>
        <v>0</v>
      </c>
      <c r="IU110" s="63"/>
      <c r="IV110" s="73"/>
      <c r="IW110" s="72">
        <f t="shared" ref="IW110" ca="1" si="3469">($M110=IV110)*$D$13</f>
        <v>0</v>
      </c>
      <c r="IX110" s="63"/>
      <c r="IY110" s="73"/>
      <c r="IZ110" s="72">
        <f t="shared" ref="IZ110" ca="1" si="3470">($M110=IY110)*$D$13</f>
        <v>0</v>
      </c>
      <c r="JA110" s="63"/>
      <c r="JB110" s="73"/>
      <c r="JC110" s="72">
        <f t="shared" ref="JC110" ca="1" si="3471">($M110=JB110)*$D$13</f>
        <v>0</v>
      </c>
      <c r="JD110" s="63"/>
      <c r="JE110" s="73"/>
      <c r="JF110" s="72">
        <f t="shared" ref="JF110" ca="1" si="3472">($M110=JE110)*$D$13</f>
        <v>0</v>
      </c>
      <c r="JG110" s="63"/>
      <c r="JH110" s="73"/>
      <c r="JI110" s="72">
        <f t="shared" ref="JI110" ca="1" si="3473">($M110=JH110)*$D$13</f>
        <v>0</v>
      </c>
      <c r="JJ110" s="63"/>
      <c r="JK110" s="73"/>
      <c r="JL110" s="72">
        <f t="shared" ref="JL110" ca="1" si="3474">($M110=JK110)*$D$13</f>
        <v>0</v>
      </c>
      <c r="JM110" s="63"/>
      <c r="JN110" s="73"/>
      <c r="JO110" s="72">
        <f t="shared" ref="JO110" ca="1" si="3475">($M110=JN110)*$D$13</f>
        <v>0</v>
      </c>
      <c r="JP110" s="63"/>
      <c r="JQ110" s="73"/>
      <c r="JR110" s="72">
        <f t="shared" ref="JR110" ca="1" si="3476">($M110=JQ110)*$D$13</f>
        <v>0</v>
      </c>
      <c r="JS110" s="63"/>
      <c r="JT110" s="73"/>
      <c r="JU110" s="72">
        <f t="shared" ref="JU110" ca="1" si="3477">($M110=JT110)*$D$13</f>
        <v>0</v>
      </c>
      <c r="JV110" s="63"/>
      <c r="JW110" s="73"/>
      <c r="JX110" s="72">
        <f t="shared" ref="JX110" ca="1" si="3478">($M110=JW110)*$D$13</f>
        <v>0</v>
      </c>
      <c r="JY110" s="63"/>
      <c r="JZ110" s="73"/>
      <c r="KA110" s="72">
        <f t="shared" ref="KA110" ca="1" si="3479">($M110=JZ110)*$D$13</f>
        <v>0</v>
      </c>
      <c r="KB110" s="63"/>
      <c r="KC110" s="73"/>
      <c r="KD110" s="72">
        <f t="shared" ref="KD110" ca="1" si="3480">($M110=KC110)*$D$13</f>
        <v>0</v>
      </c>
      <c r="KE110" s="63"/>
      <c r="KF110" s="73"/>
      <c r="KG110" s="72">
        <f t="shared" ref="KG110" ca="1" si="3481">($M110=KF110)*$D$13</f>
        <v>0</v>
      </c>
      <c r="KH110" s="63"/>
      <c r="KI110" s="73"/>
      <c r="KJ110" s="72">
        <f t="shared" ref="KJ110" ca="1" si="3482">($M110=KI110)*$D$13</f>
        <v>0</v>
      </c>
      <c r="KK110" s="63"/>
      <c r="KL110" s="73"/>
      <c r="KM110" s="72">
        <f t="shared" ref="KM110" ca="1" si="3483">($M110=KL110)*$D$13</f>
        <v>0</v>
      </c>
      <c r="KN110" s="63"/>
      <c r="KO110" s="73"/>
      <c r="KP110" s="72">
        <f t="shared" ref="KP110" ca="1" si="3484">($M110=KO110)*$D$13</f>
        <v>0</v>
      </c>
      <c r="KQ110" s="63"/>
      <c r="KR110" s="73"/>
      <c r="KS110" s="72">
        <f t="shared" ref="KS110" ca="1" si="3485">($M110=KR110)*$D$13</f>
        <v>0</v>
      </c>
      <c r="KT110" s="63"/>
      <c r="KU110" s="73"/>
      <c r="KV110" s="72">
        <f t="shared" ref="KV110" ca="1" si="3486">($M110=KU110)*$D$13</f>
        <v>0</v>
      </c>
      <c r="KW110" s="63"/>
      <c r="KX110" s="73"/>
      <c r="KY110" s="72">
        <f t="shared" ref="KY110" ca="1" si="3487">($M110=KX110)*$D$13</f>
        <v>0</v>
      </c>
      <c r="KZ110" s="63"/>
      <c r="LA110" s="73"/>
      <c r="LB110" s="72">
        <f t="shared" ref="LB110" ca="1" si="3488">($M110=LA110)*$D$13</f>
        <v>0</v>
      </c>
      <c r="LC110" s="63"/>
      <c r="LD110" s="73"/>
      <c r="LE110" s="72">
        <f t="shared" ref="LE110" ca="1" si="3489">($M110=LD110)*$D$13</f>
        <v>0</v>
      </c>
      <c r="LF110" s="63"/>
    </row>
    <row r="111" spans="1:318" s="784" customFormat="1">
      <c r="A111" s="49"/>
      <c r="B111" s="49"/>
      <c r="C111" s="49"/>
      <c r="D111" s="49"/>
      <c r="E111" s="64"/>
      <c r="F111" s="125">
        <f t="shared" ref="F111" si="3490">$D$14</f>
        <v>20</v>
      </c>
      <c r="G111" s="443">
        <f ca="1">VLOOKUP(H111,Equipos!$Q$1:$R$25,2,0)</f>
        <v>16</v>
      </c>
      <c r="H111" s="444">
        <f ca="1">$H$68</f>
        <v>46199</v>
      </c>
      <c r="I111" s="50"/>
      <c r="J111" s="845"/>
      <c r="K111" s="56" t="str">
        <f>Idiomas!D181</f>
        <v>4º GRUPO H</v>
      </c>
      <c r="L111" s="53"/>
      <c r="M111" s="55" t="str">
        <f ca="1">IF(OR(SUM(WORLDCUP!$AN$62:$AN$65)=12,WORLDCUP!$AJ$99=144),WORLDCUP!AL65,LEFT(K111,1)&amp;RIGHT(K111,1))</f>
        <v>4H</v>
      </c>
      <c r="N111" s="25"/>
      <c r="O111" s="25"/>
      <c r="P111" s="25"/>
      <c r="Q111" s="25"/>
      <c r="R111" s="108"/>
      <c r="S111" s="796" t="s">
        <v>1552</v>
      </c>
      <c r="T111" s="72">
        <f t="shared" ref="T111" ca="1" si="3491">($M111=S111)*$D$14</f>
        <v>0</v>
      </c>
      <c r="U111" s="63"/>
      <c r="V111" s="73" t="s">
        <v>1552</v>
      </c>
      <c r="W111" s="72">
        <f t="shared" ref="W111" ca="1" si="3492">($M111=V111)*$D$14</f>
        <v>0</v>
      </c>
      <c r="X111" s="63"/>
      <c r="Y111" s="796" t="s">
        <v>1552</v>
      </c>
      <c r="Z111" s="72">
        <f t="shared" ref="Z111" ca="1" si="3493">($M111=Y111)*$D$14</f>
        <v>0</v>
      </c>
      <c r="AA111" s="63"/>
      <c r="AB111" s="796" t="s">
        <v>1552</v>
      </c>
      <c r="AC111" s="72">
        <f t="shared" ref="AC111" ca="1" si="3494">($M111=AB111)*$D$14</f>
        <v>0</v>
      </c>
      <c r="AD111" s="63"/>
      <c r="AE111" s="796" t="s">
        <v>1552</v>
      </c>
      <c r="AF111" s="72">
        <f t="shared" ref="AF111" ca="1" si="3495">($M111=AE111)*$D$14</f>
        <v>0</v>
      </c>
      <c r="AG111" s="63"/>
      <c r="AH111" s="796" t="s">
        <v>1552</v>
      </c>
      <c r="AI111" s="72">
        <f t="shared" ref="AI111" ca="1" si="3496">($M111=AH111)*$D$14</f>
        <v>0</v>
      </c>
      <c r="AJ111" s="63"/>
      <c r="AK111" s="806" t="s">
        <v>1552</v>
      </c>
      <c r="AL111" s="72">
        <f t="shared" ref="AL111" ca="1" si="3497">($M111=AK111)*$D$14</f>
        <v>0</v>
      </c>
      <c r="AM111" s="63"/>
      <c r="AN111" s="796" t="s">
        <v>1552</v>
      </c>
      <c r="AO111" s="72">
        <f t="shared" ref="AO111" ca="1" si="3498">($M111=AN111)*$D$14</f>
        <v>0</v>
      </c>
      <c r="AP111" s="63"/>
      <c r="AQ111" s="806" t="s">
        <v>1552</v>
      </c>
      <c r="AR111" s="72">
        <f t="shared" ref="AR111" ca="1" si="3499">($M111=AQ111)*$D$14</f>
        <v>0</v>
      </c>
      <c r="AS111" s="63"/>
      <c r="AT111" s="796" t="s">
        <v>1552</v>
      </c>
      <c r="AU111" s="72">
        <f t="shared" ref="AU111" ca="1" si="3500">($M111=AT111)*$D$14</f>
        <v>0</v>
      </c>
      <c r="AV111" s="63"/>
      <c r="AW111" s="796" t="s">
        <v>1552</v>
      </c>
      <c r="AX111" s="72">
        <f t="shared" ref="AX111" ca="1" si="3501">($M111=AW111)*$D$14</f>
        <v>0</v>
      </c>
      <c r="AY111" s="63"/>
      <c r="AZ111" s="796" t="s">
        <v>38</v>
      </c>
      <c r="BA111" s="72">
        <f t="shared" ref="BA111" ca="1" si="3502">($M111=AZ111)*$D$14</f>
        <v>0</v>
      </c>
      <c r="BB111" s="63"/>
      <c r="BC111" s="796" t="s">
        <v>1552</v>
      </c>
      <c r="BD111" s="72">
        <f t="shared" ref="BD111" ca="1" si="3503">($M111=BC111)*$D$14</f>
        <v>0</v>
      </c>
      <c r="BE111" s="63"/>
      <c r="BF111" s="796" t="s">
        <v>1552</v>
      </c>
      <c r="BG111" s="72">
        <f t="shared" ref="BG111" ca="1" si="3504">($M111=BF111)*$D$14</f>
        <v>0</v>
      </c>
      <c r="BH111" s="63"/>
      <c r="BI111" s="796" t="s">
        <v>1552</v>
      </c>
      <c r="BJ111" s="72">
        <f t="shared" ref="BJ111" ca="1" si="3505">($M111=BI111)*$D$14</f>
        <v>0</v>
      </c>
      <c r="BK111" s="63"/>
      <c r="BL111" s="796" t="s">
        <v>1632</v>
      </c>
      <c r="BM111" s="72">
        <f t="shared" ref="BM111" ca="1" si="3506">($M111=BL111)*$D$14</f>
        <v>0</v>
      </c>
      <c r="BN111" s="63"/>
      <c r="BO111" s="816" t="s">
        <v>1552</v>
      </c>
      <c r="BP111" s="72">
        <f t="shared" ref="BP111" ca="1" si="3507">($M111=BO111)*$D$14</f>
        <v>0</v>
      </c>
      <c r="BQ111" s="63"/>
      <c r="BR111" s="796" t="s">
        <v>1552</v>
      </c>
      <c r="BS111" s="72">
        <f t="shared" ref="BS111" ca="1" si="3508">($M111=BR111)*$D$14</f>
        <v>0</v>
      </c>
      <c r="BT111" s="63"/>
      <c r="BU111" s="796" t="s">
        <v>1552</v>
      </c>
      <c r="BV111" s="72">
        <f t="shared" ref="BV111" ca="1" si="3509">($M111=BU111)*$D$14</f>
        <v>0</v>
      </c>
      <c r="BW111" s="63"/>
      <c r="BX111" s="73" t="s">
        <v>1552</v>
      </c>
      <c r="BY111" s="72">
        <f t="shared" ref="BY111" ca="1" si="3510">($M111=BX111)*$D$14</f>
        <v>0</v>
      </c>
      <c r="BZ111" s="63"/>
      <c r="CA111" s="816" t="s">
        <v>1552</v>
      </c>
      <c r="CB111" s="72">
        <f t="shared" ref="CB111" ca="1" si="3511">($M111=CA111)*$D$14</f>
        <v>0</v>
      </c>
      <c r="CC111" s="63"/>
      <c r="CD111" s="825" t="s">
        <v>1552</v>
      </c>
      <c r="CE111" s="72">
        <f t="shared" ref="CE111" ca="1" si="3512">($M111=CD111)*$D$14</f>
        <v>0</v>
      </c>
      <c r="CF111" s="63"/>
      <c r="CG111" s="796" t="s">
        <v>1552</v>
      </c>
      <c r="CH111" s="72">
        <f t="shared" ref="CH111" ca="1" si="3513">($M111=CG111)*$D$14</f>
        <v>0</v>
      </c>
      <c r="CI111" s="63"/>
      <c r="CJ111" s="796" t="s">
        <v>1552</v>
      </c>
      <c r="CK111" s="72">
        <f t="shared" ref="CK111" ca="1" si="3514">($M111=CJ111)*$D$14</f>
        <v>0</v>
      </c>
      <c r="CL111" s="63"/>
      <c r="CM111" s="796" t="s">
        <v>1552</v>
      </c>
      <c r="CN111" s="72">
        <f t="shared" ref="CN111" ca="1" si="3515">($M111=CM111)*$D$14</f>
        <v>0</v>
      </c>
      <c r="CO111" s="63"/>
      <c r="CP111" s="796" t="s">
        <v>1552</v>
      </c>
      <c r="CQ111" s="72">
        <f t="shared" ref="CQ111" ca="1" si="3516">($M111=CP111)*$D$14</f>
        <v>0</v>
      </c>
      <c r="CR111" s="63"/>
      <c r="CS111" s="796" t="s">
        <v>1632</v>
      </c>
      <c r="CT111" s="72">
        <f t="shared" ref="CT111" ca="1" si="3517">($M111=CS111)*$D$14</f>
        <v>0</v>
      </c>
      <c r="CU111" s="63"/>
      <c r="CV111" s="796" t="s">
        <v>1552</v>
      </c>
      <c r="CW111" s="72">
        <f t="shared" ref="CW111" ca="1" si="3518">($M111=CV111)*$D$14</f>
        <v>0</v>
      </c>
      <c r="CX111" s="63"/>
      <c r="CY111" s="796" t="s">
        <v>1552</v>
      </c>
      <c r="CZ111" s="72">
        <f t="shared" ref="CZ111" ca="1" si="3519">($M111=CY111)*$D$14</f>
        <v>0</v>
      </c>
      <c r="DA111" s="63"/>
      <c r="DB111" s="796" t="s">
        <v>1552</v>
      </c>
      <c r="DC111" s="72">
        <f t="shared" ref="DC111" ca="1" si="3520">($M111=DB111)*$D$14</f>
        <v>0</v>
      </c>
      <c r="DD111" s="63"/>
      <c r="DE111" s="796" t="s">
        <v>1632</v>
      </c>
      <c r="DF111" s="72">
        <f ca="1">($M111=DE111)*$D$14</f>
        <v>0</v>
      </c>
      <c r="DG111" s="63"/>
      <c r="DH111" s="796" t="s">
        <v>1552</v>
      </c>
      <c r="DI111" s="72">
        <f ca="1">($M111=DH111)*$D$14</f>
        <v>0</v>
      </c>
      <c r="DJ111" s="63"/>
      <c r="DK111" s="796" t="s">
        <v>1552</v>
      </c>
      <c r="DL111" s="72">
        <f ca="1">($M111=DK111)*$D$14</f>
        <v>0</v>
      </c>
      <c r="DM111" s="63"/>
      <c r="DN111" s="73"/>
      <c r="DO111" s="72">
        <f t="shared" ref="DO111" ca="1" si="3521">($M111=DN111)*$D$14</f>
        <v>0</v>
      </c>
      <c r="DP111" s="63"/>
      <c r="DQ111" s="796" t="s">
        <v>1552</v>
      </c>
      <c r="DR111" s="72">
        <f t="shared" ref="DR111" ca="1" si="3522">($M111=DQ111)*$D$14</f>
        <v>0</v>
      </c>
      <c r="DS111" s="63"/>
      <c r="DT111" s="73" t="s">
        <v>1552</v>
      </c>
      <c r="DU111" s="72">
        <f t="shared" ref="DU111" ca="1" si="3523">($M111=DT111)*$D$14</f>
        <v>0</v>
      </c>
      <c r="DV111" s="63"/>
      <c r="DW111" s="73"/>
      <c r="DX111" s="72">
        <f t="shared" ref="DX111" ca="1" si="3524">($M111=DW111)*$D$14</f>
        <v>0</v>
      </c>
      <c r="DY111" s="63"/>
      <c r="DZ111" s="73"/>
      <c r="EA111" s="72">
        <f ca="1">($M111=DZ111)*$D$14</f>
        <v>0</v>
      </c>
      <c r="EB111" s="63"/>
      <c r="EC111" s="73"/>
      <c r="ED111" s="72">
        <f t="shared" ref="ED111" ca="1" si="3525">($M111=EC111)*$D$14</f>
        <v>0</v>
      </c>
      <c r="EE111" s="63"/>
      <c r="EF111" s="73"/>
      <c r="EG111" s="72">
        <f t="shared" ref="EG111" ca="1" si="3526">($M111=EF111)*$D$14</f>
        <v>0</v>
      </c>
      <c r="EH111" s="63"/>
      <c r="EI111" s="73"/>
      <c r="EJ111" s="72">
        <f t="shared" ref="EJ111" ca="1" si="3527">($M111=EI111)*$D$14</f>
        <v>0</v>
      </c>
      <c r="EK111" s="63"/>
      <c r="EL111" s="73"/>
      <c r="EM111" s="72">
        <f t="shared" ref="EM111" ca="1" si="3528">($M111=EL111)*$D$14</f>
        <v>0</v>
      </c>
      <c r="EN111" s="63"/>
      <c r="EO111" s="73"/>
      <c r="EP111" s="72">
        <f t="shared" ref="EP111" ca="1" si="3529">($M111=EO111)*$D$14</f>
        <v>0</v>
      </c>
      <c r="EQ111" s="63"/>
      <c r="ER111" s="73"/>
      <c r="ES111" s="72">
        <f t="shared" ref="ES111" ca="1" si="3530">($M111=ER111)*$D$14</f>
        <v>0</v>
      </c>
      <c r="ET111" s="63"/>
      <c r="EU111" s="73"/>
      <c r="EV111" s="72">
        <f t="shared" ref="EV111" ca="1" si="3531">($M111=EU111)*$D$14</f>
        <v>0</v>
      </c>
      <c r="EW111" s="63"/>
      <c r="EX111" s="73"/>
      <c r="EY111" s="72">
        <f t="shared" ref="EY111" ca="1" si="3532">($M111=EX111)*$D$14</f>
        <v>0</v>
      </c>
      <c r="EZ111" s="63"/>
      <c r="FA111" s="73"/>
      <c r="FB111" s="72">
        <f t="shared" ref="FB111" ca="1" si="3533">($M111=FA111)*$D$14</f>
        <v>0</v>
      </c>
      <c r="FC111" s="63"/>
      <c r="FD111" s="73"/>
      <c r="FE111" s="72">
        <f t="shared" ref="FE111" ca="1" si="3534">($M111=FD111)*$D$14</f>
        <v>0</v>
      </c>
      <c r="FF111" s="63"/>
      <c r="FG111" s="73"/>
      <c r="FH111" s="72">
        <f t="shared" ref="FH111" ca="1" si="3535">($M111=FG111)*$D$14</f>
        <v>0</v>
      </c>
      <c r="FI111" s="63"/>
      <c r="FJ111" s="73"/>
      <c r="FK111" s="72">
        <f t="shared" ref="FK111" ca="1" si="3536">($M111=FJ111)*$D$14</f>
        <v>0</v>
      </c>
      <c r="FL111" s="63"/>
      <c r="FM111" s="73"/>
      <c r="FN111" s="72">
        <f t="shared" ref="FN111" ca="1" si="3537">($M111=FM111)*$D$14</f>
        <v>0</v>
      </c>
      <c r="FO111" s="63"/>
      <c r="FP111" s="73"/>
      <c r="FQ111" s="72">
        <f t="shared" ref="FQ111" ca="1" si="3538">($M111=FP111)*$D$14</f>
        <v>0</v>
      </c>
      <c r="FR111" s="63"/>
      <c r="FS111" s="73"/>
      <c r="FT111" s="72">
        <f t="shared" ref="FT111" ca="1" si="3539">($M111=FS111)*$D$14</f>
        <v>0</v>
      </c>
      <c r="FU111" s="63"/>
      <c r="FV111" s="73"/>
      <c r="FW111" s="72">
        <f t="shared" ref="FW111" ca="1" si="3540">($M111=FV111)*$D$14</f>
        <v>0</v>
      </c>
      <c r="FX111" s="63"/>
      <c r="FY111" s="73"/>
      <c r="FZ111" s="72">
        <f t="shared" ref="FZ111" ca="1" si="3541">($M111=FY111)*$D$14</f>
        <v>0</v>
      </c>
      <c r="GA111" s="63"/>
      <c r="GB111" s="73"/>
      <c r="GC111" s="72">
        <f t="shared" ref="GC111" ca="1" si="3542">($M111=GB111)*$D$14</f>
        <v>0</v>
      </c>
      <c r="GD111" s="63"/>
      <c r="GE111" s="73"/>
      <c r="GF111" s="72">
        <f t="shared" ref="GF111" ca="1" si="3543">($M111=GE111)*$D$14</f>
        <v>0</v>
      </c>
      <c r="GG111" s="63"/>
      <c r="GH111" s="73"/>
      <c r="GI111" s="72">
        <f t="shared" ref="GI111" ca="1" si="3544">($M111=GH111)*$D$14</f>
        <v>0</v>
      </c>
      <c r="GJ111" s="63"/>
      <c r="GK111" s="73"/>
      <c r="GL111" s="72">
        <f t="shared" ref="GL111" ca="1" si="3545">($M111=GK111)*$D$14</f>
        <v>0</v>
      </c>
      <c r="GM111" s="63"/>
      <c r="GN111" s="73"/>
      <c r="GO111" s="72">
        <f t="shared" ref="GO111" ca="1" si="3546">($M111=GN111)*$D$14</f>
        <v>0</v>
      </c>
      <c r="GP111" s="63"/>
      <c r="GQ111" s="73"/>
      <c r="GR111" s="72">
        <f t="shared" ref="GR111" ca="1" si="3547">($M111=GQ111)*$D$14</f>
        <v>0</v>
      </c>
      <c r="GS111" s="63"/>
      <c r="GT111" s="73"/>
      <c r="GU111" s="72">
        <f t="shared" ref="GU111" ca="1" si="3548">($M111=GT111)*$D$14</f>
        <v>0</v>
      </c>
      <c r="GV111" s="63"/>
      <c r="GW111" s="73"/>
      <c r="GX111" s="72">
        <f t="shared" ref="GX111" ca="1" si="3549">($M111=GW111)*$D$14</f>
        <v>0</v>
      </c>
      <c r="GY111" s="63"/>
      <c r="GZ111" s="73"/>
      <c r="HA111" s="72">
        <f t="shared" ref="HA111" ca="1" si="3550">($M111=GZ111)*$D$14</f>
        <v>0</v>
      </c>
      <c r="HB111" s="63"/>
      <c r="HC111" s="73"/>
      <c r="HD111" s="72">
        <f t="shared" ref="HD111" ca="1" si="3551">($M111=HC111)*$D$14</f>
        <v>0</v>
      </c>
      <c r="HE111" s="63"/>
      <c r="HF111" s="73"/>
      <c r="HG111" s="72">
        <f t="shared" ref="HG111" ca="1" si="3552">($M111=HF111)*$D$14</f>
        <v>0</v>
      </c>
      <c r="HH111" s="63"/>
      <c r="HI111" s="73"/>
      <c r="HJ111" s="72">
        <f t="shared" ref="HJ111" ca="1" si="3553">($M111=HI111)*$D$14</f>
        <v>0</v>
      </c>
      <c r="HK111" s="63"/>
      <c r="HL111" s="73"/>
      <c r="HM111" s="72">
        <f t="shared" ref="HM111" ca="1" si="3554">($M111=HL111)*$D$14</f>
        <v>0</v>
      </c>
      <c r="HN111" s="63"/>
      <c r="HO111" s="73"/>
      <c r="HP111" s="72">
        <f t="shared" ref="HP111" ca="1" si="3555">($M111=HO111)*$D$14</f>
        <v>0</v>
      </c>
      <c r="HQ111" s="63"/>
      <c r="HR111" s="73"/>
      <c r="HS111" s="72">
        <f t="shared" ref="HS111" ca="1" si="3556">($M111=HR111)*$D$14</f>
        <v>0</v>
      </c>
      <c r="HT111" s="63"/>
      <c r="HU111" s="73"/>
      <c r="HV111" s="72">
        <f t="shared" ref="HV111" ca="1" si="3557">($M111=HU111)*$D$14</f>
        <v>0</v>
      </c>
      <c r="HW111" s="63"/>
      <c r="HX111" s="73"/>
      <c r="HY111" s="72">
        <f t="shared" ref="HY111" ca="1" si="3558">($M111=HX111)*$D$14</f>
        <v>0</v>
      </c>
      <c r="HZ111" s="63"/>
      <c r="IA111" s="73"/>
      <c r="IB111" s="72">
        <f t="shared" ref="IB111" ca="1" si="3559">($M111=IA111)*$D$14</f>
        <v>0</v>
      </c>
      <c r="IC111" s="63"/>
      <c r="ID111" s="73"/>
      <c r="IE111" s="72">
        <f t="shared" ref="IE111" ca="1" si="3560">($M111=ID111)*$D$14</f>
        <v>0</v>
      </c>
      <c r="IF111" s="63"/>
      <c r="IG111" s="73"/>
      <c r="IH111" s="72">
        <f t="shared" ref="IH111" ca="1" si="3561">($M111=IG111)*$D$14</f>
        <v>0</v>
      </c>
      <c r="II111" s="63"/>
      <c r="IJ111" s="73"/>
      <c r="IK111" s="72">
        <f t="shared" ref="IK111" ca="1" si="3562">($M111=IJ111)*$D$14</f>
        <v>0</v>
      </c>
      <c r="IL111" s="63"/>
      <c r="IM111" s="73"/>
      <c r="IN111" s="72">
        <f t="shared" ref="IN111" ca="1" si="3563">($M111=IM111)*$D$14</f>
        <v>0</v>
      </c>
      <c r="IO111" s="63"/>
      <c r="IP111" s="73"/>
      <c r="IQ111" s="72">
        <f t="shared" ref="IQ111" ca="1" si="3564">($M111=IP111)*$D$14</f>
        <v>0</v>
      </c>
      <c r="IR111" s="63"/>
      <c r="IS111" s="73"/>
      <c r="IT111" s="72">
        <f t="shared" ref="IT111" ca="1" si="3565">($M111=IS111)*$D$14</f>
        <v>0</v>
      </c>
      <c r="IU111" s="63"/>
      <c r="IV111" s="73"/>
      <c r="IW111" s="72">
        <f t="shared" ref="IW111" ca="1" si="3566">($M111=IV111)*$D$14</f>
        <v>0</v>
      </c>
      <c r="IX111" s="63"/>
      <c r="IY111" s="73"/>
      <c r="IZ111" s="72">
        <f t="shared" ref="IZ111" ca="1" si="3567">($M111=IY111)*$D$14</f>
        <v>0</v>
      </c>
      <c r="JA111" s="63"/>
      <c r="JB111" s="73"/>
      <c r="JC111" s="72">
        <f t="shared" ref="JC111" ca="1" si="3568">($M111=JB111)*$D$14</f>
        <v>0</v>
      </c>
      <c r="JD111" s="63"/>
      <c r="JE111" s="73"/>
      <c r="JF111" s="72">
        <f t="shared" ref="JF111" ca="1" si="3569">($M111=JE111)*$D$14</f>
        <v>0</v>
      </c>
      <c r="JG111" s="63"/>
      <c r="JH111" s="73"/>
      <c r="JI111" s="72">
        <f t="shared" ref="JI111" ca="1" si="3570">($M111=JH111)*$D$14</f>
        <v>0</v>
      </c>
      <c r="JJ111" s="63"/>
      <c r="JK111" s="73"/>
      <c r="JL111" s="72">
        <f t="shared" ref="JL111" ca="1" si="3571">($M111=JK111)*$D$14</f>
        <v>0</v>
      </c>
      <c r="JM111" s="63"/>
      <c r="JN111" s="73"/>
      <c r="JO111" s="72">
        <f t="shared" ref="JO111" ca="1" si="3572">($M111=JN111)*$D$14</f>
        <v>0</v>
      </c>
      <c r="JP111" s="63"/>
      <c r="JQ111" s="73"/>
      <c r="JR111" s="72">
        <f t="shared" ref="JR111" ca="1" si="3573">($M111=JQ111)*$D$14</f>
        <v>0</v>
      </c>
      <c r="JS111" s="63"/>
      <c r="JT111" s="73"/>
      <c r="JU111" s="72">
        <f t="shared" ref="JU111" ca="1" si="3574">($M111=JT111)*$D$14</f>
        <v>0</v>
      </c>
      <c r="JV111" s="63"/>
      <c r="JW111" s="73"/>
      <c r="JX111" s="72">
        <f t="shared" ref="JX111" ca="1" si="3575">($M111=JW111)*$D$14</f>
        <v>0</v>
      </c>
      <c r="JY111" s="63"/>
      <c r="JZ111" s="73"/>
      <c r="KA111" s="72">
        <f t="shared" ref="KA111" ca="1" si="3576">($M111=JZ111)*$D$14</f>
        <v>0</v>
      </c>
      <c r="KB111" s="63"/>
      <c r="KC111" s="73"/>
      <c r="KD111" s="72">
        <f t="shared" ref="KD111" ca="1" si="3577">($M111=KC111)*$D$14</f>
        <v>0</v>
      </c>
      <c r="KE111" s="63"/>
      <c r="KF111" s="73"/>
      <c r="KG111" s="72">
        <f t="shared" ref="KG111" ca="1" si="3578">($M111=KF111)*$D$14</f>
        <v>0</v>
      </c>
      <c r="KH111" s="63"/>
      <c r="KI111" s="73"/>
      <c r="KJ111" s="72">
        <f t="shared" ref="KJ111" ca="1" si="3579">($M111=KI111)*$D$14</f>
        <v>0</v>
      </c>
      <c r="KK111" s="63"/>
      <c r="KL111" s="73"/>
      <c r="KM111" s="72">
        <f t="shared" ref="KM111" ca="1" si="3580">($M111=KL111)*$D$14</f>
        <v>0</v>
      </c>
      <c r="KN111" s="63"/>
      <c r="KO111" s="73"/>
      <c r="KP111" s="72">
        <f t="shared" ref="KP111" ca="1" si="3581">($M111=KO111)*$D$14</f>
        <v>0</v>
      </c>
      <c r="KQ111" s="63"/>
      <c r="KR111" s="73"/>
      <c r="KS111" s="72">
        <f t="shared" ref="KS111" ca="1" si="3582">($M111=KR111)*$D$14</f>
        <v>0</v>
      </c>
      <c r="KT111" s="63"/>
      <c r="KU111" s="73"/>
      <c r="KV111" s="72">
        <f t="shared" ref="KV111" ca="1" si="3583">($M111=KU111)*$D$14</f>
        <v>0</v>
      </c>
      <c r="KW111" s="63"/>
      <c r="KX111" s="73"/>
      <c r="KY111" s="72">
        <f t="shared" ref="KY111" ca="1" si="3584">($M111=KX111)*$D$14</f>
        <v>0</v>
      </c>
      <c r="KZ111" s="63"/>
      <c r="LA111" s="73"/>
      <c r="LB111" s="72">
        <f t="shared" ref="LB111" ca="1" si="3585">($M111=LA111)*$D$14</f>
        <v>0</v>
      </c>
      <c r="LC111" s="63"/>
      <c r="LD111" s="73"/>
      <c r="LE111" s="72">
        <f t="shared" ref="LE111" ca="1" si="3586">($M111=LD111)*$D$14</f>
        <v>0</v>
      </c>
      <c r="LF111" s="63"/>
    </row>
    <row r="112" spans="1:318" s="784" customFormat="1">
      <c r="A112" s="49"/>
      <c r="B112" s="49"/>
      <c r="C112" s="49"/>
      <c r="D112" s="49"/>
      <c r="E112" s="64"/>
      <c r="F112" s="125">
        <f t="shared" ref="F112" si="3587">$D$11</f>
        <v>20</v>
      </c>
      <c r="G112" s="443">
        <f ca="1">VLOOKUP(H112,Equipos!$Q$1:$R$25,2,0)</f>
        <v>16</v>
      </c>
      <c r="H112" s="444">
        <f ca="1">$H$70</f>
        <v>46199</v>
      </c>
      <c r="I112" s="50"/>
      <c r="J112" s="846" t="s">
        <v>438</v>
      </c>
      <c r="K112" s="56" t="str">
        <f>Idiomas!D182</f>
        <v>1º GRUPO I</v>
      </c>
      <c r="L112" s="53"/>
      <c r="M112" s="55" t="str">
        <f ca="1">IF(OR(SUM(WORLDCUP!$AN$70:$AN$73)=12,WORLDCUP!$AJ$99=144),WORLDCUP!AL70,LEFT(K112,1)&amp;RIGHT(K112,1))</f>
        <v>1I</v>
      </c>
      <c r="N112" s="25"/>
      <c r="O112" s="25"/>
      <c r="P112" s="25"/>
      <c r="Q112" s="25"/>
      <c r="R112" s="108"/>
      <c r="S112" s="796" t="s">
        <v>74</v>
      </c>
      <c r="T112" s="72">
        <f t="shared" ref="T112" ca="1" si="3588">($M112=S112)*$D$11</f>
        <v>0</v>
      </c>
      <c r="U112" s="63"/>
      <c r="V112" s="73" t="s">
        <v>74</v>
      </c>
      <c r="W112" s="72">
        <f t="shared" ref="W112" ca="1" si="3589">($M112=V112)*$D$11</f>
        <v>0</v>
      </c>
      <c r="X112" s="63"/>
      <c r="Y112" s="796" t="s">
        <v>74</v>
      </c>
      <c r="Z112" s="72">
        <f t="shared" ref="Z112" ca="1" si="3590">($M112=Y112)*$D$11</f>
        <v>0</v>
      </c>
      <c r="AA112" s="63"/>
      <c r="AB112" s="796" t="s">
        <v>74</v>
      </c>
      <c r="AC112" s="72">
        <f t="shared" ref="AC112" ca="1" si="3591">($M112=AB112)*$D$11</f>
        <v>0</v>
      </c>
      <c r="AD112" s="63"/>
      <c r="AE112" s="796" t="s">
        <v>74</v>
      </c>
      <c r="AF112" s="72">
        <f t="shared" ref="AF112" ca="1" si="3592">($M112=AE112)*$D$11</f>
        <v>0</v>
      </c>
      <c r="AG112" s="63"/>
      <c r="AH112" s="796" t="s">
        <v>135</v>
      </c>
      <c r="AI112" s="72">
        <f t="shared" ref="AI112" ca="1" si="3593">($M112=AH112)*$D$11</f>
        <v>0</v>
      </c>
      <c r="AJ112" s="63"/>
      <c r="AK112" s="806" t="s">
        <v>74</v>
      </c>
      <c r="AL112" s="72">
        <f t="shared" ref="AL112" ca="1" si="3594">($M112=AK112)*$D$11</f>
        <v>0</v>
      </c>
      <c r="AM112" s="63"/>
      <c r="AN112" s="796" t="s">
        <v>74</v>
      </c>
      <c r="AO112" s="72">
        <f t="shared" ref="AO112" ca="1" si="3595">($M112=AN112)*$D$11</f>
        <v>0</v>
      </c>
      <c r="AP112" s="63"/>
      <c r="AQ112" s="806" t="s">
        <v>74</v>
      </c>
      <c r="AR112" s="72">
        <f t="shared" ref="AR112" ca="1" si="3596">($M112=AQ112)*$D$11</f>
        <v>0</v>
      </c>
      <c r="AS112" s="63"/>
      <c r="AT112" s="796" t="s">
        <v>1634</v>
      </c>
      <c r="AU112" s="72">
        <f t="shared" ref="AU112" ca="1" si="3597">($M112=AT112)*$D$11</f>
        <v>0</v>
      </c>
      <c r="AV112" s="63"/>
      <c r="AW112" s="796" t="s">
        <v>74</v>
      </c>
      <c r="AX112" s="72">
        <f t="shared" ref="AX112" ca="1" si="3598">($M112=AW112)*$D$11</f>
        <v>0</v>
      </c>
      <c r="AY112" s="63"/>
      <c r="AZ112" s="796" t="s">
        <v>1757</v>
      </c>
      <c r="BA112" s="72">
        <f t="shared" ref="BA112" ca="1" si="3599">($M112=AZ112)*$D$11</f>
        <v>0</v>
      </c>
      <c r="BB112" s="63"/>
      <c r="BC112" s="796" t="s">
        <v>74</v>
      </c>
      <c r="BD112" s="72">
        <f t="shared" ref="BD112" ca="1" si="3600">($M112=BC112)*$D$11</f>
        <v>0</v>
      </c>
      <c r="BE112" s="63"/>
      <c r="BF112" s="796" t="s">
        <v>135</v>
      </c>
      <c r="BG112" s="72">
        <f t="shared" ref="BG112" ca="1" si="3601">($M112=BF112)*$D$11</f>
        <v>0</v>
      </c>
      <c r="BH112" s="63"/>
      <c r="BI112" s="796" t="s">
        <v>74</v>
      </c>
      <c r="BJ112" s="72">
        <f t="shared" ref="BJ112" ca="1" si="3602">($M112=BI112)*$D$11</f>
        <v>0</v>
      </c>
      <c r="BK112" s="63"/>
      <c r="BL112" s="796" t="s">
        <v>135</v>
      </c>
      <c r="BM112" s="72">
        <f t="shared" ref="BM112" ca="1" si="3603">($M112=BL112)*$D$11</f>
        <v>0</v>
      </c>
      <c r="BN112" s="63"/>
      <c r="BO112" s="816" t="s">
        <v>74</v>
      </c>
      <c r="BP112" s="72">
        <f t="shared" ref="BP112" ca="1" si="3604">($M112=BO112)*$D$11</f>
        <v>0</v>
      </c>
      <c r="BQ112" s="63"/>
      <c r="BR112" s="796" t="s">
        <v>135</v>
      </c>
      <c r="BS112" s="72">
        <f t="shared" ref="BS112" ca="1" si="3605">($M112=BR112)*$D$11</f>
        <v>0</v>
      </c>
      <c r="BT112" s="63"/>
      <c r="BU112" s="796" t="s">
        <v>74</v>
      </c>
      <c r="BV112" s="72">
        <f t="shared" ref="BV112" ca="1" si="3606">($M112=BU112)*$D$11</f>
        <v>0</v>
      </c>
      <c r="BW112" s="63"/>
      <c r="BX112" s="73" t="s">
        <v>74</v>
      </c>
      <c r="BY112" s="72">
        <f t="shared" ref="BY112" ca="1" si="3607">($M112=BX112)*$D$11</f>
        <v>0</v>
      </c>
      <c r="BZ112" s="63"/>
      <c r="CA112" s="816" t="s">
        <v>74</v>
      </c>
      <c r="CB112" s="72">
        <f t="shared" ref="CB112" ca="1" si="3608">($M112=CA112)*$D$11</f>
        <v>0</v>
      </c>
      <c r="CC112" s="63"/>
      <c r="CD112" s="825" t="s">
        <v>74</v>
      </c>
      <c r="CE112" s="72">
        <f t="shared" ref="CE112" ca="1" si="3609">($M112=CD112)*$D$11</f>
        <v>0</v>
      </c>
      <c r="CF112" s="63"/>
      <c r="CG112" s="796" t="s">
        <v>135</v>
      </c>
      <c r="CH112" s="72">
        <f t="shared" ref="CH112" ca="1" si="3610">($M112=CG112)*$D$11</f>
        <v>0</v>
      </c>
      <c r="CI112" s="63"/>
      <c r="CJ112" s="796" t="s">
        <v>74</v>
      </c>
      <c r="CK112" s="72">
        <f t="shared" ref="CK112" ca="1" si="3611">($M112=CJ112)*$D$11</f>
        <v>0</v>
      </c>
      <c r="CL112" s="63"/>
      <c r="CM112" s="796" t="s">
        <v>74</v>
      </c>
      <c r="CN112" s="72">
        <f t="shared" ref="CN112" ca="1" si="3612">($M112=CM112)*$D$11</f>
        <v>0</v>
      </c>
      <c r="CO112" s="63"/>
      <c r="CP112" s="796" t="s">
        <v>74</v>
      </c>
      <c r="CQ112" s="72">
        <f t="shared" ref="CQ112" ca="1" si="3613">($M112=CP112)*$D$11</f>
        <v>0</v>
      </c>
      <c r="CR112" s="63"/>
      <c r="CS112" s="796" t="s">
        <v>74</v>
      </c>
      <c r="CT112" s="72">
        <f t="shared" ref="CT112" ca="1" si="3614">($M112=CS112)*$D$11</f>
        <v>0</v>
      </c>
      <c r="CU112" s="63"/>
      <c r="CV112" s="796" t="s">
        <v>74</v>
      </c>
      <c r="CW112" s="72">
        <f t="shared" ref="CW112" ca="1" si="3615">($M112=CV112)*$D$11</f>
        <v>0</v>
      </c>
      <c r="CX112" s="63"/>
      <c r="CY112" s="796" t="s">
        <v>74</v>
      </c>
      <c r="CZ112" s="72">
        <f t="shared" ref="CZ112" ca="1" si="3616">($M112=CY112)*$D$11</f>
        <v>0</v>
      </c>
      <c r="DA112" s="63"/>
      <c r="DB112" s="796" t="s">
        <v>74</v>
      </c>
      <c r="DC112" s="72">
        <f t="shared" ref="DC112" ca="1" si="3617">($M112=DB112)*$D$11</f>
        <v>0</v>
      </c>
      <c r="DD112" s="63"/>
      <c r="DE112" s="796" t="s">
        <v>74</v>
      </c>
      <c r="DF112" s="72">
        <f ca="1">($M112=DE112)*$D$11</f>
        <v>0</v>
      </c>
      <c r="DG112" s="63"/>
      <c r="DH112" s="796" t="s">
        <v>74</v>
      </c>
      <c r="DI112" s="72">
        <f ca="1">($M112=DH112)*$D$11</f>
        <v>0</v>
      </c>
      <c r="DJ112" s="63"/>
      <c r="DK112" s="796" t="s">
        <v>74</v>
      </c>
      <c r="DL112" s="72">
        <f ca="1">($M112=DK112)*$D$11</f>
        <v>0</v>
      </c>
      <c r="DM112" s="63"/>
      <c r="DN112" s="73"/>
      <c r="DO112" s="72">
        <f t="shared" ref="DO112" ca="1" si="3618">($M112=DN112)*$D$11</f>
        <v>0</v>
      </c>
      <c r="DP112" s="63"/>
      <c r="DQ112" s="796" t="s">
        <v>74</v>
      </c>
      <c r="DR112" s="72">
        <f t="shared" ref="DR112" ca="1" si="3619">($M112=DQ112)*$D$11</f>
        <v>0</v>
      </c>
      <c r="DS112" s="63"/>
      <c r="DT112" s="73" t="s">
        <v>74</v>
      </c>
      <c r="DU112" s="72">
        <f t="shared" ref="DU112" ca="1" si="3620">($M112=DT112)*$D$11</f>
        <v>0</v>
      </c>
      <c r="DV112" s="63"/>
      <c r="DW112" s="73"/>
      <c r="DX112" s="72">
        <f t="shared" ref="DX112" ca="1" si="3621">($M112=DW112)*$D$11</f>
        <v>0</v>
      </c>
      <c r="DY112" s="63"/>
      <c r="DZ112" s="73"/>
      <c r="EA112" s="72">
        <f ca="1">($M112=DZ112)*$D$11</f>
        <v>0</v>
      </c>
      <c r="EB112" s="63"/>
      <c r="EC112" s="73"/>
      <c r="ED112" s="72">
        <f t="shared" ref="ED112" ca="1" si="3622">($M112=EC112)*$D$11</f>
        <v>0</v>
      </c>
      <c r="EE112" s="63"/>
      <c r="EF112" s="73"/>
      <c r="EG112" s="72">
        <f t="shared" ref="EG112" ca="1" si="3623">($M112=EF112)*$D$11</f>
        <v>0</v>
      </c>
      <c r="EH112" s="63"/>
      <c r="EI112" s="73"/>
      <c r="EJ112" s="72">
        <f t="shared" ref="EJ112" ca="1" si="3624">($M112=EI112)*$D$11</f>
        <v>0</v>
      </c>
      <c r="EK112" s="63"/>
      <c r="EL112" s="73"/>
      <c r="EM112" s="72">
        <f t="shared" ref="EM112" ca="1" si="3625">($M112=EL112)*$D$11</f>
        <v>0</v>
      </c>
      <c r="EN112" s="63"/>
      <c r="EO112" s="73"/>
      <c r="EP112" s="72">
        <f t="shared" ref="EP112" ca="1" si="3626">($M112=EO112)*$D$11</f>
        <v>0</v>
      </c>
      <c r="EQ112" s="63"/>
      <c r="ER112" s="73"/>
      <c r="ES112" s="72">
        <f t="shared" ref="ES112" ca="1" si="3627">($M112=ER112)*$D$11</f>
        <v>0</v>
      </c>
      <c r="ET112" s="63"/>
      <c r="EU112" s="73"/>
      <c r="EV112" s="72">
        <f t="shared" ref="EV112" ca="1" si="3628">($M112=EU112)*$D$11</f>
        <v>0</v>
      </c>
      <c r="EW112" s="63"/>
      <c r="EX112" s="73"/>
      <c r="EY112" s="72">
        <f t="shared" ref="EY112" ca="1" si="3629">($M112=EX112)*$D$11</f>
        <v>0</v>
      </c>
      <c r="EZ112" s="63"/>
      <c r="FA112" s="73"/>
      <c r="FB112" s="72">
        <f t="shared" ref="FB112" ca="1" si="3630">($M112=FA112)*$D$11</f>
        <v>0</v>
      </c>
      <c r="FC112" s="63"/>
      <c r="FD112" s="73"/>
      <c r="FE112" s="72">
        <f t="shared" ref="FE112" ca="1" si="3631">($M112=FD112)*$D$11</f>
        <v>0</v>
      </c>
      <c r="FF112" s="63"/>
      <c r="FG112" s="73"/>
      <c r="FH112" s="72">
        <f t="shared" ref="FH112" ca="1" si="3632">($M112=FG112)*$D$11</f>
        <v>0</v>
      </c>
      <c r="FI112" s="63"/>
      <c r="FJ112" s="73"/>
      <c r="FK112" s="72">
        <f t="shared" ref="FK112" ca="1" si="3633">($M112=FJ112)*$D$11</f>
        <v>0</v>
      </c>
      <c r="FL112" s="63"/>
      <c r="FM112" s="73"/>
      <c r="FN112" s="72">
        <f t="shared" ref="FN112" ca="1" si="3634">($M112=FM112)*$D$11</f>
        <v>0</v>
      </c>
      <c r="FO112" s="63"/>
      <c r="FP112" s="73"/>
      <c r="FQ112" s="72">
        <f t="shared" ref="FQ112" ca="1" si="3635">($M112=FP112)*$D$11</f>
        <v>0</v>
      </c>
      <c r="FR112" s="63"/>
      <c r="FS112" s="73"/>
      <c r="FT112" s="72">
        <f t="shared" ref="FT112" ca="1" si="3636">($M112=FS112)*$D$11</f>
        <v>0</v>
      </c>
      <c r="FU112" s="63"/>
      <c r="FV112" s="73"/>
      <c r="FW112" s="72">
        <f t="shared" ref="FW112" ca="1" si="3637">($M112=FV112)*$D$11</f>
        <v>0</v>
      </c>
      <c r="FX112" s="63"/>
      <c r="FY112" s="73"/>
      <c r="FZ112" s="72">
        <f t="shared" ref="FZ112" ca="1" si="3638">($M112=FY112)*$D$11</f>
        <v>0</v>
      </c>
      <c r="GA112" s="63"/>
      <c r="GB112" s="73"/>
      <c r="GC112" s="72">
        <f t="shared" ref="GC112" ca="1" si="3639">($M112=GB112)*$D$11</f>
        <v>0</v>
      </c>
      <c r="GD112" s="63"/>
      <c r="GE112" s="73"/>
      <c r="GF112" s="72">
        <f t="shared" ref="GF112" ca="1" si="3640">($M112=GE112)*$D$11</f>
        <v>0</v>
      </c>
      <c r="GG112" s="63"/>
      <c r="GH112" s="73"/>
      <c r="GI112" s="72">
        <f t="shared" ref="GI112" ca="1" si="3641">($M112=GH112)*$D$11</f>
        <v>0</v>
      </c>
      <c r="GJ112" s="63"/>
      <c r="GK112" s="73"/>
      <c r="GL112" s="72">
        <f t="shared" ref="GL112" ca="1" si="3642">($M112=GK112)*$D$11</f>
        <v>0</v>
      </c>
      <c r="GM112" s="63"/>
      <c r="GN112" s="73"/>
      <c r="GO112" s="72">
        <f t="shared" ref="GO112" ca="1" si="3643">($M112=GN112)*$D$11</f>
        <v>0</v>
      </c>
      <c r="GP112" s="63"/>
      <c r="GQ112" s="73"/>
      <c r="GR112" s="72">
        <f t="shared" ref="GR112" ca="1" si="3644">($M112=GQ112)*$D$11</f>
        <v>0</v>
      </c>
      <c r="GS112" s="63"/>
      <c r="GT112" s="73"/>
      <c r="GU112" s="72">
        <f t="shared" ref="GU112" ca="1" si="3645">($M112=GT112)*$D$11</f>
        <v>0</v>
      </c>
      <c r="GV112" s="63"/>
      <c r="GW112" s="73"/>
      <c r="GX112" s="72">
        <f t="shared" ref="GX112" ca="1" si="3646">($M112=GW112)*$D$11</f>
        <v>0</v>
      </c>
      <c r="GY112" s="63"/>
      <c r="GZ112" s="73"/>
      <c r="HA112" s="72">
        <f t="shared" ref="HA112" ca="1" si="3647">($M112=GZ112)*$D$11</f>
        <v>0</v>
      </c>
      <c r="HB112" s="63"/>
      <c r="HC112" s="73"/>
      <c r="HD112" s="72">
        <f t="shared" ref="HD112" ca="1" si="3648">($M112=HC112)*$D$11</f>
        <v>0</v>
      </c>
      <c r="HE112" s="63"/>
      <c r="HF112" s="73"/>
      <c r="HG112" s="72">
        <f t="shared" ref="HG112" ca="1" si="3649">($M112=HF112)*$D$11</f>
        <v>0</v>
      </c>
      <c r="HH112" s="63"/>
      <c r="HI112" s="73"/>
      <c r="HJ112" s="72">
        <f t="shared" ref="HJ112" ca="1" si="3650">($M112=HI112)*$D$11</f>
        <v>0</v>
      </c>
      <c r="HK112" s="63"/>
      <c r="HL112" s="73"/>
      <c r="HM112" s="72">
        <f t="shared" ref="HM112" ca="1" si="3651">($M112=HL112)*$D$11</f>
        <v>0</v>
      </c>
      <c r="HN112" s="63"/>
      <c r="HO112" s="73"/>
      <c r="HP112" s="72">
        <f t="shared" ref="HP112" ca="1" si="3652">($M112=HO112)*$D$11</f>
        <v>0</v>
      </c>
      <c r="HQ112" s="63"/>
      <c r="HR112" s="73"/>
      <c r="HS112" s="72">
        <f t="shared" ref="HS112" ca="1" si="3653">($M112=HR112)*$D$11</f>
        <v>0</v>
      </c>
      <c r="HT112" s="63"/>
      <c r="HU112" s="73"/>
      <c r="HV112" s="72">
        <f t="shared" ref="HV112" ca="1" si="3654">($M112=HU112)*$D$11</f>
        <v>0</v>
      </c>
      <c r="HW112" s="63"/>
      <c r="HX112" s="73"/>
      <c r="HY112" s="72">
        <f t="shared" ref="HY112" ca="1" si="3655">($M112=HX112)*$D$11</f>
        <v>0</v>
      </c>
      <c r="HZ112" s="63"/>
      <c r="IA112" s="73"/>
      <c r="IB112" s="72">
        <f t="shared" ref="IB112" ca="1" si="3656">($M112=IA112)*$D$11</f>
        <v>0</v>
      </c>
      <c r="IC112" s="63"/>
      <c r="ID112" s="73"/>
      <c r="IE112" s="72">
        <f t="shared" ref="IE112" ca="1" si="3657">($M112=ID112)*$D$11</f>
        <v>0</v>
      </c>
      <c r="IF112" s="63"/>
      <c r="IG112" s="73"/>
      <c r="IH112" s="72">
        <f t="shared" ref="IH112" ca="1" si="3658">($M112=IG112)*$D$11</f>
        <v>0</v>
      </c>
      <c r="II112" s="63"/>
      <c r="IJ112" s="73"/>
      <c r="IK112" s="72">
        <f t="shared" ref="IK112" ca="1" si="3659">($M112=IJ112)*$D$11</f>
        <v>0</v>
      </c>
      <c r="IL112" s="63"/>
      <c r="IM112" s="73"/>
      <c r="IN112" s="72">
        <f t="shared" ref="IN112" ca="1" si="3660">($M112=IM112)*$D$11</f>
        <v>0</v>
      </c>
      <c r="IO112" s="63"/>
      <c r="IP112" s="73"/>
      <c r="IQ112" s="72">
        <f t="shared" ref="IQ112" ca="1" si="3661">($M112=IP112)*$D$11</f>
        <v>0</v>
      </c>
      <c r="IR112" s="63"/>
      <c r="IS112" s="73"/>
      <c r="IT112" s="72">
        <f t="shared" ref="IT112" ca="1" si="3662">($M112=IS112)*$D$11</f>
        <v>0</v>
      </c>
      <c r="IU112" s="63"/>
      <c r="IV112" s="73"/>
      <c r="IW112" s="72">
        <f t="shared" ref="IW112" ca="1" si="3663">($M112=IV112)*$D$11</f>
        <v>0</v>
      </c>
      <c r="IX112" s="63"/>
      <c r="IY112" s="73"/>
      <c r="IZ112" s="72">
        <f t="shared" ref="IZ112" ca="1" si="3664">($M112=IY112)*$D$11</f>
        <v>0</v>
      </c>
      <c r="JA112" s="63"/>
      <c r="JB112" s="73"/>
      <c r="JC112" s="72">
        <f t="shared" ref="JC112" ca="1" si="3665">($M112=JB112)*$D$11</f>
        <v>0</v>
      </c>
      <c r="JD112" s="63"/>
      <c r="JE112" s="73"/>
      <c r="JF112" s="72">
        <f t="shared" ref="JF112" ca="1" si="3666">($M112=JE112)*$D$11</f>
        <v>0</v>
      </c>
      <c r="JG112" s="63"/>
      <c r="JH112" s="73"/>
      <c r="JI112" s="72">
        <f t="shared" ref="JI112" ca="1" si="3667">($M112=JH112)*$D$11</f>
        <v>0</v>
      </c>
      <c r="JJ112" s="63"/>
      <c r="JK112" s="73"/>
      <c r="JL112" s="72">
        <f t="shared" ref="JL112" ca="1" si="3668">($M112=JK112)*$D$11</f>
        <v>0</v>
      </c>
      <c r="JM112" s="63"/>
      <c r="JN112" s="73"/>
      <c r="JO112" s="72">
        <f t="shared" ref="JO112" ca="1" si="3669">($M112=JN112)*$D$11</f>
        <v>0</v>
      </c>
      <c r="JP112" s="63"/>
      <c r="JQ112" s="73"/>
      <c r="JR112" s="72">
        <f t="shared" ref="JR112" ca="1" si="3670">($M112=JQ112)*$D$11</f>
        <v>0</v>
      </c>
      <c r="JS112" s="63"/>
      <c r="JT112" s="73"/>
      <c r="JU112" s="72">
        <f t="shared" ref="JU112" ca="1" si="3671">($M112=JT112)*$D$11</f>
        <v>0</v>
      </c>
      <c r="JV112" s="63"/>
      <c r="JW112" s="73"/>
      <c r="JX112" s="72">
        <f t="shared" ref="JX112" ca="1" si="3672">($M112=JW112)*$D$11</f>
        <v>0</v>
      </c>
      <c r="JY112" s="63"/>
      <c r="JZ112" s="73"/>
      <c r="KA112" s="72">
        <f t="shared" ref="KA112" ca="1" si="3673">($M112=JZ112)*$D$11</f>
        <v>0</v>
      </c>
      <c r="KB112" s="63"/>
      <c r="KC112" s="73"/>
      <c r="KD112" s="72">
        <f t="shared" ref="KD112" ca="1" si="3674">($M112=KC112)*$D$11</f>
        <v>0</v>
      </c>
      <c r="KE112" s="63"/>
      <c r="KF112" s="73"/>
      <c r="KG112" s="72">
        <f t="shared" ref="KG112" ca="1" si="3675">($M112=KF112)*$D$11</f>
        <v>0</v>
      </c>
      <c r="KH112" s="63"/>
      <c r="KI112" s="73"/>
      <c r="KJ112" s="72">
        <f t="shared" ref="KJ112" ca="1" si="3676">($M112=KI112)*$D$11</f>
        <v>0</v>
      </c>
      <c r="KK112" s="63"/>
      <c r="KL112" s="73"/>
      <c r="KM112" s="72">
        <f t="shared" ref="KM112" ca="1" si="3677">($M112=KL112)*$D$11</f>
        <v>0</v>
      </c>
      <c r="KN112" s="63"/>
      <c r="KO112" s="73"/>
      <c r="KP112" s="72">
        <f t="shared" ref="KP112" ca="1" si="3678">($M112=KO112)*$D$11</f>
        <v>0</v>
      </c>
      <c r="KQ112" s="63"/>
      <c r="KR112" s="73"/>
      <c r="KS112" s="72">
        <f t="shared" ref="KS112" ca="1" si="3679">($M112=KR112)*$D$11</f>
        <v>0</v>
      </c>
      <c r="KT112" s="63"/>
      <c r="KU112" s="73"/>
      <c r="KV112" s="72">
        <f t="shared" ref="KV112" ca="1" si="3680">($M112=KU112)*$D$11</f>
        <v>0</v>
      </c>
      <c r="KW112" s="63"/>
      <c r="KX112" s="73"/>
      <c r="KY112" s="72">
        <f t="shared" ref="KY112" ca="1" si="3681">($M112=KX112)*$D$11</f>
        <v>0</v>
      </c>
      <c r="KZ112" s="63"/>
      <c r="LA112" s="73"/>
      <c r="LB112" s="72">
        <f t="shared" ref="LB112" ca="1" si="3682">($M112=LA112)*$D$11</f>
        <v>0</v>
      </c>
      <c r="LC112" s="63"/>
      <c r="LD112" s="73"/>
      <c r="LE112" s="72">
        <f t="shared" ref="LE112" ca="1" si="3683">($M112=LD112)*$D$11</f>
        <v>0</v>
      </c>
      <c r="LF112" s="63"/>
    </row>
    <row r="113" spans="1:318" s="784" customFormat="1">
      <c r="A113" s="49"/>
      <c r="B113" s="49"/>
      <c r="C113" s="49"/>
      <c r="D113" s="49"/>
      <c r="E113" s="64"/>
      <c r="F113" s="125">
        <f t="shared" ref="F113" si="3684">$D$12</f>
        <v>20</v>
      </c>
      <c r="G113" s="443">
        <f ca="1">VLOOKUP(H113,Equipos!$Q$1:$R$25,2,0)</f>
        <v>16</v>
      </c>
      <c r="H113" s="444">
        <f ca="1">$H$70</f>
        <v>46199</v>
      </c>
      <c r="I113" s="50"/>
      <c r="J113" s="846"/>
      <c r="K113" s="56" t="str">
        <f>Idiomas!D183</f>
        <v>2º GRUPO I</v>
      </c>
      <c r="L113" s="53"/>
      <c r="M113" s="55" t="str">
        <f ca="1">IF(OR(SUM(WORLDCUP!$AN$70:$AN$73)=12,WORLDCUP!$AJ$99=144),WORLDCUP!AL71,LEFT(K113,1)&amp;RIGHT(K113,1))</f>
        <v>2I</v>
      </c>
      <c r="N113" s="25"/>
      <c r="O113" s="25"/>
      <c r="P113" s="25"/>
      <c r="Q113" s="25"/>
      <c r="R113" s="108"/>
      <c r="S113" s="796" t="s">
        <v>135</v>
      </c>
      <c r="T113" s="72">
        <f t="shared" ref="T113" ca="1" si="3685">($M113=S113)*$D$12</f>
        <v>0</v>
      </c>
      <c r="U113" s="63"/>
      <c r="V113" s="73" t="s">
        <v>135</v>
      </c>
      <c r="W113" s="72">
        <f t="shared" ref="W113" ca="1" si="3686">($M113=V113)*$D$12</f>
        <v>0</v>
      </c>
      <c r="X113" s="63"/>
      <c r="Y113" s="796" t="s">
        <v>135</v>
      </c>
      <c r="Z113" s="72">
        <f t="shared" ref="Z113" ca="1" si="3687">($M113=Y113)*$D$12</f>
        <v>0</v>
      </c>
      <c r="AA113" s="63"/>
      <c r="AB113" s="796" t="s">
        <v>135</v>
      </c>
      <c r="AC113" s="72">
        <f t="shared" ref="AC113" ca="1" si="3688">($M113=AB113)*$D$12</f>
        <v>0</v>
      </c>
      <c r="AD113" s="63"/>
      <c r="AE113" s="796" t="s">
        <v>135</v>
      </c>
      <c r="AF113" s="72">
        <f t="shared" ref="AF113" ca="1" si="3689">($M113=AE113)*$D$12</f>
        <v>0</v>
      </c>
      <c r="AG113" s="63"/>
      <c r="AH113" s="796" t="s">
        <v>74</v>
      </c>
      <c r="AI113" s="72">
        <f t="shared" ref="AI113" ca="1" si="3690">($M113=AH113)*$D$12</f>
        <v>0</v>
      </c>
      <c r="AJ113" s="63"/>
      <c r="AK113" s="806" t="s">
        <v>135</v>
      </c>
      <c r="AL113" s="72">
        <f t="shared" ref="AL113" ca="1" si="3691">($M113=AK113)*$D$12</f>
        <v>0</v>
      </c>
      <c r="AM113" s="63"/>
      <c r="AN113" s="796" t="s">
        <v>135</v>
      </c>
      <c r="AO113" s="72">
        <f t="shared" ref="AO113" ca="1" si="3692">($M113=AN113)*$D$12</f>
        <v>0</v>
      </c>
      <c r="AP113" s="63"/>
      <c r="AQ113" s="806" t="s">
        <v>135</v>
      </c>
      <c r="AR113" s="72">
        <f t="shared" ref="AR113" ca="1" si="3693">($M113=AQ113)*$D$12</f>
        <v>0</v>
      </c>
      <c r="AS113" s="63"/>
      <c r="AT113" s="796" t="s">
        <v>74</v>
      </c>
      <c r="AU113" s="72">
        <f t="shared" ref="AU113" ca="1" si="3694">($M113=AT113)*$D$12</f>
        <v>0</v>
      </c>
      <c r="AV113" s="63"/>
      <c r="AW113" s="796" t="s">
        <v>135</v>
      </c>
      <c r="AX113" s="72">
        <f t="shared" ref="AX113" ca="1" si="3695">($M113=AW113)*$D$12</f>
        <v>0</v>
      </c>
      <c r="AY113" s="63"/>
      <c r="AZ113" s="796" t="s">
        <v>1634</v>
      </c>
      <c r="BA113" s="72">
        <f t="shared" ref="BA113" ca="1" si="3696">($M113=AZ113)*$D$12</f>
        <v>0</v>
      </c>
      <c r="BB113" s="63"/>
      <c r="BC113" s="796" t="s">
        <v>1634</v>
      </c>
      <c r="BD113" s="72">
        <f t="shared" ref="BD113" ca="1" si="3697">($M113=BC113)*$D$12</f>
        <v>0</v>
      </c>
      <c r="BE113" s="63"/>
      <c r="BF113" s="796" t="s">
        <v>74</v>
      </c>
      <c r="BG113" s="72">
        <f t="shared" ref="BG113" ca="1" si="3698">($M113=BF113)*$D$12</f>
        <v>0</v>
      </c>
      <c r="BH113" s="63"/>
      <c r="BI113" s="796" t="s">
        <v>135</v>
      </c>
      <c r="BJ113" s="72">
        <f t="shared" ref="BJ113" ca="1" si="3699">($M113=BI113)*$D$12</f>
        <v>0</v>
      </c>
      <c r="BK113" s="63"/>
      <c r="BL113" s="796" t="s">
        <v>74</v>
      </c>
      <c r="BM113" s="72">
        <f t="shared" ref="BM113" ca="1" si="3700">($M113=BL113)*$D$12</f>
        <v>0</v>
      </c>
      <c r="BN113" s="63"/>
      <c r="BO113" s="816" t="s">
        <v>1634</v>
      </c>
      <c r="BP113" s="72">
        <f t="shared" ref="BP113" ca="1" si="3701">($M113=BO113)*$D$12</f>
        <v>0</v>
      </c>
      <c r="BQ113" s="63"/>
      <c r="BR113" s="796" t="s">
        <v>74</v>
      </c>
      <c r="BS113" s="72">
        <f t="shared" ref="BS113" ca="1" si="3702">($M113=BR113)*$D$12</f>
        <v>0</v>
      </c>
      <c r="BT113" s="63"/>
      <c r="BU113" s="796" t="s">
        <v>135</v>
      </c>
      <c r="BV113" s="72">
        <f t="shared" ref="BV113" ca="1" si="3703">($M113=BU113)*$D$12</f>
        <v>0</v>
      </c>
      <c r="BW113" s="63"/>
      <c r="BX113" s="73" t="s">
        <v>135</v>
      </c>
      <c r="BY113" s="72">
        <f t="shared" ref="BY113" ca="1" si="3704">($M113=BX113)*$D$12</f>
        <v>0</v>
      </c>
      <c r="BZ113" s="63"/>
      <c r="CA113" s="816" t="s">
        <v>1634</v>
      </c>
      <c r="CB113" s="72">
        <f t="shared" ref="CB113" ca="1" si="3705">($M113=CA113)*$D$12</f>
        <v>0</v>
      </c>
      <c r="CC113" s="63"/>
      <c r="CD113" s="825" t="s">
        <v>135</v>
      </c>
      <c r="CE113" s="72">
        <f t="shared" ref="CE113" ca="1" si="3706">($M113=CD113)*$D$12</f>
        <v>0</v>
      </c>
      <c r="CF113" s="63"/>
      <c r="CG113" s="796" t="s">
        <v>74</v>
      </c>
      <c r="CH113" s="72">
        <f t="shared" ref="CH113" ca="1" si="3707">($M113=CG113)*$D$12</f>
        <v>0</v>
      </c>
      <c r="CI113" s="63"/>
      <c r="CJ113" s="796" t="s">
        <v>135</v>
      </c>
      <c r="CK113" s="72">
        <f t="shared" ref="CK113" ca="1" si="3708">($M113=CJ113)*$D$12</f>
        <v>0</v>
      </c>
      <c r="CL113" s="63"/>
      <c r="CM113" s="796" t="s">
        <v>135</v>
      </c>
      <c r="CN113" s="72">
        <f t="shared" ref="CN113" ca="1" si="3709">($M113=CM113)*$D$12</f>
        <v>0</v>
      </c>
      <c r="CO113" s="63"/>
      <c r="CP113" s="796" t="s">
        <v>135</v>
      </c>
      <c r="CQ113" s="72">
        <f t="shared" ref="CQ113" ca="1" si="3710">($M113=CP113)*$D$12</f>
        <v>0</v>
      </c>
      <c r="CR113" s="63"/>
      <c r="CS113" s="796" t="s">
        <v>135</v>
      </c>
      <c r="CT113" s="72">
        <f t="shared" ref="CT113" ca="1" si="3711">($M113=CS113)*$D$12</f>
        <v>0</v>
      </c>
      <c r="CU113" s="63"/>
      <c r="CV113" s="796" t="s">
        <v>135</v>
      </c>
      <c r="CW113" s="72">
        <f t="shared" ref="CW113" ca="1" si="3712">($M113=CV113)*$D$12</f>
        <v>0</v>
      </c>
      <c r="CX113" s="63"/>
      <c r="CY113" s="796" t="s">
        <v>1634</v>
      </c>
      <c r="CZ113" s="72">
        <f t="shared" ref="CZ113" ca="1" si="3713">($M113=CY113)*$D$12</f>
        <v>0</v>
      </c>
      <c r="DA113" s="63"/>
      <c r="DB113" s="796" t="s">
        <v>135</v>
      </c>
      <c r="DC113" s="72">
        <f t="shared" ref="DC113" ca="1" si="3714">($M113=DB113)*$D$12</f>
        <v>0</v>
      </c>
      <c r="DD113" s="63"/>
      <c r="DE113" s="796" t="s">
        <v>135</v>
      </c>
      <c r="DF113" s="72">
        <f ca="1">($M113=DE113)*$D$12</f>
        <v>0</v>
      </c>
      <c r="DG113" s="63"/>
      <c r="DH113" s="796" t="s">
        <v>135</v>
      </c>
      <c r="DI113" s="72">
        <f ca="1">($M113=DH113)*$D$12</f>
        <v>0</v>
      </c>
      <c r="DJ113" s="63"/>
      <c r="DK113" s="796" t="s">
        <v>135</v>
      </c>
      <c r="DL113" s="72">
        <f ca="1">($M113=DK113)*$D$12</f>
        <v>0</v>
      </c>
      <c r="DM113" s="63"/>
      <c r="DN113" s="73"/>
      <c r="DO113" s="72">
        <f t="shared" ref="DO113" ca="1" si="3715">($M113=DN113)*$D$12</f>
        <v>0</v>
      </c>
      <c r="DP113" s="63"/>
      <c r="DQ113" s="796" t="s">
        <v>135</v>
      </c>
      <c r="DR113" s="72">
        <f t="shared" ref="DR113" ca="1" si="3716">($M113=DQ113)*$D$12</f>
        <v>0</v>
      </c>
      <c r="DS113" s="63"/>
      <c r="DT113" s="73" t="s">
        <v>135</v>
      </c>
      <c r="DU113" s="72">
        <f t="shared" ref="DU113" ca="1" si="3717">($M113=DT113)*$D$12</f>
        <v>0</v>
      </c>
      <c r="DV113" s="63"/>
      <c r="DW113" s="73"/>
      <c r="DX113" s="72">
        <f t="shared" ref="DX113" ca="1" si="3718">($M113=DW113)*$D$12</f>
        <v>0</v>
      </c>
      <c r="DY113" s="63"/>
      <c r="DZ113" s="73"/>
      <c r="EA113" s="72">
        <f ca="1">($M113=DZ113)*$D$12</f>
        <v>0</v>
      </c>
      <c r="EB113" s="63"/>
      <c r="EC113" s="73"/>
      <c r="ED113" s="72">
        <f t="shared" ref="ED113" ca="1" si="3719">($M113=EC113)*$D$12</f>
        <v>0</v>
      </c>
      <c r="EE113" s="63"/>
      <c r="EF113" s="73"/>
      <c r="EG113" s="72">
        <f t="shared" ref="EG113" ca="1" si="3720">($M113=EF113)*$D$12</f>
        <v>0</v>
      </c>
      <c r="EH113" s="63"/>
      <c r="EI113" s="73"/>
      <c r="EJ113" s="72">
        <f t="shared" ref="EJ113" ca="1" si="3721">($M113=EI113)*$D$12</f>
        <v>0</v>
      </c>
      <c r="EK113" s="63"/>
      <c r="EL113" s="73"/>
      <c r="EM113" s="72">
        <f t="shared" ref="EM113" ca="1" si="3722">($M113=EL113)*$D$12</f>
        <v>0</v>
      </c>
      <c r="EN113" s="63"/>
      <c r="EO113" s="73"/>
      <c r="EP113" s="72">
        <f t="shared" ref="EP113" ca="1" si="3723">($M113=EO113)*$D$12</f>
        <v>0</v>
      </c>
      <c r="EQ113" s="63"/>
      <c r="ER113" s="73"/>
      <c r="ES113" s="72">
        <f t="shared" ref="ES113" ca="1" si="3724">($M113=ER113)*$D$12</f>
        <v>0</v>
      </c>
      <c r="ET113" s="63"/>
      <c r="EU113" s="73"/>
      <c r="EV113" s="72">
        <f t="shared" ref="EV113" ca="1" si="3725">($M113=EU113)*$D$12</f>
        <v>0</v>
      </c>
      <c r="EW113" s="63"/>
      <c r="EX113" s="73"/>
      <c r="EY113" s="72">
        <f t="shared" ref="EY113" ca="1" si="3726">($M113=EX113)*$D$12</f>
        <v>0</v>
      </c>
      <c r="EZ113" s="63"/>
      <c r="FA113" s="73"/>
      <c r="FB113" s="72">
        <f t="shared" ref="FB113" ca="1" si="3727">($M113=FA113)*$D$12</f>
        <v>0</v>
      </c>
      <c r="FC113" s="63"/>
      <c r="FD113" s="73"/>
      <c r="FE113" s="72">
        <f t="shared" ref="FE113" ca="1" si="3728">($M113=FD113)*$D$12</f>
        <v>0</v>
      </c>
      <c r="FF113" s="63"/>
      <c r="FG113" s="73"/>
      <c r="FH113" s="72">
        <f t="shared" ref="FH113" ca="1" si="3729">($M113=FG113)*$D$12</f>
        <v>0</v>
      </c>
      <c r="FI113" s="63"/>
      <c r="FJ113" s="73"/>
      <c r="FK113" s="72">
        <f t="shared" ref="FK113" ca="1" si="3730">($M113=FJ113)*$D$12</f>
        <v>0</v>
      </c>
      <c r="FL113" s="63"/>
      <c r="FM113" s="73"/>
      <c r="FN113" s="72">
        <f t="shared" ref="FN113" ca="1" si="3731">($M113=FM113)*$D$12</f>
        <v>0</v>
      </c>
      <c r="FO113" s="63"/>
      <c r="FP113" s="73"/>
      <c r="FQ113" s="72">
        <f t="shared" ref="FQ113" ca="1" si="3732">($M113=FP113)*$D$12</f>
        <v>0</v>
      </c>
      <c r="FR113" s="63"/>
      <c r="FS113" s="73"/>
      <c r="FT113" s="72">
        <f t="shared" ref="FT113" ca="1" si="3733">($M113=FS113)*$D$12</f>
        <v>0</v>
      </c>
      <c r="FU113" s="63"/>
      <c r="FV113" s="73"/>
      <c r="FW113" s="72">
        <f t="shared" ref="FW113" ca="1" si="3734">($M113=FV113)*$D$12</f>
        <v>0</v>
      </c>
      <c r="FX113" s="63"/>
      <c r="FY113" s="73"/>
      <c r="FZ113" s="72">
        <f t="shared" ref="FZ113" ca="1" si="3735">($M113=FY113)*$D$12</f>
        <v>0</v>
      </c>
      <c r="GA113" s="63"/>
      <c r="GB113" s="73"/>
      <c r="GC113" s="72">
        <f t="shared" ref="GC113" ca="1" si="3736">($M113=GB113)*$D$12</f>
        <v>0</v>
      </c>
      <c r="GD113" s="63"/>
      <c r="GE113" s="73"/>
      <c r="GF113" s="72">
        <f t="shared" ref="GF113" ca="1" si="3737">($M113=GE113)*$D$12</f>
        <v>0</v>
      </c>
      <c r="GG113" s="63"/>
      <c r="GH113" s="73"/>
      <c r="GI113" s="72">
        <f t="shared" ref="GI113" ca="1" si="3738">($M113=GH113)*$D$12</f>
        <v>0</v>
      </c>
      <c r="GJ113" s="63"/>
      <c r="GK113" s="73"/>
      <c r="GL113" s="72">
        <f t="shared" ref="GL113" ca="1" si="3739">($M113=GK113)*$D$12</f>
        <v>0</v>
      </c>
      <c r="GM113" s="63"/>
      <c r="GN113" s="73"/>
      <c r="GO113" s="72">
        <f t="shared" ref="GO113" ca="1" si="3740">($M113=GN113)*$D$12</f>
        <v>0</v>
      </c>
      <c r="GP113" s="63"/>
      <c r="GQ113" s="73"/>
      <c r="GR113" s="72">
        <f t="shared" ref="GR113" ca="1" si="3741">($M113=GQ113)*$D$12</f>
        <v>0</v>
      </c>
      <c r="GS113" s="63"/>
      <c r="GT113" s="73"/>
      <c r="GU113" s="72">
        <f t="shared" ref="GU113" ca="1" si="3742">($M113=GT113)*$D$12</f>
        <v>0</v>
      </c>
      <c r="GV113" s="63"/>
      <c r="GW113" s="73"/>
      <c r="GX113" s="72">
        <f t="shared" ref="GX113" ca="1" si="3743">($M113=GW113)*$D$12</f>
        <v>0</v>
      </c>
      <c r="GY113" s="63"/>
      <c r="GZ113" s="73"/>
      <c r="HA113" s="72">
        <f t="shared" ref="HA113" ca="1" si="3744">($M113=GZ113)*$D$12</f>
        <v>0</v>
      </c>
      <c r="HB113" s="63"/>
      <c r="HC113" s="73"/>
      <c r="HD113" s="72">
        <f t="shared" ref="HD113" ca="1" si="3745">($M113=HC113)*$D$12</f>
        <v>0</v>
      </c>
      <c r="HE113" s="63"/>
      <c r="HF113" s="73"/>
      <c r="HG113" s="72">
        <f t="shared" ref="HG113" ca="1" si="3746">($M113=HF113)*$D$12</f>
        <v>0</v>
      </c>
      <c r="HH113" s="63"/>
      <c r="HI113" s="73"/>
      <c r="HJ113" s="72">
        <f t="shared" ref="HJ113" ca="1" si="3747">($M113=HI113)*$D$12</f>
        <v>0</v>
      </c>
      <c r="HK113" s="63"/>
      <c r="HL113" s="73"/>
      <c r="HM113" s="72">
        <f t="shared" ref="HM113" ca="1" si="3748">($M113=HL113)*$D$12</f>
        <v>0</v>
      </c>
      <c r="HN113" s="63"/>
      <c r="HO113" s="73"/>
      <c r="HP113" s="72">
        <f t="shared" ref="HP113" ca="1" si="3749">($M113=HO113)*$D$12</f>
        <v>0</v>
      </c>
      <c r="HQ113" s="63"/>
      <c r="HR113" s="73"/>
      <c r="HS113" s="72">
        <f t="shared" ref="HS113" ca="1" si="3750">($M113=HR113)*$D$12</f>
        <v>0</v>
      </c>
      <c r="HT113" s="63"/>
      <c r="HU113" s="73"/>
      <c r="HV113" s="72">
        <f t="shared" ref="HV113" ca="1" si="3751">($M113=HU113)*$D$12</f>
        <v>0</v>
      </c>
      <c r="HW113" s="63"/>
      <c r="HX113" s="73"/>
      <c r="HY113" s="72">
        <f t="shared" ref="HY113" ca="1" si="3752">($M113=HX113)*$D$12</f>
        <v>0</v>
      </c>
      <c r="HZ113" s="63"/>
      <c r="IA113" s="73"/>
      <c r="IB113" s="72">
        <f t="shared" ref="IB113" ca="1" si="3753">($M113=IA113)*$D$12</f>
        <v>0</v>
      </c>
      <c r="IC113" s="63"/>
      <c r="ID113" s="73"/>
      <c r="IE113" s="72">
        <f t="shared" ref="IE113" ca="1" si="3754">($M113=ID113)*$D$12</f>
        <v>0</v>
      </c>
      <c r="IF113" s="63"/>
      <c r="IG113" s="73"/>
      <c r="IH113" s="72">
        <f t="shared" ref="IH113" ca="1" si="3755">($M113=IG113)*$D$12</f>
        <v>0</v>
      </c>
      <c r="II113" s="63"/>
      <c r="IJ113" s="73"/>
      <c r="IK113" s="72">
        <f t="shared" ref="IK113" ca="1" si="3756">($M113=IJ113)*$D$12</f>
        <v>0</v>
      </c>
      <c r="IL113" s="63"/>
      <c r="IM113" s="73"/>
      <c r="IN113" s="72">
        <f t="shared" ref="IN113" ca="1" si="3757">($M113=IM113)*$D$12</f>
        <v>0</v>
      </c>
      <c r="IO113" s="63"/>
      <c r="IP113" s="73"/>
      <c r="IQ113" s="72">
        <f t="shared" ref="IQ113" ca="1" si="3758">($M113=IP113)*$D$12</f>
        <v>0</v>
      </c>
      <c r="IR113" s="63"/>
      <c r="IS113" s="73"/>
      <c r="IT113" s="72">
        <f t="shared" ref="IT113" ca="1" si="3759">($M113=IS113)*$D$12</f>
        <v>0</v>
      </c>
      <c r="IU113" s="63"/>
      <c r="IV113" s="73"/>
      <c r="IW113" s="72">
        <f t="shared" ref="IW113" ca="1" si="3760">($M113=IV113)*$D$12</f>
        <v>0</v>
      </c>
      <c r="IX113" s="63"/>
      <c r="IY113" s="73"/>
      <c r="IZ113" s="72">
        <f t="shared" ref="IZ113" ca="1" si="3761">($M113=IY113)*$D$12</f>
        <v>0</v>
      </c>
      <c r="JA113" s="63"/>
      <c r="JB113" s="73"/>
      <c r="JC113" s="72">
        <f t="shared" ref="JC113" ca="1" si="3762">($M113=JB113)*$D$12</f>
        <v>0</v>
      </c>
      <c r="JD113" s="63"/>
      <c r="JE113" s="73"/>
      <c r="JF113" s="72">
        <f t="shared" ref="JF113" ca="1" si="3763">($M113=JE113)*$D$12</f>
        <v>0</v>
      </c>
      <c r="JG113" s="63"/>
      <c r="JH113" s="73"/>
      <c r="JI113" s="72">
        <f t="shared" ref="JI113" ca="1" si="3764">($M113=JH113)*$D$12</f>
        <v>0</v>
      </c>
      <c r="JJ113" s="63"/>
      <c r="JK113" s="73"/>
      <c r="JL113" s="72">
        <f t="shared" ref="JL113" ca="1" si="3765">($M113=JK113)*$D$12</f>
        <v>0</v>
      </c>
      <c r="JM113" s="63"/>
      <c r="JN113" s="73"/>
      <c r="JO113" s="72">
        <f t="shared" ref="JO113" ca="1" si="3766">($M113=JN113)*$D$12</f>
        <v>0</v>
      </c>
      <c r="JP113" s="63"/>
      <c r="JQ113" s="73"/>
      <c r="JR113" s="72">
        <f t="shared" ref="JR113" ca="1" si="3767">($M113=JQ113)*$D$12</f>
        <v>0</v>
      </c>
      <c r="JS113" s="63"/>
      <c r="JT113" s="73"/>
      <c r="JU113" s="72">
        <f t="shared" ref="JU113" ca="1" si="3768">($M113=JT113)*$D$12</f>
        <v>0</v>
      </c>
      <c r="JV113" s="63"/>
      <c r="JW113" s="73"/>
      <c r="JX113" s="72">
        <f t="shared" ref="JX113" ca="1" si="3769">($M113=JW113)*$D$12</f>
        <v>0</v>
      </c>
      <c r="JY113" s="63"/>
      <c r="JZ113" s="73"/>
      <c r="KA113" s="72">
        <f t="shared" ref="KA113" ca="1" si="3770">($M113=JZ113)*$D$12</f>
        <v>0</v>
      </c>
      <c r="KB113" s="63"/>
      <c r="KC113" s="73"/>
      <c r="KD113" s="72">
        <f t="shared" ref="KD113" ca="1" si="3771">($M113=KC113)*$D$12</f>
        <v>0</v>
      </c>
      <c r="KE113" s="63"/>
      <c r="KF113" s="73"/>
      <c r="KG113" s="72">
        <f t="shared" ref="KG113" ca="1" si="3772">($M113=KF113)*$D$12</f>
        <v>0</v>
      </c>
      <c r="KH113" s="63"/>
      <c r="KI113" s="73"/>
      <c r="KJ113" s="72">
        <f t="shared" ref="KJ113" ca="1" si="3773">($M113=KI113)*$D$12</f>
        <v>0</v>
      </c>
      <c r="KK113" s="63"/>
      <c r="KL113" s="73"/>
      <c r="KM113" s="72">
        <f t="shared" ref="KM113" ca="1" si="3774">($M113=KL113)*$D$12</f>
        <v>0</v>
      </c>
      <c r="KN113" s="63"/>
      <c r="KO113" s="73"/>
      <c r="KP113" s="72">
        <f t="shared" ref="KP113" ca="1" si="3775">($M113=KO113)*$D$12</f>
        <v>0</v>
      </c>
      <c r="KQ113" s="63"/>
      <c r="KR113" s="73"/>
      <c r="KS113" s="72">
        <f t="shared" ref="KS113" ca="1" si="3776">($M113=KR113)*$D$12</f>
        <v>0</v>
      </c>
      <c r="KT113" s="63"/>
      <c r="KU113" s="73"/>
      <c r="KV113" s="72">
        <f t="shared" ref="KV113" ca="1" si="3777">($M113=KU113)*$D$12</f>
        <v>0</v>
      </c>
      <c r="KW113" s="63"/>
      <c r="KX113" s="73"/>
      <c r="KY113" s="72">
        <f t="shared" ref="KY113" ca="1" si="3778">($M113=KX113)*$D$12</f>
        <v>0</v>
      </c>
      <c r="KZ113" s="63"/>
      <c r="LA113" s="73"/>
      <c r="LB113" s="72">
        <f t="shared" ref="LB113" ca="1" si="3779">($M113=LA113)*$D$12</f>
        <v>0</v>
      </c>
      <c r="LC113" s="63"/>
      <c r="LD113" s="73"/>
      <c r="LE113" s="72">
        <f t="shared" ref="LE113" ca="1" si="3780">($M113=LD113)*$D$12</f>
        <v>0</v>
      </c>
      <c r="LF113" s="63"/>
    </row>
    <row r="114" spans="1:318" s="784" customFormat="1">
      <c r="A114" s="49"/>
      <c r="B114" s="49"/>
      <c r="C114" s="49"/>
      <c r="D114" s="49"/>
      <c r="E114" s="64"/>
      <c r="F114" s="125">
        <f t="shared" ref="F114" si="3781">$D$13</f>
        <v>20</v>
      </c>
      <c r="G114" s="443">
        <f ca="1">VLOOKUP(H114,Equipos!$Q$1:$R$25,2,0)</f>
        <v>16</v>
      </c>
      <c r="H114" s="444">
        <f ca="1">$H$70</f>
        <v>46199</v>
      </c>
      <c r="I114" s="50"/>
      <c r="J114" s="846"/>
      <c r="K114" s="56" t="str">
        <f>Idiomas!D184</f>
        <v>3º GRUPO I</v>
      </c>
      <c r="L114" s="53"/>
      <c r="M114" s="55" t="str">
        <f ca="1">IF(OR(SUM(WORLDCUP!$AN$70:$AN$73)=12,WORLDCUP!$AJ$99=144),WORLDCUP!AL72,LEFT(K114,1)&amp;RIGHT(K114,1))</f>
        <v>3I</v>
      </c>
      <c r="N114" s="25"/>
      <c r="O114" s="25"/>
      <c r="P114" s="25"/>
      <c r="Q114" s="25"/>
      <c r="R114" s="108"/>
      <c r="S114" s="796" t="s">
        <v>1634</v>
      </c>
      <c r="T114" s="72">
        <f t="shared" ref="T114" ca="1" si="3782">($M114=S114)*$D$13</f>
        <v>0</v>
      </c>
      <c r="U114" s="63"/>
      <c r="V114" s="73" t="s">
        <v>1634</v>
      </c>
      <c r="W114" s="72">
        <f t="shared" ref="W114" ca="1" si="3783">($M114=V114)*$D$13</f>
        <v>0</v>
      </c>
      <c r="X114" s="63"/>
      <c r="Y114" s="796" t="s">
        <v>1634</v>
      </c>
      <c r="Z114" s="72">
        <f t="shared" ref="Z114" ca="1" si="3784">($M114=Y114)*$D$13</f>
        <v>0</v>
      </c>
      <c r="AA114" s="63"/>
      <c r="AB114" s="796" t="s">
        <v>1634</v>
      </c>
      <c r="AC114" s="72">
        <f t="shared" ref="AC114" ca="1" si="3785">($M114=AB114)*$D$13</f>
        <v>0</v>
      </c>
      <c r="AD114" s="63"/>
      <c r="AE114" s="796" t="s">
        <v>1634</v>
      </c>
      <c r="AF114" s="72">
        <f t="shared" ref="AF114" ca="1" si="3786">($M114=AE114)*$D$13</f>
        <v>0</v>
      </c>
      <c r="AG114" s="63"/>
      <c r="AH114" s="796" t="s">
        <v>1634</v>
      </c>
      <c r="AI114" s="72">
        <f t="shared" ref="AI114" ca="1" si="3787">($M114=AH114)*$D$13</f>
        <v>0</v>
      </c>
      <c r="AJ114" s="63"/>
      <c r="AK114" s="806" t="s">
        <v>1634</v>
      </c>
      <c r="AL114" s="72">
        <f t="shared" ref="AL114" ca="1" si="3788">($M114=AK114)*$D$13</f>
        <v>0</v>
      </c>
      <c r="AM114" s="63"/>
      <c r="AN114" s="796" t="s">
        <v>1634</v>
      </c>
      <c r="AO114" s="72">
        <f t="shared" ref="AO114" ca="1" si="3789">($M114=AN114)*$D$13</f>
        <v>0</v>
      </c>
      <c r="AP114" s="63"/>
      <c r="AQ114" s="806" t="s">
        <v>1634</v>
      </c>
      <c r="AR114" s="72">
        <f t="shared" ref="AR114" ca="1" si="3790">($M114=AQ114)*$D$13</f>
        <v>0</v>
      </c>
      <c r="AS114" s="63"/>
      <c r="AT114" s="796" t="s">
        <v>135</v>
      </c>
      <c r="AU114" s="72">
        <f t="shared" ref="AU114" ca="1" si="3791">($M114=AT114)*$D$13</f>
        <v>0</v>
      </c>
      <c r="AV114" s="63"/>
      <c r="AW114" s="796" t="s">
        <v>1634</v>
      </c>
      <c r="AX114" s="72">
        <f t="shared" ref="AX114" ca="1" si="3792">($M114=AW114)*$D$13</f>
        <v>0</v>
      </c>
      <c r="AY114" s="63"/>
      <c r="AZ114" s="796" t="s">
        <v>135</v>
      </c>
      <c r="BA114" s="72">
        <f t="shared" ref="BA114" ca="1" si="3793">($M114=AZ114)*$D$13</f>
        <v>0</v>
      </c>
      <c r="BB114" s="63"/>
      <c r="BC114" s="796" t="s">
        <v>135</v>
      </c>
      <c r="BD114" s="72">
        <f t="shared" ref="BD114" ca="1" si="3794">($M114=BC114)*$D$13</f>
        <v>0</v>
      </c>
      <c r="BE114" s="63"/>
      <c r="BF114" s="796" t="s">
        <v>1634</v>
      </c>
      <c r="BG114" s="72">
        <f t="shared" ref="BG114" ca="1" si="3795">($M114=BF114)*$D$13</f>
        <v>0</v>
      </c>
      <c r="BH114" s="63"/>
      <c r="BI114" s="796" t="s">
        <v>1634</v>
      </c>
      <c r="BJ114" s="72">
        <f t="shared" ref="BJ114" ca="1" si="3796">($M114=BI114)*$D$13</f>
        <v>0</v>
      </c>
      <c r="BK114" s="63"/>
      <c r="BL114" s="796" t="s">
        <v>1634</v>
      </c>
      <c r="BM114" s="72">
        <f t="shared" ref="BM114" ca="1" si="3797">($M114=BL114)*$D$13</f>
        <v>0</v>
      </c>
      <c r="BN114" s="63"/>
      <c r="BO114" s="816" t="s">
        <v>135</v>
      </c>
      <c r="BP114" s="72">
        <f t="shared" ref="BP114" ca="1" si="3798">($M114=BO114)*$D$13</f>
        <v>0</v>
      </c>
      <c r="BQ114" s="63"/>
      <c r="BR114" s="796" t="s">
        <v>1634</v>
      </c>
      <c r="BS114" s="72">
        <f t="shared" ref="BS114" ca="1" si="3799">($M114=BR114)*$D$13</f>
        <v>0</v>
      </c>
      <c r="BT114" s="63"/>
      <c r="BU114" s="796" t="s">
        <v>1634</v>
      </c>
      <c r="BV114" s="72">
        <f t="shared" ref="BV114" ca="1" si="3800">($M114=BU114)*$D$13</f>
        <v>0</v>
      </c>
      <c r="BW114" s="63"/>
      <c r="BX114" s="73" t="s">
        <v>1634</v>
      </c>
      <c r="BY114" s="72">
        <f t="shared" ref="BY114" ca="1" si="3801">($M114=BX114)*$D$13</f>
        <v>0</v>
      </c>
      <c r="BZ114" s="63"/>
      <c r="CA114" s="816" t="s">
        <v>135</v>
      </c>
      <c r="CB114" s="72">
        <f t="shared" ref="CB114" ca="1" si="3802">($M114=CA114)*$D$13</f>
        <v>0</v>
      </c>
      <c r="CC114" s="63"/>
      <c r="CD114" s="825" t="s">
        <v>1757</v>
      </c>
      <c r="CE114" s="72">
        <f t="shared" ref="CE114" ca="1" si="3803">($M114=CD114)*$D$13</f>
        <v>0</v>
      </c>
      <c r="CF114" s="63"/>
      <c r="CG114" s="796" t="s">
        <v>1634</v>
      </c>
      <c r="CH114" s="72">
        <f t="shared" ref="CH114" ca="1" si="3804">($M114=CG114)*$D$13</f>
        <v>0</v>
      </c>
      <c r="CI114" s="63"/>
      <c r="CJ114" s="796" t="s">
        <v>1634</v>
      </c>
      <c r="CK114" s="72">
        <f t="shared" ref="CK114" ca="1" si="3805">($M114=CJ114)*$D$13</f>
        <v>0</v>
      </c>
      <c r="CL114" s="63"/>
      <c r="CM114" s="796" t="s">
        <v>1634</v>
      </c>
      <c r="CN114" s="72">
        <f t="shared" ref="CN114" ca="1" si="3806">($M114=CM114)*$D$13</f>
        <v>0</v>
      </c>
      <c r="CO114" s="63"/>
      <c r="CP114" s="796" t="s">
        <v>1634</v>
      </c>
      <c r="CQ114" s="72">
        <f t="shared" ref="CQ114" ca="1" si="3807">($M114=CP114)*$D$13</f>
        <v>0</v>
      </c>
      <c r="CR114" s="63"/>
      <c r="CS114" s="796" t="s">
        <v>1634</v>
      </c>
      <c r="CT114" s="72">
        <f t="shared" ref="CT114" ca="1" si="3808">($M114=CS114)*$D$13</f>
        <v>0</v>
      </c>
      <c r="CU114" s="63"/>
      <c r="CV114" s="796" t="s">
        <v>1634</v>
      </c>
      <c r="CW114" s="72">
        <f t="shared" ref="CW114" ca="1" si="3809">($M114=CV114)*$D$13</f>
        <v>0</v>
      </c>
      <c r="CX114" s="63"/>
      <c r="CY114" s="796" t="s">
        <v>135</v>
      </c>
      <c r="CZ114" s="72">
        <f t="shared" ref="CZ114" ca="1" si="3810">($M114=CY114)*$D$13</f>
        <v>0</v>
      </c>
      <c r="DA114" s="63"/>
      <c r="DB114" s="796" t="s">
        <v>1634</v>
      </c>
      <c r="DC114" s="72">
        <f t="shared" ref="DC114" ca="1" si="3811">($M114=DB114)*$D$13</f>
        <v>0</v>
      </c>
      <c r="DD114" s="63"/>
      <c r="DE114" s="796" t="s">
        <v>1634</v>
      </c>
      <c r="DF114" s="72">
        <f ca="1">($M114=DE114)*$D$13</f>
        <v>0</v>
      </c>
      <c r="DG114" s="63"/>
      <c r="DH114" s="796" t="s">
        <v>1634</v>
      </c>
      <c r="DI114" s="72">
        <f ca="1">($M114=DH114)*$D$13</f>
        <v>0</v>
      </c>
      <c r="DJ114" s="63"/>
      <c r="DK114" s="796" t="s">
        <v>1634</v>
      </c>
      <c r="DL114" s="72">
        <f ca="1">($M114=DK114)*$D$13</f>
        <v>0</v>
      </c>
      <c r="DM114" s="63"/>
      <c r="DN114" s="73"/>
      <c r="DO114" s="72">
        <f t="shared" ref="DO114" ca="1" si="3812">($M114=DN114)*$D$13</f>
        <v>0</v>
      </c>
      <c r="DP114" s="63"/>
      <c r="DQ114" s="796" t="s">
        <v>1634</v>
      </c>
      <c r="DR114" s="72">
        <f t="shared" ref="DR114" ca="1" si="3813">($M114=DQ114)*$D$13</f>
        <v>0</v>
      </c>
      <c r="DS114" s="63"/>
      <c r="DT114" s="73" t="s">
        <v>1634</v>
      </c>
      <c r="DU114" s="72">
        <f t="shared" ref="DU114" ca="1" si="3814">($M114=DT114)*$D$13</f>
        <v>0</v>
      </c>
      <c r="DV114" s="63"/>
      <c r="DW114" s="73"/>
      <c r="DX114" s="72">
        <f t="shared" ref="DX114" ca="1" si="3815">($M114=DW114)*$D$13</f>
        <v>0</v>
      </c>
      <c r="DY114" s="63"/>
      <c r="DZ114" s="73"/>
      <c r="EA114" s="72">
        <f ca="1">($M114=DZ114)*$D$13</f>
        <v>0</v>
      </c>
      <c r="EB114" s="63"/>
      <c r="EC114" s="73"/>
      <c r="ED114" s="72">
        <f t="shared" ref="ED114" ca="1" si="3816">($M114=EC114)*$D$13</f>
        <v>0</v>
      </c>
      <c r="EE114" s="63"/>
      <c r="EF114" s="73"/>
      <c r="EG114" s="72">
        <f t="shared" ref="EG114" ca="1" si="3817">($M114=EF114)*$D$13</f>
        <v>0</v>
      </c>
      <c r="EH114" s="63"/>
      <c r="EI114" s="73"/>
      <c r="EJ114" s="72">
        <f t="shared" ref="EJ114" ca="1" si="3818">($M114=EI114)*$D$13</f>
        <v>0</v>
      </c>
      <c r="EK114" s="63"/>
      <c r="EL114" s="73"/>
      <c r="EM114" s="72">
        <f t="shared" ref="EM114" ca="1" si="3819">($M114=EL114)*$D$13</f>
        <v>0</v>
      </c>
      <c r="EN114" s="63"/>
      <c r="EO114" s="73"/>
      <c r="EP114" s="72">
        <f t="shared" ref="EP114" ca="1" si="3820">($M114=EO114)*$D$13</f>
        <v>0</v>
      </c>
      <c r="EQ114" s="63"/>
      <c r="ER114" s="73"/>
      <c r="ES114" s="72">
        <f t="shared" ref="ES114" ca="1" si="3821">($M114=ER114)*$D$13</f>
        <v>0</v>
      </c>
      <c r="ET114" s="63"/>
      <c r="EU114" s="73"/>
      <c r="EV114" s="72">
        <f t="shared" ref="EV114" ca="1" si="3822">($M114=EU114)*$D$13</f>
        <v>0</v>
      </c>
      <c r="EW114" s="63"/>
      <c r="EX114" s="73"/>
      <c r="EY114" s="72">
        <f t="shared" ref="EY114" ca="1" si="3823">($M114=EX114)*$D$13</f>
        <v>0</v>
      </c>
      <c r="EZ114" s="63"/>
      <c r="FA114" s="73"/>
      <c r="FB114" s="72">
        <f t="shared" ref="FB114" ca="1" si="3824">($M114=FA114)*$D$13</f>
        <v>0</v>
      </c>
      <c r="FC114" s="63"/>
      <c r="FD114" s="73"/>
      <c r="FE114" s="72">
        <f t="shared" ref="FE114" ca="1" si="3825">($M114=FD114)*$D$13</f>
        <v>0</v>
      </c>
      <c r="FF114" s="63"/>
      <c r="FG114" s="73"/>
      <c r="FH114" s="72">
        <f t="shared" ref="FH114" ca="1" si="3826">($M114=FG114)*$D$13</f>
        <v>0</v>
      </c>
      <c r="FI114" s="63"/>
      <c r="FJ114" s="73"/>
      <c r="FK114" s="72">
        <f t="shared" ref="FK114" ca="1" si="3827">($M114=FJ114)*$D$13</f>
        <v>0</v>
      </c>
      <c r="FL114" s="63"/>
      <c r="FM114" s="73"/>
      <c r="FN114" s="72">
        <f t="shared" ref="FN114" ca="1" si="3828">($M114=FM114)*$D$13</f>
        <v>0</v>
      </c>
      <c r="FO114" s="63"/>
      <c r="FP114" s="73"/>
      <c r="FQ114" s="72">
        <f t="shared" ref="FQ114" ca="1" si="3829">($M114=FP114)*$D$13</f>
        <v>0</v>
      </c>
      <c r="FR114" s="63"/>
      <c r="FS114" s="73"/>
      <c r="FT114" s="72">
        <f t="shared" ref="FT114" ca="1" si="3830">($M114=FS114)*$D$13</f>
        <v>0</v>
      </c>
      <c r="FU114" s="63"/>
      <c r="FV114" s="73"/>
      <c r="FW114" s="72">
        <f t="shared" ref="FW114" ca="1" si="3831">($M114=FV114)*$D$13</f>
        <v>0</v>
      </c>
      <c r="FX114" s="63"/>
      <c r="FY114" s="73"/>
      <c r="FZ114" s="72">
        <f t="shared" ref="FZ114" ca="1" si="3832">($M114=FY114)*$D$13</f>
        <v>0</v>
      </c>
      <c r="GA114" s="63"/>
      <c r="GB114" s="73"/>
      <c r="GC114" s="72">
        <f t="shared" ref="GC114" ca="1" si="3833">($M114=GB114)*$D$13</f>
        <v>0</v>
      </c>
      <c r="GD114" s="63"/>
      <c r="GE114" s="73"/>
      <c r="GF114" s="72">
        <f t="shared" ref="GF114" ca="1" si="3834">($M114=GE114)*$D$13</f>
        <v>0</v>
      </c>
      <c r="GG114" s="63"/>
      <c r="GH114" s="73"/>
      <c r="GI114" s="72">
        <f t="shared" ref="GI114" ca="1" si="3835">($M114=GH114)*$D$13</f>
        <v>0</v>
      </c>
      <c r="GJ114" s="63"/>
      <c r="GK114" s="73"/>
      <c r="GL114" s="72">
        <f t="shared" ref="GL114" ca="1" si="3836">($M114=GK114)*$D$13</f>
        <v>0</v>
      </c>
      <c r="GM114" s="63"/>
      <c r="GN114" s="73"/>
      <c r="GO114" s="72">
        <f t="shared" ref="GO114" ca="1" si="3837">($M114=GN114)*$D$13</f>
        <v>0</v>
      </c>
      <c r="GP114" s="63"/>
      <c r="GQ114" s="73"/>
      <c r="GR114" s="72">
        <f t="shared" ref="GR114" ca="1" si="3838">($M114=GQ114)*$D$13</f>
        <v>0</v>
      </c>
      <c r="GS114" s="63"/>
      <c r="GT114" s="73"/>
      <c r="GU114" s="72">
        <f t="shared" ref="GU114" ca="1" si="3839">($M114=GT114)*$D$13</f>
        <v>0</v>
      </c>
      <c r="GV114" s="63"/>
      <c r="GW114" s="73"/>
      <c r="GX114" s="72">
        <f t="shared" ref="GX114" ca="1" si="3840">($M114=GW114)*$D$13</f>
        <v>0</v>
      </c>
      <c r="GY114" s="63"/>
      <c r="GZ114" s="73"/>
      <c r="HA114" s="72">
        <f t="shared" ref="HA114" ca="1" si="3841">($M114=GZ114)*$D$13</f>
        <v>0</v>
      </c>
      <c r="HB114" s="63"/>
      <c r="HC114" s="73"/>
      <c r="HD114" s="72">
        <f t="shared" ref="HD114" ca="1" si="3842">($M114=HC114)*$D$13</f>
        <v>0</v>
      </c>
      <c r="HE114" s="63"/>
      <c r="HF114" s="73"/>
      <c r="HG114" s="72">
        <f t="shared" ref="HG114" ca="1" si="3843">($M114=HF114)*$D$13</f>
        <v>0</v>
      </c>
      <c r="HH114" s="63"/>
      <c r="HI114" s="73"/>
      <c r="HJ114" s="72">
        <f t="shared" ref="HJ114" ca="1" si="3844">($M114=HI114)*$D$13</f>
        <v>0</v>
      </c>
      <c r="HK114" s="63"/>
      <c r="HL114" s="73"/>
      <c r="HM114" s="72">
        <f t="shared" ref="HM114" ca="1" si="3845">($M114=HL114)*$D$13</f>
        <v>0</v>
      </c>
      <c r="HN114" s="63"/>
      <c r="HO114" s="73"/>
      <c r="HP114" s="72">
        <f t="shared" ref="HP114" ca="1" si="3846">($M114=HO114)*$D$13</f>
        <v>0</v>
      </c>
      <c r="HQ114" s="63"/>
      <c r="HR114" s="73"/>
      <c r="HS114" s="72">
        <f t="shared" ref="HS114" ca="1" si="3847">($M114=HR114)*$D$13</f>
        <v>0</v>
      </c>
      <c r="HT114" s="63"/>
      <c r="HU114" s="73"/>
      <c r="HV114" s="72">
        <f t="shared" ref="HV114" ca="1" si="3848">($M114=HU114)*$D$13</f>
        <v>0</v>
      </c>
      <c r="HW114" s="63"/>
      <c r="HX114" s="73"/>
      <c r="HY114" s="72">
        <f t="shared" ref="HY114" ca="1" si="3849">($M114=HX114)*$D$13</f>
        <v>0</v>
      </c>
      <c r="HZ114" s="63"/>
      <c r="IA114" s="73"/>
      <c r="IB114" s="72">
        <f t="shared" ref="IB114" ca="1" si="3850">($M114=IA114)*$D$13</f>
        <v>0</v>
      </c>
      <c r="IC114" s="63"/>
      <c r="ID114" s="73"/>
      <c r="IE114" s="72">
        <f t="shared" ref="IE114" ca="1" si="3851">($M114=ID114)*$D$13</f>
        <v>0</v>
      </c>
      <c r="IF114" s="63"/>
      <c r="IG114" s="73"/>
      <c r="IH114" s="72">
        <f t="shared" ref="IH114" ca="1" si="3852">($M114=IG114)*$D$13</f>
        <v>0</v>
      </c>
      <c r="II114" s="63"/>
      <c r="IJ114" s="73"/>
      <c r="IK114" s="72">
        <f t="shared" ref="IK114" ca="1" si="3853">($M114=IJ114)*$D$13</f>
        <v>0</v>
      </c>
      <c r="IL114" s="63"/>
      <c r="IM114" s="73"/>
      <c r="IN114" s="72">
        <f t="shared" ref="IN114" ca="1" si="3854">($M114=IM114)*$D$13</f>
        <v>0</v>
      </c>
      <c r="IO114" s="63"/>
      <c r="IP114" s="73"/>
      <c r="IQ114" s="72">
        <f t="shared" ref="IQ114" ca="1" si="3855">($M114=IP114)*$D$13</f>
        <v>0</v>
      </c>
      <c r="IR114" s="63"/>
      <c r="IS114" s="73"/>
      <c r="IT114" s="72">
        <f t="shared" ref="IT114" ca="1" si="3856">($M114=IS114)*$D$13</f>
        <v>0</v>
      </c>
      <c r="IU114" s="63"/>
      <c r="IV114" s="73"/>
      <c r="IW114" s="72">
        <f t="shared" ref="IW114" ca="1" si="3857">($M114=IV114)*$D$13</f>
        <v>0</v>
      </c>
      <c r="IX114" s="63"/>
      <c r="IY114" s="73"/>
      <c r="IZ114" s="72">
        <f t="shared" ref="IZ114" ca="1" si="3858">($M114=IY114)*$D$13</f>
        <v>0</v>
      </c>
      <c r="JA114" s="63"/>
      <c r="JB114" s="73"/>
      <c r="JC114" s="72">
        <f t="shared" ref="JC114" ca="1" si="3859">($M114=JB114)*$D$13</f>
        <v>0</v>
      </c>
      <c r="JD114" s="63"/>
      <c r="JE114" s="73"/>
      <c r="JF114" s="72">
        <f t="shared" ref="JF114" ca="1" si="3860">($M114=JE114)*$D$13</f>
        <v>0</v>
      </c>
      <c r="JG114" s="63"/>
      <c r="JH114" s="73"/>
      <c r="JI114" s="72">
        <f t="shared" ref="JI114" ca="1" si="3861">($M114=JH114)*$D$13</f>
        <v>0</v>
      </c>
      <c r="JJ114" s="63"/>
      <c r="JK114" s="73"/>
      <c r="JL114" s="72">
        <f t="shared" ref="JL114" ca="1" si="3862">($M114=JK114)*$D$13</f>
        <v>0</v>
      </c>
      <c r="JM114" s="63"/>
      <c r="JN114" s="73"/>
      <c r="JO114" s="72">
        <f t="shared" ref="JO114" ca="1" si="3863">($M114=JN114)*$D$13</f>
        <v>0</v>
      </c>
      <c r="JP114" s="63"/>
      <c r="JQ114" s="73"/>
      <c r="JR114" s="72">
        <f t="shared" ref="JR114" ca="1" si="3864">($M114=JQ114)*$D$13</f>
        <v>0</v>
      </c>
      <c r="JS114" s="63"/>
      <c r="JT114" s="73"/>
      <c r="JU114" s="72">
        <f t="shared" ref="JU114" ca="1" si="3865">($M114=JT114)*$D$13</f>
        <v>0</v>
      </c>
      <c r="JV114" s="63"/>
      <c r="JW114" s="73"/>
      <c r="JX114" s="72">
        <f t="shared" ref="JX114" ca="1" si="3866">($M114=JW114)*$D$13</f>
        <v>0</v>
      </c>
      <c r="JY114" s="63"/>
      <c r="JZ114" s="73"/>
      <c r="KA114" s="72">
        <f t="shared" ref="KA114" ca="1" si="3867">($M114=JZ114)*$D$13</f>
        <v>0</v>
      </c>
      <c r="KB114" s="63"/>
      <c r="KC114" s="73"/>
      <c r="KD114" s="72">
        <f t="shared" ref="KD114" ca="1" si="3868">($M114=KC114)*$D$13</f>
        <v>0</v>
      </c>
      <c r="KE114" s="63"/>
      <c r="KF114" s="73"/>
      <c r="KG114" s="72">
        <f t="shared" ref="KG114" ca="1" si="3869">($M114=KF114)*$D$13</f>
        <v>0</v>
      </c>
      <c r="KH114" s="63"/>
      <c r="KI114" s="73"/>
      <c r="KJ114" s="72">
        <f t="shared" ref="KJ114" ca="1" si="3870">($M114=KI114)*$D$13</f>
        <v>0</v>
      </c>
      <c r="KK114" s="63"/>
      <c r="KL114" s="73"/>
      <c r="KM114" s="72">
        <f t="shared" ref="KM114" ca="1" si="3871">($M114=KL114)*$D$13</f>
        <v>0</v>
      </c>
      <c r="KN114" s="63"/>
      <c r="KO114" s="73"/>
      <c r="KP114" s="72">
        <f t="shared" ref="KP114" ca="1" si="3872">($M114=KO114)*$D$13</f>
        <v>0</v>
      </c>
      <c r="KQ114" s="63"/>
      <c r="KR114" s="73"/>
      <c r="KS114" s="72">
        <f t="shared" ref="KS114" ca="1" si="3873">($M114=KR114)*$D$13</f>
        <v>0</v>
      </c>
      <c r="KT114" s="63"/>
      <c r="KU114" s="73"/>
      <c r="KV114" s="72">
        <f t="shared" ref="KV114" ca="1" si="3874">($M114=KU114)*$D$13</f>
        <v>0</v>
      </c>
      <c r="KW114" s="63"/>
      <c r="KX114" s="73"/>
      <c r="KY114" s="72">
        <f t="shared" ref="KY114" ca="1" si="3875">($M114=KX114)*$D$13</f>
        <v>0</v>
      </c>
      <c r="KZ114" s="63"/>
      <c r="LA114" s="73"/>
      <c r="LB114" s="72">
        <f t="shared" ref="LB114" ca="1" si="3876">($M114=LA114)*$D$13</f>
        <v>0</v>
      </c>
      <c r="LC114" s="63"/>
      <c r="LD114" s="73"/>
      <c r="LE114" s="72">
        <f t="shared" ref="LE114" ca="1" si="3877">($M114=LD114)*$D$13</f>
        <v>0</v>
      </c>
      <c r="LF114" s="63"/>
    </row>
    <row r="115" spans="1:318" s="784" customFormat="1">
      <c r="A115" s="49"/>
      <c r="B115" s="49"/>
      <c r="C115" s="49"/>
      <c r="D115" s="49"/>
      <c r="E115" s="64"/>
      <c r="F115" s="125">
        <f t="shared" ref="F115" si="3878">$D$14</f>
        <v>20</v>
      </c>
      <c r="G115" s="443">
        <f ca="1">VLOOKUP(H115,Equipos!$Q$1:$R$25,2,0)</f>
        <v>16</v>
      </c>
      <c r="H115" s="444">
        <f ca="1">$H$70</f>
        <v>46199</v>
      </c>
      <c r="I115" s="50"/>
      <c r="J115" s="846"/>
      <c r="K115" s="56" t="str">
        <f>Idiomas!D185</f>
        <v>4º GRUPO I</v>
      </c>
      <c r="L115" s="53"/>
      <c r="M115" s="55" t="str">
        <f ca="1">IF(OR(SUM(WORLDCUP!$AN$70:$AN$73)=12,WORLDCUP!$AJ$99=144),WORLDCUP!AL73,LEFT(K115,1)&amp;RIGHT(K115,1))</f>
        <v>4I</v>
      </c>
      <c r="N115" s="25"/>
      <c r="O115" s="25"/>
      <c r="P115" s="25"/>
      <c r="Q115" s="25"/>
      <c r="R115" s="108"/>
      <c r="S115" s="796" t="s">
        <v>1757</v>
      </c>
      <c r="T115" s="72">
        <f t="shared" ref="T115" ca="1" si="3879">($M115=S115)*$D$14</f>
        <v>0</v>
      </c>
      <c r="U115" s="63"/>
      <c r="V115" s="73" t="s">
        <v>1757</v>
      </c>
      <c r="W115" s="72">
        <f t="shared" ref="W115" ca="1" si="3880">($M115=V115)*$D$14</f>
        <v>0</v>
      </c>
      <c r="X115" s="63"/>
      <c r="Y115" s="796" t="s">
        <v>1757</v>
      </c>
      <c r="Z115" s="72">
        <f t="shared" ref="Z115" ca="1" si="3881">($M115=Y115)*$D$14</f>
        <v>0</v>
      </c>
      <c r="AA115" s="63"/>
      <c r="AB115" s="796" t="s">
        <v>1757</v>
      </c>
      <c r="AC115" s="72">
        <f t="shared" ref="AC115" ca="1" si="3882">($M115=AB115)*$D$14</f>
        <v>0</v>
      </c>
      <c r="AD115" s="63"/>
      <c r="AE115" s="796" t="s">
        <v>1757</v>
      </c>
      <c r="AF115" s="72">
        <f t="shared" ref="AF115" ca="1" si="3883">($M115=AE115)*$D$14</f>
        <v>0</v>
      </c>
      <c r="AG115" s="63"/>
      <c r="AH115" s="796" t="s">
        <v>1757</v>
      </c>
      <c r="AI115" s="72">
        <f t="shared" ref="AI115" ca="1" si="3884">($M115=AH115)*$D$14</f>
        <v>0</v>
      </c>
      <c r="AJ115" s="63"/>
      <c r="AK115" s="806" t="s">
        <v>1757</v>
      </c>
      <c r="AL115" s="72">
        <f t="shared" ref="AL115" ca="1" si="3885">($M115=AK115)*$D$14</f>
        <v>0</v>
      </c>
      <c r="AM115" s="63"/>
      <c r="AN115" s="796" t="s">
        <v>1757</v>
      </c>
      <c r="AO115" s="72">
        <f t="shared" ref="AO115" ca="1" si="3886">($M115=AN115)*$D$14</f>
        <v>0</v>
      </c>
      <c r="AP115" s="63"/>
      <c r="AQ115" s="806" t="s">
        <v>1757</v>
      </c>
      <c r="AR115" s="72">
        <f t="shared" ref="AR115" ca="1" si="3887">($M115=AQ115)*$D$14</f>
        <v>0</v>
      </c>
      <c r="AS115" s="63"/>
      <c r="AT115" s="796" t="s">
        <v>1757</v>
      </c>
      <c r="AU115" s="72">
        <f t="shared" ref="AU115" ca="1" si="3888">($M115=AT115)*$D$14</f>
        <v>0</v>
      </c>
      <c r="AV115" s="63"/>
      <c r="AW115" s="796" t="s">
        <v>1757</v>
      </c>
      <c r="AX115" s="72">
        <f t="shared" ref="AX115" ca="1" si="3889">($M115=AW115)*$D$14</f>
        <v>0</v>
      </c>
      <c r="AY115" s="63"/>
      <c r="AZ115" s="796" t="s">
        <v>74</v>
      </c>
      <c r="BA115" s="72">
        <f t="shared" ref="BA115" ca="1" si="3890">($M115=AZ115)*$D$14</f>
        <v>0</v>
      </c>
      <c r="BB115" s="63"/>
      <c r="BC115" s="796" t="s">
        <v>1757</v>
      </c>
      <c r="BD115" s="72">
        <f t="shared" ref="BD115" ca="1" si="3891">($M115=BC115)*$D$14</f>
        <v>0</v>
      </c>
      <c r="BE115" s="63"/>
      <c r="BF115" s="796" t="s">
        <v>1757</v>
      </c>
      <c r="BG115" s="72">
        <f t="shared" ref="BG115" ca="1" si="3892">($M115=BF115)*$D$14</f>
        <v>0</v>
      </c>
      <c r="BH115" s="63"/>
      <c r="BI115" s="796" t="s">
        <v>1757</v>
      </c>
      <c r="BJ115" s="72">
        <f t="shared" ref="BJ115" ca="1" si="3893">($M115=BI115)*$D$14</f>
        <v>0</v>
      </c>
      <c r="BK115" s="63"/>
      <c r="BL115" s="796" t="s">
        <v>1757</v>
      </c>
      <c r="BM115" s="72">
        <f t="shared" ref="BM115" ca="1" si="3894">($M115=BL115)*$D$14</f>
        <v>0</v>
      </c>
      <c r="BN115" s="63"/>
      <c r="BO115" s="816" t="s">
        <v>1757</v>
      </c>
      <c r="BP115" s="72">
        <f t="shared" ref="BP115" ca="1" si="3895">($M115=BO115)*$D$14</f>
        <v>0</v>
      </c>
      <c r="BQ115" s="63"/>
      <c r="BR115" s="796" t="s">
        <v>1757</v>
      </c>
      <c r="BS115" s="72">
        <f t="shared" ref="BS115" ca="1" si="3896">($M115=BR115)*$D$14</f>
        <v>0</v>
      </c>
      <c r="BT115" s="63"/>
      <c r="BU115" s="796" t="s">
        <v>1757</v>
      </c>
      <c r="BV115" s="72">
        <f t="shared" ref="BV115" ca="1" si="3897">($M115=BU115)*$D$14</f>
        <v>0</v>
      </c>
      <c r="BW115" s="63"/>
      <c r="BX115" s="73" t="s">
        <v>1757</v>
      </c>
      <c r="BY115" s="72">
        <f t="shared" ref="BY115" ca="1" si="3898">($M115=BX115)*$D$14</f>
        <v>0</v>
      </c>
      <c r="BZ115" s="63"/>
      <c r="CA115" s="816" t="s">
        <v>1757</v>
      </c>
      <c r="CB115" s="72">
        <f t="shared" ref="CB115" ca="1" si="3899">($M115=CA115)*$D$14</f>
        <v>0</v>
      </c>
      <c r="CC115" s="63"/>
      <c r="CD115" s="825" t="s">
        <v>1634</v>
      </c>
      <c r="CE115" s="72">
        <f t="shared" ref="CE115" ca="1" si="3900">($M115=CD115)*$D$14</f>
        <v>0</v>
      </c>
      <c r="CF115" s="63"/>
      <c r="CG115" s="796" t="s">
        <v>1757</v>
      </c>
      <c r="CH115" s="72">
        <f t="shared" ref="CH115" ca="1" si="3901">($M115=CG115)*$D$14</f>
        <v>0</v>
      </c>
      <c r="CI115" s="63"/>
      <c r="CJ115" s="796" t="s">
        <v>1757</v>
      </c>
      <c r="CK115" s="72">
        <f t="shared" ref="CK115" ca="1" si="3902">($M115=CJ115)*$D$14</f>
        <v>0</v>
      </c>
      <c r="CL115" s="63"/>
      <c r="CM115" s="796" t="s">
        <v>1757</v>
      </c>
      <c r="CN115" s="72">
        <f t="shared" ref="CN115" ca="1" si="3903">($M115=CM115)*$D$14</f>
        <v>0</v>
      </c>
      <c r="CO115" s="63"/>
      <c r="CP115" s="796" t="s">
        <v>1757</v>
      </c>
      <c r="CQ115" s="72">
        <f t="shared" ref="CQ115" ca="1" si="3904">($M115=CP115)*$D$14</f>
        <v>0</v>
      </c>
      <c r="CR115" s="63"/>
      <c r="CS115" s="796" t="s">
        <v>1757</v>
      </c>
      <c r="CT115" s="72">
        <f t="shared" ref="CT115" ca="1" si="3905">($M115=CS115)*$D$14</f>
        <v>0</v>
      </c>
      <c r="CU115" s="63"/>
      <c r="CV115" s="796" t="s">
        <v>1757</v>
      </c>
      <c r="CW115" s="72">
        <f t="shared" ref="CW115" ca="1" si="3906">($M115=CV115)*$D$14</f>
        <v>0</v>
      </c>
      <c r="CX115" s="63"/>
      <c r="CY115" s="796" t="s">
        <v>1757</v>
      </c>
      <c r="CZ115" s="72">
        <f t="shared" ref="CZ115" ca="1" si="3907">($M115=CY115)*$D$14</f>
        <v>0</v>
      </c>
      <c r="DA115" s="63"/>
      <c r="DB115" s="796" t="s">
        <v>1757</v>
      </c>
      <c r="DC115" s="72">
        <f t="shared" ref="DC115" ca="1" si="3908">($M115=DB115)*$D$14</f>
        <v>0</v>
      </c>
      <c r="DD115" s="63"/>
      <c r="DE115" s="796" t="s">
        <v>1757</v>
      </c>
      <c r="DF115" s="72">
        <f ca="1">($M115=DE115)*$D$14</f>
        <v>0</v>
      </c>
      <c r="DG115" s="63"/>
      <c r="DH115" s="796" t="s">
        <v>1757</v>
      </c>
      <c r="DI115" s="72">
        <f ca="1">($M115=DH115)*$D$14</f>
        <v>0</v>
      </c>
      <c r="DJ115" s="63"/>
      <c r="DK115" s="796" t="s">
        <v>1757</v>
      </c>
      <c r="DL115" s="72">
        <f ca="1">($M115=DK115)*$D$14</f>
        <v>0</v>
      </c>
      <c r="DM115" s="63"/>
      <c r="DN115" s="73"/>
      <c r="DO115" s="72">
        <f t="shared" ref="DO115" ca="1" si="3909">($M115=DN115)*$D$14</f>
        <v>0</v>
      </c>
      <c r="DP115" s="63"/>
      <c r="DQ115" s="796" t="s">
        <v>1757</v>
      </c>
      <c r="DR115" s="72">
        <f t="shared" ref="DR115" ca="1" si="3910">($M115=DQ115)*$D$14</f>
        <v>0</v>
      </c>
      <c r="DS115" s="63"/>
      <c r="DT115" s="73" t="s">
        <v>1757</v>
      </c>
      <c r="DU115" s="72">
        <f t="shared" ref="DU115" ca="1" si="3911">($M115=DT115)*$D$14</f>
        <v>0</v>
      </c>
      <c r="DV115" s="63"/>
      <c r="DW115" s="73"/>
      <c r="DX115" s="72">
        <f t="shared" ref="DX115" ca="1" si="3912">($M115=DW115)*$D$14</f>
        <v>0</v>
      </c>
      <c r="DY115" s="63"/>
      <c r="DZ115" s="73"/>
      <c r="EA115" s="72">
        <f ca="1">($M115=DZ115)*$D$14</f>
        <v>0</v>
      </c>
      <c r="EB115" s="63"/>
      <c r="EC115" s="73"/>
      <c r="ED115" s="72">
        <f t="shared" ref="ED115" ca="1" si="3913">($M115=EC115)*$D$14</f>
        <v>0</v>
      </c>
      <c r="EE115" s="63"/>
      <c r="EF115" s="73"/>
      <c r="EG115" s="72">
        <f t="shared" ref="EG115" ca="1" si="3914">($M115=EF115)*$D$14</f>
        <v>0</v>
      </c>
      <c r="EH115" s="63"/>
      <c r="EI115" s="73"/>
      <c r="EJ115" s="72">
        <f t="shared" ref="EJ115" ca="1" si="3915">($M115=EI115)*$D$14</f>
        <v>0</v>
      </c>
      <c r="EK115" s="63"/>
      <c r="EL115" s="73"/>
      <c r="EM115" s="72">
        <f t="shared" ref="EM115" ca="1" si="3916">($M115=EL115)*$D$14</f>
        <v>0</v>
      </c>
      <c r="EN115" s="63"/>
      <c r="EO115" s="73"/>
      <c r="EP115" s="72">
        <f t="shared" ref="EP115" ca="1" si="3917">($M115=EO115)*$D$14</f>
        <v>0</v>
      </c>
      <c r="EQ115" s="63"/>
      <c r="ER115" s="73"/>
      <c r="ES115" s="72">
        <f t="shared" ref="ES115" ca="1" si="3918">($M115=ER115)*$D$14</f>
        <v>0</v>
      </c>
      <c r="ET115" s="63"/>
      <c r="EU115" s="73"/>
      <c r="EV115" s="72">
        <f t="shared" ref="EV115" ca="1" si="3919">($M115=EU115)*$D$14</f>
        <v>0</v>
      </c>
      <c r="EW115" s="63"/>
      <c r="EX115" s="73"/>
      <c r="EY115" s="72">
        <f t="shared" ref="EY115" ca="1" si="3920">($M115=EX115)*$D$14</f>
        <v>0</v>
      </c>
      <c r="EZ115" s="63"/>
      <c r="FA115" s="73"/>
      <c r="FB115" s="72">
        <f t="shared" ref="FB115" ca="1" si="3921">($M115=FA115)*$D$14</f>
        <v>0</v>
      </c>
      <c r="FC115" s="63"/>
      <c r="FD115" s="73"/>
      <c r="FE115" s="72">
        <f t="shared" ref="FE115" ca="1" si="3922">($M115=FD115)*$D$14</f>
        <v>0</v>
      </c>
      <c r="FF115" s="63"/>
      <c r="FG115" s="73"/>
      <c r="FH115" s="72">
        <f t="shared" ref="FH115" ca="1" si="3923">($M115=FG115)*$D$14</f>
        <v>0</v>
      </c>
      <c r="FI115" s="63"/>
      <c r="FJ115" s="73"/>
      <c r="FK115" s="72">
        <f t="shared" ref="FK115" ca="1" si="3924">($M115=FJ115)*$D$14</f>
        <v>0</v>
      </c>
      <c r="FL115" s="63"/>
      <c r="FM115" s="73"/>
      <c r="FN115" s="72">
        <f t="shared" ref="FN115" ca="1" si="3925">($M115=FM115)*$D$14</f>
        <v>0</v>
      </c>
      <c r="FO115" s="63"/>
      <c r="FP115" s="73"/>
      <c r="FQ115" s="72">
        <f t="shared" ref="FQ115" ca="1" si="3926">($M115=FP115)*$D$14</f>
        <v>0</v>
      </c>
      <c r="FR115" s="63"/>
      <c r="FS115" s="73"/>
      <c r="FT115" s="72">
        <f t="shared" ref="FT115" ca="1" si="3927">($M115=FS115)*$D$14</f>
        <v>0</v>
      </c>
      <c r="FU115" s="63"/>
      <c r="FV115" s="73"/>
      <c r="FW115" s="72">
        <f t="shared" ref="FW115" ca="1" si="3928">($M115=FV115)*$D$14</f>
        <v>0</v>
      </c>
      <c r="FX115" s="63"/>
      <c r="FY115" s="73"/>
      <c r="FZ115" s="72">
        <f t="shared" ref="FZ115" ca="1" si="3929">($M115=FY115)*$D$14</f>
        <v>0</v>
      </c>
      <c r="GA115" s="63"/>
      <c r="GB115" s="73"/>
      <c r="GC115" s="72">
        <f t="shared" ref="GC115" ca="1" si="3930">($M115=GB115)*$D$14</f>
        <v>0</v>
      </c>
      <c r="GD115" s="63"/>
      <c r="GE115" s="73"/>
      <c r="GF115" s="72">
        <f t="shared" ref="GF115" ca="1" si="3931">($M115=GE115)*$D$14</f>
        <v>0</v>
      </c>
      <c r="GG115" s="63"/>
      <c r="GH115" s="73"/>
      <c r="GI115" s="72">
        <f t="shared" ref="GI115" ca="1" si="3932">($M115=GH115)*$D$14</f>
        <v>0</v>
      </c>
      <c r="GJ115" s="63"/>
      <c r="GK115" s="73"/>
      <c r="GL115" s="72">
        <f t="shared" ref="GL115" ca="1" si="3933">($M115=GK115)*$D$14</f>
        <v>0</v>
      </c>
      <c r="GM115" s="63"/>
      <c r="GN115" s="73"/>
      <c r="GO115" s="72">
        <f t="shared" ref="GO115" ca="1" si="3934">($M115=GN115)*$D$14</f>
        <v>0</v>
      </c>
      <c r="GP115" s="63"/>
      <c r="GQ115" s="73"/>
      <c r="GR115" s="72">
        <f t="shared" ref="GR115" ca="1" si="3935">($M115=GQ115)*$D$14</f>
        <v>0</v>
      </c>
      <c r="GS115" s="63"/>
      <c r="GT115" s="73"/>
      <c r="GU115" s="72">
        <f t="shared" ref="GU115" ca="1" si="3936">($M115=GT115)*$D$14</f>
        <v>0</v>
      </c>
      <c r="GV115" s="63"/>
      <c r="GW115" s="73"/>
      <c r="GX115" s="72">
        <f t="shared" ref="GX115" ca="1" si="3937">($M115=GW115)*$D$14</f>
        <v>0</v>
      </c>
      <c r="GY115" s="63"/>
      <c r="GZ115" s="73"/>
      <c r="HA115" s="72">
        <f t="shared" ref="HA115" ca="1" si="3938">($M115=GZ115)*$D$14</f>
        <v>0</v>
      </c>
      <c r="HB115" s="63"/>
      <c r="HC115" s="73"/>
      <c r="HD115" s="72">
        <f t="shared" ref="HD115" ca="1" si="3939">($M115=HC115)*$D$14</f>
        <v>0</v>
      </c>
      <c r="HE115" s="63"/>
      <c r="HF115" s="73"/>
      <c r="HG115" s="72">
        <f t="shared" ref="HG115" ca="1" si="3940">($M115=HF115)*$D$14</f>
        <v>0</v>
      </c>
      <c r="HH115" s="63"/>
      <c r="HI115" s="73"/>
      <c r="HJ115" s="72">
        <f t="shared" ref="HJ115" ca="1" si="3941">($M115=HI115)*$D$14</f>
        <v>0</v>
      </c>
      <c r="HK115" s="63"/>
      <c r="HL115" s="73"/>
      <c r="HM115" s="72">
        <f t="shared" ref="HM115" ca="1" si="3942">($M115=HL115)*$D$14</f>
        <v>0</v>
      </c>
      <c r="HN115" s="63"/>
      <c r="HO115" s="73"/>
      <c r="HP115" s="72">
        <f t="shared" ref="HP115" ca="1" si="3943">($M115=HO115)*$D$14</f>
        <v>0</v>
      </c>
      <c r="HQ115" s="63"/>
      <c r="HR115" s="73"/>
      <c r="HS115" s="72">
        <f t="shared" ref="HS115" ca="1" si="3944">($M115=HR115)*$D$14</f>
        <v>0</v>
      </c>
      <c r="HT115" s="63"/>
      <c r="HU115" s="73"/>
      <c r="HV115" s="72">
        <f t="shared" ref="HV115" ca="1" si="3945">($M115=HU115)*$D$14</f>
        <v>0</v>
      </c>
      <c r="HW115" s="63"/>
      <c r="HX115" s="73"/>
      <c r="HY115" s="72">
        <f t="shared" ref="HY115" ca="1" si="3946">($M115=HX115)*$D$14</f>
        <v>0</v>
      </c>
      <c r="HZ115" s="63"/>
      <c r="IA115" s="73"/>
      <c r="IB115" s="72">
        <f t="shared" ref="IB115" ca="1" si="3947">($M115=IA115)*$D$14</f>
        <v>0</v>
      </c>
      <c r="IC115" s="63"/>
      <c r="ID115" s="73"/>
      <c r="IE115" s="72">
        <f t="shared" ref="IE115" ca="1" si="3948">($M115=ID115)*$D$14</f>
        <v>0</v>
      </c>
      <c r="IF115" s="63"/>
      <c r="IG115" s="73"/>
      <c r="IH115" s="72">
        <f t="shared" ref="IH115" ca="1" si="3949">($M115=IG115)*$D$14</f>
        <v>0</v>
      </c>
      <c r="II115" s="63"/>
      <c r="IJ115" s="73"/>
      <c r="IK115" s="72">
        <f t="shared" ref="IK115" ca="1" si="3950">($M115=IJ115)*$D$14</f>
        <v>0</v>
      </c>
      <c r="IL115" s="63"/>
      <c r="IM115" s="73"/>
      <c r="IN115" s="72">
        <f t="shared" ref="IN115" ca="1" si="3951">($M115=IM115)*$D$14</f>
        <v>0</v>
      </c>
      <c r="IO115" s="63"/>
      <c r="IP115" s="73"/>
      <c r="IQ115" s="72">
        <f t="shared" ref="IQ115" ca="1" si="3952">($M115=IP115)*$D$14</f>
        <v>0</v>
      </c>
      <c r="IR115" s="63"/>
      <c r="IS115" s="73"/>
      <c r="IT115" s="72">
        <f t="shared" ref="IT115" ca="1" si="3953">($M115=IS115)*$D$14</f>
        <v>0</v>
      </c>
      <c r="IU115" s="63"/>
      <c r="IV115" s="73"/>
      <c r="IW115" s="72">
        <f t="shared" ref="IW115" ca="1" si="3954">($M115=IV115)*$D$14</f>
        <v>0</v>
      </c>
      <c r="IX115" s="63"/>
      <c r="IY115" s="73"/>
      <c r="IZ115" s="72">
        <f t="shared" ref="IZ115" ca="1" si="3955">($M115=IY115)*$D$14</f>
        <v>0</v>
      </c>
      <c r="JA115" s="63"/>
      <c r="JB115" s="73"/>
      <c r="JC115" s="72">
        <f t="shared" ref="JC115" ca="1" si="3956">($M115=JB115)*$D$14</f>
        <v>0</v>
      </c>
      <c r="JD115" s="63"/>
      <c r="JE115" s="73"/>
      <c r="JF115" s="72">
        <f t="shared" ref="JF115" ca="1" si="3957">($M115=JE115)*$D$14</f>
        <v>0</v>
      </c>
      <c r="JG115" s="63"/>
      <c r="JH115" s="73"/>
      <c r="JI115" s="72">
        <f t="shared" ref="JI115" ca="1" si="3958">($M115=JH115)*$D$14</f>
        <v>0</v>
      </c>
      <c r="JJ115" s="63"/>
      <c r="JK115" s="73"/>
      <c r="JL115" s="72">
        <f t="shared" ref="JL115" ca="1" si="3959">($M115=JK115)*$D$14</f>
        <v>0</v>
      </c>
      <c r="JM115" s="63"/>
      <c r="JN115" s="73"/>
      <c r="JO115" s="72">
        <f t="shared" ref="JO115" ca="1" si="3960">($M115=JN115)*$D$14</f>
        <v>0</v>
      </c>
      <c r="JP115" s="63"/>
      <c r="JQ115" s="73"/>
      <c r="JR115" s="72">
        <f t="shared" ref="JR115" ca="1" si="3961">($M115=JQ115)*$D$14</f>
        <v>0</v>
      </c>
      <c r="JS115" s="63"/>
      <c r="JT115" s="73"/>
      <c r="JU115" s="72">
        <f t="shared" ref="JU115" ca="1" si="3962">($M115=JT115)*$D$14</f>
        <v>0</v>
      </c>
      <c r="JV115" s="63"/>
      <c r="JW115" s="73"/>
      <c r="JX115" s="72">
        <f t="shared" ref="JX115" ca="1" si="3963">($M115=JW115)*$D$14</f>
        <v>0</v>
      </c>
      <c r="JY115" s="63"/>
      <c r="JZ115" s="73"/>
      <c r="KA115" s="72">
        <f t="shared" ref="KA115" ca="1" si="3964">($M115=JZ115)*$D$14</f>
        <v>0</v>
      </c>
      <c r="KB115" s="63"/>
      <c r="KC115" s="73"/>
      <c r="KD115" s="72">
        <f t="shared" ref="KD115" ca="1" si="3965">($M115=KC115)*$D$14</f>
        <v>0</v>
      </c>
      <c r="KE115" s="63"/>
      <c r="KF115" s="73"/>
      <c r="KG115" s="72">
        <f t="shared" ref="KG115" ca="1" si="3966">($M115=KF115)*$D$14</f>
        <v>0</v>
      </c>
      <c r="KH115" s="63"/>
      <c r="KI115" s="73"/>
      <c r="KJ115" s="72">
        <f t="shared" ref="KJ115" ca="1" si="3967">($M115=KI115)*$D$14</f>
        <v>0</v>
      </c>
      <c r="KK115" s="63"/>
      <c r="KL115" s="73"/>
      <c r="KM115" s="72">
        <f t="shared" ref="KM115" ca="1" si="3968">($M115=KL115)*$D$14</f>
        <v>0</v>
      </c>
      <c r="KN115" s="63"/>
      <c r="KO115" s="73"/>
      <c r="KP115" s="72">
        <f t="shared" ref="KP115" ca="1" si="3969">($M115=KO115)*$D$14</f>
        <v>0</v>
      </c>
      <c r="KQ115" s="63"/>
      <c r="KR115" s="73"/>
      <c r="KS115" s="72">
        <f t="shared" ref="KS115" ca="1" si="3970">($M115=KR115)*$D$14</f>
        <v>0</v>
      </c>
      <c r="KT115" s="63"/>
      <c r="KU115" s="73"/>
      <c r="KV115" s="72">
        <f t="shared" ref="KV115" ca="1" si="3971">($M115=KU115)*$D$14</f>
        <v>0</v>
      </c>
      <c r="KW115" s="63"/>
      <c r="KX115" s="73"/>
      <c r="KY115" s="72">
        <f t="shared" ref="KY115" ca="1" si="3972">($M115=KX115)*$D$14</f>
        <v>0</v>
      </c>
      <c r="KZ115" s="63"/>
      <c r="LA115" s="73"/>
      <c r="LB115" s="72">
        <f t="shared" ref="LB115" ca="1" si="3973">($M115=LA115)*$D$14</f>
        <v>0</v>
      </c>
      <c r="LC115" s="63"/>
      <c r="LD115" s="73"/>
      <c r="LE115" s="72">
        <f t="shared" ref="LE115" ca="1" si="3974">($M115=LD115)*$D$14</f>
        <v>0</v>
      </c>
      <c r="LF115" s="63"/>
    </row>
    <row r="116" spans="1:318" s="784" customFormat="1">
      <c r="A116" s="49"/>
      <c r="B116" s="49"/>
      <c r="C116" s="49"/>
      <c r="D116" s="49"/>
      <c r="E116" s="64"/>
      <c r="F116" s="125">
        <f t="shared" ref="F116" si="3975">$D$11</f>
        <v>20</v>
      </c>
      <c r="G116" s="443">
        <f ca="1">VLOOKUP(H116,Equipos!$Q$1:$R$25,2,0)</f>
        <v>17</v>
      </c>
      <c r="H116" s="444">
        <f ca="1">$H$72</f>
        <v>46200</v>
      </c>
      <c r="I116" s="50"/>
      <c r="J116" s="845" t="s">
        <v>5</v>
      </c>
      <c r="K116" s="56" t="str">
        <f>Idiomas!D186</f>
        <v>1º GRUPO J</v>
      </c>
      <c r="L116" s="53"/>
      <c r="M116" s="55" t="str">
        <f ca="1">IF(OR(SUM(WORLDCUP!$AN$78:$AN$81)=12,WORLDCUP!$AJ$99=144),WORLDCUP!AL78,LEFT(K116,1)&amp;RIGHT(K116,1))</f>
        <v>1J</v>
      </c>
      <c r="N116" s="25"/>
      <c r="O116" s="25"/>
      <c r="P116" s="25"/>
      <c r="Q116" s="25"/>
      <c r="R116" s="108"/>
      <c r="S116" s="796" t="s">
        <v>1256</v>
      </c>
      <c r="T116" s="72">
        <f t="shared" ref="T116" ca="1" si="3976">($M116=S116)*$D$11</f>
        <v>0</v>
      </c>
      <c r="U116" s="63"/>
      <c r="V116" s="73" t="s">
        <v>1256</v>
      </c>
      <c r="W116" s="72">
        <f t="shared" ref="W116" ca="1" si="3977">($M116=V116)*$D$11</f>
        <v>0</v>
      </c>
      <c r="X116" s="63"/>
      <c r="Y116" s="796" t="s">
        <v>1256</v>
      </c>
      <c r="Z116" s="72">
        <f t="shared" ref="Z116" ca="1" si="3978">($M116=Y116)*$D$11</f>
        <v>0</v>
      </c>
      <c r="AA116" s="63"/>
      <c r="AB116" s="796" t="s">
        <v>1256</v>
      </c>
      <c r="AC116" s="72">
        <f t="shared" ref="AC116" ca="1" si="3979">($M116=AB116)*$D$11</f>
        <v>0</v>
      </c>
      <c r="AD116" s="63"/>
      <c r="AE116" s="796" t="s">
        <v>1256</v>
      </c>
      <c r="AF116" s="72">
        <f t="shared" ref="AF116" ca="1" si="3980">($M116=AE116)*$D$11</f>
        <v>0</v>
      </c>
      <c r="AG116" s="63"/>
      <c r="AH116" s="796" t="s">
        <v>1256</v>
      </c>
      <c r="AI116" s="72">
        <f t="shared" ref="AI116" ca="1" si="3981">($M116=AH116)*$D$11</f>
        <v>0</v>
      </c>
      <c r="AJ116" s="63"/>
      <c r="AK116" s="806" t="s">
        <v>1256</v>
      </c>
      <c r="AL116" s="72">
        <f t="shared" ref="AL116" ca="1" si="3982">($M116=AK116)*$D$11</f>
        <v>0</v>
      </c>
      <c r="AM116" s="63"/>
      <c r="AN116" s="796" t="s">
        <v>1256</v>
      </c>
      <c r="AO116" s="72">
        <f t="shared" ref="AO116" ca="1" si="3983">($M116=AN116)*$D$11</f>
        <v>0</v>
      </c>
      <c r="AP116" s="63"/>
      <c r="AQ116" s="806" t="s">
        <v>1256</v>
      </c>
      <c r="AR116" s="72">
        <f t="shared" ref="AR116" ca="1" si="3984">($M116=AQ116)*$D$11</f>
        <v>0</v>
      </c>
      <c r="AS116" s="63"/>
      <c r="AT116" s="796" t="s">
        <v>1256</v>
      </c>
      <c r="AU116" s="72">
        <f t="shared" ref="AU116" ca="1" si="3985">($M116=AT116)*$D$11</f>
        <v>0</v>
      </c>
      <c r="AV116" s="63"/>
      <c r="AW116" s="796" t="s">
        <v>1256</v>
      </c>
      <c r="AX116" s="72">
        <f t="shared" ref="AX116" ca="1" si="3986">($M116=AW116)*$D$11</f>
        <v>0</v>
      </c>
      <c r="AY116" s="63"/>
      <c r="AZ116" s="796" t="s">
        <v>1264</v>
      </c>
      <c r="BA116" s="72">
        <f t="shared" ref="BA116" ca="1" si="3987">($M116=AZ116)*$D$11</f>
        <v>0</v>
      </c>
      <c r="BB116" s="63"/>
      <c r="BC116" s="796" t="s">
        <v>1256</v>
      </c>
      <c r="BD116" s="72">
        <f t="shared" ref="BD116" ca="1" si="3988">($M116=BC116)*$D$11</f>
        <v>0</v>
      </c>
      <c r="BE116" s="63"/>
      <c r="BF116" s="796" t="s">
        <v>1256</v>
      </c>
      <c r="BG116" s="72">
        <f t="shared" ref="BG116" ca="1" si="3989">($M116=BF116)*$D$11</f>
        <v>0</v>
      </c>
      <c r="BH116" s="63"/>
      <c r="BI116" s="796" t="s">
        <v>1256</v>
      </c>
      <c r="BJ116" s="72">
        <f t="shared" ref="BJ116" ca="1" si="3990">($M116=BI116)*$D$11</f>
        <v>0</v>
      </c>
      <c r="BK116" s="63"/>
      <c r="BL116" s="796" t="s">
        <v>1256</v>
      </c>
      <c r="BM116" s="72">
        <f t="shared" ref="BM116" ca="1" si="3991">($M116=BL116)*$D$11</f>
        <v>0</v>
      </c>
      <c r="BN116" s="63"/>
      <c r="BO116" s="816" t="s">
        <v>1256</v>
      </c>
      <c r="BP116" s="72">
        <f t="shared" ref="BP116" ca="1" si="3992">($M116=BO116)*$D$11</f>
        <v>0</v>
      </c>
      <c r="BQ116" s="63"/>
      <c r="BR116" s="796" t="s">
        <v>1256</v>
      </c>
      <c r="BS116" s="72">
        <f t="shared" ref="BS116" ca="1" si="3993">($M116=BR116)*$D$11</f>
        <v>0</v>
      </c>
      <c r="BT116" s="63"/>
      <c r="BU116" s="796" t="s">
        <v>1256</v>
      </c>
      <c r="BV116" s="72">
        <f t="shared" ref="BV116" ca="1" si="3994">($M116=BU116)*$D$11</f>
        <v>0</v>
      </c>
      <c r="BW116" s="63"/>
      <c r="BX116" s="73" t="s">
        <v>1256</v>
      </c>
      <c r="BY116" s="72">
        <f t="shared" ref="BY116" ca="1" si="3995">($M116=BX116)*$D$11</f>
        <v>0</v>
      </c>
      <c r="BZ116" s="63"/>
      <c r="CA116" s="816" t="s">
        <v>1256</v>
      </c>
      <c r="CB116" s="72">
        <f t="shared" ref="CB116" ca="1" si="3996">($M116=CA116)*$D$11</f>
        <v>0</v>
      </c>
      <c r="CC116" s="63"/>
      <c r="CD116" s="825" t="s">
        <v>1256</v>
      </c>
      <c r="CE116" s="72">
        <f t="shared" ref="CE116" ca="1" si="3997">($M116=CD116)*$D$11</f>
        <v>0</v>
      </c>
      <c r="CF116" s="63"/>
      <c r="CG116" s="796" t="s">
        <v>1256</v>
      </c>
      <c r="CH116" s="72">
        <f t="shared" ref="CH116" ca="1" si="3998">($M116=CG116)*$D$11</f>
        <v>0</v>
      </c>
      <c r="CI116" s="63"/>
      <c r="CJ116" s="796" t="s">
        <v>1256</v>
      </c>
      <c r="CK116" s="72">
        <f t="shared" ref="CK116" ca="1" si="3999">($M116=CJ116)*$D$11</f>
        <v>0</v>
      </c>
      <c r="CL116" s="63"/>
      <c r="CM116" s="796" t="s">
        <v>1256</v>
      </c>
      <c r="CN116" s="72">
        <f t="shared" ref="CN116" ca="1" si="4000">($M116=CM116)*$D$11</f>
        <v>0</v>
      </c>
      <c r="CO116" s="63"/>
      <c r="CP116" s="796" t="s">
        <v>1256</v>
      </c>
      <c r="CQ116" s="72">
        <f t="shared" ref="CQ116" ca="1" si="4001">($M116=CP116)*$D$11</f>
        <v>0</v>
      </c>
      <c r="CR116" s="63"/>
      <c r="CS116" s="796" t="s">
        <v>1256</v>
      </c>
      <c r="CT116" s="72">
        <f t="shared" ref="CT116" ca="1" si="4002">($M116=CS116)*$D$11</f>
        <v>0</v>
      </c>
      <c r="CU116" s="63"/>
      <c r="CV116" s="796" t="s">
        <v>1256</v>
      </c>
      <c r="CW116" s="72">
        <f t="shared" ref="CW116" ca="1" si="4003">($M116=CV116)*$D$11</f>
        <v>0</v>
      </c>
      <c r="CX116" s="63"/>
      <c r="CY116" s="796" t="s">
        <v>1256</v>
      </c>
      <c r="CZ116" s="72">
        <f t="shared" ref="CZ116" ca="1" si="4004">($M116=CY116)*$D$11</f>
        <v>0</v>
      </c>
      <c r="DA116" s="63"/>
      <c r="DB116" s="796" t="s">
        <v>1256</v>
      </c>
      <c r="DC116" s="72">
        <f t="shared" ref="DC116" ca="1" si="4005">($M116=DB116)*$D$11</f>
        <v>0</v>
      </c>
      <c r="DD116" s="63"/>
      <c r="DE116" s="796" t="s">
        <v>1256</v>
      </c>
      <c r="DF116" s="72">
        <f ca="1">($M116=DE116)*$D$11</f>
        <v>0</v>
      </c>
      <c r="DG116" s="63"/>
      <c r="DH116" s="796" t="s">
        <v>1256</v>
      </c>
      <c r="DI116" s="72">
        <f ca="1">($M116=DH116)*$D$11</f>
        <v>0</v>
      </c>
      <c r="DJ116" s="63"/>
      <c r="DK116" s="796" t="s">
        <v>1256</v>
      </c>
      <c r="DL116" s="72">
        <f ca="1">($M116=DK116)*$D$11</f>
        <v>0</v>
      </c>
      <c r="DM116" s="63"/>
      <c r="DN116" s="73"/>
      <c r="DO116" s="72">
        <f t="shared" ref="DO116" ca="1" si="4006">($M116=DN116)*$D$11</f>
        <v>0</v>
      </c>
      <c r="DP116" s="63"/>
      <c r="DQ116" s="796" t="s">
        <v>1256</v>
      </c>
      <c r="DR116" s="72">
        <f t="shared" ref="DR116" ca="1" si="4007">($M116=DQ116)*$D$11</f>
        <v>0</v>
      </c>
      <c r="DS116" s="63"/>
      <c r="DT116" s="73" t="s">
        <v>1256</v>
      </c>
      <c r="DU116" s="72">
        <f t="shared" ref="DU116" ca="1" si="4008">($M116=DT116)*$D$11</f>
        <v>0</v>
      </c>
      <c r="DV116" s="63"/>
      <c r="DW116" s="73"/>
      <c r="DX116" s="72">
        <f t="shared" ref="DX116" ca="1" si="4009">($M116=DW116)*$D$11</f>
        <v>0</v>
      </c>
      <c r="DY116" s="63"/>
      <c r="DZ116" s="73"/>
      <c r="EA116" s="72">
        <f ca="1">($M116=DZ116)*$D$11</f>
        <v>0</v>
      </c>
      <c r="EB116" s="63"/>
      <c r="EC116" s="73"/>
      <c r="ED116" s="72">
        <f t="shared" ref="ED116" ca="1" si="4010">($M116=EC116)*$D$11</f>
        <v>0</v>
      </c>
      <c r="EE116" s="63"/>
      <c r="EF116" s="73"/>
      <c r="EG116" s="72">
        <f t="shared" ref="EG116" ca="1" si="4011">($M116=EF116)*$D$11</f>
        <v>0</v>
      </c>
      <c r="EH116" s="63"/>
      <c r="EI116" s="73"/>
      <c r="EJ116" s="72">
        <f t="shared" ref="EJ116" ca="1" si="4012">($M116=EI116)*$D$11</f>
        <v>0</v>
      </c>
      <c r="EK116" s="63"/>
      <c r="EL116" s="73"/>
      <c r="EM116" s="72">
        <f t="shared" ref="EM116" ca="1" si="4013">($M116=EL116)*$D$11</f>
        <v>0</v>
      </c>
      <c r="EN116" s="63"/>
      <c r="EO116" s="73"/>
      <c r="EP116" s="72">
        <f t="shared" ref="EP116" ca="1" si="4014">($M116=EO116)*$D$11</f>
        <v>0</v>
      </c>
      <c r="EQ116" s="63"/>
      <c r="ER116" s="73"/>
      <c r="ES116" s="72">
        <f t="shared" ref="ES116" ca="1" si="4015">($M116=ER116)*$D$11</f>
        <v>0</v>
      </c>
      <c r="ET116" s="63"/>
      <c r="EU116" s="73"/>
      <c r="EV116" s="72">
        <f t="shared" ref="EV116" ca="1" si="4016">($M116=EU116)*$D$11</f>
        <v>0</v>
      </c>
      <c r="EW116" s="63"/>
      <c r="EX116" s="73"/>
      <c r="EY116" s="72">
        <f t="shared" ref="EY116" ca="1" si="4017">($M116=EX116)*$D$11</f>
        <v>0</v>
      </c>
      <c r="EZ116" s="63"/>
      <c r="FA116" s="73"/>
      <c r="FB116" s="72">
        <f t="shared" ref="FB116" ca="1" si="4018">($M116=FA116)*$D$11</f>
        <v>0</v>
      </c>
      <c r="FC116" s="63"/>
      <c r="FD116" s="73"/>
      <c r="FE116" s="72">
        <f t="shared" ref="FE116" ca="1" si="4019">($M116=FD116)*$D$11</f>
        <v>0</v>
      </c>
      <c r="FF116" s="63"/>
      <c r="FG116" s="73"/>
      <c r="FH116" s="72">
        <f t="shared" ref="FH116" ca="1" si="4020">($M116=FG116)*$D$11</f>
        <v>0</v>
      </c>
      <c r="FI116" s="63"/>
      <c r="FJ116" s="73"/>
      <c r="FK116" s="72">
        <f t="shared" ref="FK116" ca="1" si="4021">($M116=FJ116)*$D$11</f>
        <v>0</v>
      </c>
      <c r="FL116" s="63"/>
      <c r="FM116" s="73"/>
      <c r="FN116" s="72">
        <f t="shared" ref="FN116" ca="1" si="4022">($M116=FM116)*$D$11</f>
        <v>0</v>
      </c>
      <c r="FO116" s="63"/>
      <c r="FP116" s="73"/>
      <c r="FQ116" s="72">
        <f t="shared" ref="FQ116" ca="1" si="4023">($M116=FP116)*$D$11</f>
        <v>0</v>
      </c>
      <c r="FR116" s="63"/>
      <c r="FS116" s="73"/>
      <c r="FT116" s="72">
        <f t="shared" ref="FT116" ca="1" si="4024">($M116=FS116)*$D$11</f>
        <v>0</v>
      </c>
      <c r="FU116" s="63"/>
      <c r="FV116" s="73"/>
      <c r="FW116" s="72">
        <f t="shared" ref="FW116" ca="1" si="4025">($M116=FV116)*$D$11</f>
        <v>0</v>
      </c>
      <c r="FX116" s="63"/>
      <c r="FY116" s="73"/>
      <c r="FZ116" s="72">
        <f t="shared" ref="FZ116" ca="1" si="4026">($M116=FY116)*$D$11</f>
        <v>0</v>
      </c>
      <c r="GA116" s="63"/>
      <c r="GB116" s="73"/>
      <c r="GC116" s="72">
        <f t="shared" ref="GC116" ca="1" si="4027">($M116=GB116)*$D$11</f>
        <v>0</v>
      </c>
      <c r="GD116" s="63"/>
      <c r="GE116" s="73"/>
      <c r="GF116" s="72">
        <f t="shared" ref="GF116" ca="1" si="4028">($M116=GE116)*$D$11</f>
        <v>0</v>
      </c>
      <c r="GG116" s="63"/>
      <c r="GH116" s="73"/>
      <c r="GI116" s="72">
        <f t="shared" ref="GI116" ca="1" si="4029">($M116=GH116)*$D$11</f>
        <v>0</v>
      </c>
      <c r="GJ116" s="63"/>
      <c r="GK116" s="73"/>
      <c r="GL116" s="72">
        <f t="shared" ref="GL116" ca="1" si="4030">($M116=GK116)*$D$11</f>
        <v>0</v>
      </c>
      <c r="GM116" s="63"/>
      <c r="GN116" s="73"/>
      <c r="GO116" s="72">
        <f t="shared" ref="GO116" ca="1" si="4031">($M116=GN116)*$D$11</f>
        <v>0</v>
      </c>
      <c r="GP116" s="63"/>
      <c r="GQ116" s="73"/>
      <c r="GR116" s="72">
        <f t="shared" ref="GR116" ca="1" si="4032">($M116=GQ116)*$D$11</f>
        <v>0</v>
      </c>
      <c r="GS116" s="63"/>
      <c r="GT116" s="73"/>
      <c r="GU116" s="72">
        <f t="shared" ref="GU116" ca="1" si="4033">($M116=GT116)*$D$11</f>
        <v>0</v>
      </c>
      <c r="GV116" s="63"/>
      <c r="GW116" s="73"/>
      <c r="GX116" s="72">
        <f t="shared" ref="GX116" ca="1" si="4034">($M116=GW116)*$D$11</f>
        <v>0</v>
      </c>
      <c r="GY116" s="63"/>
      <c r="GZ116" s="73"/>
      <c r="HA116" s="72">
        <f t="shared" ref="HA116" ca="1" si="4035">($M116=GZ116)*$D$11</f>
        <v>0</v>
      </c>
      <c r="HB116" s="63"/>
      <c r="HC116" s="73"/>
      <c r="HD116" s="72">
        <f t="shared" ref="HD116" ca="1" si="4036">($M116=HC116)*$D$11</f>
        <v>0</v>
      </c>
      <c r="HE116" s="63"/>
      <c r="HF116" s="73"/>
      <c r="HG116" s="72">
        <f t="shared" ref="HG116" ca="1" si="4037">($M116=HF116)*$D$11</f>
        <v>0</v>
      </c>
      <c r="HH116" s="63"/>
      <c r="HI116" s="73"/>
      <c r="HJ116" s="72">
        <f t="shared" ref="HJ116" ca="1" si="4038">($M116=HI116)*$D$11</f>
        <v>0</v>
      </c>
      <c r="HK116" s="63"/>
      <c r="HL116" s="73"/>
      <c r="HM116" s="72">
        <f t="shared" ref="HM116" ca="1" si="4039">($M116=HL116)*$D$11</f>
        <v>0</v>
      </c>
      <c r="HN116" s="63"/>
      <c r="HO116" s="73"/>
      <c r="HP116" s="72">
        <f t="shared" ref="HP116" ca="1" si="4040">($M116=HO116)*$D$11</f>
        <v>0</v>
      </c>
      <c r="HQ116" s="63"/>
      <c r="HR116" s="73"/>
      <c r="HS116" s="72">
        <f t="shared" ref="HS116" ca="1" si="4041">($M116=HR116)*$D$11</f>
        <v>0</v>
      </c>
      <c r="HT116" s="63"/>
      <c r="HU116" s="73"/>
      <c r="HV116" s="72">
        <f t="shared" ref="HV116" ca="1" si="4042">($M116=HU116)*$D$11</f>
        <v>0</v>
      </c>
      <c r="HW116" s="63"/>
      <c r="HX116" s="73"/>
      <c r="HY116" s="72">
        <f t="shared" ref="HY116" ca="1" si="4043">($M116=HX116)*$D$11</f>
        <v>0</v>
      </c>
      <c r="HZ116" s="63"/>
      <c r="IA116" s="73"/>
      <c r="IB116" s="72">
        <f t="shared" ref="IB116" ca="1" si="4044">($M116=IA116)*$D$11</f>
        <v>0</v>
      </c>
      <c r="IC116" s="63"/>
      <c r="ID116" s="73"/>
      <c r="IE116" s="72">
        <f t="shared" ref="IE116" ca="1" si="4045">($M116=ID116)*$D$11</f>
        <v>0</v>
      </c>
      <c r="IF116" s="63"/>
      <c r="IG116" s="73"/>
      <c r="IH116" s="72">
        <f t="shared" ref="IH116" ca="1" si="4046">($M116=IG116)*$D$11</f>
        <v>0</v>
      </c>
      <c r="II116" s="63"/>
      <c r="IJ116" s="73"/>
      <c r="IK116" s="72">
        <f t="shared" ref="IK116" ca="1" si="4047">($M116=IJ116)*$D$11</f>
        <v>0</v>
      </c>
      <c r="IL116" s="63"/>
      <c r="IM116" s="73"/>
      <c r="IN116" s="72">
        <f t="shared" ref="IN116" ca="1" si="4048">($M116=IM116)*$D$11</f>
        <v>0</v>
      </c>
      <c r="IO116" s="63"/>
      <c r="IP116" s="73"/>
      <c r="IQ116" s="72">
        <f t="shared" ref="IQ116" ca="1" si="4049">($M116=IP116)*$D$11</f>
        <v>0</v>
      </c>
      <c r="IR116" s="63"/>
      <c r="IS116" s="73"/>
      <c r="IT116" s="72">
        <f t="shared" ref="IT116" ca="1" si="4050">($M116=IS116)*$D$11</f>
        <v>0</v>
      </c>
      <c r="IU116" s="63"/>
      <c r="IV116" s="73"/>
      <c r="IW116" s="72">
        <f t="shared" ref="IW116" ca="1" si="4051">($M116=IV116)*$D$11</f>
        <v>0</v>
      </c>
      <c r="IX116" s="63"/>
      <c r="IY116" s="73"/>
      <c r="IZ116" s="72">
        <f t="shared" ref="IZ116" ca="1" si="4052">($M116=IY116)*$D$11</f>
        <v>0</v>
      </c>
      <c r="JA116" s="63"/>
      <c r="JB116" s="73"/>
      <c r="JC116" s="72">
        <f t="shared" ref="JC116" ca="1" si="4053">($M116=JB116)*$D$11</f>
        <v>0</v>
      </c>
      <c r="JD116" s="63"/>
      <c r="JE116" s="73"/>
      <c r="JF116" s="72">
        <f t="shared" ref="JF116" ca="1" si="4054">($M116=JE116)*$D$11</f>
        <v>0</v>
      </c>
      <c r="JG116" s="63"/>
      <c r="JH116" s="73"/>
      <c r="JI116" s="72">
        <f t="shared" ref="JI116" ca="1" si="4055">($M116=JH116)*$D$11</f>
        <v>0</v>
      </c>
      <c r="JJ116" s="63"/>
      <c r="JK116" s="73"/>
      <c r="JL116" s="72">
        <f t="shared" ref="JL116" ca="1" si="4056">($M116=JK116)*$D$11</f>
        <v>0</v>
      </c>
      <c r="JM116" s="63"/>
      <c r="JN116" s="73"/>
      <c r="JO116" s="72">
        <f t="shared" ref="JO116" ca="1" si="4057">($M116=JN116)*$D$11</f>
        <v>0</v>
      </c>
      <c r="JP116" s="63"/>
      <c r="JQ116" s="73"/>
      <c r="JR116" s="72">
        <f t="shared" ref="JR116" ca="1" si="4058">($M116=JQ116)*$D$11</f>
        <v>0</v>
      </c>
      <c r="JS116" s="63"/>
      <c r="JT116" s="73"/>
      <c r="JU116" s="72">
        <f t="shared" ref="JU116" ca="1" si="4059">($M116=JT116)*$D$11</f>
        <v>0</v>
      </c>
      <c r="JV116" s="63"/>
      <c r="JW116" s="73"/>
      <c r="JX116" s="72">
        <f t="shared" ref="JX116" ca="1" si="4060">($M116=JW116)*$D$11</f>
        <v>0</v>
      </c>
      <c r="JY116" s="63"/>
      <c r="JZ116" s="73"/>
      <c r="KA116" s="72">
        <f t="shared" ref="KA116" ca="1" si="4061">($M116=JZ116)*$D$11</f>
        <v>0</v>
      </c>
      <c r="KB116" s="63"/>
      <c r="KC116" s="73"/>
      <c r="KD116" s="72">
        <f t="shared" ref="KD116" ca="1" si="4062">($M116=KC116)*$D$11</f>
        <v>0</v>
      </c>
      <c r="KE116" s="63"/>
      <c r="KF116" s="73"/>
      <c r="KG116" s="72">
        <f t="shared" ref="KG116" ca="1" si="4063">($M116=KF116)*$D$11</f>
        <v>0</v>
      </c>
      <c r="KH116" s="63"/>
      <c r="KI116" s="73"/>
      <c r="KJ116" s="72">
        <f t="shared" ref="KJ116" ca="1" si="4064">($M116=KI116)*$D$11</f>
        <v>0</v>
      </c>
      <c r="KK116" s="63"/>
      <c r="KL116" s="73"/>
      <c r="KM116" s="72">
        <f t="shared" ref="KM116" ca="1" si="4065">($M116=KL116)*$D$11</f>
        <v>0</v>
      </c>
      <c r="KN116" s="63"/>
      <c r="KO116" s="73"/>
      <c r="KP116" s="72">
        <f t="shared" ref="KP116" ca="1" si="4066">($M116=KO116)*$D$11</f>
        <v>0</v>
      </c>
      <c r="KQ116" s="63"/>
      <c r="KR116" s="73"/>
      <c r="KS116" s="72">
        <f t="shared" ref="KS116" ca="1" si="4067">($M116=KR116)*$D$11</f>
        <v>0</v>
      </c>
      <c r="KT116" s="63"/>
      <c r="KU116" s="73"/>
      <c r="KV116" s="72">
        <f t="shared" ref="KV116" ca="1" si="4068">($M116=KU116)*$D$11</f>
        <v>0</v>
      </c>
      <c r="KW116" s="63"/>
      <c r="KX116" s="73"/>
      <c r="KY116" s="72">
        <f t="shared" ref="KY116" ca="1" si="4069">($M116=KX116)*$D$11</f>
        <v>0</v>
      </c>
      <c r="KZ116" s="63"/>
      <c r="LA116" s="73"/>
      <c r="LB116" s="72">
        <f t="shared" ref="LB116" ca="1" si="4070">($M116=LA116)*$D$11</f>
        <v>0</v>
      </c>
      <c r="LC116" s="63"/>
      <c r="LD116" s="73"/>
      <c r="LE116" s="72">
        <f t="shared" ref="LE116" ca="1" si="4071">($M116=LD116)*$D$11</f>
        <v>0</v>
      </c>
      <c r="LF116" s="63"/>
    </row>
    <row r="117" spans="1:318" s="784" customFormat="1">
      <c r="A117" s="49"/>
      <c r="B117" s="49"/>
      <c r="C117" s="49"/>
      <c r="D117" s="49"/>
      <c r="E117" s="64"/>
      <c r="F117" s="125">
        <f t="shared" ref="F117" si="4072">$D$12</f>
        <v>20</v>
      </c>
      <c r="G117" s="443">
        <f ca="1">VLOOKUP(H117,Equipos!$Q$1:$R$25,2,0)</f>
        <v>17</v>
      </c>
      <c r="H117" s="444">
        <f ca="1">$H$72</f>
        <v>46200</v>
      </c>
      <c r="I117" s="50"/>
      <c r="J117" s="845"/>
      <c r="K117" s="56" t="str">
        <f>Idiomas!D187</f>
        <v>2º GRUPO J</v>
      </c>
      <c r="L117" s="53"/>
      <c r="M117" s="55" t="str">
        <f ca="1">IF(OR(SUM(WORLDCUP!$AN$78:$AN$81)=12,WORLDCUP!$AJ$99=144),WORLDCUP!AL79,LEFT(K117,1)&amp;RIGHT(K117,1))</f>
        <v>2J</v>
      </c>
      <c r="N117" s="25"/>
      <c r="O117" s="25"/>
      <c r="P117" s="25"/>
      <c r="Q117" s="25"/>
      <c r="R117" s="108"/>
      <c r="S117" s="796" t="s">
        <v>80</v>
      </c>
      <c r="T117" s="72">
        <f t="shared" ref="T117" ca="1" si="4073">($M117=S117)*$D$12</f>
        <v>0</v>
      </c>
      <c r="U117" s="63"/>
      <c r="V117" s="73" t="s">
        <v>80</v>
      </c>
      <c r="W117" s="72">
        <f t="shared" ref="W117" ca="1" si="4074">($M117=V117)*$D$12</f>
        <v>0</v>
      </c>
      <c r="X117" s="63"/>
      <c r="Y117" s="796" t="s">
        <v>1558</v>
      </c>
      <c r="Z117" s="72">
        <f t="shared" ref="Z117" ca="1" si="4075">($M117=Y117)*$D$12</f>
        <v>0</v>
      </c>
      <c r="AA117" s="63"/>
      <c r="AB117" s="796" t="s">
        <v>80</v>
      </c>
      <c r="AC117" s="72">
        <f t="shared" ref="AC117" ca="1" si="4076">($M117=AB117)*$D$12</f>
        <v>0</v>
      </c>
      <c r="AD117" s="63"/>
      <c r="AE117" s="796" t="s">
        <v>1264</v>
      </c>
      <c r="AF117" s="72">
        <f t="shared" ref="AF117" ca="1" si="4077">($M117=AE117)*$D$12</f>
        <v>0</v>
      </c>
      <c r="AG117" s="63"/>
      <c r="AH117" s="796" t="s">
        <v>80</v>
      </c>
      <c r="AI117" s="72">
        <f t="shared" ref="AI117" ca="1" si="4078">($M117=AH117)*$D$12</f>
        <v>0</v>
      </c>
      <c r="AJ117" s="63"/>
      <c r="AK117" s="806" t="s">
        <v>1558</v>
      </c>
      <c r="AL117" s="72">
        <f t="shared" ref="AL117" ca="1" si="4079">($M117=AK117)*$D$12</f>
        <v>0</v>
      </c>
      <c r="AM117" s="63"/>
      <c r="AN117" s="796" t="s">
        <v>80</v>
      </c>
      <c r="AO117" s="72">
        <f t="shared" ref="AO117" ca="1" si="4080">($M117=AN117)*$D$12</f>
        <v>0</v>
      </c>
      <c r="AP117" s="63"/>
      <c r="AQ117" s="806" t="s">
        <v>80</v>
      </c>
      <c r="AR117" s="72">
        <f t="shared" ref="AR117" ca="1" si="4081">($M117=AQ117)*$D$12</f>
        <v>0</v>
      </c>
      <c r="AS117" s="63"/>
      <c r="AT117" s="796" t="s">
        <v>1558</v>
      </c>
      <c r="AU117" s="72">
        <f t="shared" ref="AU117" ca="1" si="4082">($M117=AT117)*$D$12</f>
        <v>0</v>
      </c>
      <c r="AV117" s="63"/>
      <c r="AW117" s="796" t="s">
        <v>1558</v>
      </c>
      <c r="AX117" s="72">
        <f t="shared" ref="AX117" ca="1" si="4083">($M117=AW117)*$D$12</f>
        <v>0</v>
      </c>
      <c r="AY117" s="63"/>
      <c r="AZ117" s="796" t="s">
        <v>1558</v>
      </c>
      <c r="BA117" s="72">
        <f t="shared" ref="BA117" ca="1" si="4084">($M117=AZ117)*$D$12</f>
        <v>0</v>
      </c>
      <c r="BB117" s="63"/>
      <c r="BC117" s="796" t="s">
        <v>80</v>
      </c>
      <c r="BD117" s="72">
        <f t="shared" ref="BD117" ca="1" si="4085">($M117=BC117)*$D$12</f>
        <v>0</v>
      </c>
      <c r="BE117" s="63"/>
      <c r="BF117" s="796" t="s">
        <v>80</v>
      </c>
      <c r="BG117" s="72">
        <f t="shared" ref="BG117" ca="1" si="4086">($M117=BF117)*$D$12</f>
        <v>0</v>
      </c>
      <c r="BH117" s="63"/>
      <c r="BI117" s="796" t="s">
        <v>80</v>
      </c>
      <c r="BJ117" s="72">
        <f t="shared" ref="BJ117" ca="1" si="4087">($M117=BI117)*$D$12</f>
        <v>0</v>
      </c>
      <c r="BK117" s="63"/>
      <c r="BL117" s="796" t="s">
        <v>80</v>
      </c>
      <c r="BM117" s="72">
        <f t="shared" ref="BM117" ca="1" si="4088">($M117=BL117)*$D$12</f>
        <v>0</v>
      </c>
      <c r="BN117" s="63"/>
      <c r="BO117" s="816" t="s">
        <v>80</v>
      </c>
      <c r="BP117" s="72">
        <f t="shared" ref="BP117" ca="1" si="4089">($M117=BO117)*$D$12</f>
        <v>0</v>
      </c>
      <c r="BQ117" s="63"/>
      <c r="BR117" s="796" t="s">
        <v>1558</v>
      </c>
      <c r="BS117" s="72">
        <f t="shared" ref="BS117" ca="1" si="4090">($M117=BR117)*$D$12</f>
        <v>0</v>
      </c>
      <c r="BT117" s="63"/>
      <c r="BU117" s="796" t="s">
        <v>80</v>
      </c>
      <c r="BV117" s="72">
        <f t="shared" ref="BV117" ca="1" si="4091">($M117=BU117)*$D$12</f>
        <v>0</v>
      </c>
      <c r="BW117" s="63"/>
      <c r="BX117" s="73" t="s">
        <v>1558</v>
      </c>
      <c r="BY117" s="72">
        <f t="shared" ref="BY117" ca="1" si="4092">($M117=BX117)*$D$12</f>
        <v>0</v>
      </c>
      <c r="BZ117" s="63"/>
      <c r="CA117" s="816" t="s">
        <v>80</v>
      </c>
      <c r="CB117" s="72">
        <f t="shared" ref="CB117" ca="1" si="4093">($M117=CA117)*$D$12</f>
        <v>0</v>
      </c>
      <c r="CC117" s="63"/>
      <c r="CD117" s="825" t="s">
        <v>80</v>
      </c>
      <c r="CE117" s="72">
        <f t="shared" ref="CE117" ca="1" si="4094">($M117=CD117)*$D$12</f>
        <v>0</v>
      </c>
      <c r="CF117" s="63"/>
      <c r="CG117" s="796" t="s">
        <v>80</v>
      </c>
      <c r="CH117" s="72">
        <f t="shared" ref="CH117" ca="1" si="4095">($M117=CG117)*$D$12</f>
        <v>0</v>
      </c>
      <c r="CI117" s="63"/>
      <c r="CJ117" s="796" t="s">
        <v>1558</v>
      </c>
      <c r="CK117" s="72">
        <f t="shared" ref="CK117" ca="1" si="4096">($M117=CJ117)*$D$12</f>
        <v>0</v>
      </c>
      <c r="CL117" s="63"/>
      <c r="CM117" s="796" t="s">
        <v>1558</v>
      </c>
      <c r="CN117" s="72">
        <f t="shared" ref="CN117" ca="1" si="4097">($M117=CM117)*$D$12</f>
        <v>0</v>
      </c>
      <c r="CO117" s="63"/>
      <c r="CP117" s="796" t="s">
        <v>1558</v>
      </c>
      <c r="CQ117" s="72">
        <f t="shared" ref="CQ117" ca="1" si="4098">($M117=CP117)*$D$12</f>
        <v>0</v>
      </c>
      <c r="CR117" s="63"/>
      <c r="CS117" s="796" t="s">
        <v>80</v>
      </c>
      <c r="CT117" s="72">
        <f t="shared" ref="CT117" ca="1" si="4099">($M117=CS117)*$D$12</f>
        <v>0</v>
      </c>
      <c r="CU117" s="63"/>
      <c r="CV117" s="796" t="s">
        <v>1558</v>
      </c>
      <c r="CW117" s="72">
        <f t="shared" ref="CW117" ca="1" si="4100">($M117=CV117)*$D$12</f>
        <v>0</v>
      </c>
      <c r="CX117" s="63"/>
      <c r="CY117" s="796" t="s">
        <v>1558</v>
      </c>
      <c r="CZ117" s="72">
        <f t="shared" ref="CZ117" ca="1" si="4101">($M117=CY117)*$D$12</f>
        <v>0</v>
      </c>
      <c r="DA117" s="63"/>
      <c r="DB117" s="796" t="s">
        <v>80</v>
      </c>
      <c r="DC117" s="72">
        <f t="shared" ref="DC117" ca="1" si="4102">($M117=DB117)*$D$12</f>
        <v>0</v>
      </c>
      <c r="DD117" s="63"/>
      <c r="DE117" s="796" t="s">
        <v>80</v>
      </c>
      <c r="DF117" s="72">
        <f ca="1">($M117=DE117)*$D$12</f>
        <v>0</v>
      </c>
      <c r="DG117" s="63"/>
      <c r="DH117" s="796" t="s">
        <v>80</v>
      </c>
      <c r="DI117" s="72">
        <f ca="1">($M117=DH117)*$D$12</f>
        <v>0</v>
      </c>
      <c r="DJ117" s="63"/>
      <c r="DK117" s="796" t="s">
        <v>1558</v>
      </c>
      <c r="DL117" s="72">
        <f ca="1">($M117=DK117)*$D$12</f>
        <v>0</v>
      </c>
      <c r="DM117" s="63"/>
      <c r="DN117" s="73"/>
      <c r="DO117" s="72">
        <f t="shared" ref="DO117" ca="1" si="4103">($M117=DN117)*$D$12</f>
        <v>0</v>
      </c>
      <c r="DP117" s="63"/>
      <c r="DQ117" s="796" t="s">
        <v>1558</v>
      </c>
      <c r="DR117" s="72">
        <f t="shared" ref="DR117" ca="1" si="4104">($M117=DQ117)*$D$12</f>
        <v>0</v>
      </c>
      <c r="DS117" s="63"/>
      <c r="DT117" s="73" t="s">
        <v>80</v>
      </c>
      <c r="DU117" s="72">
        <f t="shared" ref="DU117" ca="1" si="4105">($M117=DT117)*$D$12</f>
        <v>0</v>
      </c>
      <c r="DV117" s="63"/>
      <c r="DW117" s="73"/>
      <c r="DX117" s="72">
        <f t="shared" ref="DX117" ca="1" si="4106">($M117=DW117)*$D$12</f>
        <v>0</v>
      </c>
      <c r="DY117" s="63"/>
      <c r="DZ117" s="73"/>
      <c r="EA117" s="72">
        <f ca="1">($M117=DZ117)*$D$12</f>
        <v>0</v>
      </c>
      <c r="EB117" s="63"/>
      <c r="EC117" s="73"/>
      <c r="ED117" s="72">
        <f t="shared" ref="ED117" ca="1" si="4107">($M117=EC117)*$D$12</f>
        <v>0</v>
      </c>
      <c r="EE117" s="63"/>
      <c r="EF117" s="73"/>
      <c r="EG117" s="72">
        <f t="shared" ref="EG117" ca="1" si="4108">($M117=EF117)*$D$12</f>
        <v>0</v>
      </c>
      <c r="EH117" s="63"/>
      <c r="EI117" s="73"/>
      <c r="EJ117" s="72">
        <f t="shared" ref="EJ117" ca="1" si="4109">($M117=EI117)*$D$12</f>
        <v>0</v>
      </c>
      <c r="EK117" s="63"/>
      <c r="EL117" s="73"/>
      <c r="EM117" s="72">
        <f t="shared" ref="EM117" ca="1" si="4110">($M117=EL117)*$D$12</f>
        <v>0</v>
      </c>
      <c r="EN117" s="63"/>
      <c r="EO117" s="73"/>
      <c r="EP117" s="72">
        <f t="shared" ref="EP117" ca="1" si="4111">($M117=EO117)*$D$12</f>
        <v>0</v>
      </c>
      <c r="EQ117" s="63"/>
      <c r="ER117" s="73"/>
      <c r="ES117" s="72">
        <f t="shared" ref="ES117" ca="1" si="4112">($M117=ER117)*$D$12</f>
        <v>0</v>
      </c>
      <c r="ET117" s="63"/>
      <c r="EU117" s="73"/>
      <c r="EV117" s="72">
        <f t="shared" ref="EV117" ca="1" si="4113">($M117=EU117)*$D$12</f>
        <v>0</v>
      </c>
      <c r="EW117" s="63"/>
      <c r="EX117" s="73"/>
      <c r="EY117" s="72">
        <f t="shared" ref="EY117" ca="1" si="4114">($M117=EX117)*$D$12</f>
        <v>0</v>
      </c>
      <c r="EZ117" s="63"/>
      <c r="FA117" s="73"/>
      <c r="FB117" s="72">
        <f t="shared" ref="FB117" ca="1" si="4115">($M117=FA117)*$D$12</f>
        <v>0</v>
      </c>
      <c r="FC117" s="63"/>
      <c r="FD117" s="73"/>
      <c r="FE117" s="72">
        <f t="shared" ref="FE117" ca="1" si="4116">($M117=FD117)*$D$12</f>
        <v>0</v>
      </c>
      <c r="FF117" s="63"/>
      <c r="FG117" s="73"/>
      <c r="FH117" s="72">
        <f t="shared" ref="FH117" ca="1" si="4117">($M117=FG117)*$D$12</f>
        <v>0</v>
      </c>
      <c r="FI117" s="63"/>
      <c r="FJ117" s="73"/>
      <c r="FK117" s="72">
        <f t="shared" ref="FK117" ca="1" si="4118">($M117=FJ117)*$D$12</f>
        <v>0</v>
      </c>
      <c r="FL117" s="63"/>
      <c r="FM117" s="73"/>
      <c r="FN117" s="72">
        <f t="shared" ref="FN117" ca="1" si="4119">($M117=FM117)*$D$12</f>
        <v>0</v>
      </c>
      <c r="FO117" s="63"/>
      <c r="FP117" s="73"/>
      <c r="FQ117" s="72">
        <f t="shared" ref="FQ117" ca="1" si="4120">($M117=FP117)*$D$12</f>
        <v>0</v>
      </c>
      <c r="FR117" s="63"/>
      <c r="FS117" s="73"/>
      <c r="FT117" s="72">
        <f t="shared" ref="FT117" ca="1" si="4121">($M117=FS117)*$D$12</f>
        <v>0</v>
      </c>
      <c r="FU117" s="63"/>
      <c r="FV117" s="73"/>
      <c r="FW117" s="72">
        <f t="shared" ref="FW117" ca="1" si="4122">($M117=FV117)*$D$12</f>
        <v>0</v>
      </c>
      <c r="FX117" s="63"/>
      <c r="FY117" s="73"/>
      <c r="FZ117" s="72">
        <f t="shared" ref="FZ117" ca="1" si="4123">($M117=FY117)*$D$12</f>
        <v>0</v>
      </c>
      <c r="GA117" s="63"/>
      <c r="GB117" s="73"/>
      <c r="GC117" s="72">
        <f t="shared" ref="GC117" ca="1" si="4124">($M117=GB117)*$D$12</f>
        <v>0</v>
      </c>
      <c r="GD117" s="63"/>
      <c r="GE117" s="73"/>
      <c r="GF117" s="72">
        <f t="shared" ref="GF117" ca="1" si="4125">($M117=GE117)*$D$12</f>
        <v>0</v>
      </c>
      <c r="GG117" s="63"/>
      <c r="GH117" s="73"/>
      <c r="GI117" s="72">
        <f t="shared" ref="GI117" ca="1" si="4126">($M117=GH117)*$D$12</f>
        <v>0</v>
      </c>
      <c r="GJ117" s="63"/>
      <c r="GK117" s="73"/>
      <c r="GL117" s="72">
        <f t="shared" ref="GL117" ca="1" si="4127">($M117=GK117)*$D$12</f>
        <v>0</v>
      </c>
      <c r="GM117" s="63"/>
      <c r="GN117" s="73"/>
      <c r="GO117" s="72">
        <f t="shared" ref="GO117" ca="1" si="4128">($M117=GN117)*$D$12</f>
        <v>0</v>
      </c>
      <c r="GP117" s="63"/>
      <c r="GQ117" s="73"/>
      <c r="GR117" s="72">
        <f t="shared" ref="GR117" ca="1" si="4129">($M117=GQ117)*$D$12</f>
        <v>0</v>
      </c>
      <c r="GS117" s="63"/>
      <c r="GT117" s="73"/>
      <c r="GU117" s="72">
        <f t="shared" ref="GU117" ca="1" si="4130">($M117=GT117)*$D$12</f>
        <v>0</v>
      </c>
      <c r="GV117" s="63"/>
      <c r="GW117" s="73"/>
      <c r="GX117" s="72">
        <f t="shared" ref="GX117" ca="1" si="4131">($M117=GW117)*$D$12</f>
        <v>0</v>
      </c>
      <c r="GY117" s="63"/>
      <c r="GZ117" s="73"/>
      <c r="HA117" s="72">
        <f t="shared" ref="HA117" ca="1" si="4132">($M117=GZ117)*$D$12</f>
        <v>0</v>
      </c>
      <c r="HB117" s="63"/>
      <c r="HC117" s="73"/>
      <c r="HD117" s="72">
        <f t="shared" ref="HD117" ca="1" si="4133">($M117=HC117)*$D$12</f>
        <v>0</v>
      </c>
      <c r="HE117" s="63"/>
      <c r="HF117" s="73"/>
      <c r="HG117" s="72">
        <f t="shared" ref="HG117" ca="1" si="4134">($M117=HF117)*$D$12</f>
        <v>0</v>
      </c>
      <c r="HH117" s="63"/>
      <c r="HI117" s="73"/>
      <c r="HJ117" s="72">
        <f t="shared" ref="HJ117" ca="1" si="4135">($M117=HI117)*$D$12</f>
        <v>0</v>
      </c>
      <c r="HK117" s="63"/>
      <c r="HL117" s="73"/>
      <c r="HM117" s="72">
        <f t="shared" ref="HM117" ca="1" si="4136">($M117=HL117)*$D$12</f>
        <v>0</v>
      </c>
      <c r="HN117" s="63"/>
      <c r="HO117" s="73"/>
      <c r="HP117" s="72">
        <f t="shared" ref="HP117" ca="1" si="4137">($M117=HO117)*$D$12</f>
        <v>0</v>
      </c>
      <c r="HQ117" s="63"/>
      <c r="HR117" s="73"/>
      <c r="HS117" s="72">
        <f t="shared" ref="HS117" ca="1" si="4138">($M117=HR117)*$D$12</f>
        <v>0</v>
      </c>
      <c r="HT117" s="63"/>
      <c r="HU117" s="73"/>
      <c r="HV117" s="72">
        <f t="shared" ref="HV117" ca="1" si="4139">($M117=HU117)*$D$12</f>
        <v>0</v>
      </c>
      <c r="HW117" s="63"/>
      <c r="HX117" s="73"/>
      <c r="HY117" s="72">
        <f t="shared" ref="HY117" ca="1" si="4140">($M117=HX117)*$D$12</f>
        <v>0</v>
      </c>
      <c r="HZ117" s="63"/>
      <c r="IA117" s="73"/>
      <c r="IB117" s="72">
        <f t="shared" ref="IB117" ca="1" si="4141">($M117=IA117)*$D$12</f>
        <v>0</v>
      </c>
      <c r="IC117" s="63"/>
      <c r="ID117" s="73"/>
      <c r="IE117" s="72">
        <f t="shared" ref="IE117" ca="1" si="4142">($M117=ID117)*$D$12</f>
        <v>0</v>
      </c>
      <c r="IF117" s="63"/>
      <c r="IG117" s="73"/>
      <c r="IH117" s="72">
        <f t="shared" ref="IH117" ca="1" si="4143">($M117=IG117)*$D$12</f>
        <v>0</v>
      </c>
      <c r="II117" s="63"/>
      <c r="IJ117" s="73"/>
      <c r="IK117" s="72">
        <f t="shared" ref="IK117" ca="1" si="4144">($M117=IJ117)*$D$12</f>
        <v>0</v>
      </c>
      <c r="IL117" s="63"/>
      <c r="IM117" s="73"/>
      <c r="IN117" s="72">
        <f t="shared" ref="IN117" ca="1" si="4145">($M117=IM117)*$D$12</f>
        <v>0</v>
      </c>
      <c r="IO117" s="63"/>
      <c r="IP117" s="73"/>
      <c r="IQ117" s="72">
        <f t="shared" ref="IQ117" ca="1" si="4146">($M117=IP117)*$D$12</f>
        <v>0</v>
      </c>
      <c r="IR117" s="63"/>
      <c r="IS117" s="73"/>
      <c r="IT117" s="72">
        <f t="shared" ref="IT117" ca="1" si="4147">($M117=IS117)*$D$12</f>
        <v>0</v>
      </c>
      <c r="IU117" s="63"/>
      <c r="IV117" s="73"/>
      <c r="IW117" s="72">
        <f t="shared" ref="IW117" ca="1" si="4148">($M117=IV117)*$D$12</f>
        <v>0</v>
      </c>
      <c r="IX117" s="63"/>
      <c r="IY117" s="73"/>
      <c r="IZ117" s="72">
        <f t="shared" ref="IZ117" ca="1" si="4149">($M117=IY117)*$D$12</f>
        <v>0</v>
      </c>
      <c r="JA117" s="63"/>
      <c r="JB117" s="73"/>
      <c r="JC117" s="72">
        <f t="shared" ref="JC117" ca="1" si="4150">($M117=JB117)*$D$12</f>
        <v>0</v>
      </c>
      <c r="JD117" s="63"/>
      <c r="JE117" s="73"/>
      <c r="JF117" s="72">
        <f t="shared" ref="JF117" ca="1" si="4151">($M117=JE117)*$D$12</f>
        <v>0</v>
      </c>
      <c r="JG117" s="63"/>
      <c r="JH117" s="73"/>
      <c r="JI117" s="72">
        <f t="shared" ref="JI117" ca="1" si="4152">($M117=JH117)*$D$12</f>
        <v>0</v>
      </c>
      <c r="JJ117" s="63"/>
      <c r="JK117" s="73"/>
      <c r="JL117" s="72">
        <f t="shared" ref="JL117" ca="1" si="4153">($M117=JK117)*$D$12</f>
        <v>0</v>
      </c>
      <c r="JM117" s="63"/>
      <c r="JN117" s="73"/>
      <c r="JO117" s="72">
        <f t="shared" ref="JO117" ca="1" si="4154">($M117=JN117)*$D$12</f>
        <v>0</v>
      </c>
      <c r="JP117" s="63"/>
      <c r="JQ117" s="73"/>
      <c r="JR117" s="72">
        <f t="shared" ref="JR117" ca="1" si="4155">($M117=JQ117)*$D$12</f>
        <v>0</v>
      </c>
      <c r="JS117" s="63"/>
      <c r="JT117" s="73"/>
      <c r="JU117" s="72">
        <f t="shared" ref="JU117" ca="1" si="4156">($M117=JT117)*$D$12</f>
        <v>0</v>
      </c>
      <c r="JV117" s="63"/>
      <c r="JW117" s="73"/>
      <c r="JX117" s="72">
        <f t="shared" ref="JX117" ca="1" si="4157">($M117=JW117)*$D$12</f>
        <v>0</v>
      </c>
      <c r="JY117" s="63"/>
      <c r="JZ117" s="73"/>
      <c r="KA117" s="72">
        <f t="shared" ref="KA117" ca="1" si="4158">($M117=JZ117)*$D$12</f>
        <v>0</v>
      </c>
      <c r="KB117" s="63"/>
      <c r="KC117" s="73"/>
      <c r="KD117" s="72">
        <f t="shared" ref="KD117" ca="1" si="4159">($M117=KC117)*$D$12</f>
        <v>0</v>
      </c>
      <c r="KE117" s="63"/>
      <c r="KF117" s="73"/>
      <c r="KG117" s="72">
        <f t="shared" ref="KG117" ca="1" si="4160">($M117=KF117)*$D$12</f>
        <v>0</v>
      </c>
      <c r="KH117" s="63"/>
      <c r="KI117" s="73"/>
      <c r="KJ117" s="72">
        <f t="shared" ref="KJ117" ca="1" si="4161">($M117=KI117)*$D$12</f>
        <v>0</v>
      </c>
      <c r="KK117" s="63"/>
      <c r="KL117" s="73"/>
      <c r="KM117" s="72">
        <f t="shared" ref="KM117" ca="1" si="4162">($M117=KL117)*$D$12</f>
        <v>0</v>
      </c>
      <c r="KN117" s="63"/>
      <c r="KO117" s="73"/>
      <c r="KP117" s="72">
        <f t="shared" ref="KP117" ca="1" si="4163">($M117=KO117)*$D$12</f>
        <v>0</v>
      </c>
      <c r="KQ117" s="63"/>
      <c r="KR117" s="73"/>
      <c r="KS117" s="72">
        <f t="shared" ref="KS117" ca="1" si="4164">($M117=KR117)*$D$12</f>
        <v>0</v>
      </c>
      <c r="KT117" s="63"/>
      <c r="KU117" s="73"/>
      <c r="KV117" s="72">
        <f t="shared" ref="KV117" ca="1" si="4165">($M117=KU117)*$D$12</f>
        <v>0</v>
      </c>
      <c r="KW117" s="63"/>
      <c r="KX117" s="73"/>
      <c r="KY117" s="72">
        <f t="shared" ref="KY117" ca="1" si="4166">($M117=KX117)*$D$12</f>
        <v>0</v>
      </c>
      <c r="KZ117" s="63"/>
      <c r="LA117" s="73"/>
      <c r="LB117" s="72">
        <f t="shared" ref="LB117" ca="1" si="4167">($M117=LA117)*$D$12</f>
        <v>0</v>
      </c>
      <c r="LC117" s="63"/>
      <c r="LD117" s="73"/>
      <c r="LE117" s="72">
        <f t="shared" ref="LE117" ca="1" si="4168">($M117=LD117)*$D$12</f>
        <v>0</v>
      </c>
      <c r="LF117" s="63"/>
    </row>
    <row r="118" spans="1:318" s="784" customFormat="1">
      <c r="A118" s="49"/>
      <c r="B118" s="49"/>
      <c r="C118" s="49"/>
      <c r="D118" s="49"/>
      <c r="E118" s="64"/>
      <c r="F118" s="125">
        <f t="shared" ref="F118" si="4169">$D$13</f>
        <v>20</v>
      </c>
      <c r="G118" s="443">
        <f ca="1">VLOOKUP(H118,Equipos!$Q$1:$R$25,2,0)</f>
        <v>17</v>
      </c>
      <c r="H118" s="444">
        <f ca="1">$H$72</f>
        <v>46200</v>
      </c>
      <c r="I118" s="50"/>
      <c r="J118" s="845"/>
      <c r="K118" s="56" t="str">
        <f>Idiomas!D188</f>
        <v>3º GRUPO J</v>
      </c>
      <c r="L118" s="53"/>
      <c r="M118" s="55" t="str">
        <f ca="1">IF(OR(SUM(WORLDCUP!$AN$78:$AN$81)=12,WORLDCUP!$AJ$99=144),WORLDCUP!AL80,LEFT(K118,1)&amp;RIGHT(K118,1))</f>
        <v>3J</v>
      </c>
      <c r="N118" s="25"/>
      <c r="O118" s="25"/>
      <c r="P118" s="25"/>
      <c r="Q118" s="25"/>
      <c r="R118" s="108"/>
      <c r="S118" s="796" t="s">
        <v>1558</v>
      </c>
      <c r="T118" s="72">
        <f t="shared" ref="T118" ca="1" si="4170">($M118=S118)*$D$13</f>
        <v>0</v>
      </c>
      <c r="U118" s="63"/>
      <c r="V118" s="73" t="s">
        <v>1558</v>
      </c>
      <c r="W118" s="72">
        <f t="shared" ref="W118" ca="1" si="4171">($M118=V118)*$D$13</f>
        <v>0</v>
      </c>
      <c r="X118" s="63"/>
      <c r="Y118" s="796" t="s">
        <v>1264</v>
      </c>
      <c r="Z118" s="72">
        <f t="shared" ref="Z118" ca="1" si="4172">($M118=Y118)*$D$13</f>
        <v>0</v>
      </c>
      <c r="AA118" s="63"/>
      <c r="AB118" s="796" t="s">
        <v>1558</v>
      </c>
      <c r="AC118" s="72">
        <f t="shared" ref="AC118" ca="1" si="4173">($M118=AB118)*$D$13</f>
        <v>0</v>
      </c>
      <c r="AD118" s="63"/>
      <c r="AE118" s="796" t="s">
        <v>1558</v>
      </c>
      <c r="AF118" s="72">
        <f t="shared" ref="AF118" ca="1" si="4174">($M118=AE118)*$D$13</f>
        <v>0</v>
      </c>
      <c r="AG118" s="63"/>
      <c r="AH118" s="796" t="s">
        <v>1558</v>
      </c>
      <c r="AI118" s="72">
        <f t="shared" ref="AI118" ca="1" si="4175">($M118=AH118)*$D$13</f>
        <v>0</v>
      </c>
      <c r="AJ118" s="63"/>
      <c r="AK118" s="806" t="s">
        <v>80</v>
      </c>
      <c r="AL118" s="72">
        <f t="shared" ref="AL118" ca="1" si="4176">($M118=AK118)*$D$13</f>
        <v>0</v>
      </c>
      <c r="AM118" s="63"/>
      <c r="AN118" s="796" t="s">
        <v>1264</v>
      </c>
      <c r="AO118" s="72">
        <f t="shared" ref="AO118" ca="1" si="4177">($M118=AN118)*$D$13</f>
        <v>0</v>
      </c>
      <c r="AP118" s="63"/>
      <c r="AQ118" s="806" t="s">
        <v>1558</v>
      </c>
      <c r="AR118" s="72">
        <f t="shared" ref="AR118" ca="1" si="4178">($M118=AQ118)*$D$13</f>
        <v>0</v>
      </c>
      <c r="AS118" s="63"/>
      <c r="AT118" s="796" t="s">
        <v>80</v>
      </c>
      <c r="AU118" s="72">
        <f t="shared" ref="AU118" ca="1" si="4179">($M118=AT118)*$D$13</f>
        <v>0</v>
      </c>
      <c r="AV118" s="63"/>
      <c r="AW118" s="796" t="s">
        <v>80</v>
      </c>
      <c r="AX118" s="72">
        <f t="shared" ref="AX118" ca="1" si="4180">($M118=AW118)*$D$13</f>
        <v>0</v>
      </c>
      <c r="AY118" s="63"/>
      <c r="AZ118" s="796" t="s">
        <v>80</v>
      </c>
      <c r="BA118" s="72">
        <f t="shared" ref="BA118" ca="1" si="4181">($M118=AZ118)*$D$13</f>
        <v>0</v>
      </c>
      <c r="BB118" s="63"/>
      <c r="BC118" s="796" t="s">
        <v>1558</v>
      </c>
      <c r="BD118" s="72">
        <f t="shared" ref="BD118" ca="1" si="4182">($M118=BC118)*$D$13</f>
        <v>0</v>
      </c>
      <c r="BE118" s="63"/>
      <c r="BF118" s="796" t="s">
        <v>1558</v>
      </c>
      <c r="BG118" s="72">
        <f t="shared" ref="BG118" ca="1" si="4183">($M118=BF118)*$D$13</f>
        <v>0</v>
      </c>
      <c r="BH118" s="63"/>
      <c r="BI118" s="796" t="s">
        <v>1558</v>
      </c>
      <c r="BJ118" s="72">
        <f t="shared" ref="BJ118" ca="1" si="4184">($M118=BI118)*$D$13</f>
        <v>0</v>
      </c>
      <c r="BK118" s="63"/>
      <c r="BL118" s="796" t="s">
        <v>1558</v>
      </c>
      <c r="BM118" s="72">
        <f t="shared" ref="BM118" ca="1" si="4185">($M118=BL118)*$D$13</f>
        <v>0</v>
      </c>
      <c r="BN118" s="63"/>
      <c r="BO118" s="816" t="s">
        <v>1558</v>
      </c>
      <c r="BP118" s="72">
        <f t="shared" ref="BP118" ca="1" si="4186">($M118=BO118)*$D$13</f>
        <v>0</v>
      </c>
      <c r="BQ118" s="63"/>
      <c r="BR118" s="796" t="s">
        <v>80</v>
      </c>
      <c r="BS118" s="72">
        <f t="shared" ref="BS118" ca="1" si="4187">($M118=BR118)*$D$13</f>
        <v>0</v>
      </c>
      <c r="BT118" s="63"/>
      <c r="BU118" s="796" t="s">
        <v>1558</v>
      </c>
      <c r="BV118" s="72">
        <f t="shared" ref="BV118" ca="1" si="4188">($M118=BU118)*$D$13</f>
        <v>0</v>
      </c>
      <c r="BW118" s="63"/>
      <c r="BX118" s="73" t="s">
        <v>80</v>
      </c>
      <c r="BY118" s="72">
        <f t="shared" ref="BY118" ca="1" si="4189">($M118=BX118)*$D$13</f>
        <v>0</v>
      </c>
      <c r="BZ118" s="63"/>
      <c r="CA118" s="816" t="s">
        <v>1558</v>
      </c>
      <c r="CB118" s="72">
        <f t="shared" ref="CB118" ca="1" si="4190">($M118=CA118)*$D$13</f>
        <v>0</v>
      </c>
      <c r="CC118" s="63"/>
      <c r="CD118" s="825" t="s">
        <v>1558</v>
      </c>
      <c r="CE118" s="72">
        <f t="shared" ref="CE118" ca="1" si="4191">($M118=CD118)*$D$13</f>
        <v>0</v>
      </c>
      <c r="CF118" s="63"/>
      <c r="CG118" s="796" t="s">
        <v>1558</v>
      </c>
      <c r="CH118" s="72">
        <f t="shared" ref="CH118" ca="1" si="4192">($M118=CG118)*$D$13</f>
        <v>0</v>
      </c>
      <c r="CI118" s="63"/>
      <c r="CJ118" s="796" t="s">
        <v>80</v>
      </c>
      <c r="CK118" s="72">
        <f t="shared" ref="CK118" ca="1" si="4193">($M118=CJ118)*$D$13</f>
        <v>0</v>
      </c>
      <c r="CL118" s="63"/>
      <c r="CM118" s="796" t="s">
        <v>80</v>
      </c>
      <c r="CN118" s="72">
        <f t="shared" ref="CN118" ca="1" si="4194">($M118=CM118)*$D$13</f>
        <v>0</v>
      </c>
      <c r="CO118" s="63"/>
      <c r="CP118" s="796" t="s">
        <v>80</v>
      </c>
      <c r="CQ118" s="72">
        <f t="shared" ref="CQ118" ca="1" si="4195">($M118=CP118)*$D$13</f>
        <v>0</v>
      </c>
      <c r="CR118" s="63"/>
      <c r="CS118" s="796" t="s">
        <v>1558</v>
      </c>
      <c r="CT118" s="72">
        <f t="shared" ref="CT118" ca="1" si="4196">($M118=CS118)*$D$13</f>
        <v>0</v>
      </c>
      <c r="CU118" s="63"/>
      <c r="CV118" s="796" t="s">
        <v>80</v>
      </c>
      <c r="CW118" s="72">
        <f t="shared" ref="CW118" ca="1" si="4197">($M118=CV118)*$D$13</f>
        <v>0</v>
      </c>
      <c r="CX118" s="63"/>
      <c r="CY118" s="796" t="s">
        <v>80</v>
      </c>
      <c r="CZ118" s="72">
        <f t="shared" ref="CZ118" ca="1" si="4198">($M118=CY118)*$D$13</f>
        <v>0</v>
      </c>
      <c r="DA118" s="63"/>
      <c r="DB118" s="796" t="s">
        <v>1558</v>
      </c>
      <c r="DC118" s="72">
        <f t="shared" ref="DC118" ca="1" si="4199">($M118=DB118)*$D$13</f>
        <v>0</v>
      </c>
      <c r="DD118" s="63"/>
      <c r="DE118" s="796" t="s">
        <v>1558</v>
      </c>
      <c r="DF118" s="72">
        <f ca="1">($M118=DE118)*$D$13</f>
        <v>0</v>
      </c>
      <c r="DG118" s="63"/>
      <c r="DH118" s="796" t="s">
        <v>1558</v>
      </c>
      <c r="DI118" s="72">
        <f ca="1">($M118=DH118)*$D$13</f>
        <v>0</v>
      </c>
      <c r="DJ118" s="63"/>
      <c r="DK118" s="796" t="s">
        <v>80</v>
      </c>
      <c r="DL118" s="72">
        <f ca="1">($M118=DK118)*$D$13</f>
        <v>0</v>
      </c>
      <c r="DM118" s="63"/>
      <c r="DN118" s="73"/>
      <c r="DO118" s="72">
        <f t="shared" ref="DO118" ca="1" si="4200">($M118=DN118)*$D$13</f>
        <v>0</v>
      </c>
      <c r="DP118" s="63"/>
      <c r="DQ118" s="796" t="s">
        <v>80</v>
      </c>
      <c r="DR118" s="72">
        <f t="shared" ref="DR118" ca="1" si="4201">($M118=DQ118)*$D$13</f>
        <v>0</v>
      </c>
      <c r="DS118" s="63"/>
      <c r="DT118" s="73" t="s">
        <v>1558</v>
      </c>
      <c r="DU118" s="72">
        <f t="shared" ref="DU118" ca="1" si="4202">($M118=DT118)*$D$13</f>
        <v>0</v>
      </c>
      <c r="DV118" s="63"/>
      <c r="DW118" s="73"/>
      <c r="DX118" s="72">
        <f t="shared" ref="DX118" ca="1" si="4203">($M118=DW118)*$D$13</f>
        <v>0</v>
      </c>
      <c r="DY118" s="63"/>
      <c r="DZ118" s="73"/>
      <c r="EA118" s="72">
        <f ca="1">($M118=DZ118)*$D$13</f>
        <v>0</v>
      </c>
      <c r="EB118" s="63"/>
      <c r="EC118" s="73"/>
      <c r="ED118" s="72">
        <f t="shared" ref="ED118" ca="1" si="4204">($M118=EC118)*$D$13</f>
        <v>0</v>
      </c>
      <c r="EE118" s="63"/>
      <c r="EF118" s="73"/>
      <c r="EG118" s="72">
        <f t="shared" ref="EG118" ca="1" si="4205">($M118=EF118)*$D$13</f>
        <v>0</v>
      </c>
      <c r="EH118" s="63"/>
      <c r="EI118" s="73"/>
      <c r="EJ118" s="72">
        <f t="shared" ref="EJ118" ca="1" si="4206">($M118=EI118)*$D$13</f>
        <v>0</v>
      </c>
      <c r="EK118" s="63"/>
      <c r="EL118" s="73"/>
      <c r="EM118" s="72">
        <f t="shared" ref="EM118" ca="1" si="4207">($M118=EL118)*$D$13</f>
        <v>0</v>
      </c>
      <c r="EN118" s="63"/>
      <c r="EO118" s="73"/>
      <c r="EP118" s="72">
        <f t="shared" ref="EP118" ca="1" si="4208">($M118=EO118)*$D$13</f>
        <v>0</v>
      </c>
      <c r="EQ118" s="63"/>
      <c r="ER118" s="73"/>
      <c r="ES118" s="72">
        <f t="shared" ref="ES118" ca="1" si="4209">($M118=ER118)*$D$13</f>
        <v>0</v>
      </c>
      <c r="ET118" s="63"/>
      <c r="EU118" s="73"/>
      <c r="EV118" s="72">
        <f t="shared" ref="EV118" ca="1" si="4210">($M118=EU118)*$D$13</f>
        <v>0</v>
      </c>
      <c r="EW118" s="63"/>
      <c r="EX118" s="73"/>
      <c r="EY118" s="72">
        <f t="shared" ref="EY118" ca="1" si="4211">($M118=EX118)*$D$13</f>
        <v>0</v>
      </c>
      <c r="EZ118" s="63"/>
      <c r="FA118" s="73"/>
      <c r="FB118" s="72">
        <f t="shared" ref="FB118" ca="1" si="4212">($M118=FA118)*$D$13</f>
        <v>0</v>
      </c>
      <c r="FC118" s="63"/>
      <c r="FD118" s="73"/>
      <c r="FE118" s="72">
        <f t="shared" ref="FE118" ca="1" si="4213">($M118=FD118)*$D$13</f>
        <v>0</v>
      </c>
      <c r="FF118" s="63"/>
      <c r="FG118" s="73"/>
      <c r="FH118" s="72">
        <f t="shared" ref="FH118" ca="1" si="4214">($M118=FG118)*$D$13</f>
        <v>0</v>
      </c>
      <c r="FI118" s="63"/>
      <c r="FJ118" s="73"/>
      <c r="FK118" s="72">
        <f t="shared" ref="FK118" ca="1" si="4215">($M118=FJ118)*$D$13</f>
        <v>0</v>
      </c>
      <c r="FL118" s="63"/>
      <c r="FM118" s="73"/>
      <c r="FN118" s="72">
        <f t="shared" ref="FN118" ca="1" si="4216">($M118=FM118)*$D$13</f>
        <v>0</v>
      </c>
      <c r="FO118" s="63"/>
      <c r="FP118" s="73"/>
      <c r="FQ118" s="72">
        <f t="shared" ref="FQ118" ca="1" si="4217">($M118=FP118)*$D$13</f>
        <v>0</v>
      </c>
      <c r="FR118" s="63"/>
      <c r="FS118" s="73"/>
      <c r="FT118" s="72">
        <f t="shared" ref="FT118" ca="1" si="4218">($M118=FS118)*$D$13</f>
        <v>0</v>
      </c>
      <c r="FU118" s="63"/>
      <c r="FV118" s="73"/>
      <c r="FW118" s="72">
        <f t="shared" ref="FW118" ca="1" si="4219">($M118=FV118)*$D$13</f>
        <v>0</v>
      </c>
      <c r="FX118" s="63"/>
      <c r="FY118" s="73"/>
      <c r="FZ118" s="72">
        <f t="shared" ref="FZ118" ca="1" si="4220">($M118=FY118)*$D$13</f>
        <v>0</v>
      </c>
      <c r="GA118" s="63"/>
      <c r="GB118" s="73"/>
      <c r="GC118" s="72">
        <f t="shared" ref="GC118" ca="1" si="4221">($M118=GB118)*$D$13</f>
        <v>0</v>
      </c>
      <c r="GD118" s="63"/>
      <c r="GE118" s="73"/>
      <c r="GF118" s="72">
        <f t="shared" ref="GF118" ca="1" si="4222">($M118=GE118)*$D$13</f>
        <v>0</v>
      </c>
      <c r="GG118" s="63"/>
      <c r="GH118" s="73"/>
      <c r="GI118" s="72">
        <f t="shared" ref="GI118" ca="1" si="4223">($M118=GH118)*$D$13</f>
        <v>0</v>
      </c>
      <c r="GJ118" s="63"/>
      <c r="GK118" s="73"/>
      <c r="GL118" s="72">
        <f t="shared" ref="GL118" ca="1" si="4224">($M118=GK118)*$D$13</f>
        <v>0</v>
      </c>
      <c r="GM118" s="63"/>
      <c r="GN118" s="73"/>
      <c r="GO118" s="72">
        <f t="shared" ref="GO118" ca="1" si="4225">($M118=GN118)*$D$13</f>
        <v>0</v>
      </c>
      <c r="GP118" s="63"/>
      <c r="GQ118" s="73"/>
      <c r="GR118" s="72">
        <f t="shared" ref="GR118" ca="1" si="4226">($M118=GQ118)*$D$13</f>
        <v>0</v>
      </c>
      <c r="GS118" s="63"/>
      <c r="GT118" s="73"/>
      <c r="GU118" s="72">
        <f t="shared" ref="GU118" ca="1" si="4227">($M118=GT118)*$D$13</f>
        <v>0</v>
      </c>
      <c r="GV118" s="63"/>
      <c r="GW118" s="73"/>
      <c r="GX118" s="72">
        <f t="shared" ref="GX118" ca="1" si="4228">($M118=GW118)*$D$13</f>
        <v>0</v>
      </c>
      <c r="GY118" s="63"/>
      <c r="GZ118" s="73"/>
      <c r="HA118" s="72">
        <f t="shared" ref="HA118" ca="1" si="4229">($M118=GZ118)*$D$13</f>
        <v>0</v>
      </c>
      <c r="HB118" s="63"/>
      <c r="HC118" s="73"/>
      <c r="HD118" s="72">
        <f t="shared" ref="HD118" ca="1" si="4230">($M118=HC118)*$D$13</f>
        <v>0</v>
      </c>
      <c r="HE118" s="63"/>
      <c r="HF118" s="73"/>
      <c r="HG118" s="72">
        <f t="shared" ref="HG118" ca="1" si="4231">($M118=HF118)*$D$13</f>
        <v>0</v>
      </c>
      <c r="HH118" s="63"/>
      <c r="HI118" s="73"/>
      <c r="HJ118" s="72">
        <f t="shared" ref="HJ118" ca="1" si="4232">($M118=HI118)*$D$13</f>
        <v>0</v>
      </c>
      <c r="HK118" s="63"/>
      <c r="HL118" s="73"/>
      <c r="HM118" s="72">
        <f t="shared" ref="HM118" ca="1" si="4233">($M118=HL118)*$D$13</f>
        <v>0</v>
      </c>
      <c r="HN118" s="63"/>
      <c r="HO118" s="73"/>
      <c r="HP118" s="72">
        <f t="shared" ref="HP118" ca="1" si="4234">($M118=HO118)*$D$13</f>
        <v>0</v>
      </c>
      <c r="HQ118" s="63"/>
      <c r="HR118" s="73"/>
      <c r="HS118" s="72">
        <f t="shared" ref="HS118" ca="1" si="4235">($M118=HR118)*$D$13</f>
        <v>0</v>
      </c>
      <c r="HT118" s="63"/>
      <c r="HU118" s="73"/>
      <c r="HV118" s="72">
        <f t="shared" ref="HV118" ca="1" si="4236">($M118=HU118)*$D$13</f>
        <v>0</v>
      </c>
      <c r="HW118" s="63"/>
      <c r="HX118" s="73"/>
      <c r="HY118" s="72">
        <f t="shared" ref="HY118" ca="1" si="4237">($M118=HX118)*$D$13</f>
        <v>0</v>
      </c>
      <c r="HZ118" s="63"/>
      <c r="IA118" s="73"/>
      <c r="IB118" s="72">
        <f t="shared" ref="IB118" ca="1" si="4238">($M118=IA118)*$D$13</f>
        <v>0</v>
      </c>
      <c r="IC118" s="63"/>
      <c r="ID118" s="73"/>
      <c r="IE118" s="72">
        <f t="shared" ref="IE118" ca="1" si="4239">($M118=ID118)*$D$13</f>
        <v>0</v>
      </c>
      <c r="IF118" s="63"/>
      <c r="IG118" s="73"/>
      <c r="IH118" s="72">
        <f t="shared" ref="IH118" ca="1" si="4240">($M118=IG118)*$D$13</f>
        <v>0</v>
      </c>
      <c r="II118" s="63"/>
      <c r="IJ118" s="73"/>
      <c r="IK118" s="72">
        <f t="shared" ref="IK118" ca="1" si="4241">($M118=IJ118)*$D$13</f>
        <v>0</v>
      </c>
      <c r="IL118" s="63"/>
      <c r="IM118" s="73"/>
      <c r="IN118" s="72">
        <f t="shared" ref="IN118" ca="1" si="4242">($M118=IM118)*$D$13</f>
        <v>0</v>
      </c>
      <c r="IO118" s="63"/>
      <c r="IP118" s="73"/>
      <c r="IQ118" s="72">
        <f t="shared" ref="IQ118" ca="1" si="4243">($M118=IP118)*$D$13</f>
        <v>0</v>
      </c>
      <c r="IR118" s="63"/>
      <c r="IS118" s="73"/>
      <c r="IT118" s="72">
        <f t="shared" ref="IT118" ca="1" si="4244">($M118=IS118)*$D$13</f>
        <v>0</v>
      </c>
      <c r="IU118" s="63"/>
      <c r="IV118" s="73"/>
      <c r="IW118" s="72">
        <f t="shared" ref="IW118" ca="1" si="4245">($M118=IV118)*$D$13</f>
        <v>0</v>
      </c>
      <c r="IX118" s="63"/>
      <c r="IY118" s="73"/>
      <c r="IZ118" s="72">
        <f t="shared" ref="IZ118" ca="1" si="4246">($M118=IY118)*$D$13</f>
        <v>0</v>
      </c>
      <c r="JA118" s="63"/>
      <c r="JB118" s="73"/>
      <c r="JC118" s="72">
        <f t="shared" ref="JC118" ca="1" si="4247">($M118=JB118)*$D$13</f>
        <v>0</v>
      </c>
      <c r="JD118" s="63"/>
      <c r="JE118" s="73"/>
      <c r="JF118" s="72">
        <f t="shared" ref="JF118" ca="1" si="4248">($M118=JE118)*$D$13</f>
        <v>0</v>
      </c>
      <c r="JG118" s="63"/>
      <c r="JH118" s="73"/>
      <c r="JI118" s="72">
        <f t="shared" ref="JI118" ca="1" si="4249">($M118=JH118)*$D$13</f>
        <v>0</v>
      </c>
      <c r="JJ118" s="63"/>
      <c r="JK118" s="73"/>
      <c r="JL118" s="72">
        <f t="shared" ref="JL118" ca="1" si="4250">($M118=JK118)*$D$13</f>
        <v>0</v>
      </c>
      <c r="JM118" s="63"/>
      <c r="JN118" s="73"/>
      <c r="JO118" s="72">
        <f t="shared" ref="JO118" ca="1" si="4251">($M118=JN118)*$D$13</f>
        <v>0</v>
      </c>
      <c r="JP118" s="63"/>
      <c r="JQ118" s="73"/>
      <c r="JR118" s="72">
        <f t="shared" ref="JR118" ca="1" si="4252">($M118=JQ118)*$D$13</f>
        <v>0</v>
      </c>
      <c r="JS118" s="63"/>
      <c r="JT118" s="73"/>
      <c r="JU118" s="72">
        <f t="shared" ref="JU118" ca="1" si="4253">($M118=JT118)*$D$13</f>
        <v>0</v>
      </c>
      <c r="JV118" s="63"/>
      <c r="JW118" s="73"/>
      <c r="JX118" s="72">
        <f t="shared" ref="JX118" ca="1" si="4254">($M118=JW118)*$D$13</f>
        <v>0</v>
      </c>
      <c r="JY118" s="63"/>
      <c r="JZ118" s="73"/>
      <c r="KA118" s="72">
        <f t="shared" ref="KA118" ca="1" si="4255">($M118=JZ118)*$D$13</f>
        <v>0</v>
      </c>
      <c r="KB118" s="63"/>
      <c r="KC118" s="73"/>
      <c r="KD118" s="72">
        <f t="shared" ref="KD118" ca="1" si="4256">($M118=KC118)*$D$13</f>
        <v>0</v>
      </c>
      <c r="KE118" s="63"/>
      <c r="KF118" s="73"/>
      <c r="KG118" s="72">
        <f t="shared" ref="KG118" ca="1" si="4257">($M118=KF118)*$D$13</f>
        <v>0</v>
      </c>
      <c r="KH118" s="63"/>
      <c r="KI118" s="73"/>
      <c r="KJ118" s="72">
        <f t="shared" ref="KJ118" ca="1" si="4258">($M118=KI118)*$D$13</f>
        <v>0</v>
      </c>
      <c r="KK118" s="63"/>
      <c r="KL118" s="73"/>
      <c r="KM118" s="72">
        <f t="shared" ref="KM118" ca="1" si="4259">($M118=KL118)*$D$13</f>
        <v>0</v>
      </c>
      <c r="KN118" s="63"/>
      <c r="KO118" s="73"/>
      <c r="KP118" s="72">
        <f t="shared" ref="KP118" ca="1" si="4260">($M118=KO118)*$D$13</f>
        <v>0</v>
      </c>
      <c r="KQ118" s="63"/>
      <c r="KR118" s="73"/>
      <c r="KS118" s="72">
        <f t="shared" ref="KS118" ca="1" si="4261">($M118=KR118)*$D$13</f>
        <v>0</v>
      </c>
      <c r="KT118" s="63"/>
      <c r="KU118" s="73"/>
      <c r="KV118" s="72">
        <f t="shared" ref="KV118" ca="1" si="4262">($M118=KU118)*$D$13</f>
        <v>0</v>
      </c>
      <c r="KW118" s="63"/>
      <c r="KX118" s="73"/>
      <c r="KY118" s="72">
        <f t="shared" ref="KY118" ca="1" si="4263">($M118=KX118)*$D$13</f>
        <v>0</v>
      </c>
      <c r="KZ118" s="63"/>
      <c r="LA118" s="73"/>
      <c r="LB118" s="72">
        <f t="shared" ref="LB118" ca="1" si="4264">($M118=LA118)*$D$13</f>
        <v>0</v>
      </c>
      <c r="LC118" s="63"/>
      <c r="LD118" s="73"/>
      <c r="LE118" s="72">
        <f t="shared" ref="LE118" ca="1" si="4265">($M118=LD118)*$D$13</f>
        <v>0</v>
      </c>
      <c r="LF118" s="63"/>
    </row>
    <row r="119" spans="1:318" s="784" customFormat="1">
      <c r="A119" s="49"/>
      <c r="B119" s="49"/>
      <c r="C119" s="49"/>
      <c r="D119" s="49"/>
      <c r="E119" s="64"/>
      <c r="F119" s="125">
        <f t="shared" ref="F119" si="4266">$D$14</f>
        <v>20</v>
      </c>
      <c r="G119" s="443">
        <f ca="1">VLOOKUP(H119,Equipos!$Q$1:$R$25,2,0)</f>
        <v>17</v>
      </c>
      <c r="H119" s="444">
        <f ca="1">$H$72</f>
        <v>46200</v>
      </c>
      <c r="I119" s="50"/>
      <c r="J119" s="845"/>
      <c r="K119" s="56" t="str">
        <f>Idiomas!D189</f>
        <v>4º GRUPO J</v>
      </c>
      <c r="L119" s="53"/>
      <c r="M119" s="55" t="str">
        <f ca="1">IF(OR(SUM(WORLDCUP!$AN$78:$AN$81)=12,WORLDCUP!$AJ$99=144),WORLDCUP!AL81,LEFT(K119,1)&amp;RIGHT(K119,1))</f>
        <v>4J</v>
      </c>
      <c r="N119" s="25"/>
      <c r="O119" s="25"/>
      <c r="P119" s="25"/>
      <c r="Q119" s="25"/>
      <c r="R119" s="108"/>
      <c r="S119" s="796" t="s">
        <v>1264</v>
      </c>
      <c r="T119" s="72">
        <f t="shared" ref="T119" ca="1" si="4267">($M119=S119)*$D$14</f>
        <v>0</v>
      </c>
      <c r="U119" s="63"/>
      <c r="V119" s="73" t="s">
        <v>1264</v>
      </c>
      <c r="W119" s="72">
        <f t="shared" ref="W119" ca="1" si="4268">($M119=V119)*$D$14</f>
        <v>0</v>
      </c>
      <c r="X119" s="63"/>
      <c r="Y119" s="796" t="s">
        <v>80</v>
      </c>
      <c r="Z119" s="72">
        <f t="shared" ref="Z119" ca="1" si="4269">($M119=Y119)*$D$14</f>
        <v>0</v>
      </c>
      <c r="AA119" s="63"/>
      <c r="AB119" s="796" t="s">
        <v>1264</v>
      </c>
      <c r="AC119" s="72">
        <f t="shared" ref="AC119" ca="1" si="4270">($M119=AB119)*$D$14</f>
        <v>0</v>
      </c>
      <c r="AD119" s="63"/>
      <c r="AE119" s="796" t="s">
        <v>80</v>
      </c>
      <c r="AF119" s="72">
        <f t="shared" ref="AF119" ca="1" si="4271">($M119=AE119)*$D$14</f>
        <v>0</v>
      </c>
      <c r="AG119" s="63"/>
      <c r="AH119" s="796" t="s">
        <v>1264</v>
      </c>
      <c r="AI119" s="72">
        <f t="shared" ref="AI119" ca="1" si="4272">($M119=AH119)*$D$14</f>
        <v>0</v>
      </c>
      <c r="AJ119" s="63"/>
      <c r="AK119" s="806" t="s">
        <v>1264</v>
      </c>
      <c r="AL119" s="72">
        <f t="shared" ref="AL119" ca="1" si="4273">($M119=AK119)*$D$14</f>
        <v>0</v>
      </c>
      <c r="AM119" s="63"/>
      <c r="AN119" s="796" t="s">
        <v>1558</v>
      </c>
      <c r="AO119" s="72">
        <f t="shared" ref="AO119" ca="1" si="4274">($M119=AN119)*$D$14</f>
        <v>0</v>
      </c>
      <c r="AP119" s="63"/>
      <c r="AQ119" s="806" t="s">
        <v>1264</v>
      </c>
      <c r="AR119" s="72">
        <f t="shared" ref="AR119" ca="1" si="4275">($M119=AQ119)*$D$14</f>
        <v>0</v>
      </c>
      <c r="AS119" s="63"/>
      <c r="AT119" s="796" t="s">
        <v>1264</v>
      </c>
      <c r="AU119" s="72">
        <f t="shared" ref="AU119" ca="1" si="4276">($M119=AT119)*$D$14</f>
        <v>0</v>
      </c>
      <c r="AV119" s="63"/>
      <c r="AW119" s="796" t="s">
        <v>1264</v>
      </c>
      <c r="AX119" s="72">
        <f t="shared" ref="AX119" ca="1" si="4277">($M119=AW119)*$D$14</f>
        <v>0</v>
      </c>
      <c r="AY119" s="63"/>
      <c r="AZ119" s="796" t="s">
        <v>1256</v>
      </c>
      <c r="BA119" s="72">
        <f t="shared" ref="BA119" ca="1" si="4278">($M119=AZ119)*$D$14</f>
        <v>0</v>
      </c>
      <c r="BB119" s="63"/>
      <c r="BC119" s="796" t="s">
        <v>1264</v>
      </c>
      <c r="BD119" s="72">
        <f t="shared" ref="BD119" ca="1" si="4279">($M119=BC119)*$D$14</f>
        <v>0</v>
      </c>
      <c r="BE119" s="63"/>
      <c r="BF119" s="796" t="s">
        <v>1264</v>
      </c>
      <c r="BG119" s="72">
        <f t="shared" ref="BG119" ca="1" si="4280">($M119=BF119)*$D$14</f>
        <v>0</v>
      </c>
      <c r="BH119" s="63"/>
      <c r="BI119" s="796" t="s">
        <v>1264</v>
      </c>
      <c r="BJ119" s="72">
        <f t="shared" ref="BJ119" ca="1" si="4281">($M119=BI119)*$D$14</f>
        <v>0</v>
      </c>
      <c r="BK119" s="63"/>
      <c r="BL119" s="796" t="s">
        <v>1264</v>
      </c>
      <c r="BM119" s="72">
        <f t="shared" ref="BM119" ca="1" si="4282">($M119=BL119)*$D$14</f>
        <v>0</v>
      </c>
      <c r="BN119" s="63"/>
      <c r="BO119" s="816" t="s">
        <v>1264</v>
      </c>
      <c r="BP119" s="72">
        <f t="shared" ref="BP119" ca="1" si="4283">($M119=BO119)*$D$14</f>
        <v>0</v>
      </c>
      <c r="BQ119" s="63"/>
      <c r="BR119" s="796" t="s">
        <v>1264</v>
      </c>
      <c r="BS119" s="72">
        <f t="shared" ref="BS119" ca="1" si="4284">($M119=BR119)*$D$14</f>
        <v>0</v>
      </c>
      <c r="BT119" s="63"/>
      <c r="BU119" s="796" t="s">
        <v>1264</v>
      </c>
      <c r="BV119" s="72">
        <f t="shared" ref="BV119" ca="1" si="4285">($M119=BU119)*$D$14</f>
        <v>0</v>
      </c>
      <c r="BW119" s="63"/>
      <c r="BX119" s="73" t="s">
        <v>1264</v>
      </c>
      <c r="BY119" s="72">
        <f t="shared" ref="BY119" ca="1" si="4286">($M119=BX119)*$D$14</f>
        <v>0</v>
      </c>
      <c r="BZ119" s="63"/>
      <c r="CA119" s="816" t="s">
        <v>1264</v>
      </c>
      <c r="CB119" s="72">
        <f t="shared" ref="CB119" ca="1" si="4287">($M119=CA119)*$D$14</f>
        <v>0</v>
      </c>
      <c r="CC119" s="63"/>
      <c r="CD119" s="825" t="s">
        <v>1264</v>
      </c>
      <c r="CE119" s="72">
        <f t="shared" ref="CE119" ca="1" si="4288">($M119=CD119)*$D$14</f>
        <v>0</v>
      </c>
      <c r="CF119" s="63"/>
      <c r="CG119" s="796" t="s">
        <v>1264</v>
      </c>
      <c r="CH119" s="72">
        <f t="shared" ref="CH119" ca="1" si="4289">($M119=CG119)*$D$14</f>
        <v>0</v>
      </c>
      <c r="CI119" s="63"/>
      <c r="CJ119" s="796" t="s">
        <v>1264</v>
      </c>
      <c r="CK119" s="72">
        <f t="shared" ref="CK119" ca="1" si="4290">($M119=CJ119)*$D$14</f>
        <v>0</v>
      </c>
      <c r="CL119" s="63"/>
      <c r="CM119" s="796" t="s">
        <v>1264</v>
      </c>
      <c r="CN119" s="72">
        <f t="shared" ref="CN119" ca="1" si="4291">($M119=CM119)*$D$14</f>
        <v>0</v>
      </c>
      <c r="CO119" s="63"/>
      <c r="CP119" s="796" t="s">
        <v>1264</v>
      </c>
      <c r="CQ119" s="72">
        <f t="shared" ref="CQ119" ca="1" si="4292">($M119=CP119)*$D$14</f>
        <v>0</v>
      </c>
      <c r="CR119" s="63"/>
      <c r="CS119" s="796" t="s">
        <v>1264</v>
      </c>
      <c r="CT119" s="72">
        <f t="shared" ref="CT119" ca="1" si="4293">($M119=CS119)*$D$14</f>
        <v>0</v>
      </c>
      <c r="CU119" s="63"/>
      <c r="CV119" s="796" t="s">
        <v>1264</v>
      </c>
      <c r="CW119" s="72">
        <f t="shared" ref="CW119" ca="1" si="4294">($M119=CV119)*$D$14</f>
        <v>0</v>
      </c>
      <c r="CX119" s="63"/>
      <c r="CY119" s="796" t="s">
        <v>1264</v>
      </c>
      <c r="CZ119" s="72">
        <f t="shared" ref="CZ119" ca="1" si="4295">($M119=CY119)*$D$14</f>
        <v>0</v>
      </c>
      <c r="DA119" s="63"/>
      <c r="DB119" s="796" t="s">
        <v>1264</v>
      </c>
      <c r="DC119" s="72">
        <f t="shared" ref="DC119" ca="1" si="4296">($M119=DB119)*$D$14</f>
        <v>0</v>
      </c>
      <c r="DD119" s="63"/>
      <c r="DE119" s="796" t="s">
        <v>1264</v>
      </c>
      <c r="DF119" s="72">
        <f ca="1">($M119=DE119)*$D$14</f>
        <v>0</v>
      </c>
      <c r="DG119" s="63"/>
      <c r="DH119" s="796" t="s">
        <v>1264</v>
      </c>
      <c r="DI119" s="72">
        <f ca="1">($M119=DH119)*$D$14</f>
        <v>0</v>
      </c>
      <c r="DJ119" s="63"/>
      <c r="DK119" s="796" t="s">
        <v>1264</v>
      </c>
      <c r="DL119" s="72">
        <f ca="1">($M119=DK119)*$D$14</f>
        <v>0</v>
      </c>
      <c r="DM119" s="63"/>
      <c r="DN119" s="73"/>
      <c r="DO119" s="72">
        <f t="shared" ref="DO119" ca="1" si="4297">($M119=DN119)*$D$14</f>
        <v>0</v>
      </c>
      <c r="DP119" s="63"/>
      <c r="DQ119" s="796" t="s">
        <v>1264</v>
      </c>
      <c r="DR119" s="72">
        <f t="shared" ref="DR119" ca="1" si="4298">($M119=DQ119)*$D$14</f>
        <v>0</v>
      </c>
      <c r="DS119" s="63"/>
      <c r="DT119" s="73" t="s">
        <v>1264</v>
      </c>
      <c r="DU119" s="72">
        <f t="shared" ref="DU119" ca="1" si="4299">($M119=DT119)*$D$14</f>
        <v>0</v>
      </c>
      <c r="DV119" s="63"/>
      <c r="DW119" s="73"/>
      <c r="DX119" s="72">
        <f t="shared" ref="DX119" ca="1" si="4300">($M119=DW119)*$D$14</f>
        <v>0</v>
      </c>
      <c r="DY119" s="63"/>
      <c r="DZ119" s="73"/>
      <c r="EA119" s="72">
        <f ca="1">($M119=DZ119)*$D$14</f>
        <v>0</v>
      </c>
      <c r="EB119" s="63"/>
      <c r="EC119" s="73"/>
      <c r="ED119" s="72">
        <f t="shared" ref="ED119" ca="1" si="4301">($M119=EC119)*$D$14</f>
        <v>0</v>
      </c>
      <c r="EE119" s="63"/>
      <c r="EF119" s="73"/>
      <c r="EG119" s="72">
        <f t="shared" ref="EG119" ca="1" si="4302">($M119=EF119)*$D$14</f>
        <v>0</v>
      </c>
      <c r="EH119" s="63"/>
      <c r="EI119" s="73"/>
      <c r="EJ119" s="72">
        <f t="shared" ref="EJ119" ca="1" si="4303">($M119=EI119)*$D$14</f>
        <v>0</v>
      </c>
      <c r="EK119" s="63"/>
      <c r="EL119" s="73"/>
      <c r="EM119" s="72">
        <f t="shared" ref="EM119" ca="1" si="4304">($M119=EL119)*$D$14</f>
        <v>0</v>
      </c>
      <c r="EN119" s="63"/>
      <c r="EO119" s="73"/>
      <c r="EP119" s="72">
        <f t="shared" ref="EP119" ca="1" si="4305">($M119=EO119)*$D$14</f>
        <v>0</v>
      </c>
      <c r="EQ119" s="63"/>
      <c r="ER119" s="73"/>
      <c r="ES119" s="72">
        <f t="shared" ref="ES119" ca="1" si="4306">($M119=ER119)*$D$14</f>
        <v>0</v>
      </c>
      <c r="ET119" s="63"/>
      <c r="EU119" s="73"/>
      <c r="EV119" s="72">
        <f t="shared" ref="EV119" ca="1" si="4307">($M119=EU119)*$D$14</f>
        <v>0</v>
      </c>
      <c r="EW119" s="63"/>
      <c r="EX119" s="73"/>
      <c r="EY119" s="72">
        <f t="shared" ref="EY119" ca="1" si="4308">($M119=EX119)*$D$14</f>
        <v>0</v>
      </c>
      <c r="EZ119" s="63"/>
      <c r="FA119" s="73"/>
      <c r="FB119" s="72">
        <f t="shared" ref="FB119" ca="1" si="4309">($M119=FA119)*$D$14</f>
        <v>0</v>
      </c>
      <c r="FC119" s="63"/>
      <c r="FD119" s="73"/>
      <c r="FE119" s="72">
        <f t="shared" ref="FE119" ca="1" si="4310">($M119=FD119)*$D$14</f>
        <v>0</v>
      </c>
      <c r="FF119" s="63"/>
      <c r="FG119" s="73"/>
      <c r="FH119" s="72">
        <f t="shared" ref="FH119" ca="1" si="4311">($M119=FG119)*$D$14</f>
        <v>0</v>
      </c>
      <c r="FI119" s="63"/>
      <c r="FJ119" s="73"/>
      <c r="FK119" s="72">
        <f t="shared" ref="FK119" ca="1" si="4312">($M119=FJ119)*$D$14</f>
        <v>0</v>
      </c>
      <c r="FL119" s="63"/>
      <c r="FM119" s="73"/>
      <c r="FN119" s="72">
        <f t="shared" ref="FN119" ca="1" si="4313">($M119=FM119)*$D$14</f>
        <v>0</v>
      </c>
      <c r="FO119" s="63"/>
      <c r="FP119" s="73"/>
      <c r="FQ119" s="72">
        <f t="shared" ref="FQ119" ca="1" si="4314">($M119=FP119)*$D$14</f>
        <v>0</v>
      </c>
      <c r="FR119" s="63"/>
      <c r="FS119" s="73"/>
      <c r="FT119" s="72">
        <f t="shared" ref="FT119" ca="1" si="4315">($M119=FS119)*$D$14</f>
        <v>0</v>
      </c>
      <c r="FU119" s="63"/>
      <c r="FV119" s="73"/>
      <c r="FW119" s="72">
        <f t="shared" ref="FW119" ca="1" si="4316">($M119=FV119)*$D$14</f>
        <v>0</v>
      </c>
      <c r="FX119" s="63"/>
      <c r="FY119" s="73"/>
      <c r="FZ119" s="72">
        <f t="shared" ref="FZ119" ca="1" si="4317">($M119=FY119)*$D$14</f>
        <v>0</v>
      </c>
      <c r="GA119" s="63"/>
      <c r="GB119" s="73"/>
      <c r="GC119" s="72">
        <f t="shared" ref="GC119" ca="1" si="4318">($M119=GB119)*$D$14</f>
        <v>0</v>
      </c>
      <c r="GD119" s="63"/>
      <c r="GE119" s="73"/>
      <c r="GF119" s="72">
        <f t="shared" ref="GF119" ca="1" si="4319">($M119=GE119)*$D$14</f>
        <v>0</v>
      </c>
      <c r="GG119" s="63"/>
      <c r="GH119" s="73"/>
      <c r="GI119" s="72">
        <f t="shared" ref="GI119" ca="1" si="4320">($M119=GH119)*$D$14</f>
        <v>0</v>
      </c>
      <c r="GJ119" s="63"/>
      <c r="GK119" s="73"/>
      <c r="GL119" s="72">
        <f t="shared" ref="GL119" ca="1" si="4321">($M119=GK119)*$D$14</f>
        <v>0</v>
      </c>
      <c r="GM119" s="63"/>
      <c r="GN119" s="73"/>
      <c r="GO119" s="72">
        <f t="shared" ref="GO119" ca="1" si="4322">($M119=GN119)*$D$14</f>
        <v>0</v>
      </c>
      <c r="GP119" s="63"/>
      <c r="GQ119" s="73"/>
      <c r="GR119" s="72">
        <f t="shared" ref="GR119" ca="1" si="4323">($M119=GQ119)*$D$14</f>
        <v>0</v>
      </c>
      <c r="GS119" s="63"/>
      <c r="GT119" s="73"/>
      <c r="GU119" s="72">
        <f t="shared" ref="GU119" ca="1" si="4324">($M119=GT119)*$D$14</f>
        <v>0</v>
      </c>
      <c r="GV119" s="63"/>
      <c r="GW119" s="73"/>
      <c r="GX119" s="72">
        <f t="shared" ref="GX119" ca="1" si="4325">($M119=GW119)*$D$14</f>
        <v>0</v>
      </c>
      <c r="GY119" s="63"/>
      <c r="GZ119" s="73"/>
      <c r="HA119" s="72">
        <f t="shared" ref="HA119" ca="1" si="4326">($M119=GZ119)*$D$14</f>
        <v>0</v>
      </c>
      <c r="HB119" s="63"/>
      <c r="HC119" s="73"/>
      <c r="HD119" s="72">
        <f t="shared" ref="HD119" ca="1" si="4327">($M119=HC119)*$D$14</f>
        <v>0</v>
      </c>
      <c r="HE119" s="63"/>
      <c r="HF119" s="73"/>
      <c r="HG119" s="72">
        <f t="shared" ref="HG119" ca="1" si="4328">($M119=HF119)*$D$14</f>
        <v>0</v>
      </c>
      <c r="HH119" s="63"/>
      <c r="HI119" s="73"/>
      <c r="HJ119" s="72">
        <f t="shared" ref="HJ119" ca="1" si="4329">($M119=HI119)*$D$14</f>
        <v>0</v>
      </c>
      <c r="HK119" s="63"/>
      <c r="HL119" s="73"/>
      <c r="HM119" s="72">
        <f t="shared" ref="HM119" ca="1" si="4330">($M119=HL119)*$D$14</f>
        <v>0</v>
      </c>
      <c r="HN119" s="63"/>
      <c r="HO119" s="73"/>
      <c r="HP119" s="72">
        <f t="shared" ref="HP119" ca="1" si="4331">($M119=HO119)*$D$14</f>
        <v>0</v>
      </c>
      <c r="HQ119" s="63"/>
      <c r="HR119" s="73"/>
      <c r="HS119" s="72">
        <f t="shared" ref="HS119" ca="1" si="4332">($M119=HR119)*$D$14</f>
        <v>0</v>
      </c>
      <c r="HT119" s="63"/>
      <c r="HU119" s="73"/>
      <c r="HV119" s="72">
        <f t="shared" ref="HV119" ca="1" si="4333">($M119=HU119)*$D$14</f>
        <v>0</v>
      </c>
      <c r="HW119" s="63"/>
      <c r="HX119" s="73"/>
      <c r="HY119" s="72">
        <f t="shared" ref="HY119" ca="1" si="4334">($M119=HX119)*$D$14</f>
        <v>0</v>
      </c>
      <c r="HZ119" s="63"/>
      <c r="IA119" s="73"/>
      <c r="IB119" s="72">
        <f t="shared" ref="IB119" ca="1" si="4335">($M119=IA119)*$D$14</f>
        <v>0</v>
      </c>
      <c r="IC119" s="63"/>
      <c r="ID119" s="73"/>
      <c r="IE119" s="72">
        <f t="shared" ref="IE119" ca="1" si="4336">($M119=ID119)*$D$14</f>
        <v>0</v>
      </c>
      <c r="IF119" s="63"/>
      <c r="IG119" s="73"/>
      <c r="IH119" s="72">
        <f t="shared" ref="IH119" ca="1" si="4337">($M119=IG119)*$D$14</f>
        <v>0</v>
      </c>
      <c r="II119" s="63"/>
      <c r="IJ119" s="73"/>
      <c r="IK119" s="72">
        <f t="shared" ref="IK119" ca="1" si="4338">($M119=IJ119)*$D$14</f>
        <v>0</v>
      </c>
      <c r="IL119" s="63"/>
      <c r="IM119" s="73"/>
      <c r="IN119" s="72">
        <f t="shared" ref="IN119" ca="1" si="4339">($M119=IM119)*$D$14</f>
        <v>0</v>
      </c>
      <c r="IO119" s="63"/>
      <c r="IP119" s="73"/>
      <c r="IQ119" s="72">
        <f t="shared" ref="IQ119" ca="1" si="4340">($M119=IP119)*$D$14</f>
        <v>0</v>
      </c>
      <c r="IR119" s="63"/>
      <c r="IS119" s="73"/>
      <c r="IT119" s="72">
        <f t="shared" ref="IT119" ca="1" si="4341">($M119=IS119)*$D$14</f>
        <v>0</v>
      </c>
      <c r="IU119" s="63"/>
      <c r="IV119" s="73"/>
      <c r="IW119" s="72">
        <f t="shared" ref="IW119" ca="1" si="4342">($M119=IV119)*$D$14</f>
        <v>0</v>
      </c>
      <c r="IX119" s="63"/>
      <c r="IY119" s="73"/>
      <c r="IZ119" s="72">
        <f t="shared" ref="IZ119" ca="1" si="4343">($M119=IY119)*$D$14</f>
        <v>0</v>
      </c>
      <c r="JA119" s="63"/>
      <c r="JB119" s="73"/>
      <c r="JC119" s="72">
        <f t="shared" ref="JC119" ca="1" si="4344">($M119=JB119)*$D$14</f>
        <v>0</v>
      </c>
      <c r="JD119" s="63"/>
      <c r="JE119" s="73"/>
      <c r="JF119" s="72">
        <f t="shared" ref="JF119" ca="1" si="4345">($M119=JE119)*$D$14</f>
        <v>0</v>
      </c>
      <c r="JG119" s="63"/>
      <c r="JH119" s="73"/>
      <c r="JI119" s="72">
        <f t="shared" ref="JI119" ca="1" si="4346">($M119=JH119)*$D$14</f>
        <v>0</v>
      </c>
      <c r="JJ119" s="63"/>
      <c r="JK119" s="73"/>
      <c r="JL119" s="72">
        <f t="shared" ref="JL119" ca="1" si="4347">($M119=JK119)*$D$14</f>
        <v>0</v>
      </c>
      <c r="JM119" s="63"/>
      <c r="JN119" s="73"/>
      <c r="JO119" s="72">
        <f t="shared" ref="JO119" ca="1" si="4348">($M119=JN119)*$D$14</f>
        <v>0</v>
      </c>
      <c r="JP119" s="63"/>
      <c r="JQ119" s="73"/>
      <c r="JR119" s="72">
        <f t="shared" ref="JR119" ca="1" si="4349">($M119=JQ119)*$D$14</f>
        <v>0</v>
      </c>
      <c r="JS119" s="63"/>
      <c r="JT119" s="73"/>
      <c r="JU119" s="72">
        <f t="shared" ref="JU119" ca="1" si="4350">($M119=JT119)*$D$14</f>
        <v>0</v>
      </c>
      <c r="JV119" s="63"/>
      <c r="JW119" s="73"/>
      <c r="JX119" s="72">
        <f t="shared" ref="JX119" ca="1" si="4351">($M119=JW119)*$D$14</f>
        <v>0</v>
      </c>
      <c r="JY119" s="63"/>
      <c r="JZ119" s="73"/>
      <c r="KA119" s="72">
        <f t="shared" ref="KA119" ca="1" si="4352">($M119=JZ119)*$D$14</f>
        <v>0</v>
      </c>
      <c r="KB119" s="63"/>
      <c r="KC119" s="73"/>
      <c r="KD119" s="72">
        <f t="shared" ref="KD119" ca="1" si="4353">($M119=KC119)*$D$14</f>
        <v>0</v>
      </c>
      <c r="KE119" s="63"/>
      <c r="KF119" s="73"/>
      <c r="KG119" s="72">
        <f t="shared" ref="KG119" ca="1" si="4354">($M119=KF119)*$D$14</f>
        <v>0</v>
      </c>
      <c r="KH119" s="63"/>
      <c r="KI119" s="73"/>
      <c r="KJ119" s="72">
        <f t="shared" ref="KJ119" ca="1" si="4355">($M119=KI119)*$D$14</f>
        <v>0</v>
      </c>
      <c r="KK119" s="63"/>
      <c r="KL119" s="73"/>
      <c r="KM119" s="72">
        <f t="shared" ref="KM119" ca="1" si="4356">($M119=KL119)*$D$14</f>
        <v>0</v>
      </c>
      <c r="KN119" s="63"/>
      <c r="KO119" s="73"/>
      <c r="KP119" s="72">
        <f t="shared" ref="KP119" ca="1" si="4357">($M119=KO119)*$D$14</f>
        <v>0</v>
      </c>
      <c r="KQ119" s="63"/>
      <c r="KR119" s="73"/>
      <c r="KS119" s="72">
        <f t="shared" ref="KS119" ca="1" si="4358">($M119=KR119)*$D$14</f>
        <v>0</v>
      </c>
      <c r="KT119" s="63"/>
      <c r="KU119" s="73"/>
      <c r="KV119" s="72">
        <f t="shared" ref="KV119" ca="1" si="4359">($M119=KU119)*$D$14</f>
        <v>0</v>
      </c>
      <c r="KW119" s="63"/>
      <c r="KX119" s="73"/>
      <c r="KY119" s="72">
        <f t="shared" ref="KY119" ca="1" si="4360">($M119=KX119)*$D$14</f>
        <v>0</v>
      </c>
      <c r="KZ119" s="63"/>
      <c r="LA119" s="73"/>
      <c r="LB119" s="72">
        <f t="shared" ref="LB119" ca="1" si="4361">($M119=LA119)*$D$14</f>
        <v>0</v>
      </c>
      <c r="LC119" s="63"/>
      <c r="LD119" s="73"/>
      <c r="LE119" s="72">
        <f t="shared" ref="LE119" ca="1" si="4362">($M119=LD119)*$D$14</f>
        <v>0</v>
      </c>
      <c r="LF119" s="63"/>
    </row>
    <row r="120" spans="1:318" s="784" customFormat="1">
      <c r="A120" s="49"/>
      <c r="B120" s="49"/>
      <c r="C120" s="49"/>
      <c r="D120" s="49"/>
      <c r="E120" s="64"/>
      <c r="F120" s="125">
        <f t="shared" ref="F120" si="4363">$D$11</f>
        <v>20</v>
      </c>
      <c r="G120" s="443">
        <f ca="1">VLOOKUP(H120,Equipos!$Q$1:$R$25,2,0)</f>
        <v>17</v>
      </c>
      <c r="H120" s="444">
        <f ca="1">$H$74</f>
        <v>46200</v>
      </c>
      <c r="I120" s="50"/>
      <c r="J120" s="846" t="s">
        <v>439</v>
      </c>
      <c r="K120" s="56" t="str">
        <f>Idiomas!D190</f>
        <v>1º GRUPO K</v>
      </c>
      <c r="L120" s="53"/>
      <c r="M120" s="55" t="str">
        <f ca="1">IF(OR(SUM(WORLDCUP!$AN$86:$AN$89)=12,WORLDCUP!$AJ$99=144),WORLDCUP!AL86,LEFT(K120,1)&amp;RIGHT(K120,1))</f>
        <v>1K</v>
      </c>
      <c r="N120" s="25"/>
      <c r="O120" s="25"/>
      <c r="P120" s="25"/>
      <c r="Q120" s="25"/>
      <c r="R120" s="108"/>
      <c r="S120" s="796" t="s">
        <v>79</v>
      </c>
      <c r="T120" s="72">
        <f t="shared" ref="T120" ca="1" si="4364">($M120=S120)*$D$11</f>
        <v>0</v>
      </c>
      <c r="U120" s="63"/>
      <c r="V120" s="73" t="s">
        <v>79</v>
      </c>
      <c r="W120" s="72">
        <f t="shared" ref="W120" ca="1" si="4365">($M120=V120)*$D$11</f>
        <v>0</v>
      </c>
      <c r="X120" s="63"/>
      <c r="Y120" s="796" t="s">
        <v>79</v>
      </c>
      <c r="Z120" s="72">
        <f t="shared" ref="Z120" ca="1" si="4366">($M120=Y120)*$D$11</f>
        <v>0</v>
      </c>
      <c r="AA120" s="63"/>
      <c r="AB120" s="796" t="s">
        <v>79</v>
      </c>
      <c r="AC120" s="72">
        <f t="shared" ref="AC120" ca="1" si="4367">($M120=AB120)*$D$11</f>
        <v>0</v>
      </c>
      <c r="AD120" s="63"/>
      <c r="AE120" s="796" t="s">
        <v>79</v>
      </c>
      <c r="AF120" s="72">
        <f t="shared" ref="AF120" ca="1" si="4368">($M120=AE120)*$D$11</f>
        <v>0</v>
      </c>
      <c r="AG120" s="63"/>
      <c r="AH120" s="796" t="s">
        <v>79</v>
      </c>
      <c r="AI120" s="72">
        <f t="shared" ref="AI120" ca="1" si="4369">($M120=AH120)*$D$11</f>
        <v>0</v>
      </c>
      <c r="AJ120" s="63"/>
      <c r="AK120" s="806" t="s">
        <v>79</v>
      </c>
      <c r="AL120" s="72">
        <f t="shared" ref="AL120" ca="1" si="4370">($M120=AK120)*$D$11</f>
        <v>0</v>
      </c>
      <c r="AM120" s="63"/>
      <c r="AN120" s="796" t="s">
        <v>79</v>
      </c>
      <c r="AO120" s="72">
        <f t="shared" ref="AO120" ca="1" si="4371">($M120=AN120)*$D$11</f>
        <v>0</v>
      </c>
      <c r="AP120" s="63"/>
      <c r="AQ120" s="806" t="s">
        <v>79</v>
      </c>
      <c r="AR120" s="72">
        <f t="shared" ref="AR120" ca="1" si="4372">($M120=AQ120)*$D$11</f>
        <v>0</v>
      </c>
      <c r="AS120" s="63"/>
      <c r="AT120" s="796" t="s">
        <v>79</v>
      </c>
      <c r="AU120" s="72">
        <f t="shared" ref="AU120" ca="1" si="4373">($M120=AT120)*$D$11</f>
        <v>0</v>
      </c>
      <c r="AV120" s="63"/>
      <c r="AW120" s="796" t="s">
        <v>79</v>
      </c>
      <c r="AX120" s="72">
        <f t="shared" ref="AX120" ca="1" si="4374">($M120=AW120)*$D$11</f>
        <v>0</v>
      </c>
      <c r="AY120" s="63"/>
      <c r="AZ120" s="796" t="s">
        <v>1267</v>
      </c>
      <c r="BA120" s="72">
        <f t="shared" ref="BA120" ca="1" si="4375">($M120=AZ120)*$D$11</f>
        <v>0</v>
      </c>
      <c r="BB120" s="63"/>
      <c r="BC120" s="796" t="s">
        <v>79</v>
      </c>
      <c r="BD120" s="72">
        <f t="shared" ref="BD120" ca="1" si="4376">($M120=BC120)*$D$11</f>
        <v>0</v>
      </c>
      <c r="BE120" s="63"/>
      <c r="BF120" s="796" t="s">
        <v>79</v>
      </c>
      <c r="BG120" s="72">
        <f t="shared" ref="BG120" ca="1" si="4377">($M120=BF120)*$D$11</f>
        <v>0</v>
      </c>
      <c r="BH120" s="63"/>
      <c r="BI120" s="796" t="s">
        <v>79</v>
      </c>
      <c r="BJ120" s="72">
        <f t="shared" ref="BJ120" ca="1" si="4378">($M120=BI120)*$D$11</f>
        <v>0</v>
      </c>
      <c r="BK120" s="63"/>
      <c r="BL120" s="796" t="s">
        <v>79</v>
      </c>
      <c r="BM120" s="72">
        <f t="shared" ref="BM120" ca="1" si="4379">($M120=BL120)*$D$11</f>
        <v>0</v>
      </c>
      <c r="BN120" s="63"/>
      <c r="BO120" s="816" t="s">
        <v>79</v>
      </c>
      <c r="BP120" s="72">
        <f t="shared" ref="BP120" ca="1" si="4380">($M120=BO120)*$D$11</f>
        <v>0</v>
      </c>
      <c r="BQ120" s="63"/>
      <c r="BR120" s="796" t="s">
        <v>79</v>
      </c>
      <c r="BS120" s="72">
        <f t="shared" ref="BS120" ca="1" si="4381">($M120=BR120)*$D$11</f>
        <v>0</v>
      </c>
      <c r="BT120" s="63"/>
      <c r="BU120" s="796" t="s">
        <v>79</v>
      </c>
      <c r="BV120" s="72">
        <f t="shared" ref="BV120" ca="1" si="4382">($M120=BU120)*$D$11</f>
        <v>0</v>
      </c>
      <c r="BW120" s="63"/>
      <c r="BX120" s="73" t="s">
        <v>79</v>
      </c>
      <c r="BY120" s="72">
        <f t="shared" ref="BY120" ca="1" si="4383">($M120=BX120)*$D$11</f>
        <v>0</v>
      </c>
      <c r="BZ120" s="63"/>
      <c r="CA120" s="816" t="s">
        <v>79</v>
      </c>
      <c r="CB120" s="72">
        <f t="shared" ref="CB120" ca="1" si="4384">($M120=CA120)*$D$11</f>
        <v>0</v>
      </c>
      <c r="CC120" s="63"/>
      <c r="CD120" s="825" t="s">
        <v>79</v>
      </c>
      <c r="CE120" s="72">
        <f t="shared" ref="CE120" ca="1" si="4385">($M120=CD120)*$D$11</f>
        <v>0</v>
      </c>
      <c r="CF120" s="63"/>
      <c r="CG120" s="796" t="s">
        <v>79</v>
      </c>
      <c r="CH120" s="72">
        <f t="shared" ref="CH120" ca="1" si="4386">($M120=CG120)*$D$11</f>
        <v>0</v>
      </c>
      <c r="CI120" s="63"/>
      <c r="CJ120" s="796" t="s">
        <v>79</v>
      </c>
      <c r="CK120" s="72">
        <f t="shared" ref="CK120" ca="1" si="4387">($M120=CJ120)*$D$11</f>
        <v>0</v>
      </c>
      <c r="CL120" s="63"/>
      <c r="CM120" s="796" t="s">
        <v>1320</v>
      </c>
      <c r="CN120" s="72">
        <f t="shared" ref="CN120" ca="1" si="4388">($M120=CM120)*$D$11</f>
        <v>0</v>
      </c>
      <c r="CO120" s="63"/>
      <c r="CP120" s="796" t="s">
        <v>79</v>
      </c>
      <c r="CQ120" s="72">
        <f t="shared" ref="CQ120" ca="1" si="4389">($M120=CP120)*$D$11</f>
        <v>0</v>
      </c>
      <c r="CR120" s="63"/>
      <c r="CS120" s="796" t="s">
        <v>79</v>
      </c>
      <c r="CT120" s="72">
        <f t="shared" ref="CT120" ca="1" si="4390">($M120=CS120)*$D$11</f>
        <v>0</v>
      </c>
      <c r="CU120" s="63"/>
      <c r="CV120" s="796" t="s">
        <v>79</v>
      </c>
      <c r="CW120" s="72">
        <f t="shared" ref="CW120" ca="1" si="4391">($M120=CV120)*$D$11</f>
        <v>0</v>
      </c>
      <c r="CX120" s="63"/>
      <c r="CY120" s="796" t="s">
        <v>79</v>
      </c>
      <c r="CZ120" s="72">
        <f t="shared" ref="CZ120" ca="1" si="4392">($M120=CY120)*$D$11</f>
        <v>0</v>
      </c>
      <c r="DA120" s="63"/>
      <c r="DB120" s="796" t="s">
        <v>1320</v>
      </c>
      <c r="DC120" s="72">
        <f t="shared" ref="DC120" ca="1" si="4393">($M120=DB120)*$D$11</f>
        <v>0</v>
      </c>
      <c r="DD120" s="63"/>
      <c r="DE120" s="796" t="s">
        <v>79</v>
      </c>
      <c r="DF120" s="72">
        <f ca="1">($M120=DE120)*$D$11</f>
        <v>0</v>
      </c>
      <c r="DG120" s="63"/>
      <c r="DH120" s="796" t="s">
        <v>79</v>
      </c>
      <c r="DI120" s="72">
        <f ca="1">($M120=DH120)*$D$11</f>
        <v>0</v>
      </c>
      <c r="DJ120" s="63"/>
      <c r="DK120" s="796" t="s">
        <v>79</v>
      </c>
      <c r="DL120" s="72">
        <f ca="1">($M120=DK120)*$D$11</f>
        <v>0</v>
      </c>
      <c r="DM120" s="63"/>
      <c r="DN120" s="73"/>
      <c r="DO120" s="72">
        <f t="shared" ref="DO120" ca="1" si="4394">($M120=DN120)*$D$11</f>
        <v>0</v>
      </c>
      <c r="DP120" s="63"/>
      <c r="DQ120" s="796" t="s">
        <v>79</v>
      </c>
      <c r="DR120" s="72">
        <f t="shared" ref="DR120" ca="1" si="4395">($M120=DQ120)*$D$11</f>
        <v>0</v>
      </c>
      <c r="DS120" s="63"/>
      <c r="DT120" s="73" t="s">
        <v>79</v>
      </c>
      <c r="DU120" s="72">
        <f t="shared" ref="DU120" ca="1" si="4396">($M120=DT120)*$D$11</f>
        <v>0</v>
      </c>
      <c r="DV120" s="63"/>
      <c r="DW120" s="73"/>
      <c r="DX120" s="72">
        <f t="shared" ref="DX120" ca="1" si="4397">($M120=DW120)*$D$11</f>
        <v>0</v>
      </c>
      <c r="DY120" s="63"/>
      <c r="DZ120" s="73"/>
      <c r="EA120" s="72">
        <f ca="1">($M120=DZ120)*$D$11</f>
        <v>0</v>
      </c>
      <c r="EB120" s="63"/>
      <c r="EC120" s="73"/>
      <c r="ED120" s="72">
        <f t="shared" ref="ED120" ca="1" si="4398">($M120=EC120)*$D$11</f>
        <v>0</v>
      </c>
      <c r="EE120" s="63"/>
      <c r="EF120" s="73"/>
      <c r="EG120" s="72">
        <f t="shared" ref="EG120" ca="1" si="4399">($M120=EF120)*$D$11</f>
        <v>0</v>
      </c>
      <c r="EH120" s="63"/>
      <c r="EI120" s="73"/>
      <c r="EJ120" s="72">
        <f t="shared" ref="EJ120" ca="1" si="4400">($M120=EI120)*$D$11</f>
        <v>0</v>
      </c>
      <c r="EK120" s="63"/>
      <c r="EL120" s="73"/>
      <c r="EM120" s="72">
        <f t="shared" ref="EM120" ca="1" si="4401">($M120=EL120)*$D$11</f>
        <v>0</v>
      </c>
      <c r="EN120" s="63"/>
      <c r="EO120" s="73"/>
      <c r="EP120" s="72">
        <f t="shared" ref="EP120" ca="1" si="4402">($M120=EO120)*$D$11</f>
        <v>0</v>
      </c>
      <c r="EQ120" s="63"/>
      <c r="ER120" s="73"/>
      <c r="ES120" s="72">
        <f t="shared" ref="ES120" ca="1" si="4403">($M120=ER120)*$D$11</f>
        <v>0</v>
      </c>
      <c r="ET120" s="63"/>
      <c r="EU120" s="73"/>
      <c r="EV120" s="72">
        <f t="shared" ref="EV120" ca="1" si="4404">($M120=EU120)*$D$11</f>
        <v>0</v>
      </c>
      <c r="EW120" s="63"/>
      <c r="EX120" s="73"/>
      <c r="EY120" s="72">
        <f t="shared" ref="EY120" ca="1" si="4405">($M120=EX120)*$D$11</f>
        <v>0</v>
      </c>
      <c r="EZ120" s="63"/>
      <c r="FA120" s="73"/>
      <c r="FB120" s="72">
        <f t="shared" ref="FB120" ca="1" si="4406">($M120=FA120)*$D$11</f>
        <v>0</v>
      </c>
      <c r="FC120" s="63"/>
      <c r="FD120" s="73"/>
      <c r="FE120" s="72">
        <f t="shared" ref="FE120" ca="1" si="4407">($M120=FD120)*$D$11</f>
        <v>0</v>
      </c>
      <c r="FF120" s="63"/>
      <c r="FG120" s="73"/>
      <c r="FH120" s="72">
        <f t="shared" ref="FH120" ca="1" si="4408">($M120=FG120)*$D$11</f>
        <v>0</v>
      </c>
      <c r="FI120" s="63"/>
      <c r="FJ120" s="73"/>
      <c r="FK120" s="72">
        <f t="shared" ref="FK120" ca="1" si="4409">($M120=FJ120)*$D$11</f>
        <v>0</v>
      </c>
      <c r="FL120" s="63"/>
      <c r="FM120" s="73"/>
      <c r="FN120" s="72">
        <f t="shared" ref="FN120" ca="1" si="4410">($M120=FM120)*$D$11</f>
        <v>0</v>
      </c>
      <c r="FO120" s="63"/>
      <c r="FP120" s="73"/>
      <c r="FQ120" s="72">
        <f t="shared" ref="FQ120" ca="1" si="4411">($M120=FP120)*$D$11</f>
        <v>0</v>
      </c>
      <c r="FR120" s="63"/>
      <c r="FS120" s="73"/>
      <c r="FT120" s="72">
        <f t="shared" ref="FT120" ca="1" si="4412">($M120=FS120)*$D$11</f>
        <v>0</v>
      </c>
      <c r="FU120" s="63"/>
      <c r="FV120" s="73"/>
      <c r="FW120" s="72">
        <f t="shared" ref="FW120" ca="1" si="4413">($M120=FV120)*$D$11</f>
        <v>0</v>
      </c>
      <c r="FX120" s="63"/>
      <c r="FY120" s="73"/>
      <c r="FZ120" s="72">
        <f t="shared" ref="FZ120" ca="1" si="4414">($M120=FY120)*$D$11</f>
        <v>0</v>
      </c>
      <c r="GA120" s="63"/>
      <c r="GB120" s="73"/>
      <c r="GC120" s="72">
        <f t="shared" ref="GC120" ca="1" si="4415">($M120=GB120)*$D$11</f>
        <v>0</v>
      </c>
      <c r="GD120" s="63"/>
      <c r="GE120" s="73"/>
      <c r="GF120" s="72">
        <f t="shared" ref="GF120" ca="1" si="4416">($M120=GE120)*$D$11</f>
        <v>0</v>
      </c>
      <c r="GG120" s="63"/>
      <c r="GH120" s="73"/>
      <c r="GI120" s="72">
        <f t="shared" ref="GI120" ca="1" si="4417">($M120=GH120)*$D$11</f>
        <v>0</v>
      </c>
      <c r="GJ120" s="63"/>
      <c r="GK120" s="73"/>
      <c r="GL120" s="72">
        <f t="shared" ref="GL120" ca="1" si="4418">($M120=GK120)*$D$11</f>
        <v>0</v>
      </c>
      <c r="GM120" s="63"/>
      <c r="GN120" s="73"/>
      <c r="GO120" s="72">
        <f t="shared" ref="GO120" ca="1" si="4419">($M120=GN120)*$D$11</f>
        <v>0</v>
      </c>
      <c r="GP120" s="63"/>
      <c r="GQ120" s="73"/>
      <c r="GR120" s="72">
        <f t="shared" ref="GR120" ca="1" si="4420">($M120=GQ120)*$D$11</f>
        <v>0</v>
      </c>
      <c r="GS120" s="63"/>
      <c r="GT120" s="73"/>
      <c r="GU120" s="72">
        <f t="shared" ref="GU120" ca="1" si="4421">($M120=GT120)*$D$11</f>
        <v>0</v>
      </c>
      <c r="GV120" s="63"/>
      <c r="GW120" s="73"/>
      <c r="GX120" s="72">
        <f t="shared" ref="GX120" ca="1" si="4422">($M120=GW120)*$D$11</f>
        <v>0</v>
      </c>
      <c r="GY120" s="63"/>
      <c r="GZ120" s="73"/>
      <c r="HA120" s="72">
        <f t="shared" ref="HA120" ca="1" si="4423">($M120=GZ120)*$D$11</f>
        <v>0</v>
      </c>
      <c r="HB120" s="63"/>
      <c r="HC120" s="73"/>
      <c r="HD120" s="72">
        <f t="shared" ref="HD120" ca="1" si="4424">($M120=HC120)*$D$11</f>
        <v>0</v>
      </c>
      <c r="HE120" s="63"/>
      <c r="HF120" s="73"/>
      <c r="HG120" s="72">
        <f t="shared" ref="HG120" ca="1" si="4425">($M120=HF120)*$D$11</f>
        <v>0</v>
      </c>
      <c r="HH120" s="63"/>
      <c r="HI120" s="73"/>
      <c r="HJ120" s="72">
        <f t="shared" ref="HJ120" ca="1" si="4426">($M120=HI120)*$D$11</f>
        <v>0</v>
      </c>
      <c r="HK120" s="63"/>
      <c r="HL120" s="73"/>
      <c r="HM120" s="72">
        <f t="shared" ref="HM120" ca="1" si="4427">($M120=HL120)*$D$11</f>
        <v>0</v>
      </c>
      <c r="HN120" s="63"/>
      <c r="HO120" s="73"/>
      <c r="HP120" s="72">
        <f t="shared" ref="HP120" ca="1" si="4428">($M120=HO120)*$D$11</f>
        <v>0</v>
      </c>
      <c r="HQ120" s="63"/>
      <c r="HR120" s="73"/>
      <c r="HS120" s="72">
        <f t="shared" ref="HS120" ca="1" si="4429">($M120=HR120)*$D$11</f>
        <v>0</v>
      </c>
      <c r="HT120" s="63"/>
      <c r="HU120" s="73"/>
      <c r="HV120" s="72">
        <f t="shared" ref="HV120" ca="1" si="4430">($M120=HU120)*$D$11</f>
        <v>0</v>
      </c>
      <c r="HW120" s="63"/>
      <c r="HX120" s="73"/>
      <c r="HY120" s="72">
        <f t="shared" ref="HY120" ca="1" si="4431">($M120=HX120)*$D$11</f>
        <v>0</v>
      </c>
      <c r="HZ120" s="63"/>
      <c r="IA120" s="73"/>
      <c r="IB120" s="72">
        <f t="shared" ref="IB120" ca="1" si="4432">($M120=IA120)*$D$11</f>
        <v>0</v>
      </c>
      <c r="IC120" s="63"/>
      <c r="ID120" s="73"/>
      <c r="IE120" s="72">
        <f t="shared" ref="IE120" ca="1" si="4433">($M120=ID120)*$D$11</f>
        <v>0</v>
      </c>
      <c r="IF120" s="63"/>
      <c r="IG120" s="73"/>
      <c r="IH120" s="72">
        <f t="shared" ref="IH120" ca="1" si="4434">($M120=IG120)*$D$11</f>
        <v>0</v>
      </c>
      <c r="II120" s="63"/>
      <c r="IJ120" s="73"/>
      <c r="IK120" s="72">
        <f t="shared" ref="IK120" ca="1" si="4435">($M120=IJ120)*$D$11</f>
        <v>0</v>
      </c>
      <c r="IL120" s="63"/>
      <c r="IM120" s="73"/>
      <c r="IN120" s="72">
        <f t="shared" ref="IN120" ca="1" si="4436">($M120=IM120)*$D$11</f>
        <v>0</v>
      </c>
      <c r="IO120" s="63"/>
      <c r="IP120" s="73"/>
      <c r="IQ120" s="72">
        <f t="shared" ref="IQ120" ca="1" si="4437">($M120=IP120)*$D$11</f>
        <v>0</v>
      </c>
      <c r="IR120" s="63"/>
      <c r="IS120" s="73"/>
      <c r="IT120" s="72">
        <f t="shared" ref="IT120" ca="1" si="4438">($M120=IS120)*$D$11</f>
        <v>0</v>
      </c>
      <c r="IU120" s="63"/>
      <c r="IV120" s="73"/>
      <c r="IW120" s="72">
        <f t="shared" ref="IW120" ca="1" si="4439">($M120=IV120)*$D$11</f>
        <v>0</v>
      </c>
      <c r="IX120" s="63"/>
      <c r="IY120" s="73"/>
      <c r="IZ120" s="72">
        <f t="shared" ref="IZ120" ca="1" si="4440">($M120=IY120)*$D$11</f>
        <v>0</v>
      </c>
      <c r="JA120" s="63"/>
      <c r="JB120" s="73"/>
      <c r="JC120" s="72">
        <f t="shared" ref="JC120" ca="1" si="4441">($M120=JB120)*$D$11</f>
        <v>0</v>
      </c>
      <c r="JD120" s="63"/>
      <c r="JE120" s="73"/>
      <c r="JF120" s="72">
        <f t="shared" ref="JF120" ca="1" si="4442">($M120=JE120)*$D$11</f>
        <v>0</v>
      </c>
      <c r="JG120" s="63"/>
      <c r="JH120" s="73"/>
      <c r="JI120" s="72">
        <f t="shared" ref="JI120" ca="1" si="4443">($M120=JH120)*$D$11</f>
        <v>0</v>
      </c>
      <c r="JJ120" s="63"/>
      <c r="JK120" s="73"/>
      <c r="JL120" s="72">
        <f t="shared" ref="JL120" ca="1" si="4444">($M120=JK120)*$D$11</f>
        <v>0</v>
      </c>
      <c r="JM120" s="63"/>
      <c r="JN120" s="73"/>
      <c r="JO120" s="72">
        <f t="shared" ref="JO120" ca="1" si="4445">($M120=JN120)*$D$11</f>
        <v>0</v>
      </c>
      <c r="JP120" s="63"/>
      <c r="JQ120" s="73"/>
      <c r="JR120" s="72">
        <f t="shared" ref="JR120" ca="1" si="4446">($M120=JQ120)*$D$11</f>
        <v>0</v>
      </c>
      <c r="JS120" s="63"/>
      <c r="JT120" s="73"/>
      <c r="JU120" s="72">
        <f t="shared" ref="JU120" ca="1" si="4447">($M120=JT120)*$D$11</f>
        <v>0</v>
      </c>
      <c r="JV120" s="63"/>
      <c r="JW120" s="73"/>
      <c r="JX120" s="72">
        <f t="shared" ref="JX120" ca="1" si="4448">($M120=JW120)*$D$11</f>
        <v>0</v>
      </c>
      <c r="JY120" s="63"/>
      <c r="JZ120" s="73"/>
      <c r="KA120" s="72">
        <f t="shared" ref="KA120" ca="1" si="4449">($M120=JZ120)*$D$11</f>
        <v>0</v>
      </c>
      <c r="KB120" s="63"/>
      <c r="KC120" s="73"/>
      <c r="KD120" s="72">
        <f t="shared" ref="KD120" ca="1" si="4450">($M120=KC120)*$D$11</f>
        <v>0</v>
      </c>
      <c r="KE120" s="63"/>
      <c r="KF120" s="73"/>
      <c r="KG120" s="72">
        <f t="shared" ref="KG120" ca="1" si="4451">($M120=KF120)*$D$11</f>
        <v>0</v>
      </c>
      <c r="KH120" s="63"/>
      <c r="KI120" s="73"/>
      <c r="KJ120" s="72">
        <f t="shared" ref="KJ120" ca="1" si="4452">($M120=KI120)*$D$11</f>
        <v>0</v>
      </c>
      <c r="KK120" s="63"/>
      <c r="KL120" s="73"/>
      <c r="KM120" s="72">
        <f t="shared" ref="KM120" ca="1" si="4453">($M120=KL120)*$D$11</f>
        <v>0</v>
      </c>
      <c r="KN120" s="63"/>
      <c r="KO120" s="73"/>
      <c r="KP120" s="72">
        <f t="shared" ref="KP120" ca="1" si="4454">($M120=KO120)*$D$11</f>
        <v>0</v>
      </c>
      <c r="KQ120" s="63"/>
      <c r="KR120" s="73"/>
      <c r="KS120" s="72">
        <f t="shared" ref="KS120" ca="1" si="4455">($M120=KR120)*$D$11</f>
        <v>0</v>
      </c>
      <c r="KT120" s="63"/>
      <c r="KU120" s="73"/>
      <c r="KV120" s="72">
        <f t="shared" ref="KV120" ca="1" si="4456">($M120=KU120)*$D$11</f>
        <v>0</v>
      </c>
      <c r="KW120" s="63"/>
      <c r="KX120" s="73"/>
      <c r="KY120" s="72">
        <f t="shared" ref="KY120" ca="1" si="4457">($M120=KX120)*$D$11</f>
        <v>0</v>
      </c>
      <c r="KZ120" s="63"/>
      <c r="LA120" s="73"/>
      <c r="LB120" s="72">
        <f t="shared" ref="LB120" ca="1" si="4458">($M120=LA120)*$D$11</f>
        <v>0</v>
      </c>
      <c r="LC120" s="63"/>
      <c r="LD120" s="73"/>
      <c r="LE120" s="72">
        <f t="shared" ref="LE120" ca="1" si="4459">($M120=LD120)*$D$11</f>
        <v>0</v>
      </c>
      <c r="LF120" s="63"/>
    </row>
    <row r="121" spans="1:318" s="784" customFormat="1">
      <c r="A121" s="49"/>
      <c r="B121" s="49"/>
      <c r="C121" s="49"/>
      <c r="D121" s="49"/>
      <c r="E121" s="64"/>
      <c r="F121" s="125">
        <f t="shared" ref="F121" si="4460">$D$12</f>
        <v>20</v>
      </c>
      <c r="G121" s="443">
        <f ca="1">VLOOKUP(H121,Equipos!$Q$1:$R$25,2,0)</f>
        <v>17</v>
      </c>
      <c r="H121" s="444">
        <f ca="1">$H$74</f>
        <v>46200</v>
      </c>
      <c r="I121" s="50"/>
      <c r="J121" s="846"/>
      <c r="K121" s="56" t="str">
        <f>Idiomas!D191</f>
        <v>2º GRUPO K</v>
      </c>
      <c r="L121" s="53"/>
      <c r="M121" s="55" t="str">
        <f ca="1">IF(OR(SUM(WORLDCUP!$AN$86:$AN$89)=12,WORLDCUP!$AJ$99=144),WORLDCUP!AL87,LEFT(K121,1)&amp;RIGHT(K121,1))</f>
        <v>2K</v>
      </c>
      <c r="N121" s="25"/>
      <c r="O121" s="25"/>
      <c r="P121" s="25"/>
      <c r="Q121" s="25"/>
      <c r="R121" s="108"/>
      <c r="S121" s="796" t="s">
        <v>1320</v>
      </c>
      <c r="T121" s="72">
        <f t="shared" ref="T121" ca="1" si="4461">($M121=S121)*$D$12</f>
        <v>0</v>
      </c>
      <c r="U121" s="63"/>
      <c r="V121" s="73" t="s">
        <v>1320</v>
      </c>
      <c r="W121" s="72">
        <f t="shared" ref="W121" ca="1" si="4462">($M121=V121)*$D$12</f>
        <v>0</v>
      </c>
      <c r="X121" s="63"/>
      <c r="Y121" s="796" t="s">
        <v>1320</v>
      </c>
      <c r="Z121" s="72">
        <f t="shared" ref="Z121" ca="1" si="4463">($M121=Y121)*$D$12</f>
        <v>0</v>
      </c>
      <c r="AA121" s="63"/>
      <c r="AB121" s="796" t="s">
        <v>1320</v>
      </c>
      <c r="AC121" s="72">
        <f t="shared" ref="AC121" ca="1" si="4464">($M121=AB121)*$D$12</f>
        <v>0</v>
      </c>
      <c r="AD121" s="63"/>
      <c r="AE121" s="796" t="s">
        <v>1320</v>
      </c>
      <c r="AF121" s="72">
        <f t="shared" ref="AF121" ca="1" si="4465">($M121=AE121)*$D$12</f>
        <v>0</v>
      </c>
      <c r="AG121" s="63"/>
      <c r="AH121" s="796" t="s">
        <v>1320</v>
      </c>
      <c r="AI121" s="72">
        <f t="shared" ref="AI121" ca="1" si="4466">($M121=AH121)*$D$12</f>
        <v>0</v>
      </c>
      <c r="AJ121" s="63"/>
      <c r="AK121" s="806" t="s">
        <v>1320</v>
      </c>
      <c r="AL121" s="72">
        <f t="shared" ref="AL121" ca="1" si="4467">($M121=AK121)*$D$12</f>
        <v>0</v>
      </c>
      <c r="AM121" s="63"/>
      <c r="AN121" s="796" t="s">
        <v>1320</v>
      </c>
      <c r="AO121" s="72">
        <f t="shared" ref="AO121" ca="1" si="4468">($M121=AN121)*$D$12</f>
        <v>0</v>
      </c>
      <c r="AP121" s="63"/>
      <c r="AQ121" s="806" t="s">
        <v>1320</v>
      </c>
      <c r="AR121" s="72">
        <f t="shared" ref="AR121" ca="1" si="4469">($M121=AQ121)*$D$12</f>
        <v>0</v>
      </c>
      <c r="AS121" s="63"/>
      <c r="AT121" s="796" t="s">
        <v>1320</v>
      </c>
      <c r="AU121" s="72">
        <f t="shared" ref="AU121" ca="1" si="4470">($M121=AT121)*$D$12</f>
        <v>0</v>
      </c>
      <c r="AV121" s="63"/>
      <c r="AW121" s="796" t="s">
        <v>1320</v>
      </c>
      <c r="AX121" s="72">
        <f t="shared" ref="AX121" ca="1" si="4471">($M121=AW121)*$D$12</f>
        <v>0</v>
      </c>
      <c r="AY121" s="63"/>
      <c r="AZ121" s="796" t="s">
        <v>1839</v>
      </c>
      <c r="BA121" s="72">
        <f t="shared" ref="BA121" ca="1" si="4472">($M121=AZ121)*$D$12</f>
        <v>0</v>
      </c>
      <c r="BB121" s="63"/>
      <c r="BC121" s="796" t="s">
        <v>1320</v>
      </c>
      <c r="BD121" s="72">
        <f t="shared" ref="BD121" ca="1" si="4473">($M121=BC121)*$D$12</f>
        <v>0</v>
      </c>
      <c r="BE121" s="63"/>
      <c r="BF121" s="796" t="s">
        <v>1320</v>
      </c>
      <c r="BG121" s="72">
        <f t="shared" ref="BG121" ca="1" si="4474">($M121=BF121)*$D$12</f>
        <v>0</v>
      </c>
      <c r="BH121" s="63"/>
      <c r="BI121" s="796" t="s">
        <v>1320</v>
      </c>
      <c r="BJ121" s="72">
        <f t="shared" ref="BJ121" ca="1" si="4475">($M121=BI121)*$D$12</f>
        <v>0</v>
      </c>
      <c r="BK121" s="63"/>
      <c r="BL121" s="796" t="s">
        <v>1320</v>
      </c>
      <c r="BM121" s="72">
        <f t="shared" ref="BM121" ca="1" si="4476">($M121=BL121)*$D$12</f>
        <v>0</v>
      </c>
      <c r="BN121" s="63"/>
      <c r="BO121" s="816" t="s">
        <v>1320</v>
      </c>
      <c r="BP121" s="72">
        <f t="shared" ref="BP121" ca="1" si="4477">($M121=BO121)*$D$12</f>
        <v>0</v>
      </c>
      <c r="BQ121" s="63"/>
      <c r="BR121" s="796" t="s">
        <v>1320</v>
      </c>
      <c r="BS121" s="72">
        <f t="shared" ref="BS121" ca="1" si="4478">($M121=BR121)*$D$12</f>
        <v>0</v>
      </c>
      <c r="BT121" s="63"/>
      <c r="BU121" s="796" t="s">
        <v>1320</v>
      </c>
      <c r="BV121" s="72">
        <f t="shared" ref="BV121" ca="1" si="4479">($M121=BU121)*$D$12</f>
        <v>0</v>
      </c>
      <c r="BW121" s="63"/>
      <c r="BX121" s="73" t="s">
        <v>1320</v>
      </c>
      <c r="BY121" s="72">
        <f t="shared" ref="BY121" ca="1" si="4480">($M121=BX121)*$D$12</f>
        <v>0</v>
      </c>
      <c r="BZ121" s="63"/>
      <c r="CA121" s="816" t="s">
        <v>1320</v>
      </c>
      <c r="CB121" s="72">
        <f t="shared" ref="CB121" ca="1" si="4481">($M121=CA121)*$D$12</f>
        <v>0</v>
      </c>
      <c r="CC121" s="63"/>
      <c r="CD121" s="825" t="s">
        <v>1320</v>
      </c>
      <c r="CE121" s="72">
        <f t="shared" ref="CE121" ca="1" si="4482">($M121=CD121)*$D$12</f>
        <v>0</v>
      </c>
      <c r="CF121" s="63"/>
      <c r="CG121" s="796" t="s">
        <v>1320</v>
      </c>
      <c r="CH121" s="72">
        <f t="shared" ref="CH121" ca="1" si="4483">($M121=CG121)*$D$12</f>
        <v>0</v>
      </c>
      <c r="CI121" s="63"/>
      <c r="CJ121" s="796" t="s">
        <v>1320</v>
      </c>
      <c r="CK121" s="72">
        <f t="shared" ref="CK121" ca="1" si="4484">($M121=CJ121)*$D$12</f>
        <v>0</v>
      </c>
      <c r="CL121" s="63"/>
      <c r="CM121" s="796" t="s">
        <v>79</v>
      </c>
      <c r="CN121" s="72">
        <f t="shared" ref="CN121" ca="1" si="4485">($M121=CM121)*$D$12</f>
        <v>0</v>
      </c>
      <c r="CO121" s="63"/>
      <c r="CP121" s="796" t="s">
        <v>1320</v>
      </c>
      <c r="CQ121" s="72">
        <f t="shared" ref="CQ121" ca="1" si="4486">($M121=CP121)*$D$12</f>
        <v>0</v>
      </c>
      <c r="CR121" s="63"/>
      <c r="CS121" s="796" t="s">
        <v>1320</v>
      </c>
      <c r="CT121" s="72">
        <f t="shared" ref="CT121" ca="1" si="4487">($M121=CS121)*$D$12</f>
        <v>0</v>
      </c>
      <c r="CU121" s="63"/>
      <c r="CV121" s="796" t="s">
        <v>1320</v>
      </c>
      <c r="CW121" s="72">
        <f t="shared" ref="CW121" ca="1" si="4488">($M121=CV121)*$D$12</f>
        <v>0</v>
      </c>
      <c r="CX121" s="63"/>
      <c r="CY121" s="796" t="s">
        <v>1320</v>
      </c>
      <c r="CZ121" s="72">
        <f t="shared" ref="CZ121" ca="1" si="4489">($M121=CY121)*$D$12</f>
        <v>0</v>
      </c>
      <c r="DA121" s="63"/>
      <c r="DB121" s="796" t="s">
        <v>79</v>
      </c>
      <c r="DC121" s="72">
        <f t="shared" ref="DC121" ca="1" si="4490">($M121=DB121)*$D$12</f>
        <v>0</v>
      </c>
      <c r="DD121" s="63"/>
      <c r="DE121" s="796" t="s">
        <v>1320</v>
      </c>
      <c r="DF121" s="72">
        <f ca="1">($M121=DE121)*$D$12</f>
        <v>0</v>
      </c>
      <c r="DG121" s="63"/>
      <c r="DH121" s="796" t="s">
        <v>1320</v>
      </c>
      <c r="DI121" s="72">
        <f ca="1">($M121=DH121)*$D$12</f>
        <v>0</v>
      </c>
      <c r="DJ121" s="63"/>
      <c r="DK121" s="796" t="s">
        <v>1320</v>
      </c>
      <c r="DL121" s="72">
        <f ca="1">($M121=DK121)*$D$12</f>
        <v>0</v>
      </c>
      <c r="DM121" s="63"/>
      <c r="DN121" s="73"/>
      <c r="DO121" s="72">
        <f t="shared" ref="DO121" ca="1" si="4491">($M121=DN121)*$D$12</f>
        <v>0</v>
      </c>
      <c r="DP121" s="63"/>
      <c r="DQ121" s="796" t="s">
        <v>1320</v>
      </c>
      <c r="DR121" s="72">
        <f t="shared" ref="DR121" ca="1" si="4492">($M121=DQ121)*$D$12</f>
        <v>0</v>
      </c>
      <c r="DS121" s="63"/>
      <c r="DT121" s="73" t="s">
        <v>1320</v>
      </c>
      <c r="DU121" s="72">
        <f t="shared" ref="DU121" ca="1" si="4493">($M121=DT121)*$D$12</f>
        <v>0</v>
      </c>
      <c r="DV121" s="63"/>
      <c r="DW121" s="73"/>
      <c r="DX121" s="72">
        <f t="shared" ref="DX121" ca="1" si="4494">($M121=DW121)*$D$12</f>
        <v>0</v>
      </c>
      <c r="DY121" s="63"/>
      <c r="DZ121" s="73"/>
      <c r="EA121" s="72">
        <f ca="1">($M121=DZ121)*$D$12</f>
        <v>0</v>
      </c>
      <c r="EB121" s="63"/>
      <c r="EC121" s="73"/>
      <c r="ED121" s="72">
        <f t="shared" ref="ED121" ca="1" si="4495">($M121=EC121)*$D$12</f>
        <v>0</v>
      </c>
      <c r="EE121" s="63"/>
      <c r="EF121" s="73"/>
      <c r="EG121" s="72">
        <f t="shared" ref="EG121" ca="1" si="4496">($M121=EF121)*$D$12</f>
        <v>0</v>
      </c>
      <c r="EH121" s="63"/>
      <c r="EI121" s="73"/>
      <c r="EJ121" s="72">
        <f t="shared" ref="EJ121" ca="1" si="4497">($M121=EI121)*$D$12</f>
        <v>0</v>
      </c>
      <c r="EK121" s="63"/>
      <c r="EL121" s="73"/>
      <c r="EM121" s="72">
        <f t="shared" ref="EM121" ca="1" si="4498">($M121=EL121)*$D$12</f>
        <v>0</v>
      </c>
      <c r="EN121" s="63"/>
      <c r="EO121" s="73"/>
      <c r="EP121" s="72">
        <f t="shared" ref="EP121" ca="1" si="4499">($M121=EO121)*$D$12</f>
        <v>0</v>
      </c>
      <c r="EQ121" s="63"/>
      <c r="ER121" s="73"/>
      <c r="ES121" s="72">
        <f t="shared" ref="ES121" ca="1" si="4500">($M121=ER121)*$D$12</f>
        <v>0</v>
      </c>
      <c r="ET121" s="63"/>
      <c r="EU121" s="73"/>
      <c r="EV121" s="72">
        <f t="shared" ref="EV121" ca="1" si="4501">($M121=EU121)*$D$12</f>
        <v>0</v>
      </c>
      <c r="EW121" s="63"/>
      <c r="EX121" s="73"/>
      <c r="EY121" s="72">
        <f t="shared" ref="EY121" ca="1" si="4502">($M121=EX121)*$D$12</f>
        <v>0</v>
      </c>
      <c r="EZ121" s="63"/>
      <c r="FA121" s="73"/>
      <c r="FB121" s="72">
        <f t="shared" ref="FB121" ca="1" si="4503">($M121=FA121)*$D$12</f>
        <v>0</v>
      </c>
      <c r="FC121" s="63"/>
      <c r="FD121" s="73"/>
      <c r="FE121" s="72">
        <f t="shared" ref="FE121" ca="1" si="4504">($M121=FD121)*$D$12</f>
        <v>0</v>
      </c>
      <c r="FF121" s="63"/>
      <c r="FG121" s="73"/>
      <c r="FH121" s="72">
        <f t="shared" ref="FH121" ca="1" si="4505">($M121=FG121)*$D$12</f>
        <v>0</v>
      </c>
      <c r="FI121" s="63"/>
      <c r="FJ121" s="73"/>
      <c r="FK121" s="72">
        <f t="shared" ref="FK121" ca="1" si="4506">($M121=FJ121)*$D$12</f>
        <v>0</v>
      </c>
      <c r="FL121" s="63"/>
      <c r="FM121" s="73"/>
      <c r="FN121" s="72">
        <f t="shared" ref="FN121" ca="1" si="4507">($M121=FM121)*$D$12</f>
        <v>0</v>
      </c>
      <c r="FO121" s="63"/>
      <c r="FP121" s="73"/>
      <c r="FQ121" s="72">
        <f t="shared" ref="FQ121" ca="1" si="4508">($M121=FP121)*$D$12</f>
        <v>0</v>
      </c>
      <c r="FR121" s="63"/>
      <c r="FS121" s="73"/>
      <c r="FT121" s="72">
        <f t="shared" ref="FT121" ca="1" si="4509">($M121=FS121)*$D$12</f>
        <v>0</v>
      </c>
      <c r="FU121" s="63"/>
      <c r="FV121" s="73"/>
      <c r="FW121" s="72">
        <f t="shared" ref="FW121" ca="1" si="4510">($M121=FV121)*$D$12</f>
        <v>0</v>
      </c>
      <c r="FX121" s="63"/>
      <c r="FY121" s="73"/>
      <c r="FZ121" s="72">
        <f t="shared" ref="FZ121" ca="1" si="4511">($M121=FY121)*$D$12</f>
        <v>0</v>
      </c>
      <c r="GA121" s="63"/>
      <c r="GB121" s="73"/>
      <c r="GC121" s="72">
        <f t="shared" ref="GC121" ca="1" si="4512">($M121=GB121)*$D$12</f>
        <v>0</v>
      </c>
      <c r="GD121" s="63"/>
      <c r="GE121" s="73"/>
      <c r="GF121" s="72">
        <f t="shared" ref="GF121" ca="1" si="4513">($M121=GE121)*$D$12</f>
        <v>0</v>
      </c>
      <c r="GG121" s="63"/>
      <c r="GH121" s="73"/>
      <c r="GI121" s="72">
        <f t="shared" ref="GI121" ca="1" si="4514">($M121=GH121)*$D$12</f>
        <v>0</v>
      </c>
      <c r="GJ121" s="63"/>
      <c r="GK121" s="73"/>
      <c r="GL121" s="72">
        <f t="shared" ref="GL121" ca="1" si="4515">($M121=GK121)*$D$12</f>
        <v>0</v>
      </c>
      <c r="GM121" s="63"/>
      <c r="GN121" s="73"/>
      <c r="GO121" s="72">
        <f t="shared" ref="GO121" ca="1" si="4516">($M121=GN121)*$D$12</f>
        <v>0</v>
      </c>
      <c r="GP121" s="63"/>
      <c r="GQ121" s="73"/>
      <c r="GR121" s="72">
        <f t="shared" ref="GR121" ca="1" si="4517">($M121=GQ121)*$D$12</f>
        <v>0</v>
      </c>
      <c r="GS121" s="63"/>
      <c r="GT121" s="73"/>
      <c r="GU121" s="72">
        <f t="shared" ref="GU121" ca="1" si="4518">($M121=GT121)*$D$12</f>
        <v>0</v>
      </c>
      <c r="GV121" s="63"/>
      <c r="GW121" s="73"/>
      <c r="GX121" s="72">
        <f t="shared" ref="GX121" ca="1" si="4519">($M121=GW121)*$D$12</f>
        <v>0</v>
      </c>
      <c r="GY121" s="63"/>
      <c r="GZ121" s="73"/>
      <c r="HA121" s="72">
        <f t="shared" ref="HA121" ca="1" si="4520">($M121=GZ121)*$D$12</f>
        <v>0</v>
      </c>
      <c r="HB121" s="63"/>
      <c r="HC121" s="73"/>
      <c r="HD121" s="72">
        <f t="shared" ref="HD121" ca="1" si="4521">($M121=HC121)*$D$12</f>
        <v>0</v>
      </c>
      <c r="HE121" s="63"/>
      <c r="HF121" s="73"/>
      <c r="HG121" s="72">
        <f t="shared" ref="HG121" ca="1" si="4522">($M121=HF121)*$D$12</f>
        <v>0</v>
      </c>
      <c r="HH121" s="63"/>
      <c r="HI121" s="73"/>
      <c r="HJ121" s="72">
        <f t="shared" ref="HJ121" ca="1" si="4523">($M121=HI121)*$D$12</f>
        <v>0</v>
      </c>
      <c r="HK121" s="63"/>
      <c r="HL121" s="73"/>
      <c r="HM121" s="72">
        <f t="shared" ref="HM121" ca="1" si="4524">($M121=HL121)*$D$12</f>
        <v>0</v>
      </c>
      <c r="HN121" s="63"/>
      <c r="HO121" s="73"/>
      <c r="HP121" s="72">
        <f t="shared" ref="HP121" ca="1" si="4525">($M121=HO121)*$D$12</f>
        <v>0</v>
      </c>
      <c r="HQ121" s="63"/>
      <c r="HR121" s="73"/>
      <c r="HS121" s="72">
        <f t="shared" ref="HS121" ca="1" si="4526">($M121=HR121)*$D$12</f>
        <v>0</v>
      </c>
      <c r="HT121" s="63"/>
      <c r="HU121" s="73"/>
      <c r="HV121" s="72">
        <f t="shared" ref="HV121" ca="1" si="4527">($M121=HU121)*$D$12</f>
        <v>0</v>
      </c>
      <c r="HW121" s="63"/>
      <c r="HX121" s="73"/>
      <c r="HY121" s="72">
        <f t="shared" ref="HY121" ca="1" si="4528">($M121=HX121)*$D$12</f>
        <v>0</v>
      </c>
      <c r="HZ121" s="63"/>
      <c r="IA121" s="73"/>
      <c r="IB121" s="72">
        <f t="shared" ref="IB121" ca="1" si="4529">($M121=IA121)*$D$12</f>
        <v>0</v>
      </c>
      <c r="IC121" s="63"/>
      <c r="ID121" s="73"/>
      <c r="IE121" s="72">
        <f t="shared" ref="IE121" ca="1" si="4530">($M121=ID121)*$D$12</f>
        <v>0</v>
      </c>
      <c r="IF121" s="63"/>
      <c r="IG121" s="73"/>
      <c r="IH121" s="72">
        <f t="shared" ref="IH121" ca="1" si="4531">($M121=IG121)*$D$12</f>
        <v>0</v>
      </c>
      <c r="II121" s="63"/>
      <c r="IJ121" s="73"/>
      <c r="IK121" s="72">
        <f t="shared" ref="IK121" ca="1" si="4532">($M121=IJ121)*$D$12</f>
        <v>0</v>
      </c>
      <c r="IL121" s="63"/>
      <c r="IM121" s="73"/>
      <c r="IN121" s="72">
        <f t="shared" ref="IN121" ca="1" si="4533">($M121=IM121)*$D$12</f>
        <v>0</v>
      </c>
      <c r="IO121" s="63"/>
      <c r="IP121" s="73"/>
      <c r="IQ121" s="72">
        <f t="shared" ref="IQ121" ca="1" si="4534">($M121=IP121)*$D$12</f>
        <v>0</v>
      </c>
      <c r="IR121" s="63"/>
      <c r="IS121" s="73"/>
      <c r="IT121" s="72">
        <f t="shared" ref="IT121" ca="1" si="4535">($M121=IS121)*$D$12</f>
        <v>0</v>
      </c>
      <c r="IU121" s="63"/>
      <c r="IV121" s="73"/>
      <c r="IW121" s="72">
        <f t="shared" ref="IW121" ca="1" si="4536">($M121=IV121)*$D$12</f>
        <v>0</v>
      </c>
      <c r="IX121" s="63"/>
      <c r="IY121" s="73"/>
      <c r="IZ121" s="72">
        <f t="shared" ref="IZ121" ca="1" si="4537">($M121=IY121)*$D$12</f>
        <v>0</v>
      </c>
      <c r="JA121" s="63"/>
      <c r="JB121" s="73"/>
      <c r="JC121" s="72">
        <f t="shared" ref="JC121" ca="1" si="4538">($M121=JB121)*$D$12</f>
        <v>0</v>
      </c>
      <c r="JD121" s="63"/>
      <c r="JE121" s="73"/>
      <c r="JF121" s="72">
        <f t="shared" ref="JF121" ca="1" si="4539">($M121=JE121)*$D$12</f>
        <v>0</v>
      </c>
      <c r="JG121" s="63"/>
      <c r="JH121" s="73"/>
      <c r="JI121" s="72">
        <f t="shared" ref="JI121" ca="1" si="4540">($M121=JH121)*$D$12</f>
        <v>0</v>
      </c>
      <c r="JJ121" s="63"/>
      <c r="JK121" s="73"/>
      <c r="JL121" s="72">
        <f t="shared" ref="JL121" ca="1" si="4541">($M121=JK121)*$D$12</f>
        <v>0</v>
      </c>
      <c r="JM121" s="63"/>
      <c r="JN121" s="73"/>
      <c r="JO121" s="72">
        <f t="shared" ref="JO121" ca="1" si="4542">($M121=JN121)*$D$12</f>
        <v>0</v>
      </c>
      <c r="JP121" s="63"/>
      <c r="JQ121" s="73"/>
      <c r="JR121" s="72">
        <f t="shared" ref="JR121" ca="1" si="4543">($M121=JQ121)*$D$12</f>
        <v>0</v>
      </c>
      <c r="JS121" s="63"/>
      <c r="JT121" s="73"/>
      <c r="JU121" s="72">
        <f t="shared" ref="JU121" ca="1" si="4544">($M121=JT121)*$D$12</f>
        <v>0</v>
      </c>
      <c r="JV121" s="63"/>
      <c r="JW121" s="73"/>
      <c r="JX121" s="72">
        <f t="shared" ref="JX121" ca="1" si="4545">($M121=JW121)*$D$12</f>
        <v>0</v>
      </c>
      <c r="JY121" s="63"/>
      <c r="JZ121" s="73"/>
      <c r="KA121" s="72">
        <f t="shared" ref="KA121" ca="1" si="4546">($M121=JZ121)*$D$12</f>
        <v>0</v>
      </c>
      <c r="KB121" s="63"/>
      <c r="KC121" s="73"/>
      <c r="KD121" s="72">
        <f t="shared" ref="KD121" ca="1" si="4547">($M121=KC121)*$D$12</f>
        <v>0</v>
      </c>
      <c r="KE121" s="63"/>
      <c r="KF121" s="73"/>
      <c r="KG121" s="72">
        <f t="shared" ref="KG121" ca="1" si="4548">($M121=KF121)*$D$12</f>
        <v>0</v>
      </c>
      <c r="KH121" s="63"/>
      <c r="KI121" s="73"/>
      <c r="KJ121" s="72">
        <f t="shared" ref="KJ121" ca="1" si="4549">($M121=KI121)*$D$12</f>
        <v>0</v>
      </c>
      <c r="KK121" s="63"/>
      <c r="KL121" s="73"/>
      <c r="KM121" s="72">
        <f t="shared" ref="KM121" ca="1" si="4550">($M121=KL121)*$D$12</f>
        <v>0</v>
      </c>
      <c r="KN121" s="63"/>
      <c r="KO121" s="73"/>
      <c r="KP121" s="72">
        <f t="shared" ref="KP121" ca="1" si="4551">($M121=KO121)*$D$12</f>
        <v>0</v>
      </c>
      <c r="KQ121" s="63"/>
      <c r="KR121" s="73"/>
      <c r="KS121" s="72">
        <f t="shared" ref="KS121" ca="1" si="4552">($M121=KR121)*$D$12</f>
        <v>0</v>
      </c>
      <c r="KT121" s="63"/>
      <c r="KU121" s="73"/>
      <c r="KV121" s="72">
        <f t="shared" ref="KV121" ca="1" si="4553">($M121=KU121)*$D$12</f>
        <v>0</v>
      </c>
      <c r="KW121" s="63"/>
      <c r="KX121" s="73"/>
      <c r="KY121" s="72">
        <f t="shared" ref="KY121" ca="1" si="4554">($M121=KX121)*$D$12</f>
        <v>0</v>
      </c>
      <c r="KZ121" s="63"/>
      <c r="LA121" s="73"/>
      <c r="LB121" s="72">
        <f t="shared" ref="LB121" ca="1" si="4555">($M121=LA121)*$D$12</f>
        <v>0</v>
      </c>
      <c r="LC121" s="63"/>
      <c r="LD121" s="73"/>
      <c r="LE121" s="72">
        <f t="shared" ref="LE121" ca="1" si="4556">($M121=LD121)*$D$12</f>
        <v>0</v>
      </c>
      <c r="LF121" s="63"/>
    </row>
    <row r="122" spans="1:318" s="784" customFormat="1">
      <c r="A122" s="49"/>
      <c r="B122" s="49"/>
      <c r="C122" s="49"/>
      <c r="D122" s="49"/>
      <c r="E122" s="64"/>
      <c r="F122" s="125">
        <f t="shared" ref="F122" si="4557">$D$13</f>
        <v>20</v>
      </c>
      <c r="G122" s="443">
        <f ca="1">VLOOKUP(H122,Equipos!$Q$1:$R$25,2,0)</f>
        <v>17</v>
      </c>
      <c r="H122" s="444">
        <f ca="1">$H$74</f>
        <v>46200</v>
      </c>
      <c r="I122" s="50"/>
      <c r="J122" s="846"/>
      <c r="K122" s="56" t="str">
        <f>Idiomas!D192</f>
        <v>3º GRUPO K</v>
      </c>
      <c r="L122" s="53"/>
      <c r="M122" s="55" t="str">
        <f ca="1">IF(OR(SUM(WORLDCUP!$AN$86:$AN$89)=12,WORLDCUP!$AJ$99=144),WORLDCUP!AL88,LEFT(K122,1)&amp;RIGHT(K122,1))</f>
        <v>3K</v>
      </c>
      <c r="N122" s="25"/>
      <c r="O122" s="25"/>
      <c r="P122" s="25"/>
      <c r="Q122" s="25"/>
      <c r="R122" s="108"/>
      <c r="S122" s="796" t="s">
        <v>1839</v>
      </c>
      <c r="T122" s="72">
        <f t="shared" ref="T122" ca="1" si="4558">($M122=S122)*$D$13</f>
        <v>0</v>
      </c>
      <c r="U122" s="63"/>
      <c r="V122" s="73" t="s">
        <v>1267</v>
      </c>
      <c r="W122" s="72">
        <f t="shared" ref="W122" ca="1" si="4559">($M122=V122)*$D$13</f>
        <v>0</v>
      </c>
      <c r="X122" s="63"/>
      <c r="Y122" s="796" t="s">
        <v>1267</v>
      </c>
      <c r="Z122" s="72">
        <f t="shared" ref="Z122" ca="1" si="4560">($M122=Y122)*$D$13</f>
        <v>0</v>
      </c>
      <c r="AA122" s="63"/>
      <c r="AB122" s="796" t="s">
        <v>1267</v>
      </c>
      <c r="AC122" s="72">
        <f t="shared" ref="AC122" ca="1" si="4561">($M122=AB122)*$D$13</f>
        <v>0</v>
      </c>
      <c r="AD122" s="63"/>
      <c r="AE122" s="796" t="s">
        <v>1839</v>
      </c>
      <c r="AF122" s="72">
        <f t="shared" ref="AF122" ca="1" si="4562">($M122=AE122)*$D$13</f>
        <v>0</v>
      </c>
      <c r="AG122" s="63"/>
      <c r="AH122" s="796" t="s">
        <v>1267</v>
      </c>
      <c r="AI122" s="72">
        <f t="shared" ref="AI122" ca="1" si="4563">($M122=AH122)*$D$13</f>
        <v>0</v>
      </c>
      <c r="AJ122" s="63"/>
      <c r="AK122" s="806" t="s">
        <v>1839</v>
      </c>
      <c r="AL122" s="72">
        <f t="shared" ref="AL122" ca="1" si="4564">($M122=AK122)*$D$13</f>
        <v>0</v>
      </c>
      <c r="AM122" s="63"/>
      <c r="AN122" s="796" t="s">
        <v>1839</v>
      </c>
      <c r="AO122" s="72">
        <f t="shared" ref="AO122" ca="1" si="4565">($M122=AN122)*$D$13</f>
        <v>0</v>
      </c>
      <c r="AP122" s="63"/>
      <c r="AQ122" s="806" t="s">
        <v>1839</v>
      </c>
      <c r="AR122" s="72">
        <f t="shared" ref="AR122" ca="1" si="4566">($M122=AQ122)*$D$13</f>
        <v>0</v>
      </c>
      <c r="AS122" s="63"/>
      <c r="AT122" s="796" t="s">
        <v>1267</v>
      </c>
      <c r="AU122" s="72">
        <f t="shared" ref="AU122" ca="1" si="4567">($M122=AT122)*$D$13</f>
        <v>0</v>
      </c>
      <c r="AV122" s="63"/>
      <c r="AW122" s="796" t="s">
        <v>1267</v>
      </c>
      <c r="AX122" s="72">
        <f t="shared" ref="AX122" ca="1" si="4568">($M122=AW122)*$D$13</f>
        <v>0</v>
      </c>
      <c r="AY122" s="63"/>
      <c r="AZ122" s="796" t="s">
        <v>1320</v>
      </c>
      <c r="BA122" s="72">
        <f t="shared" ref="BA122" ca="1" si="4569">($M122=AZ122)*$D$13</f>
        <v>0</v>
      </c>
      <c r="BB122" s="63"/>
      <c r="BC122" s="796" t="s">
        <v>1267</v>
      </c>
      <c r="BD122" s="72">
        <f t="shared" ref="BD122" ca="1" si="4570">($M122=BC122)*$D$13</f>
        <v>0</v>
      </c>
      <c r="BE122" s="63"/>
      <c r="BF122" s="796" t="s">
        <v>1267</v>
      </c>
      <c r="BG122" s="72">
        <f t="shared" ref="BG122" ca="1" si="4571">($M122=BF122)*$D$13</f>
        <v>0</v>
      </c>
      <c r="BH122" s="63"/>
      <c r="BI122" s="796" t="s">
        <v>1839</v>
      </c>
      <c r="BJ122" s="72">
        <f t="shared" ref="BJ122" ca="1" si="4572">($M122=BI122)*$D$13</f>
        <v>0</v>
      </c>
      <c r="BK122" s="63"/>
      <c r="BL122" s="796" t="s">
        <v>1267</v>
      </c>
      <c r="BM122" s="72">
        <f t="shared" ref="BM122" ca="1" si="4573">($M122=BL122)*$D$13</f>
        <v>0</v>
      </c>
      <c r="BN122" s="63"/>
      <c r="BO122" s="816" t="s">
        <v>1839</v>
      </c>
      <c r="BP122" s="72">
        <f t="shared" ref="BP122" ca="1" si="4574">($M122=BO122)*$D$13</f>
        <v>0</v>
      </c>
      <c r="BQ122" s="63"/>
      <c r="BR122" s="796" t="s">
        <v>1839</v>
      </c>
      <c r="BS122" s="72">
        <f t="shared" ref="BS122" ca="1" si="4575">($M122=BR122)*$D$13</f>
        <v>0</v>
      </c>
      <c r="BT122" s="63"/>
      <c r="BU122" s="796" t="s">
        <v>1839</v>
      </c>
      <c r="BV122" s="72">
        <f t="shared" ref="BV122" ca="1" si="4576">($M122=BU122)*$D$13</f>
        <v>0</v>
      </c>
      <c r="BW122" s="63"/>
      <c r="BX122" s="73" t="s">
        <v>1267</v>
      </c>
      <c r="BY122" s="72">
        <f t="shared" ref="BY122" ca="1" si="4577">($M122=BX122)*$D$13</f>
        <v>0</v>
      </c>
      <c r="BZ122" s="63"/>
      <c r="CA122" s="816" t="s">
        <v>1839</v>
      </c>
      <c r="CB122" s="72">
        <f t="shared" ref="CB122" ca="1" si="4578">($M122=CA122)*$D$13</f>
        <v>0</v>
      </c>
      <c r="CC122" s="63"/>
      <c r="CD122" s="825" t="s">
        <v>1839</v>
      </c>
      <c r="CE122" s="72">
        <f t="shared" ref="CE122" ca="1" si="4579">($M122=CD122)*$D$13</f>
        <v>0</v>
      </c>
      <c r="CF122" s="63"/>
      <c r="CG122" s="796" t="s">
        <v>1267</v>
      </c>
      <c r="CH122" s="72">
        <f t="shared" ref="CH122" ca="1" si="4580">($M122=CG122)*$D$13</f>
        <v>0</v>
      </c>
      <c r="CI122" s="63"/>
      <c r="CJ122" s="796" t="s">
        <v>1839</v>
      </c>
      <c r="CK122" s="72">
        <f t="shared" ref="CK122" ca="1" si="4581">($M122=CJ122)*$D$13</f>
        <v>0</v>
      </c>
      <c r="CL122" s="63"/>
      <c r="CM122" s="796" t="s">
        <v>1839</v>
      </c>
      <c r="CN122" s="72">
        <f t="shared" ref="CN122" ca="1" si="4582">($M122=CM122)*$D$13</f>
        <v>0</v>
      </c>
      <c r="CO122" s="63"/>
      <c r="CP122" s="796" t="s">
        <v>1267</v>
      </c>
      <c r="CQ122" s="72">
        <f t="shared" ref="CQ122" ca="1" si="4583">($M122=CP122)*$D$13</f>
        <v>0</v>
      </c>
      <c r="CR122" s="63"/>
      <c r="CS122" s="796" t="s">
        <v>1839</v>
      </c>
      <c r="CT122" s="72">
        <f t="shared" ref="CT122" ca="1" si="4584">($M122=CS122)*$D$13</f>
        <v>0</v>
      </c>
      <c r="CU122" s="63"/>
      <c r="CV122" s="796" t="s">
        <v>1267</v>
      </c>
      <c r="CW122" s="72">
        <f t="shared" ref="CW122" ca="1" si="4585">($M122=CV122)*$D$13</f>
        <v>0</v>
      </c>
      <c r="CX122" s="63"/>
      <c r="CY122" s="796" t="s">
        <v>1267</v>
      </c>
      <c r="CZ122" s="72">
        <f t="shared" ref="CZ122" ca="1" si="4586">($M122=CY122)*$D$13</f>
        <v>0</v>
      </c>
      <c r="DA122" s="63"/>
      <c r="DB122" s="796" t="s">
        <v>1839</v>
      </c>
      <c r="DC122" s="72">
        <f t="shared" ref="DC122" ca="1" si="4587">($M122=DB122)*$D$13</f>
        <v>0</v>
      </c>
      <c r="DD122" s="63"/>
      <c r="DE122" s="796" t="s">
        <v>1267</v>
      </c>
      <c r="DF122" s="72">
        <f ca="1">($M122=DE122)*$D$13</f>
        <v>0</v>
      </c>
      <c r="DG122" s="63"/>
      <c r="DH122" s="796" t="s">
        <v>1267</v>
      </c>
      <c r="DI122" s="72">
        <f ca="1">($M122=DH122)*$D$13</f>
        <v>0</v>
      </c>
      <c r="DJ122" s="63"/>
      <c r="DK122" s="796" t="s">
        <v>1267</v>
      </c>
      <c r="DL122" s="72">
        <f ca="1">($M122=DK122)*$D$13</f>
        <v>0</v>
      </c>
      <c r="DM122" s="63"/>
      <c r="DN122" s="73"/>
      <c r="DO122" s="72">
        <f t="shared" ref="DO122" ca="1" si="4588">($M122=DN122)*$D$13</f>
        <v>0</v>
      </c>
      <c r="DP122" s="63"/>
      <c r="DQ122" s="796" t="s">
        <v>1267</v>
      </c>
      <c r="DR122" s="72">
        <f t="shared" ref="DR122" ca="1" si="4589">($M122=DQ122)*$D$13</f>
        <v>0</v>
      </c>
      <c r="DS122" s="63"/>
      <c r="DT122" s="73" t="s">
        <v>1267</v>
      </c>
      <c r="DU122" s="72">
        <f t="shared" ref="DU122" ca="1" si="4590">($M122=DT122)*$D$13</f>
        <v>0</v>
      </c>
      <c r="DV122" s="63"/>
      <c r="DW122" s="73"/>
      <c r="DX122" s="72">
        <f t="shared" ref="DX122" ca="1" si="4591">($M122=DW122)*$D$13</f>
        <v>0</v>
      </c>
      <c r="DY122" s="63"/>
      <c r="DZ122" s="73"/>
      <c r="EA122" s="72">
        <f ca="1">($M122=DZ122)*$D$13</f>
        <v>0</v>
      </c>
      <c r="EB122" s="63"/>
      <c r="EC122" s="73"/>
      <c r="ED122" s="72">
        <f t="shared" ref="ED122" ca="1" si="4592">($M122=EC122)*$D$13</f>
        <v>0</v>
      </c>
      <c r="EE122" s="63"/>
      <c r="EF122" s="73"/>
      <c r="EG122" s="72">
        <f t="shared" ref="EG122" ca="1" si="4593">($M122=EF122)*$D$13</f>
        <v>0</v>
      </c>
      <c r="EH122" s="63"/>
      <c r="EI122" s="73"/>
      <c r="EJ122" s="72">
        <f t="shared" ref="EJ122" ca="1" si="4594">($M122=EI122)*$D$13</f>
        <v>0</v>
      </c>
      <c r="EK122" s="63"/>
      <c r="EL122" s="73"/>
      <c r="EM122" s="72">
        <f t="shared" ref="EM122" ca="1" si="4595">($M122=EL122)*$D$13</f>
        <v>0</v>
      </c>
      <c r="EN122" s="63"/>
      <c r="EO122" s="73"/>
      <c r="EP122" s="72">
        <f t="shared" ref="EP122" ca="1" si="4596">($M122=EO122)*$D$13</f>
        <v>0</v>
      </c>
      <c r="EQ122" s="63"/>
      <c r="ER122" s="73"/>
      <c r="ES122" s="72">
        <f t="shared" ref="ES122" ca="1" si="4597">($M122=ER122)*$D$13</f>
        <v>0</v>
      </c>
      <c r="ET122" s="63"/>
      <c r="EU122" s="73"/>
      <c r="EV122" s="72">
        <f t="shared" ref="EV122" ca="1" si="4598">($M122=EU122)*$D$13</f>
        <v>0</v>
      </c>
      <c r="EW122" s="63"/>
      <c r="EX122" s="73"/>
      <c r="EY122" s="72">
        <f t="shared" ref="EY122" ca="1" si="4599">($M122=EX122)*$D$13</f>
        <v>0</v>
      </c>
      <c r="EZ122" s="63"/>
      <c r="FA122" s="73"/>
      <c r="FB122" s="72">
        <f t="shared" ref="FB122" ca="1" si="4600">($M122=FA122)*$D$13</f>
        <v>0</v>
      </c>
      <c r="FC122" s="63"/>
      <c r="FD122" s="73"/>
      <c r="FE122" s="72">
        <f t="shared" ref="FE122" ca="1" si="4601">($M122=FD122)*$D$13</f>
        <v>0</v>
      </c>
      <c r="FF122" s="63"/>
      <c r="FG122" s="73"/>
      <c r="FH122" s="72">
        <f t="shared" ref="FH122" ca="1" si="4602">($M122=FG122)*$D$13</f>
        <v>0</v>
      </c>
      <c r="FI122" s="63"/>
      <c r="FJ122" s="73"/>
      <c r="FK122" s="72">
        <f t="shared" ref="FK122" ca="1" si="4603">($M122=FJ122)*$D$13</f>
        <v>0</v>
      </c>
      <c r="FL122" s="63"/>
      <c r="FM122" s="73"/>
      <c r="FN122" s="72">
        <f t="shared" ref="FN122" ca="1" si="4604">($M122=FM122)*$D$13</f>
        <v>0</v>
      </c>
      <c r="FO122" s="63"/>
      <c r="FP122" s="73"/>
      <c r="FQ122" s="72">
        <f t="shared" ref="FQ122" ca="1" si="4605">($M122=FP122)*$D$13</f>
        <v>0</v>
      </c>
      <c r="FR122" s="63"/>
      <c r="FS122" s="73"/>
      <c r="FT122" s="72">
        <f t="shared" ref="FT122" ca="1" si="4606">($M122=FS122)*$D$13</f>
        <v>0</v>
      </c>
      <c r="FU122" s="63"/>
      <c r="FV122" s="73"/>
      <c r="FW122" s="72">
        <f t="shared" ref="FW122" ca="1" si="4607">($M122=FV122)*$D$13</f>
        <v>0</v>
      </c>
      <c r="FX122" s="63"/>
      <c r="FY122" s="73"/>
      <c r="FZ122" s="72">
        <f t="shared" ref="FZ122" ca="1" si="4608">($M122=FY122)*$D$13</f>
        <v>0</v>
      </c>
      <c r="GA122" s="63"/>
      <c r="GB122" s="73"/>
      <c r="GC122" s="72">
        <f t="shared" ref="GC122" ca="1" si="4609">($M122=GB122)*$D$13</f>
        <v>0</v>
      </c>
      <c r="GD122" s="63"/>
      <c r="GE122" s="73"/>
      <c r="GF122" s="72">
        <f t="shared" ref="GF122" ca="1" si="4610">($M122=GE122)*$D$13</f>
        <v>0</v>
      </c>
      <c r="GG122" s="63"/>
      <c r="GH122" s="73"/>
      <c r="GI122" s="72">
        <f t="shared" ref="GI122" ca="1" si="4611">($M122=GH122)*$D$13</f>
        <v>0</v>
      </c>
      <c r="GJ122" s="63"/>
      <c r="GK122" s="73"/>
      <c r="GL122" s="72">
        <f t="shared" ref="GL122" ca="1" si="4612">($M122=GK122)*$D$13</f>
        <v>0</v>
      </c>
      <c r="GM122" s="63"/>
      <c r="GN122" s="73"/>
      <c r="GO122" s="72">
        <f t="shared" ref="GO122" ca="1" si="4613">($M122=GN122)*$D$13</f>
        <v>0</v>
      </c>
      <c r="GP122" s="63"/>
      <c r="GQ122" s="73"/>
      <c r="GR122" s="72">
        <f t="shared" ref="GR122" ca="1" si="4614">($M122=GQ122)*$D$13</f>
        <v>0</v>
      </c>
      <c r="GS122" s="63"/>
      <c r="GT122" s="73"/>
      <c r="GU122" s="72">
        <f t="shared" ref="GU122" ca="1" si="4615">($M122=GT122)*$D$13</f>
        <v>0</v>
      </c>
      <c r="GV122" s="63"/>
      <c r="GW122" s="73"/>
      <c r="GX122" s="72">
        <f t="shared" ref="GX122" ca="1" si="4616">($M122=GW122)*$D$13</f>
        <v>0</v>
      </c>
      <c r="GY122" s="63"/>
      <c r="GZ122" s="73"/>
      <c r="HA122" s="72">
        <f t="shared" ref="HA122" ca="1" si="4617">($M122=GZ122)*$D$13</f>
        <v>0</v>
      </c>
      <c r="HB122" s="63"/>
      <c r="HC122" s="73"/>
      <c r="HD122" s="72">
        <f t="shared" ref="HD122" ca="1" si="4618">($M122=HC122)*$D$13</f>
        <v>0</v>
      </c>
      <c r="HE122" s="63"/>
      <c r="HF122" s="73"/>
      <c r="HG122" s="72">
        <f t="shared" ref="HG122" ca="1" si="4619">($M122=HF122)*$D$13</f>
        <v>0</v>
      </c>
      <c r="HH122" s="63"/>
      <c r="HI122" s="73"/>
      <c r="HJ122" s="72">
        <f t="shared" ref="HJ122" ca="1" si="4620">($M122=HI122)*$D$13</f>
        <v>0</v>
      </c>
      <c r="HK122" s="63"/>
      <c r="HL122" s="73"/>
      <c r="HM122" s="72">
        <f t="shared" ref="HM122" ca="1" si="4621">($M122=HL122)*$D$13</f>
        <v>0</v>
      </c>
      <c r="HN122" s="63"/>
      <c r="HO122" s="73"/>
      <c r="HP122" s="72">
        <f t="shared" ref="HP122" ca="1" si="4622">($M122=HO122)*$D$13</f>
        <v>0</v>
      </c>
      <c r="HQ122" s="63"/>
      <c r="HR122" s="73"/>
      <c r="HS122" s="72">
        <f t="shared" ref="HS122" ca="1" si="4623">($M122=HR122)*$D$13</f>
        <v>0</v>
      </c>
      <c r="HT122" s="63"/>
      <c r="HU122" s="73"/>
      <c r="HV122" s="72">
        <f t="shared" ref="HV122" ca="1" si="4624">($M122=HU122)*$D$13</f>
        <v>0</v>
      </c>
      <c r="HW122" s="63"/>
      <c r="HX122" s="73"/>
      <c r="HY122" s="72">
        <f t="shared" ref="HY122" ca="1" si="4625">($M122=HX122)*$D$13</f>
        <v>0</v>
      </c>
      <c r="HZ122" s="63"/>
      <c r="IA122" s="73"/>
      <c r="IB122" s="72">
        <f t="shared" ref="IB122" ca="1" si="4626">($M122=IA122)*$D$13</f>
        <v>0</v>
      </c>
      <c r="IC122" s="63"/>
      <c r="ID122" s="73"/>
      <c r="IE122" s="72">
        <f t="shared" ref="IE122" ca="1" si="4627">($M122=ID122)*$D$13</f>
        <v>0</v>
      </c>
      <c r="IF122" s="63"/>
      <c r="IG122" s="73"/>
      <c r="IH122" s="72">
        <f t="shared" ref="IH122" ca="1" si="4628">($M122=IG122)*$D$13</f>
        <v>0</v>
      </c>
      <c r="II122" s="63"/>
      <c r="IJ122" s="73"/>
      <c r="IK122" s="72">
        <f t="shared" ref="IK122" ca="1" si="4629">($M122=IJ122)*$D$13</f>
        <v>0</v>
      </c>
      <c r="IL122" s="63"/>
      <c r="IM122" s="73"/>
      <c r="IN122" s="72">
        <f t="shared" ref="IN122" ca="1" si="4630">($M122=IM122)*$D$13</f>
        <v>0</v>
      </c>
      <c r="IO122" s="63"/>
      <c r="IP122" s="73"/>
      <c r="IQ122" s="72">
        <f t="shared" ref="IQ122" ca="1" si="4631">($M122=IP122)*$D$13</f>
        <v>0</v>
      </c>
      <c r="IR122" s="63"/>
      <c r="IS122" s="73"/>
      <c r="IT122" s="72">
        <f t="shared" ref="IT122" ca="1" si="4632">($M122=IS122)*$D$13</f>
        <v>0</v>
      </c>
      <c r="IU122" s="63"/>
      <c r="IV122" s="73"/>
      <c r="IW122" s="72">
        <f t="shared" ref="IW122" ca="1" si="4633">($M122=IV122)*$D$13</f>
        <v>0</v>
      </c>
      <c r="IX122" s="63"/>
      <c r="IY122" s="73"/>
      <c r="IZ122" s="72">
        <f t="shared" ref="IZ122" ca="1" si="4634">($M122=IY122)*$D$13</f>
        <v>0</v>
      </c>
      <c r="JA122" s="63"/>
      <c r="JB122" s="73"/>
      <c r="JC122" s="72">
        <f t="shared" ref="JC122" ca="1" si="4635">($M122=JB122)*$D$13</f>
        <v>0</v>
      </c>
      <c r="JD122" s="63"/>
      <c r="JE122" s="73"/>
      <c r="JF122" s="72">
        <f t="shared" ref="JF122" ca="1" si="4636">($M122=JE122)*$D$13</f>
        <v>0</v>
      </c>
      <c r="JG122" s="63"/>
      <c r="JH122" s="73"/>
      <c r="JI122" s="72">
        <f t="shared" ref="JI122" ca="1" si="4637">($M122=JH122)*$D$13</f>
        <v>0</v>
      </c>
      <c r="JJ122" s="63"/>
      <c r="JK122" s="73"/>
      <c r="JL122" s="72">
        <f t="shared" ref="JL122" ca="1" si="4638">($M122=JK122)*$D$13</f>
        <v>0</v>
      </c>
      <c r="JM122" s="63"/>
      <c r="JN122" s="73"/>
      <c r="JO122" s="72">
        <f t="shared" ref="JO122" ca="1" si="4639">($M122=JN122)*$D$13</f>
        <v>0</v>
      </c>
      <c r="JP122" s="63"/>
      <c r="JQ122" s="73"/>
      <c r="JR122" s="72">
        <f t="shared" ref="JR122" ca="1" si="4640">($M122=JQ122)*$D$13</f>
        <v>0</v>
      </c>
      <c r="JS122" s="63"/>
      <c r="JT122" s="73"/>
      <c r="JU122" s="72">
        <f t="shared" ref="JU122" ca="1" si="4641">($M122=JT122)*$D$13</f>
        <v>0</v>
      </c>
      <c r="JV122" s="63"/>
      <c r="JW122" s="73"/>
      <c r="JX122" s="72">
        <f t="shared" ref="JX122" ca="1" si="4642">($M122=JW122)*$D$13</f>
        <v>0</v>
      </c>
      <c r="JY122" s="63"/>
      <c r="JZ122" s="73"/>
      <c r="KA122" s="72">
        <f t="shared" ref="KA122" ca="1" si="4643">($M122=JZ122)*$D$13</f>
        <v>0</v>
      </c>
      <c r="KB122" s="63"/>
      <c r="KC122" s="73"/>
      <c r="KD122" s="72">
        <f t="shared" ref="KD122" ca="1" si="4644">($M122=KC122)*$D$13</f>
        <v>0</v>
      </c>
      <c r="KE122" s="63"/>
      <c r="KF122" s="73"/>
      <c r="KG122" s="72">
        <f t="shared" ref="KG122" ca="1" si="4645">($M122=KF122)*$D$13</f>
        <v>0</v>
      </c>
      <c r="KH122" s="63"/>
      <c r="KI122" s="73"/>
      <c r="KJ122" s="72">
        <f t="shared" ref="KJ122" ca="1" si="4646">($M122=KI122)*$D$13</f>
        <v>0</v>
      </c>
      <c r="KK122" s="63"/>
      <c r="KL122" s="73"/>
      <c r="KM122" s="72">
        <f t="shared" ref="KM122" ca="1" si="4647">($M122=KL122)*$D$13</f>
        <v>0</v>
      </c>
      <c r="KN122" s="63"/>
      <c r="KO122" s="73"/>
      <c r="KP122" s="72">
        <f t="shared" ref="KP122" ca="1" si="4648">($M122=KO122)*$D$13</f>
        <v>0</v>
      </c>
      <c r="KQ122" s="63"/>
      <c r="KR122" s="73"/>
      <c r="KS122" s="72">
        <f t="shared" ref="KS122" ca="1" si="4649">($M122=KR122)*$D$13</f>
        <v>0</v>
      </c>
      <c r="KT122" s="63"/>
      <c r="KU122" s="73"/>
      <c r="KV122" s="72">
        <f t="shared" ref="KV122" ca="1" si="4650">($M122=KU122)*$D$13</f>
        <v>0</v>
      </c>
      <c r="KW122" s="63"/>
      <c r="KX122" s="73"/>
      <c r="KY122" s="72">
        <f t="shared" ref="KY122" ca="1" si="4651">($M122=KX122)*$D$13</f>
        <v>0</v>
      </c>
      <c r="KZ122" s="63"/>
      <c r="LA122" s="73"/>
      <c r="LB122" s="72">
        <f t="shared" ref="LB122" ca="1" si="4652">($M122=LA122)*$D$13</f>
        <v>0</v>
      </c>
      <c r="LC122" s="63"/>
      <c r="LD122" s="73"/>
      <c r="LE122" s="72">
        <f t="shared" ref="LE122" ca="1" si="4653">($M122=LD122)*$D$13</f>
        <v>0</v>
      </c>
      <c r="LF122" s="63"/>
    </row>
    <row r="123" spans="1:318" s="784" customFormat="1">
      <c r="A123" s="49"/>
      <c r="B123" s="49"/>
      <c r="C123" s="49"/>
      <c r="D123" s="49"/>
      <c r="E123" s="64"/>
      <c r="F123" s="125">
        <f t="shared" ref="F123" si="4654">$D$14</f>
        <v>20</v>
      </c>
      <c r="G123" s="443">
        <f ca="1">VLOOKUP(H123,Equipos!$Q$1:$R$25,2,0)</f>
        <v>17</v>
      </c>
      <c r="H123" s="444">
        <f ca="1">$H$74</f>
        <v>46200</v>
      </c>
      <c r="I123" s="50"/>
      <c r="J123" s="846"/>
      <c r="K123" s="56" t="str">
        <f>Idiomas!D193</f>
        <v>4º GRUPO K</v>
      </c>
      <c r="L123" s="53"/>
      <c r="M123" s="55" t="str">
        <f ca="1">IF(OR(SUM(WORLDCUP!$AN$86:$AN$89)=12,WORLDCUP!$AJ$99=144),WORLDCUP!AL89,LEFT(K123,1)&amp;RIGHT(K123,1))</f>
        <v>4K</v>
      </c>
      <c r="N123" s="25"/>
      <c r="O123" s="25"/>
      <c r="P123" s="25"/>
      <c r="Q123" s="25"/>
      <c r="R123" s="108"/>
      <c r="S123" s="796" t="s">
        <v>1267</v>
      </c>
      <c r="T123" s="72">
        <f t="shared" ref="T123" ca="1" si="4655">($M123=S123)*$D$14</f>
        <v>0</v>
      </c>
      <c r="U123" s="63"/>
      <c r="V123" s="73" t="s">
        <v>1839</v>
      </c>
      <c r="W123" s="72">
        <f t="shared" ref="W123" ca="1" si="4656">($M123=V123)*$D$14</f>
        <v>0</v>
      </c>
      <c r="X123" s="63"/>
      <c r="Y123" s="796" t="s">
        <v>1839</v>
      </c>
      <c r="Z123" s="72">
        <f t="shared" ref="Z123" ca="1" si="4657">($M123=Y123)*$D$14</f>
        <v>0</v>
      </c>
      <c r="AA123" s="63"/>
      <c r="AB123" s="796" t="s">
        <v>1839</v>
      </c>
      <c r="AC123" s="72">
        <f t="shared" ref="AC123" ca="1" si="4658">($M123=AB123)*$D$14</f>
        <v>0</v>
      </c>
      <c r="AD123" s="63"/>
      <c r="AE123" s="796" t="s">
        <v>1267</v>
      </c>
      <c r="AF123" s="72">
        <f t="shared" ref="AF123" ca="1" si="4659">($M123=AE123)*$D$14</f>
        <v>0</v>
      </c>
      <c r="AG123" s="63"/>
      <c r="AH123" s="796" t="s">
        <v>1839</v>
      </c>
      <c r="AI123" s="72">
        <f t="shared" ref="AI123" ca="1" si="4660">($M123=AH123)*$D$14</f>
        <v>0</v>
      </c>
      <c r="AJ123" s="63"/>
      <c r="AK123" s="806" t="s">
        <v>1267</v>
      </c>
      <c r="AL123" s="72">
        <f t="shared" ref="AL123" ca="1" si="4661">($M123=AK123)*$D$14</f>
        <v>0</v>
      </c>
      <c r="AM123" s="63"/>
      <c r="AN123" s="796" t="s">
        <v>1267</v>
      </c>
      <c r="AO123" s="72">
        <f t="shared" ref="AO123" ca="1" si="4662">($M123=AN123)*$D$14</f>
        <v>0</v>
      </c>
      <c r="AP123" s="63"/>
      <c r="AQ123" s="806" t="s">
        <v>1267</v>
      </c>
      <c r="AR123" s="72">
        <f t="shared" ref="AR123" ca="1" si="4663">($M123=AQ123)*$D$14</f>
        <v>0</v>
      </c>
      <c r="AS123" s="63"/>
      <c r="AT123" s="796" t="s">
        <v>1839</v>
      </c>
      <c r="AU123" s="72">
        <f t="shared" ref="AU123" ca="1" si="4664">($M123=AT123)*$D$14</f>
        <v>0</v>
      </c>
      <c r="AV123" s="63"/>
      <c r="AW123" s="796" t="s">
        <v>1839</v>
      </c>
      <c r="AX123" s="72">
        <f t="shared" ref="AX123" ca="1" si="4665">($M123=AW123)*$D$14</f>
        <v>0</v>
      </c>
      <c r="AY123" s="63"/>
      <c r="AZ123" s="796" t="s">
        <v>79</v>
      </c>
      <c r="BA123" s="72">
        <f t="shared" ref="BA123" ca="1" si="4666">($M123=AZ123)*$D$14</f>
        <v>0</v>
      </c>
      <c r="BB123" s="63"/>
      <c r="BC123" s="796" t="s">
        <v>1839</v>
      </c>
      <c r="BD123" s="72">
        <f t="shared" ref="BD123" ca="1" si="4667">($M123=BC123)*$D$14</f>
        <v>0</v>
      </c>
      <c r="BE123" s="63"/>
      <c r="BF123" s="796" t="s">
        <v>1839</v>
      </c>
      <c r="BG123" s="72">
        <f t="shared" ref="BG123" ca="1" si="4668">($M123=BF123)*$D$14</f>
        <v>0</v>
      </c>
      <c r="BH123" s="63"/>
      <c r="BI123" s="796" t="s">
        <v>1267</v>
      </c>
      <c r="BJ123" s="72">
        <f t="shared" ref="BJ123" ca="1" si="4669">($M123=BI123)*$D$14</f>
        <v>0</v>
      </c>
      <c r="BK123" s="63"/>
      <c r="BL123" s="796" t="s">
        <v>1839</v>
      </c>
      <c r="BM123" s="72">
        <f t="shared" ref="BM123" ca="1" si="4670">($M123=BL123)*$D$14</f>
        <v>0</v>
      </c>
      <c r="BN123" s="63"/>
      <c r="BO123" s="816" t="s">
        <v>1267</v>
      </c>
      <c r="BP123" s="72">
        <f t="shared" ref="BP123" ca="1" si="4671">($M123=BO123)*$D$14</f>
        <v>0</v>
      </c>
      <c r="BQ123" s="63"/>
      <c r="BR123" s="796" t="s">
        <v>1267</v>
      </c>
      <c r="BS123" s="72">
        <f t="shared" ref="BS123" ca="1" si="4672">($M123=BR123)*$D$14</f>
        <v>0</v>
      </c>
      <c r="BT123" s="63"/>
      <c r="BU123" s="796" t="s">
        <v>1267</v>
      </c>
      <c r="BV123" s="72">
        <f t="shared" ref="BV123" ca="1" si="4673">($M123=BU123)*$D$14</f>
        <v>0</v>
      </c>
      <c r="BW123" s="63"/>
      <c r="BX123" s="73" t="s">
        <v>1839</v>
      </c>
      <c r="BY123" s="72">
        <f t="shared" ref="BY123" ca="1" si="4674">($M123=BX123)*$D$14</f>
        <v>0</v>
      </c>
      <c r="BZ123" s="63"/>
      <c r="CA123" s="816" t="s">
        <v>1267</v>
      </c>
      <c r="CB123" s="72">
        <f t="shared" ref="CB123" ca="1" si="4675">($M123=CA123)*$D$14</f>
        <v>0</v>
      </c>
      <c r="CC123" s="63"/>
      <c r="CD123" s="825" t="s">
        <v>1267</v>
      </c>
      <c r="CE123" s="72">
        <f t="shared" ref="CE123" ca="1" si="4676">($M123=CD123)*$D$14</f>
        <v>0</v>
      </c>
      <c r="CF123" s="63"/>
      <c r="CG123" s="796" t="s">
        <v>1839</v>
      </c>
      <c r="CH123" s="72">
        <f t="shared" ref="CH123" ca="1" si="4677">($M123=CG123)*$D$14</f>
        <v>0</v>
      </c>
      <c r="CI123" s="63"/>
      <c r="CJ123" s="796" t="s">
        <v>1267</v>
      </c>
      <c r="CK123" s="72">
        <f t="shared" ref="CK123" ca="1" si="4678">($M123=CJ123)*$D$14</f>
        <v>0</v>
      </c>
      <c r="CL123" s="63"/>
      <c r="CM123" s="796" t="s">
        <v>1267</v>
      </c>
      <c r="CN123" s="72">
        <f t="shared" ref="CN123" ca="1" si="4679">($M123=CM123)*$D$14</f>
        <v>0</v>
      </c>
      <c r="CO123" s="63"/>
      <c r="CP123" s="796" t="s">
        <v>1839</v>
      </c>
      <c r="CQ123" s="72">
        <f t="shared" ref="CQ123" ca="1" si="4680">($M123=CP123)*$D$14</f>
        <v>0</v>
      </c>
      <c r="CR123" s="63"/>
      <c r="CS123" s="796" t="s">
        <v>1267</v>
      </c>
      <c r="CT123" s="72">
        <f t="shared" ref="CT123" ca="1" si="4681">($M123=CS123)*$D$14</f>
        <v>0</v>
      </c>
      <c r="CU123" s="63"/>
      <c r="CV123" s="796" t="s">
        <v>1839</v>
      </c>
      <c r="CW123" s="72">
        <f t="shared" ref="CW123" ca="1" si="4682">($M123=CV123)*$D$14</f>
        <v>0</v>
      </c>
      <c r="CX123" s="63"/>
      <c r="CY123" s="796" t="s">
        <v>1839</v>
      </c>
      <c r="CZ123" s="72">
        <f t="shared" ref="CZ123" ca="1" si="4683">($M123=CY123)*$D$14</f>
        <v>0</v>
      </c>
      <c r="DA123" s="63"/>
      <c r="DB123" s="796" t="s">
        <v>1267</v>
      </c>
      <c r="DC123" s="72">
        <f t="shared" ref="DC123" ca="1" si="4684">($M123=DB123)*$D$14</f>
        <v>0</v>
      </c>
      <c r="DD123" s="63"/>
      <c r="DE123" s="796" t="s">
        <v>1839</v>
      </c>
      <c r="DF123" s="72">
        <f ca="1">($M123=DE123)*$D$14</f>
        <v>0</v>
      </c>
      <c r="DG123" s="63"/>
      <c r="DH123" s="796" t="s">
        <v>1839</v>
      </c>
      <c r="DI123" s="72">
        <f ca="1">($M123=DH123)*$D$14</f>
        <v>0</v>
      </c>
      <c r="DJ123" s="63"/>
      <c r="DK123" s="796" t="s">
        <v>1839</v>
      </c>
      <c r="DL123" s="72">
        <f ca="1">($M123=DK123)*$D$14</f>
        <v>0</v>
      </c>
      <c r="DM123" s="63"/>
      <c r="DN123" s="73"/>
      <c r="DO123" s="72">
        <f t="shared" ref="DO123" ca="1" si="4685">($M123=DN123)*$D$14</f>
        <v>0</v>
      </c>
      <c r="DP123" s="63"/>
      <c r="DQ123" s="796" t="s">
        <v>1839</v>
      </c>
      <c r="DR123" s="72">
        <f t="shared" ref="DR123" ca="1" si="4686">($M123=DQ123)*$D$14</f>
        <v>0</v>
      </c>
      <c r="DS123" s="63"/>
      <c r="DT123" s="73" t="s">
        <v>1839</v>
      </c>
      <c r="DU123" s="72">
        <f t="shared" ref="DU123" ca="1" si="4687">($M123=DT123)*$D$14</f>
        <v>0</v>
      </c>
      <c r="DV123" s="63"/>
      <c r="DW123" s="73"/>
      <c r="DX123" s="72">
        <f t="shared" ref="DX123" ca="1" si="4688">($M123=DW123)*$D$14</f>
        <v>0</v>
      </c>
      <c r="DY123" s="63"/>
      <c r="DZ123" s="73"/>
      <c r="EA123" s="72">
        <f ca="1">($M123=DZ123)*$D$14</f>
        <v>0</v>
      </c>
      <c r="EB123" s="63"/>
      <c r="EC123" s="73"/>
      <c r="ED123" s="72">
        <f t="shared" ref="ED123" ca="1" si="4689">($M123=EC123)*$D$14</f>
        <v>0</v>
      </c>
      <c r="EE123" s="63"/>
      <c r="EF123" s="73"/>
      <c r="EG123" s="72">
        <f t="shared" ref="EG123" ca="1" si="4690">($M123=EF123)*$D$14</f>
        <v>0</v>
      </c>
      <c r="EH123" s="63"/>
      <c r="EI123" s="73"/>
      <c r="EJ123" s="72">
        <f t="shared" ref="EJ123" ca="1" si="4691">($M123=EI123)*$D$14</f>
        <v>0</v>
      </c>
      <c r="EK123" s="63"/>
      <c r="EL123" s="73"/>
      <c r="EM123" s="72">
        <f t="shared" ref="EM123" ca="1" si="4692">($M123=EL123)*$D$14</f>
        <v>0</v>
      </c>
      <c r="EN123" s="63"/>
      <c r="EO123" s="73"/>
      <c r="EP123" s="72">
        <f t="shared" ref="EP123" ca="1" si="4693">($M123=EO123)*$D$14</f>
        <v>0</v>
      </c>
      <c r="EQ123" s="63"/>
      <c r="ER123" s="73"/>
      <c r="ES123" s="72">
        <f t="shared" ref="ES123" ca="1" si="4694">($M123=ER123)*$D$14</f>
        <v>0</v>
      </c>
      <c r="ET123" s="63"/>
      <c r="EU123" s="73"/>
      <c r="EV123" s="72">
        <f t="shared" ref="EV123" ca="1" si="4695">($M123=EU123)*$D$14</f>
        <v>0</v>
      </c>
      <c r="EW123" s="63"/>
      <c r="EX123" s="73"/>
      <c r="EY123" s="72">
        <f t="shared" ref="EY123" ca="1" si="4696">($M123=EX123)*$D$14</f>
        <v>0</v>
      </c>
      <c r="EZ123" s="63"/>
      <c r="FA123" s="73"/>
      <c r="FB123" s="72">
        <f t="shared" ref="FB123" ca="1" si="4697">($M123=FA123)*$D$14</f>
        <v>0</v>
      </c>
      <c r="FC123" s="63"/>
      <c r="FD123" s="73"/>
      <c r="FE123" s="72">
        <f t="shared" ref="FE123" ca="1" si="4698">($M123=FD123)*$D$14</f>
        <v>0</v>
      </c>
      <c r="FF123" s="63"/>
      <c r="FG123" s="73"/>
      <c r="FH123" s="72">
        <f t="shared" ref="FH123" ca="1" si="4699">($M123=FG123)*$D$14</f>
        <v>0</v>
      </c>
      <c r="FI123" s="63"/>
      <c r="FJ123" s="73"/>
      <c r="FK123" s="72">
        <f t="shared" ref="FK123" ca="1" si="4700">($M123=FJ123)*$D$14</f>
        <v>0</v>
      </c>
      <c r="FL123" s="63"/>
      <c r="FM123" s="73"/>
      <c r="FN123" s="72">
        <f t="shared" ref="FN123" ca="1" si="4701">($M123=FM123)*$D$14</f>
        <v>0</v>
      </c>
      <c r="FO123" s="63"/>
      <c r="FP123" s="73"/>
      <c r="FQ123" s="72">
        <f t="shared" ref="FQ123" ca="1" si="4702">($M123=FP123)*$D$14</f>
        <v>0</v>
      </c>
      <c r="FR123" s="63"/>
      <c r="FS123" s="73"/>
      <c r="FT123" s="72">
        <f t="shared" ref="FT123" ca="1" si="4703">($M123=FS123)*$D$14</f>
        <v>0</v>
      </c>
      <c r="FU123" s="63"/>
      <c r="FV123" s="73"/>
      <c r="FW123" s="72">
        <f t="shared" ref="FW123" ca="1" si="4704">($M123=FV123)*$D$14</f>
        <v>0</v>
      </c>
      <c r="FX123" s="63"/>
      <c r="FY123" s="73"/>
      <c r="FZ123" s="72">
        <f t="shared" ref="FZ123" ca="1" si="4705">($M123=FY123)*$D$14</f>
        <v>0</v>
      </c>
      <c r="GA123" s="63"/>
      <c r="GB123" s="73"/>
      <c r="GC123" s="72">
        <f t="shared" ref="GC123" ca="1" si="4706">($M123=GB123)*$D$14</f>
        <v>0</v>
      </c>
      <c r="GD123" s="63"/>
      <c r="GE123" s="73"/>
      <c r="GF123" s="72">
        <f t="shared" ref="GF123" ca="1" si="4707">($M123=GE123)*$D$14</f>
        <v>0</v>
      </c>
      <c r="GG123" s="63"/>
      <c r="GH123" s="73"/>
      <c r="GI123" s="72">
        <f t="shared" ref="GI123" ca="1" si="4708">($M123=GH123)*$D$14</f>
        <v>0</v>
      </c>
      <c r="GJ123" s="63"/>
      <c r="GK123" s="73"/>
      <c r="GL123" s="72">
        <f t="shared" ref="GL123" ca="1" si="4709">($M123=GK123)*$D$14</f>
        <v>0</v>
      </c>
      <c r="GM123" s="63"/>
      <c r="GN123" s="73"/>
      <c r="GO123" s="72">
        <f t="shared" ref="GO123" ca="1" si="4710">($M123=GN123)*$D$14</f>
        <v>0</v>
      </c>
      <c r="GP123" s="63"/>
      <c r="GQ123" s="73"/>
      <c r="GR123" s="72">
        <f t="shared" ref="GR123" ca="1" si="4711">($M123=GQ123)*$D$14</f>
        <v>0</v>
      </c>
      <c r="GS123" s="63"/>
      <c r="GT123" s="73"/>
      <c r="GU123" s="72">
        <f t="shared" ref="GU123" ca="1" si="4712">($M123=GT123)*$D$14</f>
        <v>0</v>
      </c>
      <c r="GV123" s="63"/>
      <c r="GW123" s="73"/>
      <c r="GX123" s="72">
        <f t="shared" ref="GX123" ca="1" si="4713">($M123=GW123)*$D$14</f>
        <v>0</v>
      </c>
      <c r="GY123" s="63"/>
      <c r="GZ123" s="73"/>
      <c r="HA123" s="72">
        <f t="shared" ref="HA123" ca="1" si="4714">($M123=GZ123)*$D$14</f>
        <v>0</v>
      </c>
      <c r="HB123" s="63"/>
      <c r="HC123" s="73"/>
      <c r="HD123" s="72">
        <f t="shared" ref="HD123" ca="1" si="4715">($M123=HC123)*$D$14</f>
        <v>0</v>
      </c>
      <c r="HE123" s="63"/>
      <c r="HF123" s="73"/>
      <c r="HG123" s="72">
        <f t="shared" ref="HG123" ca="1" si="4716">($M123=HF123)*$D$14</f>
        <v>0</v>
      </c>
      <c r="HH123" s="63"/>
      <c r="HI123" s="73"/>
      <c r="HJ123" s="72">
        <f t="shared" ref="HJ123" ca="1" si="4717">($M123=HI123)*$D$14</f>
        <v>0</v>
      </c>
      <c r="HK123" s="63"/>
      <c r="HL123" s="73"/>
      <c r="HM123" s="72">
        <f t="shared" ref="HM123" ca="1" si="4718">($M123=HL123)*$D$14</f>
        <v>0</v>
      </c>
      <c r="HN123" s="63"/>
      <c r="HO123" s="73"/>
      <c r="HP123" s="72">
        <f t="shared" ref="HP123" ca="1" si="4719">($M123=HO123)*$D$14</f>
        <v>0</v>
      </c>
      <c r="HQ123" s="63"/>
      <c r="HR123" s="73"/>
      <c r="HS123" s="72">
        <f t="shared" ref="HS123" ca="1" si="4720">($M123=HR123)*$D$14</f>
        <v>0</v>
      </c>
      <c r="HT123" s="63"/>
      <c r="HU123" s="73"/>
      <c r="HV123" s="72">
        <f t="shared" ref="HV123" ca="1" si="4721">($M123=HU123)*$D$14</f>
        <v>0</v>
      </c>
      <c r="HW123" s="63"/>
      <c r="HX123" s="73"/>
      <c r="HY123" s="72">
        <f t="shared" ref="HY123" ca="1" si="4722">($M123=HX123)*$D$14</f>
        <v>0</v>
      </c>
      <c r="HZ123" s="63"/>
      <c r="IA123" s="73"/>
      <c r="IB123" s="72">
        <f t="shared" ref="IB123" ca="1" si="4723">($M123=IA123)*$D$14</f>
        <v>0</v>
      </c>
      <c r="IC123" s="63"/>
      <c r="ID123" s="73"/>
      <c r="IE123" s="72">
        <f t="shared" ref="IE123" ca="1" si="4724">($M123=ID123)*$D$14</f>
        <v>0</v>
      </c>
      <c r="IF123" s="63"/>
      <c r="IG123" s="73"/>
      <c r="IH123" s="72">
        <f t="shared" ref="IH123" ca="1" si="4725">($M123=IG123)*$D$14</f>
        <v>0</v>
      </c>
      <c r="II123" s="63"/>
      <c r="IJ123" s="73"/>
      <c r="IK123" s="72">
        <f t="shared" ref="IK123" ca="1" si="4726">($M123=IJ123)*$D$14</f>
        <v>0</v>
      </c>
      <c r="IL123" s="63"/>
      <c r="IM123" s="73"/>
      <c r="IN123" s="72">
        <f t="shared" ref="IN123" ca="1" si="4727">($M123=IM123)*$D$14</f>
        <v>0</v>
      </c>
      <c r="IO123" s="63"/>
      <c r="IP123" s="73"/>
      <c r="IQ123" s="72">
        <f t="shared" ref="IQ123" ca="1" si="4728">($M123=IP123)*$D$14</f>
        <v>0</v>
      </c>
      <c r="IR123" s="63"/>
      <c r="IS123" s="73"/>
      <c r="IT123" s="72">
        <f t="shared" ref="IT123" ca="1" si="4729">($M123=IS123)*$D$14</f>
        <v>0</v>
      </c>
      <c r="IU123" s="63"/>
      <c r="IV123" s="73"/>
      <c r="IW123" s="72">
        <f t="shared" ref="IW123" ca="1" si="4730">($M123=IV123)*$D$14</f>
        <v>0</v>
      </c>
      <c r="IX123" s="63"/>
      <c r="IY123" s="73"/>
      <c r="IZ123" s="72">
        <f t="shared" ref="IZ123" ca="1" si="4731">($M123=IY123)*$D$14</f>
        <v>0</v>
      </c>
      <c r="JA123" s="63"/>
      <c r="JB123" s="73"/>
      <c r="JC123" s="72">
        <f t="shared" ref="JC123" ca="1" si="4732">($M123=JB123)*$D$14</f>
        <v>0</v>
      </c>
      <c r="JD123" s="63"/>
      <c r="JE123" s="73"/>
      <c r="JF123" s="72">
        <f t="shared" ref="JF123" ca="1" si="4733">($M123=JE123)*$D$14</f>
        <v>0</v>
      </c>
      <c r="JG123" s="63"/>
      <c r="JH123" s="73"/>
      <c r="JI123" s="72">
        <f t="shared" ref="JI123" ca="1" si="4734">($M123=JH123)*$D$14</f>
        <v>0</v>
      </c>
      <c r="JJ123" s="63"/>
      <c r="JK123" s="73"/>
      <c r="JL123" s="72">
        <f t="shared" ref="JL123" ca="1" si="4735">($M123=JK123)*$D$14</f>
        <v>0</v>
      </c>
      <c r="JM123" s="63"/>
      <c r="JN123" s="73"/>
      <c r="JO123" s="72">
        <f t="shared" ref="JO123" ca="1" si="4736">($M123=JN123)*$D$14</f>
        <v>0</v>
      </c>
      <c r="JP123" s="63"/>
      <c r="JQ123" s="73"/>
      <c r="JR123" s="72">
        <f t="shared" ref="JR123" ca="1" si="4737">($M123=JQ123)*$D$14</f>
        <v>0</v>
      </c>
      <c r="JS123" s="63"/>
      <c r="JT123" s="73"/>
      <c r="JU123" s="72">
        <f t="shared" ref="JU123" ca="1" si="4738">($M123=JT123)*$D$14</f>
        <v>0</v>
      </c>
      <c r="JV123" s="63"/>
      <c r="JW123" s="73"/>
      <c r="JX123" s="72">
        <f t="shared" ref="JX123" ca="1" si="4739">($M123=JW123)*$D$14</f>
        <v>0</v>
      </c>
      <c r="JY123" s="63"/>
      <c r="JZ123" s="73"/>
      <c r="KA123" s="72">
        <f t="shared" ref="KA123" ca="1" si="4740">($M123=JZ123)*$D$14</f>
        <v>0</v>
      </c>
      <c r="KB123" s="63"/>
      <c r="KC123" s="73"/>
      <c r="KD123" s="72">
        <f t="shared" ref="KD123" ca="1" si="4741">($M123=KC123)*$D$14</f>
        <v>0</v>
      </c>
      <c r="KE123" s="63"/>
      <c r="KF123" s="73"/>
      <c r="KG123" s="72">
        <f t="shared" ref="KG123" ca="1" si="4742">($M123=KF123)*$D$14</f>
        <v>0</v>
      </c>
      <c r="KH123" s="63"/>
      <c r="KI123" s="73"/>
      <c r="KJ123" s="72">
        <f t="shared" ref="KJ123" ca="1" si="4743">($M123=KI123)*$D$14</f>
        <v>0</v>
      </c>
      <c r="KK123" s="63"/>
      <c r="KL123" s="73"/>
      <c r="KM123" s="72">
        <f t="shared" ref="KM123" ca="1" si="4744">($M123=KL123)*$D$14</f>
        <v>0</v>
      </c>
      <c r="KN123" s="63"/>
      <c r="KO123" s="73"/>
      <c r="KP123" s="72">
        <f t="shared" ref="KP123" ca="1" si="4745">($M123=KO123)*$D$14</f>
        <v>0</v>
      </c>
      <c r="KQ123" s="63"/>
      <c r="KR123" s="73"/>
      <c r="KS123" s="72">
        <f t="shared" ref="KS123" ca="1" si="4746">($M123=KR123)*$D$14</f>
        <v>0</v>
      </c>
      <c r="KT123" s="63"/>
      <c r="KU123" s="73"/>
      <c r="KV123" s="72">
        <f t="shared" ref="KV123" ca="1" si="4747">($M123=KU123)*$D$14</f>
        <v>0</v>
      </c>
      <c r="KW123" s="63"/>
      <c r="KX123" s="73"/>
      <c r="KY123" s="72">
        <f t="shared" ref="KY123" ca="1" si="4748">($M123=KX123)*$D$14</f>
        <v>0</v>
      </c>
      <c r="KZ123" s="63"/>
      <c r="LA123" s="73"/>
      <c r="LB123" s="72">
        <f t="shared" ref="LB123" ca="1" si="4749">($M123=LA123)*$D$14</f>
        <v>0</v>
      </c>
      <c r="LC123" s="63"/>
      <c r="LD123" s="73"/>
      <c r="LE123" s="72">
        <f t="shared" ref="LE123" ca="1" si="4750">($M123=LD123)*$D$14</f>
        <v>0</v>
      </c>
      <c r="LF123" s="63"/>
    </row>
    <row r="124" spans="1:318" s="784" customFormat="1">
      <c r="A124" s="49"/>
      <c r="B124" s="49"/>
      <c r="C124" s="49"/>
      <c r="D124" s="49"/>
      <c r="E124" s="64"/>
      <c r="F124" s="125">
        <f t="shared" ref="F124" si="4751">$D$11</f>
        <v>20</v>
      </c>
      <c r="G124" s="443">
        <f ca="1">VLOOKUP(H124,Equipos!$Q$1:$R$25,2,0)</f>
        <v>17</v>
      </c>
      <c r="H124" s="444">
        <f ca="1">$H$76</f>
        <v>46200</v>
      </c>
      <c r="I124" s="50"/>
      <c r="J124" s="845" t="s">
        <v>238</v>
      </c>
      <c r="K124" s="56" t="str">
        <f>Idiomas!D194</f>
        <v>1º GRUPO L</v>
      </c>
      <c r="L124" s="53"/>
      <c r="M124" s="55" t="str">
        <f ca="1">IF(OR(SUM(WORLDCUP!$AN$94:$AN$97)=12,WORLDCUP!$AJ$99=144),WORLDCUP!AL94,LEFT(K124,1)&amp;RIGHT(K124,1))</f>
        <v>1L</v>
      </c>
      <c r="N124" s="25"/>
      <c r="O124" s="25"/>
      <c r="P124" s="25"/>
      <c r="Q124" s="25"/>
      <c r="R124" s="108"/>
      <c r="S124" s="796" t="s">
        <v>76</v>
      </c>
      <c r="T124" s="72">
        <f t="shared" ref="T124" ca="1" si="4752">($M124=S124)*$D$11</f>
        <v>0</v>
      </c>
      <c r="U124" s="63"/>
      <c r="V124" s="73" t="s">
        <v>76</v>
      </c>
      <c r="W124" s="72">
        <f t="shared" ref="W124" ca="1" si="4753">($M124=V124)*$D$11</f>
        <v>0</v>
      </c>
      <c r="X124" s="63"/>
      <c r="Y124" s="796" t="s">
        <v>78</v>
      </c>
      <c r="Z124" s="72">
        <f t="shared" ref="Z124" ca="1" si="4754">($M124=Y124)*$D$11</f>
        <v>0</v>
      </c>
      <c r="AA124" s="63"/>
      <c r="AB124" s="796" t="s">
        <v>76</v>
      </c>
      <c r="AC124" s="72">
        <f t="shared" ref="AC124" ca="1" si="4755">($M124=AB124)*$D$11</f>
        <v>0</v>
      </c>
      <c r="AD124" s="63"/>
      <c r="AE124" s="796" t="s">
        <v>76</v>
      </c>
      <c r="AF124" s="72">
        <f t="shared" ref="AF124" ca="1" si="4756">($M124=AE124)*$D$11</f>
        <v>0</v>
      </c>
      <c r="AG124" s="63"/>
      <c r="AH124" s="796" t="s">
        <v>76</v>
      </c>
      <c r="AI124" s="72">
        <f t="shared" ref="AI124" ca="1" si="4757">($M124=AH124)*$D$11</f>
        <v>0</v>
      </c>
      <c r="AJ124" s="63"/>
      <c r="AK124" s="806" t="s">
        <v>76</v>
      </c>
      <c r="AL124" s="72">
        <f t="shared" ref="AL124" ca="1" si="4758">($M124=AK124)*$D$11</f>
        <v>0</v>
      </c>
      <c r="AM124" s="63"/>
      <c r="AN124" s="796" t="s">
        <v>76</v>
      </c>
      <c r="AO124" s="72">
        <f t="shared" ref="AO124" ca="1" si="4759">($M124=AN124)*$D$11</f>
        <v>0</v>
      </c>
      <c r="AP124" s="63"/>
      <c r="AQ124" s="806" t="s">
        <v>78</v>
      </c>
      <c r="AR124" s="72">
        <f t="shared" ref="AR124" ca="1" si="4760">($M124=AQ124)*$D$11</f>
        <v>0</v>
      </c>
      <c r="AS124" s="63"/>
      <c r="AT124" s="796" t="s">
        <v>78</v>
      </c>
      <c r="AU124" s="72">
        <f t="shared" ref="AU124" ca="1" si="4761">($M124=AT124)*$D$11</f>
        <v>0</v>
      </c>
      <c r="AV124" s="63"/>
      <c r="AW124" s="796" t="s">
        <v>76</v>
      </c>
      <c r="AX124" s="72">
        <f t="shared" ref="AX124" ca="1" si="4762">($M124=AW124)*$D$11</f>
        <v>0</v>
      </c>
      <c r="AY124" s="63"/>
      <c r="AZ124" s="796" t="s">
        <v>1730</v>
      </c>
      <c r="BA124" s="72">
        <f t="shared" ref="BA124" ca="1" si="4763">($M124=AZ124)*$D$11</f>
        <v>0</v>
      </c>
      <c r="BB124" s="63"/>
      <c r="BC124" s="796" t="s">
        <v>76</v>
      </c>
      <c r="BD124" s="72">
        <f t="shared" ref="BD124" ca="1" si="4764">($M124=BC124)*$D$11</f>
        <v>0</v>
      </c>
      <c r="BE124" s="63"/>
      <c r="BF124" s="796" t="s">
        <v>78</v>
      </c>
      <c r="BG124" s="72">
        <f t="shared" ref="BG124" ca="1" si="4765">($M124=BF124)*$D$11</f>
        <v>0</v>
      </c>
      <c r="BH124" s="63"/>
      <c r="BI124" s="796" t="s">
        <v>76</v>
      </c>
      <c r="BJ124" s="72">
        <f t="shared" ref="BJ124" ca="1" si="4766">($M124=BI124)*$D$11</f>
        <v>0</v>
      </c>
      <c r="BK124" s="63"/>
      <c r="BL124" s="796" t="s">
        <v>78</v>
      </c>
      <c r="BM124" s="72">
        <f t="shared" ref="BM124" ca="1" si="4767">($M124=BL124)*$D$11</f>
        <v>0</v>
      </c>
      <c r="BN124" s="63"/>
      <c r="BO124" s="816" t="s">
        <v>76</v>
      </c>
      <c r="BP124" s="72">
        <f t="shared" ref="BP124" ca="1" si="4768">($M124=BO124)*$D$11</f>
        <v>0</v>
      </c>
      <c r="BQ124" s="63"/>
      <c r="BR124" s="796" t="s">
        <v>78</v>
      </c>
      <c r="BS124" s="72">
        <f t="shared" ref="BS124" ca="1" si="4769">($M124=BR124)*$D$11</f>
        <v>0</v>
      </c>
      <c r="BT124" s="63"/>
      <c r="BU124" s="796" t="s">
        <v>76</v>
      </c>
      <c r="BV124" s="72">
        <f t="shared" ref="BV124" ca="1" si="4770">($M124=BU124)*$D$11</f>
        <v>0</v>
      </c>
      <c r="BW124" s="63"/>
      <c r="BX124" s="73" t="s">
        <v>76</v>
      </c>
      <c r="BY124" s="72">
        <f t="shared" ref="BY124" ca="1" si="4771">($M124=BX124)*$D$11</f>
        <v>0</v>
      </c>
      <c r="BZ124" s="63"/>
      <c r="CA124" s="816" t="s">
        <v>76</v>
      </c>
      <c r="CB124" s="72">
        <f t="shared" ref="CB124" ca="1" si="4772">($M124=CA124)*$D$11</f>
        <v>0</v>
      </c>
      <c r="CC124" s="63"/>
      <c r="CD124" s="825" t="s">
        <v>76</v>
      </c>
      <c r="CE124" s="72">
        <f t="shared" ref="CE124" ca="1" si="4773">($M124=CD124)*$D$11</f>
        <v>0</v>
      </c>
      <c r="CF124" s="63"/>
      <c r="CG124" s="796" t="s">
        <v>76</v>
      </c>
      <c r="CH124" s="72">
        <f t="shared" ref="CH124" ca="1" si="4774">($M124=CG124)*$D$11</f>
        <v>0</v>
      </c>
      <c r="CI124" s="63"/>
      <c r="CJ124" s="796" t="s">
        <v>76</v>
      </c>
      <c r="CK124" s="72">
        <f t="shared" ref="CK124" ca="1" si="4775">($M124=CJ124)*$D$11</f>
        <v>0</v>
      </c>
      <c r="CL124" s="63"/>
      <c r="CM124" s="796" t="s">
        <v>76</v>
      </c>
      <c r="CN124" s="72">
        <f t="shared" ref="CN124" ca="1" si="4776">($M124=CM124)*$D$11</f>
        <v>0</v>
      </c>
      <c r="CO124" s="63"/>
      <c r="CP124" s="796" t="s">
        <v>76</v>
      </c>
      <c r="CQ124" s="72">
        <f t="shared" ref="CQ124" ca="1" si="4777">($M124=CP124)*$D$11</f>
        <v>0</v>
      </c>
      <c r="CR124" s="63"/>
      <c r="CS124" s="796" t="s">
        <v>76</v>
      </c>
      <c r="CT124" s="72">
        <f t="shared" ref="CT124" ca="1" si="4778">($M124=CS124)*$D$11</f>
        <v>0</v>
      </c>
      <c r="CU124" s="63"/>
      <c r="CV124" s="796" t="s">
        <v>76</v>
      </c>
      <c r="CW124" s="72">
        <f t="shared" ref="CW124" ca="1" si="4779">($M124=CV124)*$D$11</f>
        <v>0</v>
      </c>
      <c r="CX124" s="63"/>
      <c r="CY124" s="796" t="s">
        <v>78</v>
      </c>
      <c r="CZ124" s="72">
        <f t="shared" ref="CZ124" ca="1" si="4780">($M124=CY124)*$D$11</f>
        <v>0</v>
      </c>
      <c r="DA124" s="63"/>
      <c r="DB124" s="796" t="s">
        <v>78</v>
      </c>
      <c r="DC124" s="72">
        <f t="shared" ref="DC124" ca="1" si="4781">($M124=DB124)*$D$11</f>
        <v>0</v>
      </c>
      <c r="DD124" s="63"/>
      <c r="DE124" s="796" t="s">
        <v>76</v>
      </c>
      <c r="DF124" s="72">
        <f ca="1">($M124=DE124)*$D$11</f>
        <v>0</v>
      </c>
      <c r="DG124" s="63"/>
      <c r="DH124" s="796" t="s">
        <v>76</v>
      </c>
      <c r="DI124" s="72">
        <f ca="1">($M124=DH124)*$D$11</f>
        <v>0</v>
      </c>
      <c r="DJ124" s="63"/>
      <c r="DK124" s="796" t="s">
        <v>76</v>
      </c>
      <c r="DL124" s="72">
        <f ca="1">($M124=DK124)*$D$11</f>
        <v>0</v>
      </c>
      <c r="DM124" s="63"/>
      <c r="DN124" s="73"/>
      <c r="DO124" s="72">
        <f t="shared" ref="DO124" ca="1" si="4782">($M124=DN124)*$D$11</f>
        <v>0</v>
      </c>
      <c r="DP124" s="63"/>
      <c r="DQ124" s="796" t="s">
        <v>76</v>
      </c>
      <c r="DR124" s="72">
        <f t="shared" ref="DR124" ca="1" si="4783">($M124=DQ124)*$D$11</f>
        <v>0</v>
      </c>
      <c r="DS124" s="63"/>
      <c r="DT124" s="73" t="s">
        <v>76</v>
      </c>
      <c r="DU124" s="72">
        <f t="shared" ref="DU124" ca="1" si="4784">($M124=DT124)*$D$11</f>
        <v>0</v>
      </c>
      <c r="DV124" s="63"/>
      <c r="DW124" s="73"/>
      <c r="DX124" s="72">
        <f t="shared" ref="DX124" ca="1" si="4785">($M124=DW124)*$D$11</f>
        <v>0</v>
      </c>
      <c r="DY124" s="63"/>
      <c r="DZ124" s="73"/>
      <c r="EA124" s="72">
        <f ca="1">($M124=DZ124)*$D$11</f>
        <v>0</v>
      </c>
      <c r="EB124" s="63"/>
      <c r="EC124" s="73"/>
      <c r="ED124" s="72">
        <f t="shared" ref="ED124" ca="1" si="4786">($M124=EC124)*$D$11</f>
        <v>0</v>
      </c>
      <c r="EE124" s="63"/>
      <c r="EF124" s="73"/>
      <c r="EG124" s="72">
        <f t="shared" ref="EG124" ca="1" si="4787">($M124=EF124)*$D$11</f>
        <v>0</v>
      </c>
      <c r="EH124" s="63"/>
      <c r="EI124" s="73"/>
      <c r="EJ124" s="72">
        <f t="shared" ref="EJ124" ca="1" si="4788">($M124=EI124)*$D$11</f>
        <v>0</v>
      </c>
      <c r="EK124" s="63"/>
      <c r="EL124" s="73"/>
      <c r="EM124" s="72">
        <f t="shared" ref="EM124" ca="1" si="4789">($M124=EL124)*$D$11</f>
        <v>0</v>
      </c>
      <c r="EN124" s="63"/>
      <c r="EO124" s="73"/>
      <c r="EP124" s="72">
        <f t="shared" ref="EP124" ca="1" si="4790">($M124=EO124)*$D$11</f>
        <v>0</v>
      </c>
      <c r="EQ124" s="63"/>
      <c r="ER124" s="73"/>
      <c r="ES124" s="72">
        <f t="shared" ref="ES124" ca="1" si="4791">($M124=ER124)*$D$11</f>
        <v>0</v>
      </c>
      <c r="ET124" s="63"/>
      <c r="EU124" s="73"/>
      <c r="EV124" s="72">
        <f t="shared" ref="EV124" ca="1" si="4792">($M124=EU124)*$D$11</f>
        <v>0</v>
      </c>
      <c r="EW124" s="63"/>
      <c r="EX124" s="73"/>
      <c r="EY124" s="72">
        <f t="shared" ref="EY124" ca="1" si="4793">($M124=EX124)*$D$11</f>
        <v>0</v>
      </c>
      <c r="EZ124" s="63"/>
      <c r="FA124" s="73"/>
      <c r="FB124" s="72">
        <f t="shared" ref="FB124" ca="1" si="4794">($M124=FA124)*$D$11</f>
        <v>0</v>
      </c>
      <c r="FC124" s="63"/>
      <c r="FD124" s="73"/>
      <c r="FE124" s="72">
        <f t="shared" ref="FE124" ca="1" si="4795">($M124=FD124)*$D$11</f>
        <v>0</v>
      </c>
      <c r="FF124" s="63"/>
      <c r="FG124" s="73"/>
      <c r="FH124" s="72">
        <f t="shared" ref="FH124" ca="1" si="4796">($M124=FG124)*$D$11</f>
        <v>0</v>
      </c>
      <c r="FI124" s="63"/>
      <c r="FJ124" s="73"/>
      <c r="FK124" s="72">
        <f t="shared" ref="FK124" ca="1" si="4797">($M124=FJ124)*$D$11</f>
        <v>0</v>
      </c>
      <c r="FL124" s="63"/>
      <c r="FM124" s="73"/>
      <c r="FN124" s="72">
        <f t="shared" ref="FN124" ca="1" si="4798">($M124=FM124)*$D$11</f>
        <v>0</v>
      </c>
      <c r="FO124" s="63"/>
      <c r="FP124" s="73"/>
      <c r="FQ124" s="72">
        <f t="shared" ref="FQ124" ca="1" si="4799">($M124=FP124)*$D$11</f>
        <v>0</v>
      </c>
      <c r="FR124" s="63"/>
      <c r="FS124" s="73"/>
      <c r="FT124" s="72">
        <f t="shared" ref="FT124" ca="1" si="4800">($M124=FS124)*$D$11</f>
        <v>0</v>
      </c>
      <c r="FU124" s="63"/>
      <c r="FV124" s="73"/>
      <c r="FW124" s="72">
        <f t="shared" ref="FW124" ca="1" si="4801">($M124=FV124)*$D$11</f>
        <v>0</v>
      </c>
      <c r="FX124" s="63"/>
      <c r="FY124" s="73"/>
      <c r="FZ124" s="72">
        <f t="shared" ref="FZ124" ca="1" si="4802">($M124=FY124)*$D$11</f>
        <v>0</v>
      </c>
      <c r="GA124" s="63"/>
      <c r="GB124" s="73"/>
      <c r="GC124" s="72">
        <f t="shared" ref="GC124" ca="1" si="4803">($M124=GB124)*$D$11</f>
        <v>0</v>
      </c>
      <c r="GD124" s="63"/>
      <c r="GE124" s="73"/>
      <c r="GF124" s="72">
        <f t="shared" ref="GF124" ca="1" si="4804">($M124=GE124)*$D$11</f>
        <v>0</v>
      </c>
      <c r="GG124" s="63"/>
      <c r="GH124" s="73"/>
      <c r="GI124" s="72">
        <f t="shared" ref="GI124" ca="1" si="4805">($M124=GH124)*$D$11</f>
        <v>0</v>
      </c>
      <c r="GJ124" s="63"/>
      <c r="GK124" s="73"/>
      <c r="GL124" s="72">
        <f t="shared" ref="GL124" ca="1" si="4806">($M124=GK124)*$D$11</f>
        <v>0</v>
      </c>
      <c r="GM124" s="63"/>
      <c r="GN124" s="73"/>
      <c r="GO124" s="72">
        <f t="shared" ref="GO124" ca="1" si="4807">($M124=GN124)*$D$11</f>
        <v>0</v>
      </c>
      <c r="GP124" s="63"/>
      <c r="GQ124" s="73"/>
      <c r="GR124" s="72">
        <f t="shared" ref="GR124" ca="1" si="4808">($M124=GQ124)*$D$11</f>
        <v>0</v>
      </c>
      <c r="GS124" s="63"/>
      <c r="GT124" s="73"/>
      <c r="GU124" s="72">
        <f t="shared" ref="GU124" ca="1" si="4809">($M124=GT124)*$D$11</f>
        <v>0</v>
      </c>
      <c r="GV124" s="63"/>
      <c r="GW124" s="73"/>
      <c r="GX124" s="72">
        <f t="shared" ref="GX124" ca="1" si="4810">($M124=GW124)*$D$11</f>
        <v>0</v>
      </c>
      <c r="GY124" s="63"/>
      <c r="GZ124" s="73"/>
      <c r="HA124" s="72">
        <f t="shared" ref="HA124" ca="1" si="4811">($M124=GZ124)*$D$11</f>
        <v>0</v>
      </c>
      <c r="HB124" s="63"/>
      <c r="HC124" s="73"/>
      <c r="HD124" s="72">
        <f t="shared" ref="HD124" ca="1" si="4812">($M124=HC124)*$D$11</f>
        <v>0</v>
      </c>
      <c r="HE124" s="63"/>
      <c r="HF124" s="73"/>
      <c r="HG124" s="72">
        <f t="shared" ref="HG124" ca="1" si="4813">($M124=HF124)*$D$11</f>
        <v>0</v>
      </c>
      <c r="HH124" s="63"/>
      <c r="HI124" s="73"/>
      <c r="HJ124" s="72">
        <f t="shared" ref="HJ124" ca="1" si="4814">($M124=HI124)*$D$11</f>
        <v>0</v>
      </c>
      <c r="HK124" s="63"/>
      <c r="HL124" s="73"/>
      <c r="HM124" s="72">
        <f t="shared" ref="HM124" ca="1" si="4815">($M124=HL124)*$D$11</f>
        <v>0</v>
      </c>
      <c r="HN124" s="63"/>
      <c r="HO124" s="73"/>
      <c r="HP124" s="72">
        <f t="shared" ref="HP124" ca="1" si="4816">($M124=HO124)*$D$11</f>
        <v>0</v>
      </c>
      <c r="HQ124" s="63"/>
      <c r="HR124" s="73"/>
      <c r="HS124" s="72">
        <f t="shared" ref="HS124" ca="1" si="4817">($M124=HR124)*$D$11</f>
        <v>0</v>
      </c>
      <c r="HT124" s="63"/>
      <c r="HU124" s="73"/>
      <c r="HV124" s="72">
        <f t="shared" ref="HV124" ca="1" si="4818">($M124=HU124)*$D$11</f>
        <v>0</v>
      </c>
      <c r="HW124" s="63"/>
      <c r="HX124" s="73"/>
      <c r="HY124" s="72">
        <f t="shared" ref="HY124" ca="1" si="4819">($M124=HX124)*$D$11</f>
        <v>0</v>
      </c>
      <c r="HZ124" s="63"/>
      <c r="IA124" s="73"/>
      <c r="IB124" s="72">
        <f t="shared" ref="IB124" ca="1" si="4820">($M124=IA124)*$D$11</f>
        <v>0</v>
      </c>
      <c r="IC124" s="63"/>
      <c r="ID124" s="73"/>
      <c r="IE124" s="72">
        <f t="shared" ref="IE124" ca="1" si="4821">($M124=ID124)*$D$11</f>
        <v>0</v>
      </c>
      <c r="IF124" s="63"/>
      <c r="IG124" s="73"/>
      <c r="IH124" s="72">
        <f t="shared" ref="IH124" ca="1" si="4822">($M124=IG124)*$D$11</f>
        <v>0</v>
      </c>
      <c r="II124" s="63"/>
      <c r="IJ124" s="73"/>
      <c r="IK124" s="72">
        <f t="shared" ref="IK124" ca="1" si="4823">($M124=IJ124)*$D$11</f>
        <v>0</v>
      </c>
      <c r="IL124" s="63"/>
      <c r="IM124" s="73"/>
      <c r="IN124" s="72">
        <f t="shared" ref="IN124" ca="1" si="4824">($M124=IM124)*$D$11</f>
        <v>0</v>
      </c>
      <c r="IO124" s="63"/>
      <c r="IP124" s="73"/>
      <c r="IQ124" s="72">
        <f t="shared" ref="IQ124" ca="1" si="4825">($M124=IP124)*$D$11</f>
        <v>0</v>
      </c>
      <c r="IR124" s="63"/>
      <c r="IS124" s="73"/>
      <c r="IT124" s="72">
        <f t="shared" ref="IT124" ca="1" si="4826">($M124=IS124)*$D$11</f>
        <v>0</v>
      </c>
      <c r="IU124" s="63"/>
      <c r="IV124" s="73"/>
      <c r="IW124" s="72">
        <f t="shared" ref="IW124" ca="1" si="4827">($M124=IV124)*$D$11</f>
        <v>0</v>
      </c>
      <c r="IX124" s="63"/>
      <c r="IY124" s="73"/>
      <c r="IZ124" s="72">
        <f t="shared" ref="IZ124" ca="1" si="4828">($M124=IY124)*$D$11</f>
        <v>0</v>
      </c>
      <c r="JA124" s="63"/>
      <c r="JB124" s="73"/>
      <c r="JC124" s="72">
        <f t="shared" ref="JC124" ca="1" si="4829">($M124=JB124)*$D$11</f>
        <v>0</v>
      </c>
      <c r="JD124" s="63"/>
      <c r="JE124" s="73"/>
      <c r="JF124" s="72">
        <f t="shared" ref="JF124" ca="1" si="4830">($M124=JE124)*$D$11</f>
        <v>0</v>
      </c>
      <c r="JG124" s="63"/>
      <c r="JH124" s="73"/>
      <c r="JI124" s="72">
        <f t="shared" ref="JI124" ca="1" si="4831">($M124=JH124)*$D$11</f>
        <v>0</v>
      </c>
      <c r="JJ124" s="63"/>
      <c r="JK124" s="73"/>
      <c r="JL124" s="72">
        <f t="shared" ref="JL124" ca="1" si="4832">($M124=JK124)*$D$11</f>
        <v>0</v>
      </c>
      <c r="JM124" s="63"/>
      <c r="JN124" s="73"/>
      <c r="JO124" s="72">
        <f t="shared" ref="JO124" ca="1" si="4833">($M124=JN124)*$D$11</f>
        <v>0</v>
      </c>
      <c r="JP124" s="63"/>
      <c r="JQ124" s="73"/>
      <c r="JR124" s="72">
        <f t="shared" ref="JR124" ca="1" si="4834">($M124=JQ124)*$D$11</f>
        <v>0</v>
      </c>
      <c r="JS124" s="63"/>
      <c r="JT124" s="73"/>
      <c r="JU124" s="72">
        <f t="shared" ref="JU124" ca="1" si="4835">($M124=JT124)*$D$11</f>
        <v>0</v>
      </c>
      <c r="JV124" s="63"/>
      <c r="JW124" s="73"/>
      <c r="JX124" s="72">
        <f t="shared" ref="JX124" ca="1" si="4836">($M124=JW124)*$D$11</f>
        <v>0</v>
      </c>
      <c r="JY124" s="63"/>
      <c r="JZ124" s="73"/>
      <c r="KA124" s="72">
        <f t="shared" ref="KA124" ca="1" si="4837">($M124=JZ124)*$D$11</f>
        <v>0</v>
      </c>
      <c r="KB124" s="63"/>
      <c r="KC124" s="73"/>
      <c r="KD124" s="72">
        <f t="shared" ref="KD124" ca="1" si="4838">($M124=KC124)*$D$11</f>
        <v>0</v>
      </c>
      <c r="KE124" s="63"/>
      <c r="KF124" s="73"/>
      <c r="KG124" s="72">
        <f t="shared" ref="KG124" ca="1" si="4839">($M124=KF124)*$D$11</f>
        <v>0</v>
      </c>
      <c r="KH124" s="63"/>
      <c r="KI124" s="73"/>
      <c r="KJ124" s="72">
        <f t="shared" ref="KJ124" ca="1" si="4840">($M124=KI124)*$D$11</f>
        <v>0</v>
      </c>
      <c r="KK124" s="63"/>
      <c r="KL124" s="73"/>
      <c r="KM124" s="72">
        <f t="shared" ref="KM124" ca="1" si="4841">($M124=KL124)*$D$11</f>
        <v>0</v>
      </c>
      <c r="KN124" s="63"/>
      <c r="KO124" s="73"/>
      <c r="KP124" s="72">
        <f t="shared" ref="KP124" ca="1" si="4842">($M124=KO124)*$D$11</f>
        <v>0</v>
      </c>
      <c r="KQ124" s="63"/>
      <c r="KR124" s="73"/>
      <c r="KS124" s="72">
        <f t="shared" ref="KS124" ca="1" si="4843">($M124=KR124)*$D$11</f>
        <v>0</v>
      </c>
      <c r="KT124" s="63"/>
      <c r="KU124" s="73"/>
      <c r="KV124" s="72">
        <f t="shared" ref="KV124" ca="1" si="4844">($M124=KU124)*$D$11</f>
        <v>0</v>
      </c>
      <c r="KW124" s="63"/>
      <c r="KX124" s="73"/>
      <c r="KY124" s="72">
        <f t="shared" ref="KY124" ca="1" si="4845">($M124=KX124)*$D$11</f>
        <v>0</v>
      </c>
      <c r="KZ124" s="63"/>
      <c r="LA124" s="73"/>
      <c r="LB124" s="72">
        <f t="shared" ref="LB124" ca="1" si="4846">($M124=LA124)*$D$11</f>
        <v>0</v>
      </c>
      <c r="LC124" s="63"/>
      <c r="LD124" s="73"/>
      <c r="LE124" s="72">
        <f t="shared" ref="LE124" ca="1" si="4847">($M124=LD124)*$D$11</f>
        <v>0</v>
      </c>
      <c r="LF124" s="63"/>
    </row>
    <row r="125" spans="1:318" s="784" customFormat="1">
      <c r="A125" s="49"/>
      <c r="B125" s="49"/>
      <c r="C125" s="49"/>
      <c r="D125" s="49"/>
      <c r="E125" s="64"/>
      <c r="F125" s="125">
        <f t="shared" ref="F125" si="4848">$D$12</f>
        <v>20</v>
      </c>
      <c r="G125" s="443">
        <f ca="1">VLOOKUP(H125,Equipos!$Q$1:$R$25,2,0)</f>
        <v>17</v>
      </c>
      <c r="H125" s="444">
        <f ca="1">$H$76</f>
        <v>46200</v>
      </c>
      <c r="I125" s="50"/>
      <c r="J125" s="845"/>
      <c r="K125" s="56" t="str">
        <f>Idiomas!D195</f>
        <v>2º GRUPO L</v>
      </c>
      <c r="L125" s="53"/>
      <c r="M125" s="55" t="str">
        <f ca="1">IF(OR(SUM(WORLDCUP!$AN$94:$AN$97)=12,WORLDCUP!$AJ$99=144),WORLDCUP!AL95,LEFT(K125,1)&amp;RIGHT(K125,1))</f>
        <v>2L</v>
      </c>
      <c r="N125" s="25"/>
      <c r="O125" s="25"/>
      <c r="P125" s="25"/>
      <c r="Q125" s="25"/>
      <c r="R125" s="108"/>
      <c r="S125" s="796" t="s">
        <v>78</v>
      </c>
      <c r="T125" s="72">
        <f t="shared" ref="T125" ca="1" si="4849">($M125=S125)*$D$12</f>
        <v>0</v>
      </c>
      <c r="U125" s="63"/>
      <c r="V125" s="73" t="s">
        <v>78</v>
      </c>
      <c r="W125" s="72">
        <f t="shared" ref="W125" ca="1" si="4850">($M125=V125)*$D$12</f>
        <v>0</v>
      </c>
      <c r="X125" s="63"/>
      <c r="Y125" s="796" t="s">
        <v>76</v>
      </c>
      <c r="Z125" s="72">
        <f t="shared" ref="Z125" ca="1" si="4851">($M125=Y125)*$D$12</f>
        <v>0</v>
      </c>
      <c r="AA125" s="63"/>
      <c r="AB125" s="796" t="s">
        <v>78</v>
      </c>
      <c r="AC125" s="72">
        <f t="shared" ref="AC125" ca="1" si="4852">($M125=AB125)*$D$12</f>
        <v>0</v>
      </c>
      <c r="AD125" s="63"/>
      <c r="AE125" s="796" t="s">
        <v>78</v>
      </c>
      <c r="AF125" s="72">
        <f t="shared" ref="AF125" ca="1" si="4853">($M125=AE125)*$D$12</f>
        <v>0</v>
      </c>
      <c r="AG125" s="63"/>
      <c r="AH125" s="796" t="s">
        <v>78</v>
      </c>
      <c r="AI125" s="72">
        <f t="shared" ref="AI125" ca="1" si="4854">($M125=AH125)*$D$12</f>
        <v>0</v>
      </c>
      <c r="AJ125" s="63"/>
      <c r="AK125" s="806" t="s">
        <v>78</v>
      </c>
      <c r="AL125" s="72">
        <f t="shared" ref="AL125" ca="1" si="4855">($M125=AK125)*$D$12</f>
        <v>0</v>
      </c>
      <c r="AM125" s="63"/>
      <c r="AN125" s="796" t="s">
        <v>78</v>
      </c>
      <c r="AO125" s="72">
        <f t="shared" ref="AO125" ca="1" si="4856">($M125=AN125)*$D$12</f>
        <v>0</v>
      </c>
      <c r="AP125" s="63"/>
      <c r="AQ125" s="806" t="s">
        <v>76</v>
      </c>
      <c r="AR125" s="72">
        <f t="shared" ref="AR125" ca="1" si="4857">($M125=AQ125)*$D$12</f>
        <v>0</v>
      </c>
      <c r="AS125" s="63"/>
      <c r="AT125" s="796" t="s">
        <v>76</v>
      </c>
      <c r="AU125" s="72">
        <f t="shared" ref="AU125" ca="1" si="4858">($M125=AT125)*$D$12</f>
        <v>0</v>
      </c>
      <c r="AV125" s="63"/>
      <c r="AW125" s="796" t="s">
        <v>78</v>
      </c>
      <c r="AX125" s="72">
        <f t="shared" ref="AX125" ca="1" si="4859">($M125=AW125)*$D$12</f>
        <v>0</v>
      </c>
      <c r="AY125" s="63"/>
      <c r="AZ125" s="796" t="s">
        <v>1551</v>
      </c>
      <c r="BA125" s="72">
        <f t="shared" ref="BA125" ca="1" si="4860">($M125=AZ125)*$D$12</f>
        <v>0</v>
      </c>
      <c r="BB125" s="63"/>
      <c r="BC125" s="796" t="s">
        <v>78</v>
      </c>
      <c r="BD125" s="72">
        <f t="shared" ref="BD125" ca="1" si="4861">($M125=BC125)*$D$12</f>
        <v>0</v>
      </c>
      <c r="BE125" s="63"/>
      <c r="BF125" s="796" t="s">
        <v>76</v>
      </c>
      <c r="BG125" s="72">
        <f t="shared" ref="BG125" ca="1" si="4862">($M125=BF125)*$D$12</f>
        <v>0</v>
      </c>
      <c r="BH125" s="63"/>
      <c r="BI125" s="796" t="s">
        <v>78</v>
      </c>
      <c r="BJ125" s="72">
        <f t="shared" ref="BJ125" ca="1" si="4863">($M125=BI125)*$D$12</f>
        <v>0</v>
      </c>
      <c r="BK125" s="63"/>
      <c r="BL125" s="796" t="s">
        <v>76</v>
      </c>
      <c r="BM125" s="72">
        <f t="shared" ref="BM125" ca="1" si="4864">($M125=BL125)*$D$12</f>
        <v>0</v>
      </c>
      <c r="BN125" s="63"/>
      <c r="BO125" s="816" t="s">
        <v>78</v>
      </c>
      <c r="BP125" s="72">
        <f t="shared" ref="BP125" ca="1" si="4865">($M125=BO125)*$D$12</f>
        <v>0</v>
      </c>
      <c r="BQ125" s="63"/>
      <c r="BR125" s="796" t="s">
        <v>76</v>
      </c>
      <c r="BS125" s="72">
        <f t="shared" ref="BS125" ca="1" si="4866">($M125=BR125)*$D$12</f>
        <v>0</v>
      </c>
      <c r="BT125" s="63"/>
      <c r="BU125" s="796" t="s">
        <v>78</v>
      </c>
      <c r="BV125" s="72">
        <f t="shared" ref="BV125" ca="1" si="4867">($M125=BU125)*$D$12</f>
        <v>0</v>
      </c>
      <c r="BW125" s="63"/>
      <c r="BX125" s="73" t="s">
        <v>78</v>
      </c>
      <c r="BY125" s="72">
        <f t="shared" ref="BY125" ca="1" si="4868">($M125=BX125)*$D$12</f>
        <v>0</v>
      </c>
      <c r="BZ125" s="63"/>
      <c r="CA125" s="816" t="s">
        <v>78</v>
      </c>
      <c r="CB125" s="72">
        <f t="shared" ref="CB125" ca="1" si="4869">($M125=CA125)*$D$12</f>
        <v>0</v>
      </c>
      <c r="CC125" s="63"/>
      <c r="CD125" s="825" t="s">
        <v>78</v>
      </c>
      <c r="CE125" s="72">
        <f t="shared" ref="CE125" ca="1" si="4870">($M125=CD125)*$D$12</f>
        <v>0</v>
      </c>
      <c r="CF125" s="63"/>
      <c r="CG125" s="796" t="s">
        <v>78</v>
      </c>
      <c r="CH125" s="72">
        <f t="shared" ref="CH125" ca="1" si="4871">($M125=CG125)*$D$12</f>
        <v>0</v>
      </c>
      <c r="CI125" s="63"/>
      <c r="CJ125" s="796" t="s">
        <v>78</v>
      </c>
      <c r="CK125" s="72">
        <f t="shared" ref="CK125" ca="1" si="4872">($M125=CJ125)*$D$12</f>
        <v>0</v>
      </c>
      <c r="CL125" s="63"/>
      <c r="CM125" s="796" t="s">
        <v>1730</v>
      </c>
      <c r="CN125" s="72">
        <f t="shared" ref="CN125" ca="1" si="4873">($M125=CM125)*$D$12</f>
        <v>0</v>
      </c>
      <c r="CO125" s="63"/>
      <c r="CP125" s="796" t="s">
        <v>78</v>
      </c>
      <c r="CQ125" s="72">
        <f t="shared" ref="CQ125" ca="1" si="4874">($M125=CP125)*$D$12</f>
        <v>0</v>
      </c>
      <c r="CR125" s="63"/>
      <c r="CS125" s="796" t="s">
        <v>78</v>
      </c>
      <c r="CT125" s="72">
        <f t="shared" ref="CT125" ca="1" si="4875">($M125=CS125)*$D$12</f>
        <v>0</v>
      </c>
      <c r="CU125" s="63"/>
      <c r="CV125" s="796" t="s">
        <v>78</v>
      </c>
      <c r="CW125" s="72">
        <f t="shared" ref="CW125" ca="1" si="4876">($M125=CV125)*$D$12</f>
        <v>0</v>
      </c>
      <c r="CX125" s="63"/>
      <c r="CY125" s="796" t="s">
        <v>1551</v>
      </c>
      <c r="CZ125" s="72">
        <f t="shared" ref="CZ125" ca="1" si="4877">($M125=CY125)*$D$12</f>
        <v>0</v>
      </c>
      <c r="DA125" s="63"/>
      <c r="DB125" s="796" t="s">
        <v>76</v>
      </c>
      <c r="DC125" s="72">
        <f t="shared" ref="DC125" ca="1" si="4878">($M125=DB125)*$D$12</f>
        <v>0</v>
      </c>
      <c r="DD125" s="63"/>
      <c r="DE125" s="796" t="s">
        <v>78</v>
      </c>
      <c r="DF125" s="72">
        <f ca="1">($M125=DE125)*$D$12</f>
        <v>0</v>
      </c>
      <c r="DG125" s="63"/>
      <c r="DH125" s="796" t="s">
        <v>78</v>
      </c>
      <c r="DI125" s="72">
        <f ca="1">($M125=DH125)*$D$12</f>
        <v>0</v>
      </c>
      <c r="DJ125" s="63"/>
      <c r="DK125" s="796" t="s">
        <v>78</v>
      </c>
      <c r="DL125" s="72">
        <f ca="1">($M125=DK125)*$D$12</f>
        <v>0</v>
      </c>
      <c r="DM125" s="63"/>
      <c r="DN125" s="73"/>
      <c r="DO125" s="72">
        <f t="shared" ref="DO125" ca="1" si="4879">($M125=DN125)*$D$12</f>
        <v>0</v>
      </c>
      <c r="DP125" s="63"/>
      <c r="DQ125" s="796" t="s">
        <v>78</v>
      </c>
      <c r="DR125" s="72">
        <f t="shared" ref="DR125" ca="1" si="4880">($M125=DQ125)*$D$12</f>
        <v>0</v>
      </c>
      <c r="DS125" s="63"/>
      <c r="DT125" s="73" t="s">
        <v>78</v>
      </c>
      <c r="DU125" s="72">
        <f t="shared" ref="DU125" ca="1" si="4881">($M125=DT125)*$D$12</f>
        <v>0</v>
      </c>
      <c r="DV125" s="63"/>
      <c r="DW125" s="73"/>
      <c r="DX125" s="72">
        <f t="shared" ref="DX125" ca="1" si="4882">($M125=DW125)*$D$12</f>
        <v>0</v>
      </c>
      <c r="DY125" s="63"/>
      <c r="DZ125" s="73"/>
      <c r="EA125" s="72">
        <f ca="1">($M125=DZ125)*$D$12</f>
        <v>0</v>
      </c>
      <c r="EB125" s="63"/>
      <c r="EC125" s="73"/>
      <c r="ED125" s="72">
        <f t="shared" ref="ED125" ca="1" si="4883">($M125=EC125)*$D$12</f>
        <v>0</v>
      </c>
      <c r="EE125" s="63"/>
      <c r="EF125" s="73"/>
      <c r="EG125" s="72">
        <f t="shared" ref="EG125" ca="1" si="4884">($M125=EF125)*$D$12</f>
        <v>0</v>
      </c>
      <c r="EH125" s="63"/>
      <c r="EI125" s="73"/>
      <c r="EJ125" s="72">
        <f t="shared" ref="EJ125" ca="1" si="4885">($M125=EI125)*$D$12</f>
        <v>0</v>
      </c>
      <c r="EK125" s="63"/>
      <c r="EL125" s="73"/>
      <c r="EM125" s="72">
        <f t="shared" ref="EM125" ca="1" si="4886">($M125=EL125)*$D$12</f>
        <v>0</v>
      </c>
      <c r="EN125" s="63"/>
      <c r="EO125" s="73"/>
      <c r="EP125" s="72">
        <f t="shared" ref="EP125" ca="1" si="4887">($M125=EO125)*$D$12</f>
        <v>0</v>
      </c>
      <c r="EQ125" s="63"/>
      <c r="ER125" s="73"/>
      <c r="ES125" s="72">
        <f t="shared" ref="ES125" ca="1" si="4888">($M125=ER125)*$D$12</f>
        <v>0</v>
      </c>
      <c r="ET125" s="63"/>
      <c r="EU125" s="73"/>
      <c r="EV125" s="72">
        <f t="shared" ref="EV125" ca="1" si="4889">($M125=EU125)*$D$12</f>
        <v>0</v>
      </c>
      <c r="EW125" s="63"/>
      <c r="EX125" s="73"/>
      <c r="EY125" s="72">
        <f t="shared" ref="EY125" ca="1" si="4890">($M125=EX125)*$D$12</f>
        <v>0</v>
      </c>
      <c r="EZ125" s="63"/>
      <c r="FA125" s="73"/>
      <c r="FB125" s="72">
        <f t="shared" ref="FB125" ca="1" si="4891">($M125=FA125)*$D$12</f>
        <v>0</v>
      </c>
      <c r="FC125" s="63"/>
      <c r="FD125" s="73"/>
      <c r="FE125" s="72">
        <f t="shared" ref="FE125" ca="1" si="4892">($M125=FD125)*$D$12</f>
        <v>0</v>
      </c>
      <c r="FF125" s="63"/>
      <c r="FG125" s="73"/>
      <c r="FH125" s="72">
        <f t="shared" ref="FH125" ca="1" si="4893">($M125=FG125)*$D$12</f>
        <v>0</v>
      </c>
      <c r="FI125" s="63"/>
      <c r="FJ125" s="73"/>
      <c r="FK125" s="72">
        <f t="shared" ref="FK125" ca="1" si="4894">($M125=FJ125)*$D$12</f>
        <v>0</v>
      </c>
      <c r="FL125" s="63"/>
      <c r="FM125" s="73"/>
      <c r="FN125" s="72">
        <f t="shared" ref="FN125" ca="1" si="4895">($M125=FM125)*$D$12</f>
        <v>0</v>
      </c>
      <c r="FO125" s="63"/>
      <c r="FP125" s="73"/>
      <c r="FQ125" s="72">
        <f t="shared" ref="FQ125" ca="1" si="4896">($M125=FP125)*$D$12</f>
        <v>0</v>
      </c>
      <c r="FR125" s="63"/>
      <c r="FS125" s="73"/>
      <c r="FT125" s="72">
        <f t="shared" ref="FT125" ca="1" si="4897">($M125=FS125)*$D$12</f>
        <v>0</v>
      </c>
      <c r="FU125" s="63"/>
      <c r="FV125" s="73"/>
      <c r="FW125" s="72">
        <f t="shared" ref="FW125" ca="1" si="4898">($M125=FV125)*$D$12</f>
        <v>0</v>
      </c>
      <c r="FX125" s="63"/>
      <c r="FY125" s="73"/>
      <c r="FZ125" s="72">
        <f t="shared" ref="FZ125" ca="1" si="4899">($M125=FY125)*$D$12</f>
        <v>0</v>
      </c>
      <c r="GA125" s="63"/>
      <c r="GB125" s="73"/>
      <c r="GC125" s="72">
        <f t="shared" ref="GC125" ca="1" si="4900">($M125=GB125)*$D$12</f>
        <v>0</v>
      </c>
      <c r="GD125" s="63"/>
      <c r="GE125" s="73"/>
      <c r="GF125" s="72">
        <f t="shared" ref="GF125" ca="1" si="4901">($M125=GE125)*$D$12</f>
        <v>0</v>
      </c>
      <c r="GG125" s="63"/>
      <c r="GH125" s="73"/>
      <c r="GI125" s="72">
        <f t="shared" ref="GI125" ca="1" si="4902">($M125=GH125)*$D$12</f>
        <v>0</v>
      </c>
      <c r="GJ125" s="63"/>
      <c r="GK125" s="73"/>
      <c r="GL125" s="72">
        <f t="shared" ref="GL125" ca="1" si="4903">($M125=GK125)*$D$12</f>
        <v>0</v>
      </c>
      <c r="GM125" s="63"/>
      <c r="GN125" s="73"/>
      <c r="GO125" s="72">
        <f t="shared" ref="GO125" ca="1" si="4904">($M125=GN125)*$D$12</f>
        <v>0</v>
      </c>
      <c r="GP125" s="63"/>
      <c r="GQ125" s="73"/>
      <c r="GR125" s="72">
        <f t="shared" ref="GR125" ca="1" si="4905">($M125=GQ125)*$D$12</f>
        <v>0</v>
      </c>
      <c r="GS125" s="63"/>
      <c r="GT125" s="73"/>
      <c r="GU125" s="72">
        <f t="shared" ref="GU125" ca="1" si="4906">($M125=GT125)*$D$12</f>
        <v>0</v>
      </c>
      <c r="GV125" s="63"/>
      <c r="GW125" s="73"/>
      <c r="GX125" s="72">
        <f t="shared" ref="GX125" ca="1" si="4907">($M125=GW125)*$D$12</f>
        <v>0</v>
      </c>
      <c r="GY125" s="63"/>
      <c r="GZ125" s="73"/>
      <c r="HA125" s="72">
        <f t="shared" ref="HA125" ca="1" si="4908">($M125=GZ125)*$D$12</f>
        <v>0</v>
      </c>
      <c r="HB125" s="63"/>
      <c r="HC125" s="73"/>
      <c r="HD125" s="72">
        <f t="shared" ref="HD125" ca="1" si="4909">($M125=HC125)*$D$12</f>
        <v>0</v>
      </c>
      <c r="HE125" s="63"/>
      <c r="HF125" s="73"/>
      <c r="HG125" s="72">
        <f t="shared" ref="HG125" ca="1" si="4910">($M125=HF125)*$D$12</f>
        <v>0</v>
      </c>
      <c r="HH125" s="63"/>
      <c r="HI125" s="73"/>
      <c r="HJ125" s="72">
        <f t="shared" ref="HJ125" ca="1" si="4911">($M125=HI125)*$D$12</f>
        <v>0</v>
      </c>
      <c r="HK125" s="63"/>
      <c r="HL125" s="73"/>
      <c r="HM125" s="72">
        <f t="shared" ref="HM125" ca="1" si="4912">($M125=HL125)*$D$12</f>
        <v>0</v>
      </c>
      <c r="HN125" s="63"/>
      <c r="HO125" s="73"/>
      <c r="HP125" s="72">
        <f t="shared" ref="HP125" ca="1" si="4913">($M125=HO125)*$D$12</f>
        <v>0</v>
      </c>
      <c r="HQ125" s="63"/>
      <c r="HR125" s="73"/>
      <c r="HS125" s="72">
        <f t="shared" ref="HS125" ca="1" si="4914">($M125=HR125)*$D$12</f>
        <v>0</v>
      </c>
      <c r="HT125" s="63"/>
      <c r="HU125" s="73"/>
      <c r="HV125" s="72">
        <f t="shared" ref="HV125" ca="1" si="4915">($M125=HU125)*$D$12</f>
        <v>0</v>
      </c>
      <c r="HW125" s="63"/>
      <c r="HX125" s="73"/>
      <c r="HY125" s="72">
        <f t="shared" ref="HY125" ca="1" si="4916">($M125=HX125)*$D$12</f>
        <v>0</v>
      </c>
      <c r="HZ125" s="63"/>
      <c r="IA125" s="73"/>
      <c r="IB125" s="72">
        <f t="shared" ref="IB125" ca="1" si="4917">($M125=IA125)*$D$12</f>
        <v>0</v>
      </c>
      <c r="IC125" s="63"/>
      <c r="ID125" s="73"/>
      <c r="IE125" s="72">
        <f t="shared" ref="IE125" ca="1" si="4918">($M125=ID125)*$D$12</f>
        <v>0</v>
      </c>
      <c r="IF125" s="63"/>
      <c r="IG125" s="73"/>
      <c r="IH125" s="72">
        <f t="shared" ref="IH125" ca="1" si="4919">($M125=IG125)*$D$12</f>
        <v>0</v>
      </c>
      <c r="II125" s="63"/>
      <c r="IJ125" s="73"/>
      <c r="IK125" s="72">
        <f t="shared" ref="IK125" ca="1" si="4920">($M125=IJ125)*$D$12</f>
        <v>0</v>
      </c>
      <c r="IL125" s="63"/>
      <c r="IM125" s="73"/>
      <c r="IN125" s="72">
        <f t="shared" ref="IN125" ca="1" si="4921">($M125=IM125)*$D$12</f>
        <v>0</v>
      </c>
      <c r="IO125" s="63"/>
      <c r="IP125" s="73"/>
      <c r="IQ125" s="72">
        <f t="shared" ref="IQ125" ca="1" si="4922">($M125=IP125)*$D$12</f>
        <v>0</v>
      </c>
      <c r="IR125" s="63"/>
      <c r="IS125" s="73"/>
      <c r="IT125" s="72">
        <f t="shared" ref="IT125" ca="1" si="4923">($M125=IS125)*$D$12</f>
        <v>0</v>
      </c>
      <c r="IU125" s="63"/>
      <c r="IV125" s="73"/>
      <c r="IW125" s="72">
        <f t="shared" ref="IW125" ca="1" si="4924">($M125=IV125)*$D$12</f>
        <v>0</v>
      </c>
      <c r="IX125" s="63"/>
      <c r="IY125" s="73"/>
      <c r="IZ125" s="72">
        <f t="shared" ref="IZ125" ca="1" si="4925">($M125=IY125)*$D$12</f>
        <v>0</v>
      </c>
      <c r="JA125" s="63"/>
      <c r="JB125" s="73"/>
      <c r="JC125" s="72">
        <f t="shared" ref="JC125" ca="1" si="4926">($M125=JB125)*$D$12</f>
        <v>0</v>
      </c>
      <c r="JD125" s="63"/>
      <c r="JE125" s="73"/>
      <c r="JF125" s="72">
        <f t="shared" ref="JF125" ca="1" si="4927">($M125=JE125)*$D$12</f>
        <v>0</v>
      </c>
      <c r="JG125" s="63"/>
      <c r="JH125" s="73"/>
      <c r="JI125" s="72">
        <f t="shared" ref="JI125" ca="1" si="4928">($M125=JH125)*$D$12</f>
        <v>0</v>
      </c>
      <c r="JJ125" s="63"/>
      <c r="JK125" s="73"/>
      <c r="JL125" s="72">
        <f t="shared" ref="JL125" ca="1" si="4929">($M125=JK125)*$D$12</f>
        <v>0</v>
      </c>
      <c r="JM125" s="63"/>
      <c r="JN125" s="73"/>
      <c r="JO125" s="72">
        <f t="shared" ref="JO125" ca="1" si="4930">($M125=JN125)*$D$12</f>
        <v>0</v>
      </c>
      <c r="JP125" s="63"/>
      <c r="JQ125" s="73"/>
      <c r="JR125" s="72">
        <f t="shared" ref="JR125" ca="1" si="4931">($M125=JQ125)*$D$12</f>
        <v>0</v>
      </c>
      <c r="JS125" s="63"/>
      <c r="JT125" s="73"/>
      <c r="JU125" s="72">
        <f t="shared" ref="JU125" ca="1" si="4932">($M125=JT125)*$D$12</f>
        <v>0</v>
      </c>
      <c r="JV125" s="63"/>
      <c r="JW125" s="73"/>
      <c r="JX125" s="72">
        <f t="shared" ref="JX125" ca="1" si="4933">($M125=JW125)*$D$12</f>
        <v>0</v>
      </c>
      <c r="JY125" s="63"/>
      <c r="JZ125" s="73"/>
      <c r="KA125" s="72">
        <f t="shared" ref="KA125" ca="1" si="4934">($M125=JZ125)*$D$12</f>
        <v>0</v>
      </c>
      <c r="KB125" s="63"/>
      <c r="KC125" s="73"/>
      <c r="KD125" s="72">
        <f t="shared" ref="KD125" ca="1" si="4935">($M125=KC125)*$D$12</f>
        <v>0</v>
      </c>
      <c r="KE125" s="63"/>
      <c r="KF125" s="73"/>
      <c r="KG125" s="72">
        <f t="shared" ref="KG125" ca="1" si="4936">($M125=KF125)*$D$12</f>
        <v>0</v>
      </c>
      <c r="KH125" s="63"/>
      <c r="KI125" s="73"/>
      <c r="KJ125" s="72">
        <f t="shared" ref="KJ125" ca="1" si="4937">($M125=KI125)*$D$12</f>
        <v>0</v>
      </c>
      <c r="KK125" s="63"/>
      <c r="KL125" s="73"/>
      <c r="KM125" s="72">
        <f t="shared" ref="KM125" ca="1" si="4938">($M125=KL125)*$D$12</f>
        <v>0</v>
      </c>
      <c r="KN125" s="63"/>
      <c r="KO125" s="73"/>
      <c r="KP125" s="72">
        <f t="shared" ref="KP125" ca="1" si="4939">($M125=KO125)*$D$12</f>
        <v>0</v>
      </c>
      <c r="KQ125" s="63"/>
      <c r="KR125" s="73"/>
      <c r="KS125" s="72">
        <f t="shared" ref="KS125" ca="1" si="4940">($M125=KR125)*$D$12</f>
        <v>0</v>
      </c>
      <c r="KT125" s="63"/>
      <c r="KU125" s="73"/>
      <c r="KV125" s="72">
        <f t="shared" ref="KV125" ca="1" si="4941">($M125=KU125)*$D$12</f>
        <v>0</v>
      </c>
      <c r="KW125" s="63"/>
      <c r="KX125" s="73"/>
      <c r="KY125" s="72">
        <f t="shared" ref="KY125" ca="1" si="4942">($M125=KX125)*$D$12</f>
        <v>0</v>
      </c>
      <c r="KZ125" s="63"/>
      <c r="LA125" s="73"/>
      <c r="LB125" s="72">
        <f t="shared" ref="LB125" ca="1" si="4943">($M125=LA125)*$D$12</f>
        <v>0</v>
      </c>
      <c r="LC125" s="63"/>
      <c r="LD125" s="73"/>
      <c r="LE125" s="72">
        <f t="shared" ref="LE125" ca="1" si="4944">($M125=LD125)*$D$12</f>
        <v>0</v>
      </c>
      <c r="LF125" s="63"/>
    </row>
    <row r="126" spans="1:318" s="784" customFormat="1">
      <c r="A126" s="49"/>
      <c r="B126" s="49"/>
      <c r="C126" s="49"/>
      <c r="D126" s="49"/>
      <c r="E126" s="64"/>
      <c r="F126" s="125">
        <f t="shared" ref="F126" si="4945">$D$13</f>
        <v>20</v>
      </c>
      <c r="G126" s="443">
        <f ca="1">VLOOKUP(H126,Equipos!$Q$1:$R$25,2,0)</f>
        <v>17</v>
      </c>
      <c r="H126" s="444">
        <f ca="1">$H$76</f>
        <v>46200</v>
      </c>
      <c r="I126" s="50"/>
      <c r="J126" s="845"/>
      <c r="K126" s="56" t="str">
        <f>Idiomas!D196</f>
        <v>3º GRUPO L</v>
      </c>
      <c r="L126" s="53"/>
      <c r="M126" s="55" t="str">
        <f ca="1">IF(OR(SUM(WORLDCUP!$AN$94:$AN$97)=12,WORLDCUP!$AJ$99=144),WORLDCUP!AL96,LEFT(K126,1)&amp;RIGHT(K126,1))</f>
        <v>3L</v>
      </c>
      <c r="N126" s="25"/>
      <c r="O126" s="25"/>
      <c r="P126" s="25"/>
      <c r="Q126" s="25"/>
      <c r="R126" s="108"/>
      <c r="S126" s="796" t="s">
        <v>1730</v>
      </c>
      <c r="T126" s="72">
        <f t="shared" ref="T126" ca="1" si="4946">($M126=S126)*$D$13</f>
        <v>0</v>
      </c>
      <c r="U126" s="63"/>
      <c r="V126" s="73" t="s">
        <v>1551</v>
      </c>
      <c r="W126" s="72">
        <f t="shared" ref="W126" ca="1" si="4947">($M126=V126)*$D$13</f>
        <v>0</v>
      </c>
      <c r="X126" s="63"/>
      <c r="Y126" s="796" t="s">
        <v>1551</v>
      </c>
      <c r="Z126" s="72">
        <f t="shared" ref="Z126" ca="1" si="4948">($M126=Y126)*$D$13</f>
        <v>0</v>
      </c>
      <c r="AA126" s="63"/>
      <c r="AB126" s="796" t="s">
        <v>1551</v>
      </c>
      <c r="AC126" s="72">
        <f t="shared" ref="AC126" ca="1" si="4949">($M126=AB126)*$D$13</f>
        <v>0</v>
      </c>
      <c r="AD126" s="63"/>
      <c r="AE126" s="796" t="s">
        <v>1551</v>
      </c>
      <c r="AF126" s="72">
        <f t="shared" ref="AF126" ca="1" si="4950">($M126=AE126)*$D$13</f>
        <v>0</v>
      </c>
      <c r="AG126" s="63"/>
      <c r="AH126" s="796" t="s">
        <v>1551</v>
      </c>
      <c r="AI126" s="72">
        <f t="shared" ref="AI126" ca="1" si="4951">($M126=AH126)*$D$13</f>
        <v>0</v>
      </c>
      <c r="AJ126" s="63"/>
      <c r="AK126" s="806" t="s">
        <v>1551</v>
      </c>
      <c r="AL126" s="72">
        <f t="shared" ref="AL126" ca="1" si="4952">($M126=AK126)*$D$13</f>
        <v>0</v>
      </c>
      <c r="AM126" s="63"/>
      <c r="AN126" s="796" t="s">
        <v>1551</v>
      </c>
      <c r="AO126" s="72">
        <f t="shared" ref="AO126" ca="1" si="4953">($M126=AN126)*$D$13</f>
        <v>0</v>
      </c>
      <c r="AP126" s="63"/>
      <c r="AQ126" s="806" t="s">
        <v>1551</v>
      </c>
      <c r="AR126" s="72">
        <f t="shared" ref="AR126" ca="1" si="4954">($M126=AQ126)*$D$13</f>
        <v>0</v>
      </c>
      <c r="AS126" s="63"/>
      <c r="AT126" s="796" t="s">
        <v>1551</v>
      </c>
      <c r="AU126" s="72">
        <f t="shared" ref="AU126" ca="1" si="4955">($M126=AT126)*$D$13</f>
        <v>0</v>
      </c>
      <c r="AV126" s="63"/>
      <c r="AW126" s="796" t="s">
        <v>1551</v>
      </c>
      <c r="AX126" s="72">
        <f t="shared" ref="AX126" ca="1" si="4956">($M126=AW126)*$D$13</f>
        <v>0</v>
      </c>
      <c r="AY126" s="63"/>
      <c r="AZ126" s="796" t="s">
        <v>78</v>
      </c>
      <c r="BA126" s="72">
        <f t="shared" ref="BA126" ca="1" si="4957">($M126=AZ126)*$D$13</f>
        <v>0</v>
      </c>
      <c r="BB126" s="63"/>
      <c r="BC126" s="796" t="s">
        <v>1551</v>
      </c>
      <c r="BD126" s="72">
        <f t="shared" ref="BD126" ca="1" si="4958">($M126=BC126)*$D$13</f>
        <v>0</v>
      </c>
      <c r="BE126" s="63"/>
      <c r="BF126" s="796" t="s">
        <v>1551</v>
      </c>
      <c r="BG126" s="72">
        <f t="shared" ref="BG126" ca="1" si="4959">($M126=BF126)*$D$13</f>
        <v>0</v>
      </c>
      <c r="BH126" s="63"/>
      <c r="BI126" s="796" t="s">
        <v>1551</v>
      </c>
      <c r="BJ126" s="72">
        <f t="shared" ref="BJ126" ca="1" si="4960">($M126=BI126)*$D$13</f>
        <v>0</v>
      </c>
      <c r="BK126" s="63"/>
      <c r="BL126" s="796" t="s">
        <v>1551</v>
      </c>
      <c r="BM126" s="72">
        <f t="shared" ref="BM126" ca="1" si="4961">($M126=BL126)*$D$13</f>
        <v>0</v>
      </c>
      <c r="BN126" s="63"/>
      <c r="BO126" s="816" t="s">
        <v>1551</v>
      </c>
      <c r="BP126" s="72">
        <f t="shared" ref="BP126" ca="1" si="4962">($M126=BO126)*$D$13</f>
        <v>0</v>
      </c>
      <c r="BQ126" s="63"/>
      <c r="BR126" s="796" t="s">
        <v>1551</v>
      </c>
      <c r="BS126" s="72">
        <f t="shared" ref="BS126" ca="1" si="4963">($M126=BR126)*$D$13</f>
        <v>0</v>
      </c>
      <c r="BT126" s="63"/>
      <c r="BU126" s="796" t="s">
        <v>1730</v>
      </c>
      <c r="BV126" s="72">
        <f t="shared" ref="BV126" ca="1" si="4964">($M126=BU126)*$D$13</f>
        <v>0</v>
      </c>
      <c r="BW126" s="63"/>
      <c r="BX126" s="73" t="s">
        <v>1551</v>
      </c>
      <c r="BY126" s="72">
        <f t="shared" ref="BY126" ca="1" si="4965">($M126=BX126)*$D$13</f>
        <v>0</v>
      </c>
      <c r="BZ126" s="63"/>
      <c r="CA126" s="816" t="s">
        <v>1551</v>
      </c>
      <c r="CB126" s="72">
        <f t="shared" ref="CB126" ca="1" si="4966">($M126=CA126)*$D$13</f>
        <v>0</v>
      </c>
      <c r="CC126" s="63"/>
      <c r="CD126" s="825" t="s">
        <v>1730</v>
      </c>
      <c r="CE126" s="72">
        <f t="shared" ref="CE126" ca="1" si="4967">($M126=CD126)*$D$13</f>
        <v>0</v>
      </c>
      <c r="CF126" s="63"/>
      <c r="CG126" s="796" t="s">
        <v>1551</v>
      </c>
      <c r="CH126" s="72">
        <f t="shared" ref="CH126" ca="1" si="4968">($M126=CG126)*$D$13</f>
        <v>0</v>
      </c>
      <c r="CI126" s="63"/>
      <c r="CJ126" s="796" t="s">
        <v>1551</v>
      </c>
      <c r="CK126" s="72">
        <f t="shared" ref="CK126" ca="1" si="4969">($M126=CJ126)*$D$13</f>
        <v>0</v>
      </c>
      <c r="CL126" s="63"/>
      <c r="CM126" s="796" t="s">
        <v>78</v>
      </c>
      <c r="CN126" s="72">
        <f t="shared" ref="CN126" ca="1" si="4970">($M126=CM126)*$D$13</f>
        <v>0</v>
      </c>
      <c r="CO126" s="63"/>
      <c r="CP126" s="796" t="s">
        <v>1551</v>
      </c>
      <c r="CQ126" s="72">
        <f t="shared" ref="CQ126" ca="1" si="4971">($M126=CP126)*$D$13</f>
        <v>0</v>
      </c>
      <c r="CR126" s="63"/>
      <c r="CS126" s="796" t="s">
        <v>1551</v>
      </c>
      <c r="CT126" s="72">
        <f t="shared" ref="CT126" ca="1" si="4972">($M126=CS126)*$D$13</f>
        <v>0</v>
      </c>
      <c r="CU126" s="63"/>
      <c r="CV126" s="796" t="s">
        <v>1551</v>
      </c>
      <c r="CW126" s="72">
        <f t="shared" ref="CW126" ca="1" si="4973">($M126=CV126)*$D$13</f>
        <v>0</v>
      </c>
      <c r="CX126" s="63"/>
      <c r="CY126" s="796" t="s">
        <v>76</v>
      </c>
      <c r="CZ126" s="72">
        <f t="shared" ref="CZ126" ca="1" si="4974">($M126=CY126)*$D$13</f>
        <v>0</v>
      </c>
      <c r="DA126" s="63"/>
      <c r="DB126" s="796" t="s">
        <v>1730</v>
      </c>
      <c r="DC126" s="72">
        <f t="shared" ref="DC126" ca="1" si="4975">($M126=DB126)*$D$13</f>
        <v>0</v>
      </c>
      <c r="DD126" s="63"/>
      <c r="DE126" s="796" t="s">
        <v>1551</v>
      </c>
      <c r="DF126" s="72">
        <f ca="1">($M126=DE126)*$D$13</f>
        <v>0</v>
      </c>
      <c r="DG126" s="63"/>
      <c r="DH126" s="796" t="s">
        <v>1551</v>
      </c>
      <c r="DI126" s="72">
        <f ca="1">($M126=DH126)*$D$13</f>
        <v>0</v>
      </c>
      <c r="DJ126" s="63"/>
      <c r="DK126" s="796" t="s">
        <v>1551</v>
      </c>
      <c r="DL126" s="72">
        <f ca="1">($M126=DK126)*$D$13</f>
        <v>0</v>
      </c>
      <c r="DM126" s="63"/>
      <c r="DN126" s="73"/>
      <c r="DO126" s="72">
        <f t="shared" ref="DO126" ca="1" si="4976">($M126=DN126)*$D$13</f>
        <v>0</v>
      </c>
      <c r="DP126" s="63"/>
      <c r="DQ126" s="796" t="s">
        <v>1551</v>
      </c>
      <c r="DR126" s="72">
        <f t="shared" ref="DR126" ca="1" si="4977">($M126=DQ126)*$D$13</f>
        <v>0</v>
      </c>
      <c r="DS126" s="63"/>
      <c r="DT126" s="73" t="s">
        <v>1551</v>
      </c>
      <c r="DU126" s="72">
        <f t="shared" ref="DU126" ca="1" si="4978">($M126=DT126)*$D$13</f>
        <v>0</v>
      </c>
      <c r="DV126" s="63"/>
      <c r="DW126" s="73"/>
      <c r="DX126" s="72">
        <f t="shared" ref="DX126" ca="1" si="4979">($M126=DW126)*$D$13</f>
        <v>0</v>
      </c>
      <c r="DY126" s="63"/>
      <c r="DZ126" s="73"/>
      <c r="EA126" s="72">
        <f ca="1">($M126=DZ126)*$D$13</f>
        <v>0</v>
      </c>
      <c r="EB126" s="63"/>
      <c r="EC126" s="73"/>
      <c r="ED126" s="72">
        <f t="shared" ref="ED126" ca="1" si="4980">($M126=EC126)*$D$13</f>
        <v>0</v>
      </c>
      <c r="EE126" s="63"/>
      <c r="EF126" s="73"/>
      <c r="EG126" s="72">
        <f t="shared" ref="EG126" ca="1" si="4981">($M126=EF126)*$D$13</f>
        <v>0</v>
      </c>
      <c r="EH126" s="63"/>
      <c r="EI126" s="73"/>
      <c r="EJ126" s="72">
        <f t="shared" ref="EJ126" ca="1" si="4982">($M126=EI126)*$D$13</f>
        <v>0</v>
      </c>
      <c r="EK126" s="63"/>
      <c r="EL126" s="73"/>
      <c r="EM126" s="72">
        <f t="shared" ref="EM126" ca="1" si="4983">($M126=EL126)*$D$13</f>
        <v>0</v>
      </c>
      <c r="EN126" s="63"/>
      <c r="EO126" s="73"/>
      <c r="EP126" s="72">
        <f t="shared" ref="EP126" ca="1" si="4984">($M126=EO126)*$D$13</f>
        <v>0</v>
      </c>
      <c r="EQ126" s="63"/>
      <c r="ER126" s="73"/>
      <c r="ES126" s="72">
        <f t="shared" ref="ES126" ca="1" si="4985">($M126=ER126)*$D$13</f>
        <v>0</v>
      </c>
      <c r="ET126" s="63"/>
      <c r="EU126" s="73"/>
      <c r="EV126" s="72">
        <f t="shared" ref="EV126" ca="1" si="4986">($M126=EU126)*$D$13</f>
        <v>0</v>
      </c>
      <c r="EW126" s="63"/>
      <c r="EX126" s="73"/>
      <c r="EY126" s="72">
        <f t="shared" ref="EY126" ca="1" si="4987">($M126=EX126)*$D$13</f>
        <v>0</v>
      </c>
      <c r="EZ126" s="63"/>
      <c r="FA126" s="73"/>
      <c r="FB126" s="72">
        <f t="shared" ref="FB126" ca="1" si="4988">($M126=FA126)*$D$13</f>
        <v>0</v>
      </c>
      <c r="FC126" s="63"/>
      <c r="FD126" s="73"/>
      <c r="FE126" s="72">
        <f t="shared" ref="FE126" ca="1" si="4989">($M126=FD126)*$D$13</f>
        <v>0</v>
      </c>
      <c r="FF126" s="63"/>
      <c r="FG126" s="73"/>
      <c r="FH126" s="72">
        <f t="shared" ref="FH126" ca="1" si="4990">($M126=FG126)*$D$13</f>
        <v>0</v>
      </c>
      <c r="FI126" s="63"/>
      <c r="FJ126" s="73"/>
      <c r="FK126" s="72">
        <f t="shared" ref="FK126" ca="1" si="4991">($M126=FJ126)*$D$13</f>
        <v>0</v>
      </c>
      <c r="FL126" s="63"/>
      <c r="FM126" s="73"/>
      <c r="FN126" s="72">
        <f t="shared" ref="FN126" ca="1" si="4992">($M126=FM126)*$D$13</f>
        <v>0</v>
      </c>
      <c r="FO126" s="63"/>
      <c r="FP126" s="73"/>
      <c r="FQ126" s="72">
        <f t="shared" ref="FQ126" ca="1" si="4993">($M126=FP126)*$D$13</f>
        <v>0</v>
      </c>
      <c r="FR126" s="63"/>
      <c r="FS126" s="73"/>
      <c r="FT126" s="72">
        <f t="shared" ref="FT126" ca="1" si="4994">($M126=FS126)*$D$13</f>
        <v>0</v>
      </c>
      <c r="FU126" s="63"/>
      <c r="FV126" s="73"/>
      <c r="FW126" s="72">
        <f t="shared" ref="FW126" ca="1" si="4995">($M126=FV126)*$D$13</f>
        <v>0</v>
      </c>
      <c r="FX126" s="63"/>
      <c r="FY126" s="73"/>
      <c r="FZ126" s="72">
        <f t="shared" ref="FZ126" ca="1" si="4996">($M126=FY126)*$D$13</f>
        <v>0</v>
      </c>
      <c r="GA126" s="63"/>
      <c r="GB126" s="73"/>
      <c r="GC126" s="72">
        <f t="shared" ref="GC126" ca="1" si="4997">($M126=GB126)*$D$13</f>
        <v>0</v>
      </c>
      <c r="GD126" s="63"/>
      <c r="GE126" s="73"/>
      <c r="GF126" s="72">
        <f t="shared" ref="GF126" ca="1" si="4998">($M126=GE126)*$D$13</f>
        <v>0</v>
      </c>
      <c r="GG126" s="63"/>
      <c r="GH126" s="73"/>
      <c r="GI126" s="72">
        <f t="shared" ref="GI126" ca="1" si="4999">($M126=GH126)*$D$13</f>
        <v>0</v>
      </c>
      <c r="GJ126" s="63"/>
      <c r="GK126" s="73"/>
      <c r="GL126" s="72">
        <f t="shared" ref="GL126" ca="1" si="5000">($M126=GK126)*$D$13</f>
        <v>0</v>
      </c>
      <c r="GM126" s="63"/>
      <c r="GN126" s="73"/>
      <c r="GO126" s="72">
        <f t="shared" ref="GO126" ca="1" si="5001">($M126=GN126)*$D$13</f>
        <v>0</v>
      </c>
      <c r="GP126" s="63"/>
      <c r="GQ126" s="73"/>
      <c r="GR126" s="72">
        <f t="shared" ref="GR126" ca="1" si="5002">($M126=GQ126)*$D$13</f>
        <v>0</v>
      </c>
      <c r="GS126" s="63"/>
      <c r="GT126" s="73"/>
      <c r="GU126" s="72">
        <f t="shared" ref="GU126" ca="1" si="5003">($M126=GT126)*$D$13</f>
        <v>0</v>
      </c>
      <c r="GV126" s="63"/>
      <c r="GW126" s="73"/>
      <c r="GX126" s="72">
        <f t="shared" ref="GX126" ca="1" si="5004">($M126=GW126)*$D$13</f>
        <v>0</v>
      </c>
      <c r="GY126" s="63"/>
      <c r="GZ126" s="73"/>
      <c r="HA126" s="72">
        <f t="shared" ref="HA126" ca="1" si="5005">($M126=GZ126)*$D$13</f>
        <v>0</v>
      </c>
      <c r="HB126" s="63"/>
      <c r="HC126" s="73"/>
      <c r="HD126" s="72">
        <f t="shared" ref="HD126" ca="1" si="5006">($M126=HC126)*$D$13</f>
        <v>0</v>
      </c>
      <c r="HE126" s="63"/>
      <c r="HF126" s="73"/>
      <c r="HG126" s="72">
        <f t="shared" ref="HG126" ca="1" si="5007">($M126=HF126)*$D$13</f>
        <v>0</v>
      </c>
      <c r="HH126" s="63"/>
      <c r="HI126" s="73"/>
      <c r="HJ126" s="72">
        <f t="shared" ref="HJ126" ca="1" si="5008">($M126=HI126)*$D$13</f>
        <v>0</v>
      </c>
      <c r="HK126" s="63"/>
      <c r="HL126" s="73"/>
      <c r="HM126" s="72">
        <f t="shared" ref="HM126" ca="1" si="5009">($M126=HL126)*$D$13</f>
        <v>0</v>
      </c>
      <c r="HN126" s="63"/>
      <c r="HO126" s="73"/>
      <c r="HP126" s="72">
        <f t="shared" ref="HP126" ca="1" si="5010">($M126=HO126)*$D$13</f>
        <v>0</v>
      </c>
      <c r="HQ126" s="63"/>
      <c r="HR126" s="73"/>
      <c r="HS126" s="72">
        <f t="shared" ref="HS126" ca="1" si="5011">($M126=HR126)*$D$13</f>
        <v>0</v>
      </c>
      <c r="HT126" s="63"/>
      <c r="HU126" s="73"/>
      <c r="HV126" s="72">
        <f t="shared" ref="HV126" ca="1" si="5012">($M126=HU126)*$D$13</f>
        <v>0</v>
      </c>
      <c r="HW126" s="63"/>
      <c r="HX126" s="73"/>
      <c r="HY126" s="72">
        <f t="shared" ref="HY126" ca="1" si="5013">($M126=HX126)*$D$13</f>
        <v>0</v>
      </c>
      <c r="HZ126" s="63"/>
      <c r="IA126" s="73"/>
      <c r="IB126" s="72">
        <f t="shared" ref="IB126" ca="1" si="5014">($M126=IA126)*$D$13</f>
        <v>0</v>
      </c>
      <c r="IC126" s="63"/>
      <c r="ID126" s="73"/>
      <c r="IE126" s="72">
        <f t="shared" ref="IE126" ca="1" si="5015">($M126=ID126)*$D$13</f>
        <v>0</v>
      </c>
      <c r="IF126" s="63"/>
      <c r="IG126" s="73"/>
      <c r="IH126" s="72">
        <f t="shared" ref="IH126" ca="1" si="5016">($M126=IG126)*$D$13</f>
        <v>0</v>
      </c>
      <c r="II126" s="63"/>
      <c r="IJ126" s="73"/>
      <c r="IK126" s="72">
        <f t="shared" ref="IK126" ca="1" si="5017">($M126=IJ126)*$D$13</f>
        <v>0</v>
      </c>
      <c r="IL126" s="63"/>
      <c r="IM126" s="73"/>
      <c r="IN126" s="72">
        <f t="shared" ref="IN126" ca="1" si="5018">($M126=IM126)*$D$13</f>
        <v>0</v>
      </c>
      <c r="IO126" s="63"/>
      <c r="IP126" s="73"/>
      <c r="IQ126" s="72">
        <f t="shared" ref="IQ126" ca="1" si="5019">($M126=IP126)*$D$13</f>
        <v>0</v>
      </c>
      <c r="IR126" s="63"/>
      <c r="IS126" s="73"/>
      <c r="IT126" s="72">
        <f t="shared" ref="IT126" ca="1" si="5020">($M126=IS126)*$D$13</f>
        <v>0</v>
      </c>
      <c r="IU126" s="63"/>
      <c r="IV126" s="73"/>
      <c r="IW126" s="72">
        <f t="shared" ref="IW126" ca="1" si="5021">($M126=IV126)*$D$13</f>
        <v>0</v>
      </c>
      <c r="IX126" s="63"/>
      <c r="IY126" s="73"/>
      <c r="IZ126" s="72">
        <f t="shared" ref="IZ126" ca="1" si="5022">($M126=IY126)*$D$13</f>
        <v>0</v>
      </c>
      <c r="JA126" s="63"/>
      <c r="JB126" s="73"/>
      <c r="JC126" s="72">
        <f t="shared" ref="JC126" ca="1" si="5023">($M126=JB126)*$D$13</f>
        <v>0</v>
      </c>
      <c r="JD126" s="63"/>
      <c r="JE126" s="73"/>
      <c r="JF126" s="72">
        <f t="shared" ref="JF126" ca="1" si="5024">($M126=JE126)*$D$13</f>
        <v>0</v>
      </c>
      <c r="JG126" s="63"/>
      <c r="JH126" s="73"/>
      <c r="JI126" s="72">
        <f t="shared" ref="JI126" ca="1" si="5025">($M126=JH126)*$D$13</f>
        <v>0</v>
      </c>
      <c r="JJ126" s="63"/>
      <c r="JK126" s="73"/>
      <c r="JL126" s="72">
        <f t="shared" ref="JL126" ca="1" si="5026">($M126=JK126)*$D$13</f>
        <v>0</v>
      </c>
      <c r="JM126" s="63"/>
      <c r="JN126" s="73"/>
      <c r="JO126" s="72">
        <f t="shared" ref="JO126" ca="1" si="5027">($M126=JN126)*$D$13</f>
        <v>0</v>
      </c>
      <c r="JP126" s="63"/>
      <c r="JQ126" s="73"/>
      <c r="JR126" s="72">
        <f t="shared" ref="JR126" ca="1" si="5028">($M126=JQ126)*$D$13</f>
        <v>0</v>
      </c>
      <c r="JS126" s="63"/>
      <c r="JT126" s="73"/>
      <c r="JU126" s="72">
        <f t="shared" ref="JU126" ca="1" si="5029">($M126=JT126)*$D$13</f>
        <v>0</v>
      </c>
      <c r="JV126" s="63"/>
      <c r="JW126" s="73"/>
      <c r="JX126" s="72">
        <f t="shared" ref="JX126" ca="1" si="5030">($M126=JW126)*$D$13</f>
        <v>0</v>
      </c>
      <c r="JY126" s="63"/>
      <c r="JZ126" s="73"/>
      <c r="KA126" s="72">
        <f t="shared" ref="KA126" ca="1" si="5031">($M126=JZ126)*$D$13</f>
        <v>0</v>
      </c>
      <c r="KB126" s="63"/>
      <c r="KC126" s="73"/>
      <c r="KD126" s="72">
        <f t="shared" ref="KD126" ca="1" si="5032">($M126=KC126)*$D$13</f>
        <v>0</v>
      </c>
      <c r="KE126" s="63"/>
      <c r="KF126" s="73"/>
      <c r="KG126" s="72">
        <f t="shared" ref="KG126" ca="1" si="5033">($M126=KF126)*$D$13</f>
        <v>0</v>
      </c>
      <c r="KH126" s="63"/>
      <c r="KI126" s="73"/>
      <c r="KJ126" s="72">
        <f t="shared" ref="KJ126" ca="1" si="5034">($M126=KI126)*$D$13</f>
        <v>0</v>
      </c>
      <c r="KK126" s="63"/>
      <c r="KL126" s="73"/>
      <c r="KM126" s="72">
        <f t="shared" ref="KM126" ca="1" si="5035">($M126=KL126)*$D$13</f>
        <v>0</v>
      </c>
      <c r="KN126" s="63"/>
      <c r="KO126" s="73"/>
      <c r="KP126" s="72">
        <f t="shared" ref="KP126" ca="1" si="5036">($M126=KO126)*$D$13</f>
        <v>0</v>
      </c>
      <c r="KQ126" s="63"/>
      <c r="KR126" s="73"/>
      <c r="KS126" s="72">
        <f t="shared" ref="KS126" ca="1" si="5037">($M126=KR126)*$D$13</f>
        <v>0</v>
      </c>
      <c r="KT126" s="63"/>
      <c r="KU126" s="73"/>
      <c r="KV126" s="72">
        <f t="shared" ref="KV126" ca="1" si="5038">($M126=KU126)*$D$13</f>
        <v>0</v>
      </c>
      <c r="KW126" s="63"/>
      <c r="KX126" s="73"/>
      <c r="KY126" s="72">
        <f t="shared" ref="KY126" ca="1" si="5039">($M126=KX126)*$D$13</f>
        <v>0</v>
      </c>
      <c r="KZ126" s="63"/>
      <c r="LA126" s="73"/>
      <c r="LB126" s="72">
        <f t="shared" ref="LB126" ca="1" si="5040">($M126=LA126)*$D$13</f>
        <v>0</v>
      </c>
      <c r="LC126" s="63"/>
      <c r="LD126" s="73"/>
      <c r="LE126" s="72">
        <f t="shared" ref="LE126" ca="1" si="5041">($M126=LD126)*$D$13</f>
        <v>0</v>
      </c>
      <c r="LF126" s="63"/>
    </row>
    <row r="127" spans="1:318" s="784" customFormat="1">
      <c r="A127" s="49"/>
      <c r="B127" s="49"/>
      <c r="C127" s="49"/>
      <c r="D127" s="49"/>
      <c r="E127" s="64"/>
      <c r="F127" s="125">
        <f t="shared" ref="F127" si="5042">$D$14</f>
        <v>20</v>
      </c>
      <c r="G127" s="443">
        <f ca="1">VLOOKUP(H127,Equipos!$Q$1:$R$25,2,0)</f>
        <v>17</v>
      </c>
      <c r="H127" s="444">
        <f ca="1">$H$76</f>
        <v>46200</v>
      </c>
      <c r="I127" s="50"/>
      <c r="J127" s="845"/>
      <c r="K127" s="113" t="str">
        <f>Idiomas!D197</f>
        <v>4º GRUPO L</v>
      </c>
      <c r="L127" s="113"/>
      <c r="M127" s="114" t="str">
        <f ca="1">IF(OR(SUM(WORLDCUP!$AN$94:$AN$97)=12,WORLDCUP!$AJ$99=144),WORLDCUP!AL97,LEFT(K127,1)&amp;RIGHT(K127,1))</f>
        <v>4L</v>
      </c>
      <c r="N127" s="25"/>
      <c r="O127" s="25"/>
      <c r="P127" s="25"/>
      <c r="Q127" s="25"/>
      <c r="R127" s="108"/>
      <c r="S127" s="796" t="s">
        <v>1551</v>
      </c>
      <c r="T127" s="80">
        <f t="shared" ref="T127" ca="1" si="5043">($M127=S127)*$D$14</f>
        <v>0</v>
      </c>
      <c r="U127" s="63"/>
      <c r="V127" s="79" t="s">
        <v>1730</v>
      </c>
      <c r="W127" s="80">
        <f t="shared" ref="W127" ca="1" si="5044">($M127=V127)*$D$14</f>
        <v>0</v>
      </c>
      <c r="X127" s="63"/>
      <c r="Y127" s="796" t="s">
        <v>1730</v>
      </c>
      <c r="Z127" s="80">
        <f t="shared" ref="Z127" ca="1" si="5045">($M127=Y127)*$D$14</f>
        <v>0</v>
      </c>
      <c r="AA127" s="63"/>
      <c r="AB127" s="796" t="s">
        <v>1730</v>
      </c>
      <c r="AC127" s="80">
        <f t="shared" ref="AC127" ca="1" si="5046">($M127=AB127)*$D$14</f>
        <v>0</v>
      </c>
      <c r="AD127" s="63"/>
      <c r="AE127" s="796" t="s">
        <v>1730</v>
      </c>
      <c r="AF127" s="80">
        <f t="shared" ref="AF127" ca="1" si="5047">($M127=AE127)*$D$14</f>
        <v>0</v>
      </c>
      <c r="AG127" s="63"/>
      <c r="AH127" s="796" t="s">
        <v>1730</v>
      </c>
      <c r="AI127" s="80">
        <f t="shared" ref="AI127" ca="1" si="5048">($M127=AH127)*$D$14</f>
        <v>0</v>
      </c>
      <c r="AJ127" s="63"/>
      <c r="AK127" s="806" t="s">
        <v>1730</v>
      </c>
      <c r="AL127" s="80">
        <f t="shared" ref="AL127" ca="1" si="5049">($M127=AK127)*$D$14</f>
        <v>0</v>
      </c>
      <c r="AM127" s="63"/>
      <c r="AN127" s="796" t="s">
        <v>1730</v>
      </c>
      <c r="AO127" s="80">
        <f t="shared" ref="AO127" ca="1" si="5050">($M127=AN127)*$D$14</f>
        <v>0</v>
      </c>
      <c r="AP127" s="63"/>
      <c r="AQ127" s="806" t="s">
        <v>1730</v>
      </c>
      <c r="AR127" s="80">
        <f t="shared" ref="AR127" ca="1" si="5051">($M127=AQ127)*$D$14</f>
        <v>0</v>
      </c>
      <c r="AS127" s="63"/>
      <c r="AT127" s="796" t="s">
        <v>1730</v>
      </c>
      <c r="AU127" s="80">
        <f t="shared" ref="AU127" ca="1" si="5052">($M127=AT127)*$D$14</f>
        <v>0</v>
      </c>
      <c r="AV127" s="63"/>
      <c r="AW127" s="796" t="s">
        <v>1730</v>
      </c>
      <c r="AX127" s="80">
        <f t="shared" ref="AX127" ca="1" si="5053">($M127=AW127)*$D$14</f>
        <v>0</v>
      </c>
      <c r="AY127" s="63"/>
      <c r="AZ127" s="796" t="s">
        <v>76</v>
      </c>
      <c r="BA127" s="80">
        <f t="shared" ref="BA127" ca="1" si="5054">($M127=AZ127)*$D$14</f>
        <v>0</v>
      </c>
      <c r="BB127" s="63"/>
      <c r="BC127" s="796" t="s">
        <v>1730</v>
      </c>
      <c r="BD127" s="80">
        <f t="shared" ref="BD127" ca="1" si="5055">($M127=BC127)*$D$14</f>
        <v>0</v>
      </c>
      <c r="BE127" s="63"/>
      <c r="BF127" s="796" t="s">
        <v>1730</v>
      </c>
      <c r="BG127" s="80">
        <f t="shared" ref="BG127" ca="1" si="5056">($M127=BF127)*$D$14</f>
        <v>0</v>
      </c>
      <c r="BH127" s="63"/>
      <c r="BI127" s="796" t="s">
        <v>1730</v>
      </c>
      <c r="BJ127" s="80">
        <f t="shared" ref="BJ127" ca="1" si="5057">($M127=BI127)*$D$14</f>
        <v>0</v>
      </c>
      <c r="BK127" s="63"/>
      <c r="BL127" s="796" t="s">
        <v>1730</v>
      </c>
      <c r="BM127" s="80">
        <f t="shared" ref="BM127" ca="1" si="5058">($M127=BL127)*$D$14</f>
        <v>0</v>
      </c>
      <c r="BN127" s="63"/>
      <c r="BO127" s="816" t="s">
        <v>1730</v>
      </c>
      <c r="BP127" s="80">
        <f t="shared" ref="BP127" ca="1" si="5059">($M127=BO127)*$D$14</f>
        <v>0</v>
      </c>
      <c r="BQ127" s="63"/>
      <c r="BR127" s="796" t="s">
        <v>1730</v>
      </c>
      <c r="BS127" s="80">
        <f t="shared" ref="BS127" ca="1" si="5060">($M127=BR127)*$D$14</f>
        <v>0</v>
      </c>
      <c r="BT127" s="63"/>
      <c r="BU127" s="796" t="s">
        <v>1551</v>
      </c>
      <c r="BV127" s="80">
        <f t="shared" ref="BV127" ca="1" si="5061">($M127=BU127)*$D$14</f>
        <v>0</v>
      </c>
      <c r="BW127" s="63"/>
      <c r="BX127" s="79" t="s">
        <v>1730</v>
      </c>
      <c r="BY127" s="80">
        <f t="shared" ref="BY127" ca="1" si="5062">($M127=BX127)*$D$14</f>
        <v>0</v>
      </c>
      <c r="BZ127" s="63"/>
      <c r="CA127" s="816" t="s">
        <v>1730</v>
      </c>
      <c r="CB127" s="80">
        <f t="shared" ref="CB127" ca="1" si="5063">($M127=CA127)*$D$14</f>
        <v>0</v>
      </c>
      <c r="CC127" s="63"/>
      <c r="CD127" s="825" t="s">
        <v>1551</v>
      </c>
      <c r="CE127" s="80">
        <f t="shared" ref="CE127" ca="1" si="5064">($M127=CD127)*$D$14</f>
        <v>0</v>
      </c>
      <c r="CF127" s="63"/>
      <c r="CG127" s="796" t="s">
        <v>1730</v>
      </c>
      <c r="CH127" s="80">
        <f t="shared" ref="CH127" ca="1" si="5065">($M127=CG127)*$D$14</f>
        <v>0</v>
      </c>
      <c r="CI127" s="63"/>
      <c r="CJ127" s="796" t="s">
        <v>1730</v>
      </c>
      <c r="CK127" s="80">
        <f t="shared" ref="CK127" ca="1" si="5066">($M127=CJ127)*$D$14</f>
        <v>0</v>
      </c>
      <c r="CL127" s="63"/>
      <c r="CM127" s="796" t="s">
        <v>1551</v>
      </c>
      <c r="CN127" s="80">
        <f t="shared" ref="CN127" ca="1" si="5067">($M127=CM127)*$D$14</f>
        <v>0</v>
      </c>
      <c r="CO127" s="63"/>
      <c r="CP127" s="796" t="s">
        <v>1730</v>
      </c>
      <c r="CQ127" s="80">
        <f t="shared" ref="CQ127" ca="1" si="5068">($M127=CP127)*$D$14</f>
        <v>0</v>
      </c>
      <c r="CR127" s="63"/>
      <c r="CS127" s="796" t="s">
        <v>1730</v>
      </c>
      <c r="CT127" s="80">
        <f t="shared" ref="CT127" ca="1" si="5069">($M127=CS127)*$D$14</f>
        <v>0</v>
      </c>
      <c r="CU127" s="63"/>
      <c r="CV127" s="796" t="s">
        <v>1730</v>
      </c>
      <c r="CW127" s="80">
        <f t="shared" ref="CW127" ca="1" si="5070">($M127=CV127)*$D$14</f>
        <v>0</v>
      </c>
      <c r="CX127" s="63"/>
      <c r="CY127" s="796" t="s">
        <v>1730</v>
      </c>
      <c r="CZ127" s="80">
        <f t="shared" ref="CZ127" ca="1" si="5071">($M127=CY127)*$D$14</f>
        <v>0</v>
      </c>
      <c r="DA127" s="63"/>
      <c r="DB127" s="796" t="s">
        <v>1551</v>
      </c>
      <c r="DC127" s="80">
        <f t="shared" ref="DC127" ca="1" si="5072">($M127=DB127)*$D$14</f>
        <v>0</v>
      </c>
      <c r="DD127" s="63"/>
      <c r="DE127" s="796" t="s">
        <v>1730</v>
      </c>
      <c r="DF127" s="80">
        <f ca="1">($M127=DE127)*$D$14</f>
        <v>0</v>
      </c>
      <c r="DG127" s="63"/>
      <c r="DH127" s="796" t="s">
        <v>1730</v>
      </c>
      <c r="DI127" s="80">
        <f ca="1">($M127=DH127)*$D$14</f>
        <v>0</v>
      </c>
      <c r="DJ127" s="63"/>
      <c r="DK127" s="796" t="s">
        <v>1730</v>
      </c>
      <c r="DL127" s="80">
        <f ca="1">($M127=DK127)*$D$14</f>
        <v>0</v>
      </c>
      <c r="DM127" s="63"/>
      <c r="DN127" s="79"/>
      <c r="DO127" s="80">
        <f t="shared" ref="DO127" ca="1" si="5073">($M127=DN127)*$D$14</f>
        <v>0</v>
      </c>
      <c r="DP127" s="63"/>
      <c r="DQ127" s="796" t="s">
        <v>1730</v>
      </c>
      <c r="DR127" s="80">
        <f t="shared" ref="DR127" ca="1" si="5074">($M127=DQ127)*$D$14</f>
        <v>0</v>
      </c>
      <c r="DS127" s="63"/>
      <c r="DT127" s="79" t="s">
        <v>1730</v>
      </c>
      <c r="DU127" s="80">
        <f t="shared" ref="DU127" ca="1" si="5075">($M127=DT127)*$D$14</f>
        <v>0</v>
      </c>
      <c r="DV127" s="63"/>
      <c r="DW127" s="79"/>
      <c r="DX127" s="80">
        <f t="shared" ref="DX127" ca="1" si="5076">($M127=DW127)*$D$14</f>
        <v>0</v>
      </c>
      <c r="DY127" s="63"/>
      <c r="DZ127" s="79"/>
      <c r="EA127" s="80">
        <f ca="1">($M127=DZ127)*$D$14</f>
        <v>0</v>
      </c>
      <c r="EB127" s="63"/>
      <c r="EC127" s="79"/>
      <c r="ED127" s="80">
        <f t="shared" ref="ED127" ca="1" si="5077">($M127=EC127)*$D$14</f>
        <v>0</v>
      </c>
      <c r="EE127" s="63"/>
      <c r="EF127" s="79"/>
      <c r="EG127" s="80">
        <f t="shared" ref="EG127" ca="1" si="5078">($M127=EF127)*$D$14</f>
        <v>0</v>
      </c>
      <c r="EH127" s="63"/>
      <c r="EI127" s="79"/>
      <c r="EJ127" s="80">
        <f t="shared" ref="EJ127" ca="1" si="5079">($M127=EI127)*$D$14</f>
        <v>0</v>
      </c>
      <c r="EK127" s="63"/>
      <c r="EL127" s="79"/>
      <c r="EM127" s="80">
        <f t="shared" ref="EM127" ca="1" si="5080">($M127=EL127)*$D$14</f>
        <v>0</v>
      </c>
      <c r="EN127" s="63"/>
      <c r="EO127" s="79"/>
      <c r="EP127" s="80">
        <f t="shared" ref="EP127" ca="1" si="5081">($M127=EO127)*$D$14</f>
        <v>0</v>
      </c>
      <c r="EQ127" s="63"/>
      <c r="ER127" s="79"/>
      <c r="ES127" s="80">
        <f t="shared" ref="ES127" ca="1" si="5082">($M127=ER127)*$D$14</f>
        <v>0</v>
      </c>
      <c r="ET127" s="63"/>
      <c r="EU127" s="79"/>
      <c r="EV127" s="80">
        <f t="shared" ref="EV127" ca="1" si="5083">($M127=EU127)*$D$14</f>
        <v>0</v>
      </c>
      <c r="EW127" s="63"/>
      <c r="EX127" s="79"/>
      <c r="EY127" s="80">
        <f t="shared" ref="EY127" ca="1" si="5084">($M127=EX127)*$D$14</f>
        <v>0</v>
      </c>
      <c r="EZ127" s="63"/>
      <c r="FA127" s="79"/>
      <c r="FB127" s="80">
        <f t="shared" ref="FB127" ca="1" si="5085">($M127=FA127)*$D$14</f>
        <v>0</v>
      </c>
      <c r="FC127" s="63"/>
      <c r="FD127" s="79"/>
      <c r="FE127" s="80">
        <f t="shared" ref="FE127" ca="1" si="5086">($M127=FD127)*$D$14</f>
        <v>0</v>
      </c>
      <c r="FF127" s="63"/>
      <c r="FG127" s="79"/>
      <c r="FH127" s="80">
        <f t="shared" ref="FH127" ca="1" si="5087">($M127=FG127)*$D$14</f>
        <v>0</v>
      </c>
      <c r="FI127" s="63"/>
      <c r="FJ127" s="79"/>
      <c r="FK127" s="80">
        <f t="shared" ref="FK127" ca="1" si="5088">($M127=FJ127)*$D$14</f>
        <v>0</v>
      </c>
      <c r="FL127" s="63"/>
      <c r="FM127" s="79"/>
      <c r="FN127" s="80">
        <f t="shared" ref="FN127" ca="1" si="5089">($M127=FM127)*$D$14</f>
        <v>0</v>
      </c>
      <c r="FO127" s="63"/>
      <c r="FP127" s="79"/>
      <c r="FQ127" s="80">
        <f t="shared" ref="FQ127" ca="1" si="5090">($M127=FP127)*$D$14</f>
        <v>0</v>
      </c>
      <c r="FR127" s="63"/>
      <c r="FS127" s="79"/>
      <c r="FT127" s="80">
        <f t="shared" ref="FT127" ca="1" si="5091">($M127=FS127)*$D$14</f>
        <v>0</v>
      </c>
      <c r="FU127" s="63"/>
      <c r="FV127" s="79"/>
      <c r="FW127" s="80">
        <f t="shared" ref="FW127" ca="1" si="5092">($M127=FV127)*$D$14</f>
        <v>0</v>
      </c>
      <c r="FX127" s="63"/>
      <c r="FY127" s="79"/>
      <c r="FZ127" s="80">
        <f t="shared" ref="FZ127" ca="1" si="5093">($M127=FY127)*$D$14</f>
        <v>0</v>
      </c>
      <c r="GA127" s="63"/>
      <c r="GB127" s="79"/>
      <c r="GC127" s="80">
        <f t="shared" ref="GC127" ca="1" si="5094">($M127=GB127)*$D$14</f>
        <v>0</v>
      </c>
      <c r="GD127" s="63"/>
      <c r="GE127" s="79"/>
      <c r="GF127" s="80">
        <f t="shared" ref="GF127" ca="1" si="5095">($M127=GE127)*$D$14</f>
        <v>0</v>
      </c>
      <c r="GG127" s="63"/>
      <c r="GH127" s="79"/>
      <c r="GI127" s="80">
        <f t="shared" ref="GI127" ca="1" si="5096">($M127=GH127)*$D$14</f>
        <v>0</v>
      </c>
      <c r="GJ127" s="63"/>
      <c r="GK127" s="79"/>
      <c r="GL127" s="80">
        <f t="shared" ref="GL127" ca="1" si="5097">($M127=GK127)*$D$14</f>
        <v>0</v>
      </c>
      <c r="GM127" s="63"/>
      <c r="GN127" s="79"/>
      <c r="GO127" s="80">
        <f t="shared" ref="GO127" ca="1" si="5098">($M127=GN127)*$D$14</f>
        <v>0</v>
      </c>
      <c r="GP127" s="63"/>
      <c r="GQ127" s="79"/>
      <c r="GR127" s="80">
        <f t="shared" ref="GR127" ca="1" si="5099">($M127=GQ127)*$D$14</f>
        <v>0</v>
      </c>
      <c r="GS127" s="63"/>
      <c r="GT127" s="79"/>
      <c r="GU127" s="80">
        <f t="shared" ref="GU127" ca="1" si="5100">($M127=GT127)*$D$14</f>
        <v>0</v>
      </c>
      <c r="GV127" s="63"/>
      <c r="GW127" s="79"/>
      <c r="GX127" s="80">
        <f t="shared" ref="GX127" ca="1" si="5101">($M127=GW127)*$D$14</f>
        <v>0</v>
      </c>
      <c r="GY127" s="63"/>
      <c r="GZ127" s="79"/>
      <c r="HA127" s="80">
        <f t="shared" ref="HA127" ca="1" si="5102">($M127=GZ127)*$D$14</f>
        <v>0</v>
      </c>
      <c r="HB127" s="63"/>
      <c r="HC127" s="79"/>
      <c r="HD127" s="80">
        <f t="shared" ref="HD127" ca="1" si="5103">($M127=HC127)*$D$14</f>
        <v>0</v>
      </c>
      <c r="HE127" s="63"/>
      <c r="HF127" s="79"/>
      <c r="HG127" s="80">
        <f t="shared" ref="HG127" ca="1" si="5104">($M127=HF127)*$D$14</f>
        <v>0</v>
      </c>
      <c r="HH127" s="63"/>
      <c r="HI127" s="79"/>
      <c r="HJ127" s="80">
        <f t="shared" ref="HJ127" ca="1" si="5105">($M127=HI127)*$D$14</f>
        <v>0</v>
      </c>
      <c r="HK127" s="63"/>
      <c r="HL127" s="79"/>
      <c r="HM127" s="80">
        <f t="shared" ref="HM127" ca="1" si="5106">($M127=HL127)*$D$14</f>
        <v>0</v>
      </c>
      <c r="HN127" s="63"/>
      <c r="HO127" s="79"/>
      <c r="HP127" s="80">
        <f t="shared" ref="HP127" ca="1" si="5107">($M127=HO127)*$D$14</f>
        <v>0</v>
      </c>
      <c r="HQ127" s="63"/>
      <c r="HR127" s="79"/>
      <c r="HS127" s="80">
        <f t="shared" ref="HS127" ca="1" si="5108">($M127=HR127)*$D$14</f>
        <v>0</v>
      </c>
      <c r="HT127" s="63"/>
      <c r="HU127" s="79"/>
      <c r="HV127" s="80">
        <f t="shared" ref="HV127" ca="1" si="5109">($M127=HU127)*$D$14</f>
        <v>0</v>
      </c>
      <c r="HW127" s="63"/>
      <c r="HX127" s="79"/>
      <c r="HY127" s="80">
        <f t="shared" ref="HY127" ca="1" si="5110">($M127=HX127)*$D$14</f>
        <v>0</v>
      </c>
      <c r="HZ127" s="63"/>
      <c r="IA127" s="79"/>
      <c r="IB127" s="80">
        <f t="shared" ref="IB127" ca="1" si="5111">($M127=IA127)*$D$14</f>
        <v>0</v>
      </c>
      <c r="IC127" s="63"/>
      <c r="ID127" s="79"/>
      <c r="IE127" s="80">
        <f t="shared" ref="IE127" ca="1" si="5112">($M127=ID127)*$D$14</f>
        <v>0</v>
      </c>
      <c r="IF127" s="63"/>
      <c r="IG127" s="79"/>
      <c r="IH127" s="80">
        <f t="shared" ref="IH127" ca="1" si="5113">($M127=IG127)*$D$14</f>
        <v>0</v>
      </c>
      <c r="II127" s="63"/>
      <c r="IJ127" s="79"/>
      <c r="IK127" s="80">
        <f t="shared" ref="IK127" ca="1" si="5114">($M127=IJ127)*$D$14</f>
        <v>0</v>
      </c>
      <c r="IL127" s="63"/>
      <c r="IM127" s="79"/>
      <c r="IN127" s="80">
        <f t="shared" ref="IN127" ca="1" si="5115">($M127=IM127)*$D$14</f>
        <v>0</v>
      </c>
      <c r="IO127" s="63"/>
      <c r="IP127" s="79"/>
      <c r="IQ127" s="80">
        <f t="shared" ref="IQ127" ca="1" si="5116">($M127=IP127)*$D$14</f>
        <v>0</v>
      </c>
      <c r="IR127" s="63"/>
      <c r="IS127" s="79"/>
      <c r="IT127" s="80">
        <f t="shared" ref="IT127" ca="1" si="5117">($M127=IS127)*$D$14</f>
        <v>0</v>
      </c>
      <c r="IU127" s="63"/>
      <c r="IV127" s="79"/>
      <c r="IW127" s="80">
        <f t="shared" ref="IW127" ca="1" si="5118">($M127=IV127)*$D$14</f>
        <v>0</v>
      </c>
      <c r="IX127" s="63"/>
      <c r="IY127" s="79"/>
      <c r="IZ127" s="80">
        <f t="shared" ref="IZ127" ca="1" si="5119">($M127=IY127)*$D$14</f>
        <v>0</v>
      </c>
      <c r="JA127" s="63"/>
      <c r="JB127" s="79"/>
      <c r="JC127" s="80">
        <f t="shared" ref="JC127" ca="1" si="5120">($M127=JB127)*$D$14</f>
        <v>0</v>
      </c>
      <c r="JD127" s="63"/>
      <c r="JE127" s="79"/>
      <c r="JF127" s="80">
        <f t="shared" ref="JF127" ca="1" si="5121">($M127=JE127)*$D$14</f>
        <v>0</v>
      </c>
      <c r="JG127" s="63"/>
      <c r="JH127" s="79"/>
      <c r="JI127" s="80">
        <f t="shared" ref="JI127" ca="1" si="5122">($M127=JH127)*$D$14</f>
        <v>0</v>
      </c>
      <c r="JJ127" s="63"/>
      <c r="JK127" s="79"/>
      <c r="JL127" s="80">
        <f t="shared" ref="JL127" ca="1" si="5123">($M127=JK127)*$D$14</f>
        <v>0</v>
      </c>
      <c r="JM127" s="63"/>
      <c r="JN127" s="79"/>
      <c r="JO127" s="80">
        <f t="shared" ref="JO127" ca="1" si="5124">($M127=JN127)*$D$14</f>
        <v>0</v>
      </c>
      <c r="JP127" s="63"/>
      <c r="JQ127" s="79"/>
      <c r="JR127" s="80">
        <f t="shared" ref="JR127" ca="1" si="5125">($M127=JQ127)*$D$14</f>
        <v>0</v>
      </c>
      <c r="JS127" s="63"/>
      <c r="JT127" s="79"/>
      <c r="JU127" s="80">
        <f t="shared" ref="JU127" ca="1" si="5126">($M127=JT127)*$D$14</f>
        <v>0</v>
      </c>
      <c r="JV127" s="63"/>
      <c r="JW127" s="79"/>
      <c r="JX127" s="80">
        <f t="shared" ref="JX127" ca="1" si="5127">($M127=JW127)*$D$14</f>
        <v>0</v>
      </c>
      <c r="JY127" s="63"/>
      <c r="JZ127" s="79"/>
      <c r="KA127" s="80">
        <f t="shared" ref="KA127" ca="1" si="5128">($M127=JZ127)*$D$14</f>
        <v>0</v>
      </c>
      <c r="KB127" s="63"/>
      <c r="KC127" s="79"/>
      <c r="KD127" s="80">
        <f t="shared" ref="KD127" ca="1" si="5129">($M127=KC127)*$D$14</f>
        <v>0</v>
      </c>
      <c r="KE127" s="63"/>
      <c r="KF127" s="79"/>
      <c r="KG127" s="80">
        <f t="shared" ref="KG127" ca="1" si="5130">($M127=KF127)*$D$14</f>
        <v>0</v>
      </c>
      <c r="KH127" s="63"/>
      <c r="KI127" s="79"/>
      <c r="KJ127" s="80">
        <f t="shared" ref="KJ127" ca="1" si="5131">($M127=KI127)*$D$14</f>
        <v>0</v>
      </c>
      <c r="KK127" s="63"/>
      <c r="KL127" s="79"/>
      <c r="KM127" s="80">
        <f t="shared" ref="KM127" ca="1" si="5132">($M127=KL127)*$D$14</f>
        <v>0</v>
      </c>
      <c r="KN127" s="63"/>
      <c r="KO127" s="79"/>
      <c r="KP127" s="80">
        <f t="shared" ref="KP127" ca="1" si="5133">($M127=KO127)*$D$14</f>
        <v>0</v>
      </c>
      <c r="KQ127" s="63"/>
      <c r="KR127" s="79"/>
      <c r="KS127" s="80">
        <f t="shared" ref="KS127" ca="1" si="5134">($M127=KR127)*$D$14</f>
        <v>0</v>
      </c>
      <c r="KT127" s="63"/>
      <c r="KU127" s="79"/>
      <c r="KV127" s="80">
        <f t="shared" ref="KV127" ca="1" si="5135">($M127=KU127)*$D$14</f>
        <v>0</v>
      </c>
      <c r="KW127" s="63"/>
      <c r="KX127" s="79"/>
      <c r="KY127" s="80">
        <f t="shared" ref="KY127" ca="1" si="5136">($M127=KX127)*$D$14</f>
        <v>0</v>
      </c>
      <c r="KZ127" s="63"/>
      <c r="LA127" s="79"/>
      <c r="LB127" s="80">
        <f t="shared" ref="LB127" ca="1" si="5137">($M127=LA127)*$D$14</f>
        <v>0</v>
      </c>
      <c r="LC127" s="63"/>
      <c r="LD127" s="79"/>
      <c r="LE127" s="80">
        <f t="shared" ref="LE127" ca="1" si="5138">($M127=LD127)*$D$14</f>
        <v>0</v>
      </c>
      <c r="LF127" s="63"/>
    </row>
    <row r="128" spans="1:318" s="784" customFormat="1">
      <c r="A128" s="49"/>
      <c r="B128" s="49"/>
      <c r="C128" s="49"/>
      <c r="D128" s="49"/>
      <c r="E128" s="64"/>
      <c r="F128" s="125"/>
      <c r="G128" s="443"/>
      <c r="H128" s="64"/>
      <c r="I128" s="50"/>
      <c r="J128" s="92"/>
      <c r="K128" s="432" t="str">
        <f>Idiomas!D456</f>
        <v>Pos. Grupos</v>
      </c>
      <c r="L128" s="433"/>
      <c r="M128" s="432" t="str">
        <f>"Max: "&amp;SUM($D$11:$D$14)*12</f>
        <v>Max: 960</v>
      </c>
      <c r="N128" s="25"/>
      <c r="O128" s="25"/>
      <c r="P128" s="25"/>
      <c r="Q128" s="25"/>
      <c r="R128" s="49"/>
      <c r="S128" s="797"/>
      <c r="T128" s="70">
        <f t="shared" ref="T128" ca="1" si="5139">SUM(T80:T127)</f>
        <v>0</v>
      </c>
      <c r="U128" s="64"/>
      <c r="V128" s="83"/>
      <c r="W128" s="70">
        <f t="shared" ref="W128" ca="1" si="5140">SUM(W80:W127)</f>
        <v>0</v>
      </c>
      <c r="X128" s="64"/>
      <c r="Y128" s="797"/>
      <c r="Z128" s="70">
        <f t="shared" ref="Z128" ca="1" si="5141">SUM(Z80:Z127)</f>
        <v>0</v>
      </c>
      <c r="AA128" s="64"/>
      <c r="AB128" s="797"/>
      <c r="AC128" s="70">
        <f t="shared" ref="AC128" ca="1" si="5142">SUM(AC80:AC127)</f>
        <v>0</v>
      </c>
      <c r="AD128" s="64"/>
      <c r="AE128" s="797"/>
      <c r="AF128" s="70">
        <f t="shared" ref="AF128" ca="1" si="5143">SUM(AF80:AF127)</f>
        <v>0</v>
      </c>
      <c r="AG128" s="64"/>
      <c r="AH128" s="797"/>
      <c r="AI128" s="70">
        <f t="shared" ref="AI128" ca="1" si="5144">SUM(AI80:AI127)</f>
        <v>0</v>
      </c>
      <c r="AJ128" s="64"/>
      <c r="AK128" s="802"/>
      <c r="AL128" s="70">
        <f t="shared" ref="AL128" ca="1" si="5145">SUM(AL80:AL127)</f>
        <v>0</v>
      </c>
      <c r="AM128" s="64"/>
      <c r="AN128" s="797"/>
      <c r="AO128" s="70">
        <f t="shared" ref="AO128" ca="1" si="5146">SUM(AO80:AO127)</f>
        <v>0</v>
      </c>
      <c r="AP128" s="64"/>
      <c r="AQ128" s="802"/>
      <c r="AR128" s="70">
        <f t="shared" ref="AR128" ca="1" si="5147">SUM(AR80:AR127)</f>
        <v>0</v>
      </c>
      <c r="AS128" s="64"/>
      <c r="AT128" s="797"/>
      <c r="AU128" s="70">
        <f t="shared" ref="AU128" ca="1" si="5148">SUM(AU80:AU127)</f>
        <v>0</v>
      </c>
      <c r="AV128" s="64"/>
      <c r="AW128" s="797"/>
      <c r="AX128" s="70">
        <f t="shared" ref="AX128" ca="1" si="5149">SUM(AX80:AX127)</f>
        <v>0</v>
      </c>
      <c r="AY128" s="64"/>
      <c r="AZ128" s="797"/>
      <c r="BA128" s="70">
        <f t="shared" ref="BA128" ca="1" si="5150">SUM(BA80:BA127)</f>
        <v>0</v>
      </c>
      <c r="BB128" s="64"/>
      <c r="BC128" s="797"/>
      <c r="BD128" s="70">
        <f t="shared" ref="BD128" ca="1" si="5151">SUM(BD80:BD127)</f>
        <v>0</v>
      </c>
      <c r="BE128" s="64"/>
      <c r="BF128" s="797"/>
      <c r="BG128" s="70">
        <f t="shared" ref="BG128" ca="1" si="5152">SUM(BG80:BG127)</f>
        <v>0</v>
      </c>
      <c r="BH128" s="64"/>
      <c r="BI128" s="797"/>
      <c r="BJ128" s="70">
        <f t="shared" ref="BJ128" ca="1" si="5153">SUM(BJ80:BJ127)</f>
        <v>0</v>
      </c>
      <c r="BK128" s="64"/>
      <c r="BL128" s="797"/>
      <c r="BM128" s="70">
        <f t="shared" ref="BM128" ca="1" si="5154">SUM(BM80:BM127)</f>
        <v>0</v>
      </c>
      <c r="BN128" s="64"/>
      <c r="BO128" s="812"/>
      <c r="BP128" s="70">
        <f t="shared" ref="BP128" ca="1" si="5155">SUM(BP80:BP127)</f>
        <v>0</v>
      </c>
      <c r="BQ128" s="64"/>
      <c r="BR128" s="797"/>
      <c r="BS128" s="70">
        <f t="shared" ref="BS128" ca="1" si="5156">SUM(BS80:BS127)</f>
        <v>0</v>
      </c>
      <c r="BT128" s="64"/>
      <c r="BU128" s="797"/>
      <c r="BV128" s="70">
        <f t="shared" ref="BV128" ca="1" si="5157">SUM(BV80:BV127)</f>
        <v>0</v>
      </c>
      <c r="BW128" s="64"/>
      <c r="BX128" s="83"/>
      <c r="BY128" s="70">
        <f t="shared" ref="BY128" ca="1" si="5158">SUM(BY80:BY127)</f>
        <v>0</v>
      </c>
      <c r="BZ128" s="64"/>
      <c r="CA128" s="812"/>
      <c r="CB128" s="70">
        <f t="shared" ref="CB128" ca="1" si="5159">SUM(CB80:CB127)</f>
        <v>0</v>
      </c>
      <c r="CC128" s="64"/>
      <c r="CD128" s="821"/>
      <c r="CE128" s="70">
        <f t="shared" ref="CE128" ca="1" si="5160">SUM(CE80:CE127)</f>
        <v>0</v>
      </c>
      <c r="CF128" s="64"/>
      <c r="CG128" s="797"/>
      <c r="CH128" s="70">
        <f t="shared" ref="CH128" ca="1" si="5161">SUM(CH80:CH127)</f>
        <v>0</v>
      </c>
      <c r="CI128" s="64"/>
      <c r="CJ128" s="797"/>
      <c r="CK128" s="70">
        <f t="shared" ref="CK128" ca="1" si="5162">SUM(CK80:CK127)</f>
        <v>0</v>
      </c>
      <c r="CL128" s="64"/>
      <c r="CM128" s="797"/>
      <c r="CN128" s="70">
        <f t="shared" ref="CN128" ca="1" si="5163">SUM(CN80:CN127)</f>
        <v>0</v>
      </c>
      <c r="CO128" s="64"/>
      <c r="CP128" s="797"/>
      <c r="CQ128" s="70">
        <f t="shared" ref="CQ128" ca="1" si="5164">SUM(CQ80:CQ127)</f>
        <v>0</v>
      </c>
      <c r="CR128" s="64"/>
      <c r="CS128" s="797"/>
      <c r="CT128" s="70">
        <f t="shared" ref="CT128" ca="1" si="5165">SUM(CT80:CT127)</f>
        <v>0</v>
      </c>
      <c r="CU128" s="64"/>
      <c r="CV128" s="797"/>
      <c r="CW128" s="70">
        <f t="shared" ref="CW128" ca="1" si="5166">SUM(CW80:CW127)</f>
        <v>0</v>
      </c>
      <c r="CX128" s="64"/>
      <c r="CY128" s="797"/>
      <c r="CZ128" s="70">
        <f t="shared" ref="CZ128" ca="1" si="5167">SUM(CZ80:CZ127)</f>
        <v>0</v>
      </c>
      <c r="DA128" s="64"/>
      <c r="DB128" s="797"/>
      <c r="DC128" s="70">
        <f t="shared" ref="DC128" ca="1" si="5168">SUM(DC80:DC127)</f>
        <v>0</v>
      </c>
      <c r="DD128" s="64"/>
      <c r="DE128" s="797"/>
      <c r="DF128" s="70">
        <f t="shared" ref="DF128" ca="1" si="5169">SUM(DF80:DF127)</f>
        <v>0</v>
      </c>
      <c r="DG128" s="64"/>
      <c r="DH128" s="797"/>
      <c r="DI128" s="70">
        <f t="shared" ref="DI128" ca="1" si="5170">SUM(DI80:DI127)</f>
        <v>0</v>
      </c>
      <c r="DJ128" s="64"/>
      <c r="DK128" s="797"/>
      <c r="DL128" s="70">
        <f t="shared" ref="DL128" ca="1" si="5171">SUM(DL80:DL127)</f>
        <v>0</v>
      </c>
      <c r="DM128" s="64"/>
      <c r="DN128" s="83"/>
      <c r="DO128" s="70">
        <f t="shared" ref="DO128" ca="1" si="5172">SUM(DO80:DO127)</f>
        <v>0</v>
      </c>
      <c r="DP128" s="64"/>
      <c r="DQ128" s="797"/>
      <c r="DR128" s="70">
        <f t="shared" ref="DR128" ca="1" si="5173">SUM(DR80:DR127)</f>
        <v>0</v>
      </c>
      <c r="DS128" s="64"/>
      <c r="DT128" s="83"/>
      <c r="DU128" s="70">
        <f t="shared" ref="DU128" ca="1" si="5174">SUM(DU80:DU127)</f>
        <v>0</v>
      </c>
      <c r="DV128" s="64"/>
      <c r="DW128" s="83"/>
      <c r="DX128" s="70">
        <f t="shared" ref="DX128" ca="1" si="5175">SUM(DX80:DX127)</f>
        <v>0</v>
      </c>
      <c r="DY128" s="64"/>
      <c r="DZ128" s="83"/>
      <c r="EA128" s="70">
        <f t="shared" ref="EA128" ca="1" si="5176">SUM(EA80:EA127)</f>
        <v>0</v>
      </c>
      <c r="EB128" s="64"/>
      <c r="EC128" s="83"/>
      <c r="ED128" s="70">
        <f t="shared" ref="ED128" ca="1" si="5177">SUM(ED80:ED127)</f>
        <v>0</v>
      </c>
      <c r="EE128" s="64"/>
      <c r="EF128" s="83"/>
      <c r="EG128" s="70">
        <f t="shared" ref="EG128" ca="1" si="5178">SUM(EG80:EG127)</f>
        <v>0</v>
      </c>
      <c r="EH128" s="64"/>
      <c r="EI128" s="83"/>
      <c r="EJ128" s="70">
        <f t="shared" ref="EJ128" ca="1" si="5179">SUM(EJ80:EJ127)</f>
        <v>0</v>
      </c>
      <c r="EK128" s="64"/>
      <c r="EL128" s="83"/>
      <c r="EM128" s="70">
        <f t="shared" ref="EM128" ca="1" si="5180">SUM(EM80:EM127)</f>
        <v>0</v>
      </c>
      <c r="EN128" s="64"/>
      <c r="EO128" s="83"/>
      <c r="EP128" s="70">
        <f t="shared" ref="EP128" ca="1" si="5181">SUM(EP80:EP127)</f>
        <v>0</v>
      </c>
      <c r="EQ128" s="64"/>
      <c r="ER128" s="83"/>
      <c r="ES128" s="70">
        <f t="shared" ref="ES128" ca="1" si="5182">SUM(ES80:ES127)</f>
        <v>0</v>
      </c>
      <c r="ET128" s="64"/>
      <c r="EU128" s="83"/>
      <c r="EV128" s="70">
        <f t="shared" ref="EV128" ca="1" si="5183">SUM(EV80:EV127)</f>
        <v>0</v>
      </c>
      <c r="EW128" s="64"/>
      <c r="EX128" s="83"/>
      <c r="EY128" s="70">
        <f t="shared" ref="EY128" ca="1" si="5184">SUM(EY80:EY127)</f>
        <v>0</v>
      </c>
      <c r="EZ128" s="64"/>
      <c r="FA128" s="83"/>
      <c r="FB128" s="70">
        <f t="shared" ref="FB128" ca="1" si="5185">SUM(FB80:FB127)</f>
        <v>0</v>
      </c>
      <c r="FC128" s="64"/>
      <c r="FD128" s="83"/>
      <c r="FE128" s="70">
        <f t="shared" ref="FE128" ca="1" si="5186">SUM(FE80:FE127)</f>
        <v>0</v>
      </c>
      <c r="FF128" s="64"/>
      <c r="FG128" s="83"/>
      <c r="FH128" s="70">
        <f t="shared" ref="FH128" ca="1" si="5187">SUM(FH80:FH127)</f>
        <v>0</v>
      </c>
      <c r="FI128" s="64"/>
      <c r="FJ128" s="83"/>
      <c r="FK128" s="70">
        <f t="shared" ref="FK128" ca="1" si="5188">SUM(FK80:FK127)</f>
        <v>0</v>
      </c>
      <c r="FL128" s="64"/>
      <c r="FM128" s="83"/>
      <c r="FN128" s="70">
        <f t="shared" ref="FN128" ca="1" si="5189">SUM(FN80:FN127)</f>
        <v>0</v>
      </c>
      <c r="FO128" s="64"/>
      <c r="FP128" s="83"/>
      <c r="FQ128" s="70">
        <f t="shared" ref="FQ128" ca="1" si="5190">SUM(FQ80:FQ127)</f>
        <v>0</v>
      </c>
      <c r="FR128" s="64"/>
      <c r="FS128" s="83"/>
      <c r="FT128" s="70">
        <f t="shared" ref="FT128" ca="1" si="5191">SUM(FT80:FT127)</f>
        <v>0</v>
      </c>
      <c r="FU128" s="64"/>
      <c r="FV128" s="83"/>
      <c r="FW128" s="70">
        <f t="shared" ref="FW128" ca="1" si="5192">SUM(FW80:FW127)</f>
        <v>0</v>
      </c>
      <c r="FX128" s="64"/>
      <c r="FY128" s="83"/>
      <c r="FZ128" s="70">
        <f t="shared" ref="FZ128" ca="1" si="5193">SUM(FZ80:FZ127)</f>
        <v>0</v>
      </c>
      <c r="GA128" s="64"/>
      <c r="GB128" s="83"/>
      <c r="GC128" s="70">
        <f t="shared" ref="GC128" ca="1" si="5194">SUM(GC80:GC127)</f>
        <v>0</v>
      </c>
      <c r="GD128" s="64"/>
      <c r="GE128" s="83"/>
      <c r="GF128" s="70">
        <f t="shared" ref="GF128" ca="1" si="5195">SUM(GF80:GF127)</f>
        <v>0</v>
      </c>
      <c r="GG128" s="64"/>
      <c r="GH128" s="83"/>
      <c r="GI128" s="70">
        <f t="shared" ref="GI128" ca="1" si="5196">SUM(GI80:GI127)</f>
        <v>0</v>
      </c>
      <c r="GJ128" s="64"/>
      <c r="GK128" s="83"/>
      <c r="GL128" s="70">
        <f t="shared" ref="GL128" ca="1" si="5197">SUM(GL80:GL127)</f>
        <v>0</v>
      </c>
      <c r="GM128" s="64"/>
      <c r="GN128" s="83"/>
      <c r="GO128" s="70">
        <f t="shared" ref="GO128" ca="1" si="5198">SUM(GO80:GO127)</f>
        <v>0</v>
      </c>
      <c r="GP128" s="64"/>
      <c r="GQ128" s="83"/>
      <c r="GR128" s="70">
        <f t="shared" ref="GR128" ca="1" si="5199">SUM(GR80:GR127)</f>
        <v>0</v>
      </c>
      <c r="GS128" s="64"/>
      <c r="GT128" s="83"/>
      <c r="GU128" s="70">
        <f t="shared" ref="GU128" ca="1" si="5200">SUM(GU80:GU127)</f>
        <v>0</v>
      </c>
      <c r="GV128" s="64"/>
      <c r="GW128" s="83"/>
      <c r="GX128" s="70">
        <f t="shared" ref="GX128" ca="1" si="5201">SUM(GX80:GX127)</f>
        <v>0</v>
      </c>
      <c r="GY128" s="64"/>
      <c r="GZ128" s="83"/>
      <c r="HA128" s="70">
        <f t="shared" ref="HA128" ca="1" si="5202">SUM(HA80:HA127)</f>
        <v>0</v>
      </c>
      <c r="HB128" s="64"/>
      <c r="HC128" s="83"/>
      <c r="HD128" s="70">
        <f t="shared" ref="HD128" ca="1" si="5203">SUM(HD80:HD127)</f>
        <v>0</v>
      </c>
      <c r="HE128" s="64"/>
      <c r="HF128" s="83"/>
      <c r="HG128" s="70">
        <f t="shared" ref="HG128" ca="1" si="5204">SUM(HG80:HG127)</f>
        <v>0</v>
      </c>
      <c r="HH128" s="64"/>
      <c r="HI128" s="83"/>
      <c r="HJ128" s="70">
        <f t="shared" ref="HJ128" ca="1" si="5205">SUM(HJ80:HJ127)</f>
        <v>0</v>
      </c>
      <c r="HK128" s="64"/>
      <c r="HL128" s="83"/>
      <c r="HM128" s="70">
        <f t="shared" ref="HM128" ca="1" si="5206">SUM(HM80:HM127)</f>
        <v>0</v>
      </c>
      <c r="HN128" s="64"/>
      <c r="HO128" s="83"/>
      <c r="HP128" s="70">
        <f t="shared" ref="HP128" ca="1" si="5207">SUM(HP80:HP127)</f>
        <v>0</v>
      </c>
      <c r="HQ128" s="64"/>
      <c r="HR128" s="83"/>
      <c r="HS128" s="70">
        <f t="shared" ref="HS128" ca="1" si="5208">SUM(HS80:HS127)</f>
        <v>0</v>
      </c>
      <c r="HT128" s="64"/>
      <c r="HU128" s="83"/>
      <c r="HV128" s="70">
        <f t="shared" ref="HV128" ca="1" si="5209">SUM(HV80:HV127)</f>
        <v>0</v>
      </c>
      <c r="HW128" s="64"/>
      <c r="HX128" s="83"/>
      <c r="HY128" s="70">
        <f t="shared" ref="HY128" ca="1" si="5210">SUM(HY80:HY127)</f>
        <v>0</v>
      </c>
      <c r="HZ128" s="64"/>
      <c r="IA128" s="83"/>
      <c r="IB128" s="70">
        <f t="shared" ref="IB128" ca="1" si="5211">SUM(IB80:IB127)</f>
        <v>0</v>
      </c>
      <c r="IC128" s="64"/>
      <c r="ID128" s="83"/>
      <c r="IE128" s="70">
        <f t="shared" ref="IE128" ca="1" si="5212">SUM(IE80:IE127)</f>
        <v>0</v>
      </c>
      <c r="IF128" s="64"/>
      <c r="IG128" s="83"/>
      <c r="IH128" s="70">
        <f t="shared" ref="IH128" ca="1" si="5213">SUM(IH80:IH127)</f>
        <v>0</v>
      </c>
      <c r="II128" s="64"/>
      <c r="IJ128" s="83"/>
      <c r="IK128" s="70">
        <f t="shared" ref="IK128" ca="1" si="5214">SUM(IK80:IK127)</f>
        <v>0</v>
      </c>
      <c r="IL128" s="64"/>
      <c r="IM128" s="83"/>
      <c r="IN128" s="70">
        <f t="shared" ref="IN128" ca="1" si="5215">SUM(IN80:IN127)</f>
        <v>0</v>
      </c>
      <c r="IO128" s="64"/>
      <c r="IP128" s="83"/>
      <c r="IQ128" s="70">
        <f t="shared" ref="IQ128" ca="1" si="5216">SUM(IQ80:IQ127)</f>
        <v>0</v>
      </c>
      <c r="IR128" s="64"/>
      <c r="IS128" s="83"/>
      <c r="IT128" s="70">
        <f t="shared" ref="IT128" ca="1" si="5217">SUM(IT80:IT127)</f>
        <v>0</v>
      </c>
      <c r="IU128" s="64"/>
      <c r="IV128" s="83"/>
      <c r="IW128" s="70">
        <f t="shared" ref="IW128" ca="1" si="5218">SUM(IW80:IW127)</f>
        <v>0</v>
      </c>
      <c r="IX128" s="64"/>
      <c r="IY128" s="83"/>
      <c r="IZ128" s="70">
        <f t="shared" ref="IZ128" ca="1" si="5219">SUM(IZ80:IZ127)</f>
        <v>0</v>
      </c>
      <c r="JA128" s="64"/>
      <c r="JB128" s="83"/>
      <c r="JC128" s="70">
        <f t="shared" ref="JC128" ca="1" si="5220">SUM(JC80:JC127)</f>
        <v>0</v>
      </c>
      <c r="JD128" s="64"/>
      <c r="JE128" s="83"/>
      <c r="JF128" s="70">
        <f t="shared" ref="JF128" ca="1" si="5221">SUM(JF80:JF127)</f>
        <v>0</v>
      </c>
      <c r="JG128" s="64"/>
      <c r="JH128" s="83"/>
      <c r="JI128" s="70">
        <f t="shared" ref="JI128" ca="1" si="5222">SUM(JI80:JI127)</f>
        <v>0</v>
      </c>
      <c r="JJ128" s="64"/>
      <c r="JK128" s="83"/>
      <c r="JL128" s="70">
        <f t="shared" ref="JL128" ca="1" si="5223">SUM(JL80:JL127)</f>
        <v>0</v>
      </c>
      <c r="JM128" s="64"/>
      <c r="JN128" s="83"/>
      <c r="JO128" s="70">
        <f t="shared" ref="JO128" ca="1" si="5224">SUM(JO80:JO127)</f>
        <v>0</v>
      </c>
      <c r="JP128" s="64"/>
      <c r="JQ128" s="83"/>
      <c r="JR128" s="70">
        <f t="shared" ref="JR128" ca="1" si="5225">SUM(JR80:JR127)</f>
        <v>0</v>
      </c>
      <c r="JS128" s="64"/>
      <c r="JT128" s="83"/>
      <c r="JU128" s="70">
        <f t="shared" ref="JU128" ca="1" si="5226">SUM(JU80:JU127)</f>
        <v>0</v>
      </c>
      <c r="JV128" s="64"/>
      <c r="JW128" s="83"/>
      <c r="JX128" s="70">
        <f t="shared" ref="JX128" ca="1" si="5227">SUM(JX80:JX127)</f>
        <v>0</v>
      </c>
      <c r="JY128" s="64"/>
      <c r="JZ128" s="83"/>
      <c r="KA128" s="70">
        <f t="shared" ref="KA128" ca="1" si="5228">SUM(KA80:KA127)</f>
        <v>0</v>
      </c>
      <c r="KB128" s="64"/>
      <c r="KC128" s="83"/>
      <c r="KD128" s="70">
        <f t="shared" ref="KD128" ca="1" si="5229">SUM(KD80:KD127)</f>
        <v>0</v>
      </c>
      <c r="KE128" s="64"/>
      <c r="KF128" s="83"/>
      <c r="KG128" s="70">
        <f t="shared" ref="KG128" ca="1" si="5230">SUM(KG80:KG127)</f>
        <v>0</v>
      </c>
      <c r="KH128" s="64"/>
      <c r="KI128" s="83"/>
      <c r="KJ128" s="70">
        <f t="shared" ref="KJ128" ca="1" si="5231">SUM(KJ80:KJ127)</f>
        <v>0</v>
      </c>
      <c r="KK128" s="64"/>
      <c r="KL128" s="83"/>
      <c r="KM128" s="70">
        <f t="shared" ref="KM128" ca="1" si="5232">SUM(KM80:KM127)</f>
        <v>0</v>
      </c>
      <c r="KN128" s="64"/>
      <c r="KO128" s="83"/>
      <c r="KP128" s="70">
        <f t="shared" ref="KP128" ca="1" si="5233">SUM(KP80:KP127)</f>
        <v>0</v>
      </c>
      <c r="KQ128" s="64"/>
      <c r="KR128" s="83"/>
      <c r="KS128" s="70">
        <f t="shared" ref="KS128" ca="1" si="5234">SUM(KS80:KS127)</f>
        <v>0</v>
      </c>
      <c r="KT128" s="64"/>
      <c r="KU128" s="83"/>
      <c r="KV128" s="70">
        <f t="shared" ref="KV128" ca="1" si="5235">SUM(KV80:KV127)</f>
        <v>0</v>
      </c>
      <c r="KW128" s="64"/>
      <c r="KX128" s="83"/>
      <c r="KY128" s="70">
        <f t="shared" ref="KY128" ca="1" si="5236">SUM(KY80:KY127)</f>
        <v>0</v>
      </c>
      <c r="KZ128" s="64"/>
      <c r="LA128" s="83"/>
      <c r="LB128" s="70">
        <f t="shared" ref="LB128" ca="1" si="5237">SUM(LB80:LB127)</f>
        <v>0</v>
      </c>
      <c r="LC128" s="64"/>
      <c r="LD128" s="83"/>
      <c r="LE128" s="70">
        <f t="shared" ref="LE128" ca="1" si="5238">SUM(LE80:LE127)</f>
        <v>0</v>
      </c>
      <c r="LF128" s="64"/>
    </row>
    <row r="129" spans="1:318" s="784" customFormat="1">
      <c r="A129" s="49"/>
      <c r="B129" s="49"/>
      <c r="C129" s="49"/>
      <c r="D129" s="49"/>
      <c r="E129" s="64"/>
      <c r="F129" s="125"/>
      <c r="G129" s="443"/>
      <c r="H129" s="64"/>
      <c r="I129" s="50"/>
      <c r="J129" s="92"/>
      <c r="K129" s="111" t="str">
        <f>Idiomas!D137</f>
        <v>CLASIFICADOS PARA DIECISEISAVOS</v>
      </c>
      <c r="L129" s="50"/>
      <c r="M129" s="70"/>
      <c r="N129" s="25"/>
      <c r="O129" s="25"/>
      <c r="P129" s="25"/>
      <c r="Q129" s="25"/>
      <c r="R129" s="49"/>
      <c r="S129" s="797"/>
      <c r="T129" s="70"/>
      <c r="U129" s="64"/>
      <c r="V129" s="83"/>
      <c r="W129" s="70"/>
      <c r="X129" s="64"/>
      <c r="Y129" s="797"/>
      <c r="Z129" s="70"/>
      <c r="AA129" s="64"/>
      <c r="AB129" s="797"/>
      <c r="AC129" s="70"/>
      <c r="AD129" s="64"/>
      <c r="AE129" s="797"/>
      <c r="AF129" s="70"/>
      <c r="AG129" s="64"/>
      <c r="AH129" s="797"/>
      <c r="AI129" s="70"/>
      <c r="AJ129" s="64"/>
      <c r="AK129" s="802"/>
      <c r="AL129" s="70"/>
      <c r="AM129" s="64"/>
      <c r="AN129" s="797"/>
      <c r="AO129" s="70"/>
      <c r="AP129" s="64"/>
      <c r="AQ129" s="802"/>
      <c r="AR129" s="70"/>
      <c r="AS129" s="64"/>
      <c r="AT129" s="797"/>
      <c r="AU129" s="70"/>
      <c r="AV129" s="64"/>
      <c r="AW129" s="797"/>
      <c r="AX129" s="70"/>
      <c r="AY129" s="64"/>
      <c r="AZ129" s="797"/>
      <c r="BA129" s="70"/>
      <c r="BB129" s="64"/>
      <c r="BC129" s="797"/>
      <c r="BD129" s="70"/>
      <c r="BE129" s="64"/>
      <c r="BF129" s="797"/>
      <c r="BG129" s="70"/>
      <c r="BH129" s="64"/>
      <c r="BI129" s="797"/>
      <c r="BJ129" s="70"/>
      <c r="BK129" s="64"/>
      <c r="BL129" s="797"/>
      <c r="BM129" s="70"/>
      <c r="BN129" s="64"/>
      <c r="BO129" s="812"/>
      <c r="BP129" s="70"/>
      <c r="BQ129" s="64"/>
      <c r="BR129" s="797"/>
      <c r="BS129" s="70"/>
      <c r="BT129" s="64"/>
      <c r="BU129" s="797"/>
      <c r="BV129" s="70"/>
      <c r="BW129" s="64"/>
      <c r="BX129" s="83"/>
      <c r="BY129" s="70"/>
      <c r="BZ129" s="64"/>
      <c r="CA129" s="812"/>
      <c r="CB129" s="70"/>
      <c r="CC129" s="64"/>
      <c r="CD129" s="821"/>
      <c r="CE129" s="70"/>
      <c r="CF129" s="64"/>
      <c r="CG129" s="797"/>
      <c r="CH129" s="70"/>
      <c r="CI129" s="64"/>
      <c r="CJ129" s="797"/>
      <c r="CK129" s="70"/>
      <c r="CL129" s="64"/>
      <c r="CM129" s="797"/>
      <c r="CN129" s="70"/>
      <c r="CO129" s="64"/>
      <c r="CP129" s="797"/>
      <c r="CQ129" s="70"/>
      <c r="CR129" s="64"/>
      <c r="CS129" s="797"/>
      <c r="CT129" s="70"/>
      <c r="CU129" s="64"/>
      <c r="CV129" s="797"/>
      <c r="CW129" s="70"/>
      <c r="CX129" s="64"/>
      <c r="CY129" s="797"/>
      <c r="CZ129" s="70"/>
      <c r="DA129" s="64"/>
      <c r="DB129" s="797"/>
      <c r="DC129" s="70"/>
      <c r="DD129" s="64"/>
      <c r="DE129" s="797"/>
      <c r="DF129" s="70"/>
      <c r="DG129" s="64"/>
      <c r="DH129" s="797"/>
      <c r="DI129" s="70"/>
      <c r="DJ129" s="64"/>
      <c r="DK129" s="797"/>
      <c r="DL129" s="70"/>
      <c r="DM129" s="64"/>
      <c r="DN129" s="83"/>
      <c r="DO129" s="70"/>
      <c r="DP129" s="64"/>
      <c r="DQ129" s="797"/>
      <c r="DR129" s="70"/>
      <c r="DS129" s="64"/>
      <c r="DT129" s="83"/>
      <c r="DU129" s="70"/>
      <c r="DV129" s="64"/>
      <c r="DW129" s="83"/>
      <c r="DX129" s="70"/>
      <c r="DY129" s="64"/>
      <c r="DZ129" s="83"/>
      <c r="EA129" s="70"/>
      <c r="EB129" s="64"/>
      <c r="EC129" s="83"/>
      <c r="ED129" s="70"/>
      <c r="EE129" s="64"/>
      <c r="EF129" s="83"/>
      <c r="EG129" s="70"/>
      <c r="EH129" s="64"/>
      <c r="EI129" s="83"/>
      <c r="EJ129" s="70"/>
      <c r="EK129" s="64"/>
      <c r="EL129" s="83"/>
      <c r="EM129" s="70"/>
      <c r="EN129" s="64"/>
      <c r="EO129" s="83"/>
      <c r="EP129" s="70"/>
      <c r="EQ129" s="64"/>
      <c r="ER129" s="83"/>
      <c r="ES129" s="70"/>
      <c r="ET129" s="64"/>
      <c r="EU129" s="83"/>
      <c r="EV129" s="70"/>
      <c r="EW129" s="64"/>
      <c r="EX129" s="83"/>
      <c r="EY129" s="70"/>
      <c r="EZ129" s="64"/>
      <c r="FA129" s="83"/>
      <c r="FB129" s="70"/>
      <c r="FC129" s="64"/>
      <c r="FD129" s="83"/>
      <c r="FE129" s="70"/>
      <c r="FF129" s="64"/>
      <c r="FG129" s="83"/>
      <c r="FH129" s="70"/>
      <c r="FI129" s="64"/>
      <c r="FJ129" s="83"/>
      <c r="FK129" s="70"/>
      <c r="FL129" s="64"/>
      <c r="FM129" s="83"/>
      <c r="FN129" s="70"/>
      <c r="FO129" s="64"/>
      <c r="FP129" s="83"/>
      <c r="FQ129" s="70"/>
      <c r="FR129" s="64"/>
      <c r="FS129" s="83"/>
      <c r="FT129" s="70"/>
      <c r="FU129" s="64"/>
      <c r="FV129" s="83"/>
      <c r="FW129" s="70"/>
      <c r="FX129" s="64"/>
      <c r="FY129" s="83"/>
      <c r="FZ129" s="70"/>
      <c r="GA129" s="64"/>
      <c r="GB129" s="83"/>
      <c r="GC129" s="70"/>
      <c r="GD129" s="64"/>
      <c r="GE129" s="83"/>
      <c r="GF129" s="70"/>
      <c r="GG129" s="64"/>
      <c r="GH129" s="83"/>
      <c r="GI129" s="70"/>
      <c r="GJ129" s="64"/>
      <c r="GK129" s="83"/>
      <c r="GL129" s="70"/>
      <c r="GM129" s="64"/>
      <c r="GN129" s="83"/>
      <c r="GO129" s="70"/>
      <c r="GP129" s="64"/>
      <c r="GQ129" s="83"/>
      <c r="GR129" s="70"/>
      <c r="GS129" s="64"/>
      <c r="GT129" s="83"/>
      <c r="GU129" s="70"/>
      <c r="GV129" s="64"/>
      <c r="GW129" s="83"/>
      <c r="GX129" s="70"/>
      <c r="GY129" s="64"/>
      <c r="GZ129" s="83"/>
      <c r="HA129" s="70"/>
      <c r="HB129" s="64"/>
      <c r="HC129" s="83"/>
      <c r="HD129" s="70"/>
      <c r="HE129" s="64"/>
      <c r="HF129" s="83"/>
      <c r="HG129" s="70"/>
      <c r="HH129" s="64"/>
      <c r="HI129" s="83"/>
      <c r="HJ129" s="70"/>
      <c r="HK129" s="64"/>
      <c r="HL129" s="83"/>
      <c r="HM129" s="70"/>
      <c r="HN129" s="64"/>
      <c r="HO129" s="83"/>
      <c r="HP129" s="70"/>
      <c r="HQ129" s="64"/>
      <c r="HR129" s="83"/>
      <c r="HS129" s="70"/>
      <c r="HT129" s="64"/>
      <c r="HU129" s="83"/>
      <c r="HV129" s="70"/>
      <c r="HW129" s="64"/>
      <c r="HX129" s="83"/>
      <c r="HY129" s="70"/>
      <c r="HZ129" s="64"/>
      <c r="IA129" s="83"/>
      <c r="IB129" s="70"/>
      <c r="IC129" s="64"/>
      <c r="ID129" s="83"/>
      <c r="IE129" s="70"/>
      <c r="IF129" s="64"/>
      <c r="IG129" s="83"/>
      <c r="IH129" s="70"/>
      <c r="II129" s="64"/>
      <c r="IJ129" s="83"/>
      <c r="IK129" s="70"/>
      <c r="IL129" s="64"/>
      <c r="IM129" s="83"/>
      <c r="IN129" s="70"/>
      <c r="IO129" s="64"/>
      <c r="IP129" s="83"/>
      <c r="IQ129" s="70"/>
      <c r="IR129" s="64"/>
      <c r="IS129" s="83"/>
      <c r="IT129" s="70"/>
      <c r="IU129" s="64"/>
      <c r="IV129" s="83"/>
      <c r="IW129" s="70"/>
      <c r="IX129" s="64"/>
      <c r="IY129" s="83"/>
      <c r="IZ129" s="70"/>
      <c r="JA129" s="64"/>
      <c r="JB129" s="83"/>
      <c r="JC129" s="70"/>
      <c r="JD129" s="64"/>
      <c r="JE129" s="83"/>
      <c r="JF129" s="70"/>
      <c r="JG129" s="64"/>
      <c r="JH129" s="83"/>
      <c r="JI129" s="70"/>
      <c r="JJ129" s="64"/>
      <c r="JK129" s="83"/>
      <c r="JL129" s="70"/>
      <c r="JM129" s="64"/>
      <c r="JN129" s="83"/>
      <c r="JO129" s="70"/>
      <c r="JP129" s="64"/>
      <c r="JQ129" s="83"/>
      <c r="JR129" s="70"/>
      <c r="JS129" s="64"/>
      <c r="JT129" s="83"/>
      <c r="JU129" s="70"/>
      <c r="JV129" s="64"/>
      <c r="JW129" s="83"/>
      <c r="JX129" s="70"/>
      <c r="JY129" s="64"/>
      <c r="JZ129" s="83"/>
      <c r="KA129" s="70"/>
      <c r="KB129" s="64"/>
      <c r="KC129" s="83"/>
      <c r="KD129" s="70"/>
      <c r="KE129" s="64"/>
      <c r="KF129" s="83"/>
      <c r="KG129" s="70"/>
      <c r="KH129" s="64"/>
      <c r="KI129" s="83"/>
      <c r="KJ129" s="70"/>
      <c r="KK129" s="64"/>
      <c r="KL129" s="83"/>
      <c r="KM129" s="70"/>
      <c r="KN129" s="64"/>
      <c r="KO129" s="83"/>
      <c r="KP129" s="70"/>
      <c r="KQ129" s="64"/>
      <c r="KR129" s="83"/>
      <c r="KS129" s="70"/>
      <c r="KT129" s="64"/>
      <c r="KU129" s="83"/>
      <c r="KV129" s="70"/>
      <c r="KW129" s="64"/>
      <c r="KX129" s="83"/>
      <c r="KY129" s="70"/>
      <c r="KZ129" s="64"/>
      <c r="LA129" s="83"/>
      <c r="LB129" s="70"/>
      <c r="LC129" s="64"/>
      <c r="LD129" s="83"/>
      <c r="LE129" s="70"/>
      <c r="LF129" s="64"/>
    </row>
    <row r="130" spans="1:318" s="784" customFormat="1">
      <c r="A130" s="49"/>
      <c r="B130" s="49"/>
      <c r="C130" s="49"/>
      <c r="D130" s="49"/>
      <c r="E130" s="64"/>
      <c r="F130" s="125">
        <f>$D$15</f>
        <v>15</v>
      </c>
      <c r="G130" s="443">
        <f ca="1">VLOOKUP(H130,Equipos!$Q$1:$R$25,2,0)</f>
        <v>19</v>
      </c>
      <c r="H130" s="445"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08"/>
      <c r="S130" s="796" t="s">
        <v>1265</v>
      </c>
      <c r="T130" s="76">
        <f t="shared" ref="T130:T161" ca="1" si="5239">COUNTIF($M$130:$M$161,S130)*$D$15</f>
        <v>0</v>
      </c>
      <c r="U130" s="63"/>
      <c r="V130" s="75" t="s">
        <v>1260</v>
      </c>
      <c r="W130" s="76">
        <f t="shared" ref="W130:W161" ca="1" si="5240">COUNTIF($M$130:$M$161,V130)*$D$15</f>
        <v>0</v>
      </c>
      <c r="X130" s="63"/>
      <c r="Y130" s="796" t="s">
        <v>1265</v>
      </c>
      <c r="Z130" s="76">
        <f t="shared" ref="Z130:Z161" ca="1" si="5241">COUNTIF($M$130:$M$161,Y130)*$D$15</f>
        <v>0</v>
      </c>
      <c r="AA130" s="63"/>
      <c r="AB130" s="796" t="s">
        <v>1843</v>
      </c>
      <c r="AC130" s="76">
        <f t="shared" ref="AC130:AC161" ca="1" si="5242">COUNTIF($M$130:$M$161,AB130)*$D$15</f>
        <v>0</v>
      </c>
      <c r="AD130" s="63"/>
      <c r="AE130" s="796" t="s">
        <v>1265</v>
      </c>
      <c r="AF130" s="76">
        <f t="shared" ref="AF130:AF161" ca="1" si="5243">COUNTIF($M$130:$M$161,AE130)*$D$15</f>
        <v>0</v>
      </c>
      <c r="AG130" s="63"/>
      <c r="AH130" s="796" t="s">
        <v>1843</v>
      </c>
      <c r="AI130" s="76">
        <f t="shared" ref="AI130:AI161" ca="1" si="5244">COUNTIF($M$130:$M$161,AH130)*$D$15</f>
        <v>0</v>
      </c>
      <c r="AJ130" s="63"/>
      <c r="AK130" s="806" t="s">
        <v>1260</v>
      </c>
      <c r="AL130" s="76">
        <f t="shared" ref="AL130:AL161" ca="1" si="5245">COUNTIF($M$130:$M$161,AK130)*$D$15</f>
        <v>0</v>
      </c>
      <c r="AM130" s="63"/>
      <c r="AN130" s="796" t="s">
        <v>1260</v>
      </c>
      <c r="AO130" s="76">
        <f t="shared" ref="AO130:AO161" ca="1" si="5246">COUNTIF($M$130:$M$161,AN130)*$D$15</f>
        <v>0</v>
      </c>
      <c r="AP130" s="63"/>
      <c r="AQ130" s="806" t="s">
        <v>1265</v>
      </c>
      <c r="AR130" s="76">
        <f t="shared" ref="AR130:AR161" ca="1" si="5247">COUNTIF($M$130:$M$161,AQ130)*$D$15</f>
        <v>0</v>
      </c>
      <c r="AS130" s="63"/>
      <c r="AT130" s="796" t="s">
        <v>1265</v>
      </c>
      <c r="AU130" s="76">
        <f t="shared" ref="AU130:AU161" ca="1" si="5248">COUNTIF($M$130:$M$161,AT130)*$D$15</f>
        <v>0</v>
      </c>
      <c r="AV130" s="63"/>
      <c r="AW130" s="796" t="s">
        <v>1843</v>
      </c>
      <c r="AX130" s="76">
        <f t="shared" ref="AX130:AX161" ca="1" si="5249">COUNTIF($M$130:$M$161,AW130)*$D$15</f>
        <v>0</v>
      </c>
      <c r="AY130" s="63"/>
      <c r="AZ130" s="796" t="s">
        <v>1260</v>
      </c>
      <c r="BA130" s="76">
        <f t="shared" ref="BA130:BA161" ca="1" si="5250">COUNTIF($M$130:$M$161,AZ130)*$D$15</f>
        <v>0</v>
      </c>
      <c r="BB130" s="63"/>
      <c r="BC130" s="796" t="s">
        <v>1265</v>
      </c>
      <c r="BD130" s="76">
        <f t="shared" ref="BD130:BD161" ca="1" si="5251">COUNTIF($M$130:$M$161,BC130)*$D$15</f>
        <v>0</v>
      </c>
      <c r="BE130" s="63"/>
      <c r="BF130" s="796" t="s">
        <v>1260</v>
      </c>
      <c r="BG130" s="76">
        <f t="shared" ref="BG130:BG161" ca="1" si="5252">COUNTIF($M$130:$M$161,BF130)*$D$15</f>
        <v>0</v>
      </c>
      <c r="BH130" s="63"/>
      <c r="BI130" s="796" t="s">
        <v>1843</v>
      </c>
      <c r="BJ130" s="76">
        <f t="shared" ref="BJ130:BJ161" ca="1" si="5253">COUNTIF($M$130:$M$161,BI130)*$D$15</f>
        <v>0</v>
      </c>
      <c r="BK130" s="63"/>
      <c r="BL130" s="796" t="s">
        <v>1843</v>
      </c>
      <c r="BM130" s="76">
        <f t="shared" ref="BM130:BM161" ca="1" si="5254">COUNTIF($M$130:$M$161,BL130)*$D$15</f>
        <v>0</v>
      </c>
      <c r="BN130" s="63"/>
      <c r="BO130" s="816" t="s">
        <v>1843</v>
      </c>
      <c r="BP130" s="76">
        <f t="shared" ref="BP130:BP161" ca="1" si="5255">COUNTIF($M$130:$M$161,BO130)*$D$15</f>
        <v>0</v>
      </c>
      <c r="BQ130" s="63"/>
      <c r="BR130" s="796" t="s">
        <v>1265</v>
      </c>
      <c r="BS130" s="76">
        <f t="shared" ref="BS130:BS161" ca="1" si="5256">COUNTIF($M$130:$M$161,BR130)*$D$15</f>
        <v>0</v>
      </c>
      <c r="BT130" s="63"/>
      <c r="BU130" s="796" t="s">
        <v>1260</v>
      </c>
      <c r="BV130" s="76">
        <f t="shared" ref="BV130:BV161" ca="1" si="5257">COUNTIF($M$130:$M$161,BU130)*$D$15</f>
        <v>0</v>
      </c>
      <c r="BW130" s="63"/>
      <c r="BX130" s="75" t="s">
        <v>1265</v>
      </c>
      <c r="BY130" s="76">
        <f t="shared" ref="BY130:BY161" ca="1" si="5258">COUNTIF($M$130:$M$161,BX130)*$D$15</f>
        <v>0</v>
      </c>
      <c r="BZ130" s="63"/>
      <c r="CA130" s="816" t="s">
        <v>1260</v>
      </c>
      <c r="CB130" s="76">
        <f t="shared" ref="CB130:CB161" ca="1" si="5259">COUNTIF($M$130:$M$161,CA130)*$D$15</f>
        <v>0</v>
      </c>
      <c r="CC130" s="63"/>
      <c r="CD130" s="825" t="s">
        <v>1260</v>
      </c>
      <c r="CE130" s="76">
        <f t="shared" ref="CE130:CE161" ca="1" si="5260">COUNTIF($M$130:$M$161,CD130)*$D$15</f>
        <v>0</v>
      </c>
      <c r="CF130" s="63"/>
      <c r="CG130" s="796" t="s">
        <v>1265</v>
      </c>
      <c r="CH130" s="76">
        <f t="shared" ref="CH130:CH161" ca="1" si="5261">COUNTIF($M$130:$M$161,CG130)*$D$15</f>
        <v>0</v>
      </c>
      <c r="CI130" s="63"/>
      <c r="CJ130" s="796" t="s">
        <v>1265</v>
      </c>
      <c r="CK130" s="76">
        <f t="shared" ref="CK130:CK161" ca="1" si="5262">COUNTIF($M$130:$M$161,CJ130)*$D$15</f>
        <v>0</v>
      </c>
      <c r="CL130" s="63"/>
      <c r="CM130" s="796" t="s">
        <v>1843</v>
      </c>
      <c r="CN130" s="76">
        <f t="shared" ref="CN130:CN161" ca="1" si="5263">COUNTIF($M$130:$M$161,CM130)*$D$15</f>
        <v>0</v>
      </c>
      <c r="CO130" s="63"/>
      <c r="CP130" s="796" t="s">
        <v>1843</v>
      </c>
      <c r="CQ130" s="76">
        <f t="shared" ref="CQ130:CQ161" ca="1" si="5264">COUNTIF($M$130:$M$161,CP130)*$D$15</f>
        <v>0</v>
      </c>
      <c r="CR130" s="63"/>
      <c r="CS130" s="796" t="s">
        <v>1260</v>
      </c>
      <c r="CT130" s="76">
        <f t="shared" ref="CT130:CT161" ca="1" si="5265">COUNTIF($M$130:$M$161,CS130)*$D$15</f>
        <v>0</v>
      </c>
      <c r="CU130" s="63"/>
      <c r="CV130" s="796" t="s">
        <v>1260</v>
      </c>
      <c r="CW130" s="76">
        <f t="shared" ref="CW130:CW161" ca="1" si="5266">COUNTIF($M$130:$M$161,CV130)*$D$15</f>
        <v>0</v>
      </c>
      <c r="CX130" s="63"/>
      <c r="CY130" s="796" t="s">
        <v>1265</v>
      </c>
      <c r="CZ130" s="76">
        <f t="shared" ref="CZ130:CZ161" ca="1" si="5267">COUNTIF($M$130:$M$161,CY130)*$D$15</f>
        <v>0</v>
      </c>
      <c r="DA130" s="63"/>
      <c r="DB130" s="796" t="s">
        <v>1260</v>
      </c>
      <c r="DC130" s="76">
        <f t="shared" ref="DC130:DC161" ca="1" si="5268">COUNTIF($M$130:$M$161,DB130)*$D$15</f>
        <v>0</v>
      </c>
      <c r="DD130" s="63"/>
      <c r="DE130" s="796" t="s">
        <v>1265</v>
      </c>
      <c r="DF130" s="76">
        <f t="shared" ref="DF130:DF161" ca="1" si="5269">COUNTIF($M$130:$M$161,DE130)*$D$15</f>
        <v>0</v>
      </c>
      <c r="DG130" s="63"/>
      <c r="DH130" s="796" t="s">
        <v>1265</v>
      </c>
      <c r="DI130" s="76">
        <f t="shared" ref="DI130:DI161" ca="1" si="5270">COUNTIF($M$130:$M$161,DH130)*$D$15</f>
        <v>0</v>
      </c>
      <c r="DJ130" s="63"/>
      <c r="DK130" s="796" t="s">
        <v>1260</v>
      </c>
      <c r="DL130" s="76">
        <f t="shared" ref="DL130:DL161" ca="1" si="5271">COUNTIF($M$130:$M$161,DK130)*$D$15</f>
        <v>0</v>
      </c>
      <c r="DM130" s="63"/>
      <c r="DN130" s="75"/>
      <c r="DO130" s="76">
        <f t="shared" ref="DO130:DO161" ca="1" si="5272">COUNTIF($M$130:$M$161,DN130)*$D$15</f>
        <v>0</v>
      </c>
      <c r="DP130" s="63"/>
      <c r="DQ130" s="796" t="s">
        <v>1843</v>
      </c>
      <c r="DR130" s="76">
        <f t="shared" ref="DR130:DR161" ca="1" si="5273">COUNTIF($M$130:$M$161,DQ130)*$D$15</f>
        <v>0</v>
      </c>
      <c r="DS130" s="63"/>
      <c r="DT130" s="75" t="s">
        <v>1260</v>
      </c>
      <c r="DU130" s="76">
        <f t="shared" ref="DU130:DU161" ca="1" si="5274">COUNTIF($M$130:$M$161,DT130)*$D$15</f>
        <v>0</v>
      </c>
      <c r="DV130" s="63"/>
      <c r="DW130" s="75"/>
      <c r="DX130" s="76">
        <f t="shared" ref="DX130:DX161" ca="1" si="5275">COUNTIF($M$130:$M$161,DW130)*$D$15</f>
        <v>0</v>
      </c>
      <c r="DY130" s="63"/>
      <c r="DZ130" s="75"/>
      <c r="EA130" s="76">
        <f t="shared" ref="EA130:EA161" ca="1" si="5276">COUNTIF($M$130:$M$161,DZ130)*$D$15</f>
        <v>0</v>
      </c>
      <c r="EB130" s="63"/>
      <c r="EC130" s="75"/>
      <c r="ED130" s="76">
        <f t="shared" ref="ED130:ED161" ca="1" si="5277">COUNTIF($M$130:$M$161,EC130)*$D$15</f>
        <v>0</v>
      </c>
      <c r="EE130" s="63"/>
      <c r="EF130" s="75"/>
      <c r="EG130" s="76">
        <f t="shared" ref="EG130:EG161" ca="1" si="5278">COUNTIF($M$130:$M$161,EF130)*$D$15</f>
        <v>0</v>
      </c>
      <c r="EH130" s="63"/>
      <c r="EI130" s="75"/>
      <c r="EJ130" s="76">
        <f t="shared" ref="EJ130:EJ161" ca="1" si="5279">COUNTIF($M$130:$M$161,EI130)*$D$15</f>
        <v>0</v>
      </c>
      <c r="EK130" s="63"/>
      <c r="EL130" s="75"/>
      <c r="EM130" s="76">
        <f t="shared" ref="EM130:EM161" ca="1" si="5280">COUNTIF($M$130:$M$161,EL130)*$D$15</f>
        <v>0</v>
      </c>
      <c r="EN130" s="63"/>
      <c r="EO130" s="75"/>
      <c r="EP130" s="76">
        <f t="shared" ref="EP130:EP161" ca="1" si="5281">COUNTIF($M$130:$M$161,EO130)*$D$15</f>
        <v>0</v>
      </c>
      <c r="EQ130" s="63"/>
      <c r="ER130" s="75"/>
      <c r="ES130" s="76">
        <f t="shared" ref="ES130:ES161" ca="1" si="5282">COUNTIF($M$130:$M$161,ER130)*$D$15</f>
        <v>0</v>
      </c>
      <c r="ET130" s="63"/>
      <c r="EU130" s="75"/>
      <c r="EV130" s="76">
        <f t="shared" ref="EV130:EV161" ca="1" si="5283">COUNTIF($M$130:$M$161,EU130)*$D$15</f>
        <v>0</v>
      </c>
      <c r="EW130" s="63"/>
      <c r="EX130" s="75"/>
      <c r="EY130" s="76">
        <f t="shared" ref="EY130:EY161" ca="1" si="5284">COUNTIF($M$130:$M$161,EX130)*$D$15</f>
        <v>0</v>
      </c>
      <c r="EZ130" s="63"/>
      <c r="FA130" s="75"/>
      <c r="FB130" s="76">
        <f t="shared" ref="FB130:FB161" ca="1" si="5285">COUNTIF($M$130:$M$161,FA130)*$D$15</f>
        <v>0</v>
      </c>
      <c r="FC130" s="63"/>
      <c r="FD130" s="75"/>
      <c r="FE130" s="76">
        <f t="shared" ref="FE130:FE161" ca="1" si="5286">COUNTIF($M$130:$M$161,FD130)*$D$15</f>
        <v>0</v>
      </c>
      <c r="FF130" s="63"/>
      <c r="FG130" s="75"/>
      <c r="FH130" s="76">
        <f t="shared" ref="FH130:FH161" ca="1" si="5287">COUNTIF($M$130:$M$161,FG130)*$D$15</f>
        <v>0</v>
      </c>
      <c r="FI130" s="63"/>
      <c r="FJ130" s="75"/>
      <c r="FK130" s="76">
        <f t="shared" ref="FK130:FK161" ca="1" si="5288">COUNTIF($M$130:$M$161,FJ130)*$D$15</f>
        <v>0</v>
      </c>
      <c r="FL130" s="63"/>
      <c r="FM130" s="75"/>
      <c r="FN130" s="76">
        <f t="shared" ref="FN130:FN161" ca="1" si="5289">COUNTIF($M$130:$M$161,FM130)*$D$15</f>
        <v>0</v>
      </c>
      <c r="FO130" s="63"/>
      <c r="FP130" s="75"/>
      <c r="FQ130" s="76">
        <f t="shared" ref="FQ130:FQ161" ca="1" si="5290">COUNTIF($M$130:$M$161,FP130)*$D$15</f>
        <v>0</v>
      </c>
      <c r="FR130" s="63"/>
      <c r="FS130" s="75"/>
      <c r="FT130" s="76">
        <f t="shared" ref="FT130:FT161" ca="1" si="5291">COUNTIF($M$130:$M$161,FS130)*$D$15</f>
        <v>0</v>
      </c>
      <c r="FU130" s="63"/>
      <c r="FV130" s="75"/>
      <c r="FW130" s="76">
        <f t="shared" ref="FW130:FW161" ca="1" si="5292">COUNTIF($M$130:$M$161,FV130)*$D$15</f>
        <v>0</v>
      </c>
      <c r="FX130" s="63"/>
      <c r="FY130" s="75"/>
      <c r="FZ130" s="76">
        <f t="shared" ref="FZ130:FZ161" ca="1" si="5293">COUNTIF($M$130:$M$161,FY130)*$D$15</f>
        <v>0</v>
      </c>
      <c r="GA130" s="63"/>
      <c r="GB130" s="75"/>
      <c r="GC130" s="76">
        <f t="shared" ref="GC130:GC161" ca="1" si="5294">COUNTIF($M$130:$M$161,GB130)*$D$15</f>
        <v>0</v>
      </c>
      <c r="GD130" s="63"/>
      <c r="GE130" s="75"/>
      <c r="GF130" s="76">
        <f t="shared" ref="GF130:GF161" ca="1" si="5295">COUNTIF($M$130:$M$161,GE130)*$D$15</f>
        <v>0</v>
      </c>
      <c r="GG130" s="63"/>
      <c r="GH130" s="75"/>
      <c r="GI130" s="76">
        <f t="shared" ref="GI130:GI161" ca="1" si="5296">COUNTIF($M$130:$M$161,GH130)*$D$15</f>
        <v>0</v>
      </c>
      <c r="GJ130" s="63"/>
      <c r="GK130" s="75"/>
      <c r="GL130" s="76">
        <f t="shared" ref="GL130:GL161" ca="1" si="5297">COUNTIF($M$130:$M$161,GK130)*$D$15</f>
        <v>0</v>
      </c>
      <c r="GM130" s="63"/>
      <c r="GN130" s="75"/>
      <c r="GO130" s="76">
        <f t="shared" ref="GO130:GO161" ca="1" si="5298">COUNTIF($M$130:$M$161,GN130)*$D$15</f>
        <v>0</v>
      </c>
      <c r="GP130" s="63"/>
      <c r="GQ130" s="75"/>
      <c r="GR130" s="76">
        <f t="shared" ref="GR130:GR161" ca="1" si="5299">COUNTIF($M$130:$M$161,GQ130)*$D$15</f>
        <v>0</v>
      </c>
      <c r="GS130" s="63"/>
      <c r="GT130" s="75"/>
      <c r="GU130" s="76">
        <f t="shared" ref="GU130:GU161" ca="1" si="5300">COUNTIF($M$130:$M$161,GT130)*$D$15</f>
        <v>0</v>
      </c>
      <c r="GV130" s="63"/>
      <c r="GW130" s="75"/>
      <c r="GX130" s="76">
        <f t="shared" ref="GX130:GX161" ca="1" si="5301">COUNTIF($M$130:$M$161,GW130)*$D$15</f>
        <v>0</v>
      </c>
      <c r="GY130" s="63"/>
      <c r="GZ130" s="75"/>
      <c r="HA130" s="76">
        <f t="shared" ref="HA130:HA161" ca="1" si="5302">COUNTIF($M$130:$M$161,GZ130)*$D$15</f>
        <v>0</v>
      </c>
      <c r="HB130" s="63"/>
      <c r="HC130" s="75"/>
      <c r="HD130" s="76">
        <f t="shared" ref="HD130:HD161" ca="1" si="5303">COUNTIF($M$130:$M$161,HC130)*$D$15</f>
        <v>0</v>
      </c>
      <c r="HE130" s="63"/>
      <c r="HF130" s="75"/>
      <c r="HG130" s="76">
        <f t="shared" ref="HG130:HG161" ca="1" si="5304">COUNTIF($M$130:$M$161,HF130)*$D$15</f>
        <v>0</v>
      </c>
      <c r="HH130" s="63"/>
      <c r="HI130" s="75"/>
      <c r="HJ130" s="76">
        <f t="shared" ref="HJ130:HJ161" ca="1" si="5305">COUNTIF($M$130:$M$161,HI130)*$D$15</f>
        <v>0</v>
      </c>
      <c r="HK130" s="63"/>
      <c r="HL130" s="75"/>
      <c r="HM130" s="76">
        <f t="shared" ref="HM130:HM161" ca="1" si="5306">COUNTIF($M$130:$M$161,HL130)*$D$15</f>
        <v>0</v>
      </c>
      <c r="HN130" s="63"/>
      <c r="HO130" s="75"/>
      <c r="HP130" s="76">
        <f t="shared" ref="HP130:HP161" ca="1" si="5307">COUNTIF($M$130:$M$161,HO130)*$D$15</f>
        <v>0</v>
      </c>
      <c r="HQ130" s="63"/>
      <c r="HR130" s="75"/>
      <c r="HS130" s="76">
        <f t="shared" ref="HS130:HS161" ca="1" si="5308">COUNTIF($M$130:$M$161,HR130)*$D$15</f>
        <v>0</v>
      </c>
      <c r="HT130" s="63"/>
      <c r="HU130" s="75"/>
      <c r="HV130" s="76">
        <f t="shared" ref="HV130:HV161" ca="1" si="5309">COUNTIF($M$130:$M$161,HU130)*$D$15</f>
        <v>0</v>
      </c>
      <c r="HW130" s="63"/>
      <c r="HX130" s="75"/>
      <c r="HY130" s="76">
        <f t="shared" ref="HY130:HY161" ca="1" si="5310">COUNTIF($M$130:$M$161,HX130)*$D$15</f>
        <v>0</v>
      </c>
      <c r="HZ130" s="63"/>
      <c r="IA130" s="75"/>
      <c r="IB130" s="76">
        <f t="shared" ref="IB130:IB161" ca="1" si="5311">COUNTIF($M$130:$M$161,IA130)*$D$15</f>
        <v>0</v>
      </c>
      <c r="IC130" s="63"/>
      <c r="ID130" s="75"/>
      <c r="IE130" s="76">
        <f t="shared" ref="IE130:IE161" ca="1" si="5312">COUNTIF($M$130:$M$161,ID130)*$D$15</f>
        <v>0</v>
      </c>
      <c r="IF130" s="63"/>
      <c r="IG130" s="75"/>
      <c r="IH130" s="76">
        <f t="shared" ref="IH130:IH161" ca="1" si="5313">COUNTIF($M$130:$M$161,IG130)*$D$15</f>
        <v>0</v>
      </c>
      <c r="II130" s="63"/>
      <c r="IJ130" s="75"/>
      <c r="IK130" s="76">
        <f t="shared" ref="IK130:IK161" ca="1" si="5314">COUNTIF($M$130:$M$161,IJ130)*$D$15</f>
        <v>0</v>
      </c>
      <c r="IL130" s="63"/>
      <c r="IM130" s="75"/>
      <c r="IN130" s="76">
        <f t="shared" ref="IN130:IN161" ca="1" si="5315">COUNTIF($M$130:$M$161,IM130)*$D$15</f>
        <v>0</v>
      </c>
      <c r="IO130" s="63"/>
      <c r="IP130" s="75"/>
      <c r="IQ130" s="76">
        <f t="shared" ref="IQ130:IQ161" ca="1" si="5316">COUNTIF($M$130:$M$161,IP130)*$D$15</f>
        <v>0</v>
      </c>
      <c r="IR130" s="63"/>
      <c r="IS130" s="75"/>
      <c r="IT130" s="76">
        <f t="shared" ref="IT130:IT161" ca="1" si="5317">COUNTIF($M$130:$M$161,IS130)*$D$15</f>
        <v>0</v>
      </c>
      <c r="IU130" s="63"/>
      <c r="IV130" s="75"/>
      <c r="IW130" s="76">
        <f t="shared" ref="IW130:IW161" ca="1" si="5318">COUNTIF($M$130:$M$161,IV130)*$D$15</f>
        <v>0</v>
      </c>
      <c r="IX130" s="63"/>
      <c r="IY130" s="75"/>
      <c r="IZ130" s="76">
        <f t="shared" ref="IZ130:IZ161" ca="1" si="5319">COUNTIF($M$130:$M$161,IY130)*$D$15</f>
        <v>0</v>
      </c>
      <c r="JA130" s="63"/>
      <c r="JB130" s="75"/>
      <c r="JC130" s="76">
        <f t="shared" ref="JC130:JC161" ca="1" si="5320">COUNTIF($M$130:$M$161,JB130)*$D$15</f>
        <v>0</v>
      </c>
      <c r="JD130" s="63"/>
      <c r="JE130" s="75"/>
      <c r="JF130" s="76">
        <f t="shared" ref="JF130:JF161" ca="1" si="5321">COUNTIF($M$130:$M$161,JE130)*$D$15</f>
        <v>0</v>
      </c>
      <c r="JG130" s="63"/>
      <c r="JH130" s="75"/>
      <c r="JI130" s="76">
        <f t="shared" ref="JI130:JI161" ca="1" si="5322">COUNTIF($M$130:$M$161,JH130)*$D$15</f>
        <v>0</v>
      </c>
      <c r="JJ130" s="63"/>
      <c r="JK130" s="75"/>
      <c r="JL130" s="76">
        <f t="shared" ref="JL130:JL161" ca="1" si="5323">COUNTIF($M$130:$M$161,JK130)*$D$15</f>
        <v>0</v>
      </c>
      <c r="JM130" s="63"/>
      <c r="JN130" s="75"/>
      <c r="JO130" s="76">
        <f t="shared" ref="JO130:JO161" ca="1" si="5324">COUNTIF($M$130:$M$161,JN130)*$D$15</f>
        <v>0</v>
      </c>
      <c r="JP130" s="63"/>
      <c r="JQ130" s="75"/>
      <c r="JR130" s="76">
        <f t="shared" ref="JR130:JR161" ca="1" si="5325">COUNTIF($M$130:$M$161,JQ130)*$D$15</f>
        <v>0</v>
      </c>
      <c r="JS130" s="63"/>
      <c r="JT130" s="75"/>
      <c r="JU130" s="76">
        <f t="shared" ref="JU130:JU161" ca="1" si="5326">COUNTIF($M$130:$M$161,JT130)*$D$15</f>
        <v>0</v>
      </c>
      <c r="JV130" s="63"/>
      <c r="JW130" s="75"/>
      <c r="JX130" s="76">
        <f t="shared" ref="JX130:JX161" ca="1" si="5327">COUNTIF($M$130:$M$161,JW130)*$D$15</f>
        <v>0</v>
      </c>
      <c r="JY130" s="63"/>
      <c r="JZ130" s="75"/>
      <c r="KA130" s="76">
        <f t="shared" ref="KA130:KA161" ca="1" si="5328">COUNTIF($M$130:$M$161,JZ130)*$D$15</f>
        <v>0</v>
      </c>
      <c r="KB130" s="63"/>
      <c r="KC130" s="75"/>
      <c r="KD130" s="76">
        <f t="shared" ref="KD130:KD161" ca="1" si="5329">COUNTIF($M$130:$M$161,KC130)*$D$15</f>
        <v>0</v>
      </c>
      <c r="KE130" s="63"/>
      <c r="KF130" s="75"/>
      <c r="KG130" s="76">
        <f t="shared" ref="KG130:KG161" ca="1" si="5330">COUNTIF($M$130:$M$161,KF130)*$D$15</f>
        <v>0</v>
      </c>
      <c r="KH130" s="63"/>
      <c r="KI130" s="75"/>
      <c r="KJ130" s="76">
        <f t="shared" ref="KJ130:KJ161" ca="1" si="5331">COUNTIF($M$130:$M$161,KI130)*$D$15</f>
        <v>0</v>
      </c>
      <c r="KK130" s="63"/>
      <c r="KL130" s="75"/>
      <c r="KM130" s="76">
        <f t="shared" ref="KM130:KM161" ca="1" si="5332">COUNTIF($M$130:$M$161,KL130)*$D$15</f>
        <v>0</v>
      </c>
      <c r="KN130" s="63"/>
      <c r="KO130" s="75"/>
      <c r="KP130" s="76">
        <f t="shared" ref="KP130:KP161" ca="1" si="5333">COUNTIF($M$130:$M$161,KO130)*$D$15</f>
        <v>0</v>
      </c>
      <c r="KQ130" s="63"/>
      <c r="KR130" s="75"/>
      <c r="KS130" s="76">
        <f t="shared" ref="KS130:KS161" ca="1" si="5334">COUNTIF($M$130:$M$161,KR130)*$D$15</f>
        <v>0</v>
      </c>
      <c r="KT130" s="63"/>
      <c r="KU130" s="75"/>
      <c r="KV130" s="76">
        <f t="shared" ref="KV130:KV161" ca="1" si="5335">COUNTIF($M$130:$M$161,KU130)*$D$15</f>
        <v>0</v>
      </c>
      <c r="KW130" s="63"/>
      <c r="KX130" s="75"/>
      <c r="KY130" s="76">
        <f t="shared" ref="KY130:KY161" ca="1" si="5336">COUNTIF($M$130:$M$161,KX130)*$D$15</f>
        <v>0</v>
      </c>
      <c r="KZ130" s="63"/>
      <c r="LA130" s="75"/>
      <c r="LB130" s="76">
        <f t="shared" ref="LB130:LB161" ca="1" si="5337">COUNTIF($M$130:$M$161,LA130)*$D$15</f>
        <v>0</v>
      </c>
      <c r="LC130" s="63"/>
      <c r="LD130" s="75"/>
      <c r="LE130" s="76">
        <f t="shared" ref="LE130:LE161" ca="1" si="5338">COUNTIF($M$130:$M$161,LD130)*$D$15</f>
        <v>0</v>
      </c>
      <c r="LF130" s="63"/>
    </row>
    <row r="131" spans="1:318" s="784" customFormat="1">
      <c r="A131" s="49"/>
      <c r="B131" s="49"/>
      <c r="C131" s="49"/>
      <c r="D131" s="49"/>
      <c r="E131" s="64"/>
      <c r="F131" s="125">
        <f t="shared" ref="F131:F161" si="5339">$D$15</f>
        <v>15</v>
      </c>
      <c r="G131" s="443">
        <f ca="1">VLOOKUP(H131,Equipos!$Q$1:$R$25,2,0)</f>
        <v>19</v>
      </c>
      <c r="H131" s="445" t="str">
        <f>Idiomas!$D$137</f>
        <v>CLASIFICADOS PARA DIECISEISAVOS</v>
      </c>
      <c r="I131" s="50"/>
      <c r="J131" s="843"/>
      <c r="K131" s="56" t="str">
        <f>Idiomas!$D$198&amp;"-"&amp;ROWS($L$130:L131)</f>
        <v>Dieciseisavofinalista-2</v>
      </c>
      <c r="L131" s="53"/>
      <c r="M131" s="55" t="str">
        <f ca="1">WORLDCUP!AA102</f>
        <v>1C</v>
      </c>
      <c r="N131" s="25"/>
      <c r="O131" s="25"/>
      <c r="P131" s="25"/>
      <c r="Q131" s="25"/>
      <c r="R131" s="108"/>
      <c r="S131" s="796" t="s">
        <v>1258</v>
      </c>
      <c r="T131" s="72">
        <f t="shared" ca="1" si="5239"/>
        <v>0</v>
      </c>
      <c r="U131" s="63"/>
      <c r="V131" s="73" t="s">
        <v>1258</v>
      </c>
      <c r="W131" s="72">
        <f t="shared" ca="1" si="5240"/>
        <v>0</v>
      </c>
      <c r="X131" s="63"/>
      <c r="Y131" s="796" t="s">
        <v>1321</v>
      </c>
      <c r="Z131" s="72">
        <f t="shared" ca="1" si="5241"/>
        <v>0</v>
      </c>
      <c r="AA131" s="63"/>
      <c r="AB131" s="796" t="s">
        <v>1258</v>
      </c>
      <c r="AC131" s="72">
        <f t="shared" ca="1" si="5242"/>
        <v>0</v>
      </c>
      <c r="AD131" s="63"/>
      <c r="AE131" s="796" t="s">
        <v>1258</v>
      </c>
      <c r="AF131" s="72">
        <f t="shared" ca="1" si="5243"/>
        <v>0</v>
      </c>
      <c r="AG131" s="63"/>
      <c r="AH131" s="796" t="s">
        <v>1321</v>
      </c>
      <c r="AI131" s="72">
        <f t="shared" ca="1" si="5244"/>
        <v>0</v>
      </c>
      <c r="AJ131" s="63"/>
      <c r="AK131" s="806" t="s">
        <v>1258</v>
      </c>
      <c r="AL131" s="72">
        <f t="shared" ca="1" si="5245"/>
        <v>0</v>
      </c>
      <c r="AM131" s="63"/>
      <c r="AN131" s="796" t="s">
        <v>1321</v>
      </c>
      <c r="AO131" s="72">
        <f t="shared" ca="1" si="5246"/>
        <v>0</v>
      </c>
      <c r="AP131" s="63"/>
      <c r="AQ131" s="806" t="s">
        <v>1258</v>
      </c>
      <c r="AR131" s="72">
        <f t="shared" ca="1" si="5247"/>
        <v>0</v>
      </c>
      <c r="AS131" s="63"/>
      <c r="AT131" s="796" t="s">
        <v>1258</v>
      </c>
      <c r="AU131" s="72">
        <f t="shared" ca="1" si="5248"/>
        <v>0</v>
      </c>
      <c r="AV131" s="63"/>
      <c r="AW131" s="796" t="s">
        <v>1258</v>
      </c>
      <c r="AX131" s="72">
        <f t="shared" ca="1" si="5249"/>
        <v>0</v>
      </c>
      <c r="AY131" s="63"/>
      <c r="AZ131" s="796" t="s">
        <v>1728</v>
      </c>
      <c r="BA131" s="72">
        <f t="shared" ca="1" si="5250"/>
        <v>0</v>
      </c>
      <c r="BB131" s="63"/>
      <c r="BC131" s="796" t="s">
        <v>1258</v>
      </c>
      <c r="BD131" s="72">
        <f t="shared" ca="1" si="5251"/>
        <v>0</v>
      </c>
      <c r="BE131" s="63"/>
      <c r="BF131" s="796" t="s">
        <v>1258</v>
      </c>
      <c r="BG131" s="72">
        <f t="shared" ca="1" si="5252"/>
        <v>0</v>
      </c>
      <c r="BH131" s="63"/>
      <c r="BI131" s="796" t="s">
        <v>1258</v>
      </c>
      <c r="BJ131" s="72">
        <f t="shared" ca="1" si="5253"/>
        <v>0</v>
      </c>
      <c r="BK131" s="63"/>
      <c r="BL131" s="796" t="s">
        <v>1258</v>
      </c>
      <c r="BM131" s="72">
        <f t="shared" ca="1" si="5254"/>
        <v>0</v>
      </c>
      <c r="BN131" s="63"/>
      <c r="BO131" s="816" t="s">
        <v>1258</v>
      </c>
      <c r="BP131" s="72">
        <f t="shared" ca="1" si="5255"/>
        <v>0</v>
      </c>
      <c r="BQ131" s="63"/>
      <c r="BR131" s="796" t="s">
        <v>1258</v>
      </c>
      <c r="BS131" s="72">
        <f t="shared" ca="1" si="5256"/>
        <v>0</v>
      </c>
      <c r="BT131" s="63"/>
      <c r="BU131" s="796" t="s">
        <v>1258</v>
      </c>
      <c r="BV131" s="72">
        <f t="shared" ca="1" si="5257"/>
        <v>0</v>
      </c>
      <c r="BW131" s="63"/>
      <c r="BX131" s="73" t="s">
        <v>1258</v>
      </c>
      <c r="BY131" s="72">
        <f t="shared" ca="1" si="5258"/>
        <v>0</v>
      </c>
      <c r="BZ131" s="63"/>
      <c r="CA131" s="816" t="s">
        <v>1258</v>
      </c>
      <c r="CB131" s="72">
        <f t="shared" ca="1" si="5259"/>
        <v>0</v>
      </c>
      <c r="CC131" s="63"/>
      <c r="CD131" s="825" t="s">
        <v>1258</v>
      </c>
      <c r="CE131" s="72">
        <f t="shared" ca="1" si="5260"/>
        <v>0</v>
      </c>
      <c r="CF131" s="63"/>
      <c r="CG131" s="796" t="s">
        <v>1258</v>
      </c>
      <c r="CH131" s="72">
        <f t="shared" ca="1" si="5261"/>
        <v>0</v>
      </c>
      <c r="CI131" s="63"/>
      <c r="CJ131" s="796" t="s">
        <v>1258</v>
      </c>
      <c r="CK131" s="72">
        <f t="shared" ca="1" si="5262"/>
        <v>0</v>
      </c>
      <c r="CL131" s="63"/>
      <c r="CM131" s="796" t="s">
        <v>1321</v>
      </c>
      <c r="CN131" s="72">
        <f t="shared" ca="1" si="5263"/>
        <v>0</v>
      </c>
      <c r="CO131" s="63"/>
      <c r="CP131" s="796" t="s">
        <v>1258</v>
      </c>
      <c r="CQ131" s="72">
        <f t="shared" ca="1" si="5264"/>
        <v>0</v>
      </c>
      <c r="CR131" s="63"/>
      <c r="CS131" s="796" t="s">
        <v>1258</v>
      </c>
      <c r="CT131" s="72">
        <f t="shared" ca="1" si="5265"/>
        <v>0</v>
      </c>
      <c r="CU131" s="63"/>
      <c r="CV131" s="796" t="s">
        <v>1321</v>
      </c>
      <c r="CW131" s="72">
        <f t="shared" ca="1" si="5266"/>
        <v>0</v>
      </c>
      <c r="CX131" s="63"/>
      <c r="CY131" s="796" t="s">
        <v>1258</v>
      </c>
      <c r="CZ131" s="72">
        <f t="shared" ca="1" si="5267"/>
        <v>0</v>
      </c>
      <c r="DA131" s="63"/>
      <c r="DB131" s="796" t="s">
        <v>1258</v>
      </c>
      <c r="DC131" s="72">
        <f t="shared" ca="1" si="5268"/>
        <v>0</v>
      </c>
      <c r="DD131" s="63"/>
      <c r="DE131" s="796" t="s">
        <v>1258</v>
      </c>
      <c r="DF131" s="72">
        <f t="shared" ca="1" si="5269"/>
        <v>0</v>
      </c>
      <c r="DG131" s="63"/>
      <c r="DH131" s="796" t="s">
        <v>1321</v>
      </c>
      <c r="DI131" s="72">
        <f t="shared" ca="1" si="5270"/>
        <v>0</v>
      </c>
      <c r="DJ131" s="63"/>
      <c r="DK131" s="796" t="s">
        <v>1258</v>
      </c>
      <c r="DL131" s="72">
        <f t="shared" ca="1" si="5271"/>
        <v>0</v>
      </c>
      <c r="DM131" s="63"/>
      <c r="DN131" s="73"/>
      <c r="DO131" s="72">
        <f t="shared" ca="1" si="5272"/>
        <v>0</v>
      </c>
      <c r="DP131" s="63"/>
      <c r="DQ131" s="796" t="s">
        <v>1258</v>
      </c>
      <c r="DR131" s="72">
        <f t="shared" ca="1" si="5273"/>
        <v>0</v>
      </c>
      <c r="DS131" s="63"/>
      <c r="DT131" s="73" t="s">
        <v>1258</v>
      </c>
      <c r="DU131" s="72">
        <f t="shared" ca="1" si="5274"/>
        <v>0</v>
      </c>
      <c r="DV131" s="63"/>
      <c r="DW131" s="73"/>
      <c r="DX131" s="72">
        <f t="shared" ca="1" si="5275"/>
        <v>0</v>
      </c>
      <c r="DY131" s="63"/>
      <c r="DZ131" s="73"/>
      <c r="EA131" s="72">
        <f t="shared" ca="1" si="5276"/>
        <v>0</v>
      </c>
      <c r="EB131" s="63"/>
      <c r="EC131" s="73"/>
      <c r="ED131" s="72">
        <f t="shared" ca="1" si="5277"/>
        <v>0</v>
      </c>
      <c r="EE131" s="63"/>
      <c r="EF131" s="73"/>
      <c r="EG131" s="72">
        <f t="shared" ca="1" si="5278"/>
        <v>0</v>
      </c>
      <c r="EH131" s="63"/>
      <c r="EI131" s="73"/>
      <c r="EJ131" s="72">
        <f t="shared" ca="1" si="5279"/>
        <v>0</v>
      </c>
      <c r="EK131" s="63"/>
      <c r="EL131" s="73"/>
      <c r="EM131" s="72">
        <f t="shared" ca="1" si="5280"/>
        <v>0</v>
      </c>
      <c r="EN131" s="63"/>
      <c r="EO131" s="73"/>
      <c r="EP131" s="72">
        <f t="shared" ca="1" si="5281"/>
        <v>0</v>
      </c>
      <c r="EQ131" s="63"/>
      <c r="ER131" s="73"/>
      <c r="ES131" s="72">
        <f t="shared" ca="1" si="5282"/>
        <v>0</v>
      </c>
      <c r="ET131" s="63"/>
      <c r="EU131" s="73"/>
      <c r="EV131" s="72">
        <f t="shared" ca="1" si="5283"/>
        <v>0</v>
      </c>
      <c r="EW131" s="63"/>
      <c r="EX131" s="73"/>
      <c r="EY131" s="72">
        <f t="shared" ca="1" si="5284"/>
        <v>0</v>
      </c>
      <c r="EZ131" s="63"/>
      <c r="FA131" s="73"/>
      <c r="FB131" s="72">
        <f t="shared" ca="1" si="5285"/>
        <v>0</v>
      </c>
      <c r="FC131" s="63"/>
      <c r="FD131" s="73"/>
      <c r="FE131" s="72">
        <f t="shared" ca="1" si="5286"/>
        <v>0</v>
      </c>
      <c r="FF131" s="63"/>
      <c r="FG131" s="73"/>
      <c r="FH131" s="72">
        <f t="shared" ca="1" si="5287"/>
        <v>0</v>
      </c>
      <c r="FI131" s="63"/>
      <c r="FJ131" s="73"/>
      <c r="FK131" s="72">
        <f t="shared" ca="1" si="5288"/>
        <v>0</v>
      </c>
      <c r="FL131" s="63"/>
      <c r="FM131" s="73"/>
      <c r="FN131" s="72">
        <f t="shared" ca="1" si="5289"/>
        <v>0</v>
      </c>
      <c r="FO131" s="63"/>
      <c r="FP131" s="73"/>
      <c r="FQ131" s="72">
        <f t="shared" ca="1" si="5290"/>
        <v>0</v>
      </c>
      <c r="FR131" s="63"/>
      <c r="FS131" s="73"/>
      <c r="FT131" s="72">
        <f t="shared" ca="1" si="5291"/>
        <v>0</v>
      </c>
      <c r="FU131" s="63"/>
      <c r="FV131" s="73"/>
      <c r="FW131" s="72">
        <f t="shared" ca="1" si="5292"/>
        <v>0</v>
      </c>
      <c r="FX131" s="63"/>
      <c r="FY131" s="73"/>
      <c r="FZ131" s="72">
        <f t="shared" ca="1" si="5293"/>
        <v>0</v>
      </c>
      <c r="GA131" s="63"/>
      <c r="GB131" s="73"/>
      <c r="GC131" s="72">
        <f t="shared" ca="1" si="5294"/>
        <v>0</v>
      </c>
      <c r="GD131" s="63"/>
      <c r="GE131" s="73"/>
      <c r="GF131" s="72">
        <f t="shared" ca="1" si="5295"/>
        <v>0</v>
      </c>
      <c r="GG131" s="63"/>
      <c r="GH131" s="73"/>
      <c r="GI131" s="72">
        <f t="shared" ca="1" si="5296"/>
        <v>0</v>
      </c>
      <c r="GJ131" s="63"/>
      <c r="GK131" s="73"/>
      <c r="GL131" s="72">
        <f t="shared" ca="1" si="5297"/>
        <v>0</v>
      </c>
      <c r="GM131" s="63"/>
      <c r="GN131" s="73"/>
      <c r="GO131" s="72">
        <f t="shared" ca="1" si="5298"/>
        <v>0</v>
      </c>
      <c r="GP131" s="63"/>
      <c r="GQ131" s="73"/>
      <c r="GR131" s="72">
        <f t="shared" ca="1" si="5299"/>
        <v>0</v>
      </c>
      <c r="GS131" s="63"/>
      <c r="GT131" s="73"/>
      <c r="GU131" s="72">
        <f t="shared" ca="1" si="5300"/>
        <v>0</v>
      </c>
      <c r="GV131" s="63"/>
      <c r="GW131" s="73"/>
      <c r="GX131" s="72">
        <f t="shared" ca="1" si="5301"/>
        <v>0</v>
      </c>
      <c r="GY131" s="63"/>
      <c r="GZ131" s="73"/>
      <c r="HA131" s="72">
        <f t="shared" ca="1" si="5302"/>
        <v>0</v>
      </c>
      <c r="HB131" s="63"/>
      <c r="HC131" s="73"/>
      <c r="HD131" s="72">
        <f t="shared" ca="1" si="5303"/>
        <v>0</v>
      </c>
      <c r="HE131" s="63"/>
      <c r="HF131" s="73"/>
      <c r="HG131" s="72">
        <f t="shared" ca="1" si="5304"/>
        <v>0</v>
      </c>
      <c r="HH131" s="63"/>
      <c r="HI131" s="73"/>
      <c r="HJ131" s="72">
        <f t="shared" ca="1" si="5305"/>
        <v>0</v>
      </c>
      <c r="HK131" s="63"/>
      <c r="HL131" s="73"/>
      <c r="HM131" s="72">
        <f t="shared" ca="1" si="5306"/>
        <v>0</v>
      </c>
      <c r="HN131" s="63"/>
      <c r="HO131" s="73"/>
      <c r="HP131" s="72">
        <f t="shared" ca="1" si="5307"/>
        <v>0</v>
      </c>
      <c r="HQ131" s="63"/>
      <c r="HR131" s="73"/>
      <c r="HS131" s="72">
        <f t="shared" ca="1" si="5308"/>
        <v>0</v>
      </c>
      <c r="HT131" s="63"/>
      <c r="HU131" s="73"/>
      <c r="HV131" s="72">
        <f t="shared" ca="1" si="5309"/>
        <v>0</v>
      </c>
      <c r="HW131" s="63"/>
      <c r="HX131" s="73"/>
      <c r="HY131" s="72">
        <f t="shared" ca="1" si="5310"/>
        <v>0</v>
      </c>
      <c r="HZ131" s="63"/>
      <c r="IA131" s="73"/>
      <c r="IB131" s="72">
        <f t="shared" ca="1" si="5311"/>
        <v>0</v>
      </c>
      <c r="IC131" s="63"/>
      <c r="ID131" s="73"/>
      <c r="IE131" s="72">
        <f t="shared" ca="1" si="5312"/>
        <v>0</v>
      </c>
      <c r="IF131" s="63"/>
      <c r="IG131" s="73"/>
      <c r="IH131" s="72">
        <f t="shared" ca="1" si="5313"/>
        <v>0</v>
      </c>
      <c r="II131" s="63"/>
      <c r="IJ131" s="73"/>
      <c r="IK131" s="72">
        <f t="shared" ca="1" si="5314"/>
        <v>0</v>
      </c>
      <c r="IL131" s="63"/>
      <c r="IM131" s="73"/>
      <c r="IN131" s="72">
        <f t="shared" ca="1" si="5315"/>
        <v>0</v>
      </c>
      <c r="IO131" s="63"/>
      <c r="IP131" s="73"/>
      <c r="IQ131" s="72">
        <f t="shared" ca="1" si="5316"/>
        <v>0</v>
      </c>
      <c r="IR131" s="63"/>
      <c r="IS131" s="73"/>
      <c r="IT131" s="72">
        <f t="shared" ca="1" si="5317"/>
        <v>0</v>
      </c>
      <c r="IU131" s="63"/>
      <c r="IV131" s="73"/>
      <c r="IW131" s="72">
        <f t="shared" ca="1" si="5318"/>
        <v>0</v>
      </c>
      <c r="IX131" s="63"/>
      <c r="IY131" s="73"/>
      <c r="IZ131" s="72">
        <f t="shared" ca="1" si="5319"/>
        <v>0</v>
      </c>
      <c r="JA131" s="63"/>
      <c r="JB131" s="73"/>
      <c r="JC131" s="72">
        <f t="shared" ca="1" si="5320"/>
        <v>0</v>
      </c>
      <c r="JD131" s="63"/>
      <c r="JE131" s="73"/>
      <c r="JF131" s="72">
        <f t="shared" ca="1" si="5321"/>
        <v>0</v>
      </c>
      <c r="JG131" s="63"/>
      <c r="JH131" s="73"/>
      <c r="JI131" s="72">
        <f t="shared" ca="1" si="5322"/>
        <v>0</v>
      </c>
      <c r="JJ131" s="63"/>
      <c r="JK131" s="73"/>
      <c r="JL131" s="72">
        <f t="shared" ca="1" si="5323"/>
        <v>0</v>
      </c>
      <c r="JM131" s="63"/>
      <c r="JN131" s="73"/>
      <c r="JO131" s="72">
        <f t="shared" ca="1" si="5324"/>
        <v>0</v>
      </c>
      <c r="JP131" s="63"/>
      <c r="JQ131" s="73"/>
      <c r="JR131" s="72">
        <f t="shared" ca="1" si="5325"/>
        <v>0</v>
      </c>
      <c r="JS131" s="63"/>
      <c r="JT131" s="73"/>
      <c r="JU131" s="72">
        <f t="shared" ca="1" si="5326"/>
        <v>0</v>
      </c>
      <c r="JV131" s="63"/>
      <c r="JW131" s="73"/>
      <c r="JX131" s="72">
        <f t="shared" ca="1" si="5327"/>
        <v>0</v>
      </c>
      <c r="JY131" s="63"/>
      <c r="JZ131" s="73"/>
      <c r="KA131" s="72">
        <f t="shared" ca="1" si="5328"/>
        <v>0</v>
      </c>
      <c r="KB131" s="63"/>
      <c r="KC131" s="73"/>
      <c r="KD131" s="72">
        <f t="shared" ca="1" si="5329"/>
        <v>0</v>
      </c>
      <c r="KE131" s="63"/>
      <c r="KF131" s="73"/>
      <c r="KG131" s="72">
        <f t="shared" ca="1" si="5330"/>
        <v>0</v>
      </c>
      <c r="KH131" s="63"/>
      <c r="KI131" s="73"/>
      <c r="KJ131" s="72">
        <f t="shared" ca="1" si="5331"/>
        <v>0</v>
      </c>
      <c r="KK131" s="63"/>
      <c r="KL131" s="73"/>
      <c r="KM131" s="72">
        <f t="shared" ca="1" si="5332"/>
        <v>0</v>
      </c>
      <c r="KN131" s="63"/>
      <c r="KO131" s="73"/>
      <c r="KP131" s="72">
        <f t="shared" ca="1" si="5333"/>
        <v>0</v>
      </c>
      <c r="KQ131" s="63"/>
      <c r="KR131" s="73"/>
      <c r="KS131" s="72">
        <f t="shared" ca="1" si="5334"/>
        <v>0</v>
      </c>
      <c r="KT131" s="63"/>
      <c r="KU131" s="73"/>
      <c r="KV131" s="72">
        <f t="shared" ca="1" si="5335"/>
        <v>0</v>
      </c>
      <c r="KW131" s="63"/>
      <c r="KX131" s="73"/>
      <c r="KY131" s="72">
        <f t="shared" ca="1" si="5336"/>
        <v>0</v>
      </c>
      <c r="KZ131" s="63"/>
      <c r="LA131" s="73"/>
      <c r="LB131" s="72">
        <f t="shared" ca="1" si="5337"/>
        <v>0</v>
      </c>
      <c r="LC131" s="63"/>
      <c r="LD131" s="73"/>
      <c r="LE131" s="72">
        <f t="shared" ca="1" si="5338"/>
        <v>0</v>
      </c>
      <c r="LF131" s="63"/>
    </row>
    <row r="132" spans="1:318" s="784" customFormat="1">
      <c r="A132" s="49"/>
      <c r="B132" s="49"/>
      <c r="C132" s="49"/>
      <c r="D132" s="49"/>
      <c r="E132" s="64"/>
      <c r="F132" s="125">
        <f t="shared" si="5339"/>
        <v>15</v>
      </c>
      <c r="G132" s="443">
        <f ca="1">VLOOKUP(H132,Equipos!$Q$1:$R$25,2,0)</f>
        <v>19</v>
      </c>
      <c r="H132" s="445" t="str">
        <f>Idiomas!$D$137</f>
        <v>CLASIFICADOS PARA DIECISEISAVOS</v>
      </c>
      <c r="I132" s="50"/>
      <c r="J132" s="843"/>
      <c r="K132" s="56" t="str">
        <f>Idiomas!$D$198&amp;"-"&amp;ROWS($L$130:L132)</f>
        <v>Dieciseisavofinalista-3</v>
      </c>
      <c r="L132" s="53"/>
      <c r="M132" s="55" t="str">
        <f ca="1">WORLDCUP!AA103</f>
        <v>1E</v>
      </c>
      <c r="N132" s="25"/>
      <c r="O132" s="25"/>
      <c r="P132" s="25"/>
      <c r="Q132" s="25"/>
      <c r="R132" s="108"/>
      <c r="S132" s="796" t="s">
        <v>77</v>
      </c>
      <c r="T132" s="72">
        <f t="shared" ca="1" si="5239"/>
        <v>0</v>
      </c>
      <c r="U132" s="63"/>
      <c r="V132" s="73" t="s">
        <v>77</v>
      </c>
      <c r="W132" s="72">
        <f t="shared" ca="1" si="5240"/>
        <v>0</v>
      </c>
      <c r="X132" s="63"/>
      <c r="Y132" s="796" t="s">
        <v>1261</v>
      </c>
      <c r="Z132" s="72">
        <f t="shared" ca="1" si="5241"/>
        <v>0</v>
      </c>
      <c r="AA132" s="63"/>
      <c r="AB132" s="796" t="s">
        <v>77</v>
      </c>
      <c r="AC132" s="72">
        <f t="shared" ca="1" si="5242"/>
        <v>0</v>
      </c>
      <c r="AD132" s="63"/>
      <c r="AE132" s="796" t="s">
        <v>77</v>
      </c>
      <c r="AF132" s="72">
        <f t="shared" ca="1" si="5243"/>
        <v>0</v>
      </c>
      <c r="AG132" s="63"/>
      <c r="AH132" s="796" t="s">
        <v>77</v>
      </c>
      <c r="AI132" s="72">
        <f t="shared" ca="1" si="5244"/>
        <v>0</v>
      </c>
      <c r="AJ132" s="63"/>
      <c r="AK132" s="806" t="s">
        <v>77</v>
      </c>
      <c r="AL132" s="72">
        <f t="shared" ca="1" si="5245"/>
        <v>0</v>
      </c>
      <c r="AM132" s="63"/>
      <c r="AN132" s="796" t="s">
        <v>77</v>
      </c>
      <c r="AO132" s="72">
        <f t="shared" ca="1" si="5246"/>
        <v>0</v>
      </c>
      <c r="AP132" s="63"/>
      <c r="AQ132" s="806" t="s">
        <v>77</v>
      </c>
      <c r="AR132" s="72">
        <f t="shared" ca="1" si="5247"/>
        <v>0</v>
      </c>
      <c r="AS132" s="63"/>
      <c r="AT132" s="796" t="s">
        <v>1261</v>
      </c>
      <c r="AU132" s="72">
        <f t="shared" ca="1" si="5248"/>
        <v>0</v>
      </c>
      <c r="AV132" s="63"/>
      <c r="AW132" s="796" t="s">
        <v>77</v>
      </c>
      <c r="AX132" s="72">
        <f t="shared" ca="1" si="5249"/>
        <v>0</v>
      </c>
      <c r="AY132" s="63"/>
      <c r="AZ132" s="796" t="s">
        <v>1726</v>
      </c>
      <c r="BA132" s="72">
        <f t="shared" ca="1" si="5250"/>
        <v>0</v>
      </c>
      <c r="BB132" s="63"/>
      <c r="BC132" s="796" t="s">
        <v>77</v>
      </c>
      <c r="BD132" s="72">
        <f t="shared" ca="1" si="5251"/>
        <v>0</v>
      </c>
      <c r="BE132" s="63"/>
      <c r="BF132" s="796" t="s">
        <v>1261</v>
      </c>
      <c r="BG132" s="72">
        <f t="shared" ca="1" si="5252"/>
        <v>0</v>
      </c>
      <c r="BH132" s="63"/>
      <c r="BI132" s="796" t="s">
        <v>77</v>
      </c>
      <c r="BJ132" s="72">
        <f t="shared" ca="1" si="5253"/>
        <v>0</v>
      </c>
      <c r="BK132" s="63"/>
      <c r="BL132" s="796" t="s">
        <v>77</v>
      </c>
      <c r="BM132" s="72">
        <f t="shared" ca="1" si="5254"/>
        <v>0</v>
      </c>
      <c r="BN132" s="63"/>
      <c r="BO132" s="816" t="s">
        <v>77</v>
      </c>
      <c r="BP132" s="72">
        <f t="shared" ca="1" si="5255"/>
        <v>0</v>
      </c>
      <c r="BQ132" s="63"/>
      <c r="BR132" s="796" t="s">
        <v>77</v>
      </c>
      <c r="BS132" s="72">
        <f t="shared" ca="1" si="5256"/>
        <v>0</v>
      </c>
      <c r="BT132" s="63"/>
      <c r="BU132" s="796" t="s">
        <v>77</v>
      </c>
      <c r="BV132" s="72">
        <f t="shared" ca="1" si="5257"/>
        <v>0</v>
      </c>
      <c r="BW132" s="63"/>
      <c r="BX132" s="73" t="s">
        <v>77</v>
      </c>
      <c r="BY132" s="72">
        <f t="shared" ca="1" si="5258"/>
        <v>0</v>
      </c>
      <c r="BZ132" s="63"/>
      <c r="CA132" s="816" t="s">
        <v>77</v>
      </c>
      <c r="CB132" s="72">
        <f t="shared" ca="1" si="5259"/>
        <v>0</v>
      </c>
      <c r="CC132" s="63"/>
      <c r="CD132" s="825" t="s">
        <v>77</v>
      </c>
      <c r="CE132" s="72">
        <f t="shared" ca="1" si="5260"/>
        <v>0</v>
      </c>
      <c r="CF132" s="63"/>
      <c r="CG132" s="796" t="s">
        <v>77</v>
      </c>
      <c r="CH132" s="72">
        <f t="shared" ca="1" si="5261"/>
        <v>0</v>
      </c>
      <c r="CI132" s="63"/>
      <c r="CJ132" s="796" t="s">
        <v>77</v>
      </c>
      <c r="CK132" s="72">
        <f t="shared" ca="1" si="5262"/>
        <v>0</v>
      </c>
      <c r="CL132" s="63"/>
      <c r="CM132" s="796" t="s">
        <v>77</v>
      </c>
      <c r="CN132" s="72">
        <f t="shared" ca="1" si="5263"/>
        <v>0</v>
      </c>
      <c r="CO132" s="63"/>
      <c r="CP132" s="796" t="s">
        <v>77</v>
      </c>
      <c r="CQ132" s="72">
        <f t="shared" ca="1" si="5264"/>
        <v>0</v>
      </c>
      <c r="CR132" s="63"/>
      <c r="CS132" s="796" t="s">
        <v>77</v>
      </c>
      <c r="CT132" s="72">
        <f t="shared" ca="1" si="5265"/>
        <v>0</v>
      </c>
      <c r="CU132" s="63"/>
      <c r="CV132" s="796" t="s">
        <v>1261</v>
      </c>
      <c r="CW132" s="72">
        <f t="shared" ca="1" si="5266"/>
        <v>0</v>
      </c>
      <c r="CX132" s="63"/>
      <c r="CY132" s="796" t="s">
        <v>77</v>
      </c>
      <c r="CZ132" s="72">
        <f t="shared" ca="1" si="5267"/>
        <v>0</v>
      </c>
      <c r="DA132" s="63"/>
      <c r="DB132" s="796" t="s">
        <v>77</v>
      </c>
      <c r="DC132" s="72">
        <f t="shared" ca="1" si="5268"/>
        <v>0</v>
      </c>
      <c r="DD132" s="63"/>
      <c r="DE132" s="796" t="s">
        <v>77</v>
      </c>
      <c r="DF132" s="72">
        <f t="shared" ca="1" si="5269"/>
        <v>0</v>
      </c>
      <c r="DG132" s="63"/>
      <c r="DH132" s="796" t="s">
        <v>77</v>
      </c>
      <c r="DI132" s="72">
        <f t="shared" ca="1" si="5270"/>
        <v>0</v>
      </c>
      <c r="DJ132" s="63"/>
      <c r="DK132" s="796" t="s">
        <v>77</v>
      </c>
      <c r="DL132" s="72">
        <f t="shared" ca="1" si="5271"/>
        <v>0</v>
      </c>
      <c r="DM132" s="63"/>
      <c r="DN132" s="73"/>
      <c r="DO132" s="72">
        <f t="shared" ca="1" si="5272"/>
        <v>0</v>
      </c>
      <c r="DP132" s="63"/>
      <c r="DQ132" s="796" t="s">
        <v>77</v>
      </c>
      <c r="DR132" s="72">
        <f t="shared" ca="1" si="5273"/>
        <v>0</v>
      </c>
      <c r="DS132" s="63"/>
      <c r="DT132" s="73" t="s">
        <v>77</v>
      </c>
      <c r="DU132" s="72">
        <f t="shared" ca="1" si="5274"/>
        <v>0</v>
      </c>
      <c r="DV132" s="63"/>
      <c r="DW132" s="73"/>
      <c r="DX132" s="72">
        <f t="shared" ca="1" si="5275"/>
        <v>0</v>
      </c>
      <c r="DY132" s="63"/>
      <c r="DZ132" s="73"/>
      <c r="EA132" s="72">
        <f t="shared" ca="1" si="5276"/>
        <v>0</v>
      </c>
      <c r="EB132" s="63"/>
      <c r="EC132" s="73"/>
      <c r="ED132" s="72">
        <f t="shared" ca="1" si="5277"/>
        <v>0</v>
      </c>
      <c r="EE132" s="63"/>
      <c r="EF132" s="73"/>
      <c r="EG132" s="72">
        <f t="shared" ca="1" si="5278"/>
        <v>0</v>
      </c>
      <c r="EH132" s="63"/>
      <c r="EI132" s="73"/>
      <c r="EJ132" s="72">
        <f t="shared" ca="1" si="5279"/>
        <v>0</v>
      </c>
      <c r="EK132" s="63"/>
      <c r="EL132" s="73"/>
      <c r="EM132" s="72">
        <f t="shared" ca="1" si="5280"/>
        <v>0</v>
      </c>
      <c r="EN132" s="63"/>
      <c r="EO132" s="73"/>
      <c r="EP132" s="72">
        <f t="shared" ca="1" si="5281"/>
        <v>0</v>
      </c>
      <c r="EQ132" s="63"/>
      <c r="ER132" s="73"/>
      <c r="ES132" s="72">
        <f t="shared" ca="1" si="5282"/>
        <v>0</v>
      </c>
      <c r="ET132" s="63"/>
      <c r="EU132" s="73"/>
      <c r="EV132" s="72">
        <f t="shared" ca="1" si="5283"/>
        <v>0</v>
      </c>
      <c r="EW132" s="63"/>
      <c r="EX132" s="73"/>
      <c r="EY132" s="72">
        <f t="shared" ca="1" si="5284"/>
        <v>0</v>
      </c>
      <c r="EZ132" s="63"/>
      <c r="FA132" s="73"/>
      <c r="FB132" s="72">
        <f t="shared" ca="1" si="5285"/>
        <v>0</v>
      </c>
      <c r="FC132" s="63"/>
      <c r="FD132" s="73"/>
      <c r="FE132" s="72">
        <f t="shared" ca="1" si="5286"/>
        <v>0</v>
      </c>
      <c r="FF132" s="63"/>
      <c r="FG132" s="73"/>
      <c r="FH132" s="72">
        <f t="shared" ca="1" si="5287"/>
        <v>0</v>
      </c>
      <c r="FI132" s="63"/>
      <c r="FJ132" s="73"/>
      <c r="FK132" s="72">
        <f t="shared" ca="1" si="5288"/>
        <v>0</v>
      </c>
      <c r="FL132" s="63"/>
      <c r="FM132" s="73"/>
      <c r="FN132" s="72">
        <f t="shared" ca="1" si="5289"/>
        <v>0</v>
      </c>
      <c r="FO132" s="63"/>
      <c r="FP132" s="73"/>
      <c r="FQ132" s="72">
        <f t="shared" ca="1" si="5290"/>
        <v>0</v>
      </c>
      <c r="FR132" s="63"/>
      <c r="FS132" s="73"/>
      <c r="FT132" s="72">
        <f t="shared" ca="1" si="5291"/>
        <v>0</v>
      </c>
      <c r="FU132" s="63"/>
      <c r="FV132" s="73"/>
      <c r="FW132" s="72">
        <f t="shared" ca="1" si="5292"/>
        <v>0</v>
      </c>
      <c r="FX132" s="63"/>
      <c r="FY132" s="73"/>
      <c r="FZ132" s="72">
        <f t="shared" ca="1" si="5293"/>
        <v>0</v>
      </c>
      <c r="GA132" s="63"/>
      <c r="GB132" s="73"/>
      <c r="GC132" s="72">
        <f t="shared" ca="1" si="5294"/>
        <v>0</v>
      </c>
      <c r="GD132" s="63"/>
      <c r="GE132" s="73"/>
      <c r="GF132" s="72">
        <f t="shared" ca="1" si="5295"/>
        <v>0</v>
      </c>
      <c r="GG132" s="63"/>
      <c r="GH132" s="73"/>
      <c r="GI132" s="72">
        <f t="shared" ca="1" si="5296"/>
        <v>0</v>
      </c>
      <c r="GJ132" s="63"/>
      <c r="GK132" s="73"/>
      <c r="GL132" s="72">
        <f t="shared" ca="1" si="5297"/>
        <v>0</v>
      </c>
      <c r="GM132" s="63"/>
      <c r="GN132" s="73"/>
      <c r="GO132" s="72">
        <f t="shared" ca="1" si="5298"/>
        <v>0</v>
      </c>
      <c r="GP132" s="63"/>
      <c r="GQ132" s="73"/>
      <c r="GR132" s="72">
        <f t="shared" ca="1" si="5299"/>
        <v>0</v>
      </c>
      <c r="GS132" s="63"/>
      <c r="GT132" s="73"/>
      <c r="GU132" s="72">
        <f t="shared" ca="1" si="5300"/>
        <v>0</v>
      </c>
      <c r="GV132" s="63"/>
      <c r="GW132" s="73"/>
      <c r="GX132" s="72">
        <f t="shared" ca="1" si="5301"/>
        <v>0</v>
      </c>
      <c r="GY132" s="63"/>
      <c r="GZ132" s="73"/>
      <c r="HA132" s="72">
        <f t="shared" ca="1" si="5302"/>
        <v>0</v>
      </c>
      <c r="HB132" s="63"/>
      <c r="HC132" s="73"/>
      <c r="HD132" s="72">
        <f t="shared" ca="1" si="5303"/>
        <v>0</v>
      </c>
      <c r="HE132" s="63"/>
      <c r="HF132" s="73"/>
      <c r="HG132" s="72">
        <f t="shared" ca="1" si="5304"/>
        <v>0</v>
      </c>
      <c r="HH132" s="63"/>
      <c r="HI132" s="73"/>
      <c r="HJ132" s="72">
        <f t="shared" ca="1" si="5305"/>
        <v>0</v>
      </c>
      <c r="HK132" s="63"/>
      <c r="HL132" s="73"/>
      <c r="HM132" s="72">
        <f t="shared" ca="1" si="5306"/>
        <v>0</v>
      </c>
      <c r="HN132" s="63"/>
      <c r="HO132" s="73"/>
      <c r="HP132" s="72">
        <f t="shared" ca="1" si="5307"/>
        <v>0</v>
      </c>
      <c r="HQ132" s="63"/>
      <c r="HR132" s="73"/>
      <c r="HS132" s="72">
        <f t="shared" ca="1" si="5308"/>
        <v>0</v>
      </c>
      <c r="HT132" s="63"/>
      <c r="HU132" s="73"/>
      <c r="HV132" s="72">
        <f t="shared" ca="1" si="5309"/>
        <v>0</v>
      </c>
      <c r="HW132" s="63"/>
      <c r="HX132" s="73"/>
      <c r="HY132" s="72">
        <f t="shared" ca="1" si="5310"/>
        <v>0</v>
      </c>
      <c r="HZ132" s="63"/>
      <c r="IA132" s="73"/>
      <c r="IB132" s="72">
        <f t="shared" ca="1" si="5311"/>
        <v>0</v>
      </c>
      <c r="IC132" s="63"/>
      <c r="ID132" s="73"/>
      <c r="IE132" s="72">
        <f t="shared" ca="1" si="5312"/>
        <v>0</v>
      </c>
      <c r="IF132" s="63"/>
      <c r="IG132" s="73"/>
      <c r="IH132" s="72">
        <f t="shared" ca="1" si="5313"/>
        <v>0</v>
      </c>
      <c r="II132" s="63"/>
      <c r="IJ132" s="73"/>
      <c r="IK132" s="72">
        <f t="shared" ca="1" si="5314"/>
        <v>0</v>
      </c>
      <c r="IL132" s="63"/>
      <c r="IM132" s="73"/>
      <c r="IN132" s="72">
        <f t="shared" ca="1" si="5315"/>
        <v>0</v>
      </c>
      <c r="IO132" s="63"/>
      <c r="IP132" s="73"/>
      <c r="IQ132" s="72">
        <f t="shared" ca="1" si="5316"/>
        <v>0</v>
      </c>
      <c r="IR132" s="63"/>
      <c r="IS132" s="73"/>
      <c r="IT132" s="72">
        <f t="shared" ca="1" si="5317"/>
        <v>0</v>
      </c>
      <c r="IU132" s="63"/>
      <c r="IV132" s="73"/>
      <c r="IW132" s="72">
        <f t="shared" ca="1" si="5318"/>
        <v>0</v>
      </c>
      <c r="IX132" s="63"/>
      <c r="IY132" s="73"/>
      <c r="IZ132" s="72">
        <f t="shared" ca="1" si="5319"/>
        <v>0</v>
      </c>
      <c r="JA132" s="63"/>
      <c r="JB132" s="73"/>
      <c r="JC132" s="72">
        <f t="shared" ca="1" si="5320"/>
        <v>0</v>
      </c>
      <c r="JD132" s="63"/>
      <c r="JE132" s="73"/>
      <c r="JF132" s="72">
        <f t="shared" ca="1" si="5321"/>
        <v>0</v>
      </c>
      <c r="JG132" s="63"/>
      <c r="JH132" s="73"/>
      <c r="JI132" s="72">
        <f t="shared" ca="1" si="5322"/>
        <v>0</v>
      </c>
      <c r="JJ132" s="63"/>
      <c r="JK132" s="73"/>
      <c r="JL132" s="72">
        <f t="shared" ca="1" si="5323"/>
        <v>0</v>
      </c>
      <c r="JM132" s="63"/>
      <c r="JN132" s="73"/>
      <c r="JO132" s="72">
        <f t="shared" ca="1" si="5324"/>
        <v>0</v>
      </c>
      <c r="JP132" s="63"/>
      <c r="JQ132" s="73"/>
      <c r="JR132" s="72">
        <f t="shared" ca="1" si="5325"/>
        <v>0</v>
      </c>
      <c r="JS132" s="63"/>
      <c r="JT132" s="73"/>
      <c r="JU132" s="72">
        <f t="shared" ca="1" si="5326"/>
        <v>0</v>
      </c>
      <c r="JV132" s="63"/>
      <c r="JW132" s="73"/>
      <c r="JX132" s="72">
        <f t="shared" ca="1" si="5327"/>
        <v>0</v>
      </c>
      <c r="JY132" s="63"/>
      <c r="JZ132" s="73"/>
      <c r="KA132" s="72">
        <f t="shared" ca="1" si="5328"/>
        <v>0</v>
      </c>
      <c r="KB132" s="63"/>
      <c r="KC132" s="73"/>
      <c r="KD132" s="72">
        <f t="shared" ca="1" si="5329"/>
        <v>0</v>
      </c>
      <c r="KE132" s="63"/>
      <c r="KF132" s="73"/>
      <c r="KG132" s="72">
        <f t="shared" ca="1" si="5330"/>
        <v>0</v>
      </c>
      <c r="KH132" s="63"/>
      <c r="KI132" s="73"/>
      <c r="KJ132" s="72">
        <f t="shared" ca="1" si="5331"/>
        <v>0</v>
      </c>
      <c r="KK132" s="63"/>
      <c r="KL132" s="73"/>
      <c r="KM132" s="72">
        <f t="shared" ca="1" si="5332"/>
        <v>0</v>
      </c>
      <c r="KN132" s="63"/>
      <c r="KO132" s="73"/>
      <c r="KP132" s="72">
        <f t="shared" ca="1" si="5333"/>
        <v>0</v>
      </c>
      <c r="KQ132" s="63"/>
      <c r="KR132" s="73"/>
      <c r="KS132" s="72">
        <f t="shared" ca="1" si="5334"/>
        <v>0</v>
      </c>
      <c r="KT132" s="63"/>
      <c r="KU132" s="73"/>
      <c r="KV132" s="72">
        <f t="shared" ca="1" si="5335"/>
        <v>0</v>
      </c>
      <c r="KW132" s="63"/>
      <c r="KX132" s="73"/>
      <c r="KY132" s="72">
        <f t="shared" ca="1" si="5336"/>
        <v>0</v>
      </c>
      <c r="KZ132" s="63"/>
      <c r="LA132" s="73"/>
      <c r="LB132" s="72">
        <f t="shared" ca="1" si="5337"/>
        <v>0</v>
      </c>
      <c r="LC132" s="63"/>
      <c r="LD132" s="73"/>
      <c r="LE132" s="72">
        <f t="shared" ca="1" si="5338"/>
        <v>0</v>
      </c>
      <c r="LF132" s="63"/>
    </row>
    <row r="133" spans="1:318" s="784" customFormat="1">
      <c r="A133" s="49"/>
      <c r="B133" s="49"/>
      <c r="C133" s="49"/>
      <c r="D133" s="49"/>
      <c r="E133" s="64"/>
      <c r="F133" s="125">
        <f t="shared" si="5339"/>
        <v>15</v>
      </c>
      <c r="G133" s="443">
        <f ca="1">VLOOKUP(H133,Equipos!$Q$1:$R$25,2,0)</f>
        <v>19</v>
      </c>
      <c r="H133" s="445" t="str">
        <f>Idiomas!$D$137</f>
        <v>CLASIFICADOS PARA DIECISEISAVOS</v>
      </c>
      <c r="I133" s="50"/>
      <c r="J133" s="843"/>
      <c r="K133" s="56" t="str">
        <f>Idiomas!$D$198&amp;"-"&amp;ROWS($L$130:L133)</f>
        <v>Dieciseisavofinalista-4</v>
      </c>
      <c r="L133" s="53"/>
      <c r="M133" s="55" t="str">
        <f ca="1">WORLDCUP!AA104</f>
        <v>1F</v>
      </c>
      <c r="N133" s="25"/>
      <c r="O133" s="25"/>
      <c r="P133" s="25"/>
      <c r="Q133" s="25"/>
      <c r="R133" s="108"/>
      <c r="S133" s="796" t="s">
        <v>111</v>
      </c>
      <c r="T133" s="72">
        <f t="shared" ca="1" si="5239"/>
        <v>0</v>
      </c>
      <c r="U133" s="63"/>
      <c r="V133" s="73" t="s">
        <v>111</v>
      </c>
      <c r="W133" s="72">
        <f t="shared" ca="1" si="5240"/>
        <v>0</v>
      </c>
      <c r="X133" s="63"/>
      <c r="Y133" s="796" t="s">
        <v>111</v>
      </c>
      <c r="Z133" s="72">
        <f t="shared" ca="1" si="5241"/>
        <v>0</v>
      </c>
      <c r="AA133" s="63"/>
      <c r="AB133" s="796" t="s">
        <v>111</v>
      </c>
      <c r="AC133" s="72">
        <f t="shared" ca="1" si="5242"/>
        <v>0</v>
      </c>
      <c r="AD133" s="63"/>
      <c r="AE133" s="796" t="s">
        <v>111</v>
      </c>
      <c r="AF133" s="72">
        <f t="shared" ca="1" si="5243"/>
        <v>0</v>
      </c>
      <c r="AG133" s="63"/>
      <c r="AH133" s="796" t="s">
        <v>111</v>
      </c>
      <c r="AI133" s="72">
        <f t="shared" ca="1" si="5244"/>
        <v>0</v>
      </c>
      <c r="AJ133" s="63"/>
      <c r="AK133" s="806" t="s">
        <v>111</v>
      </c>
      <c r="AL133" s="72">
        <f t="shared" ca="1" si="5245"/>
        <v>0</v>
      </c>
      <c r="AM133" s="63"/>
      <c r="AN133" s="796" t="s">
        <v>111</v>
      </c>
      <c r="AO133" s="72">
        <f t="shared" ca="1" si="5246"/>
        <v>0</v>
      </c>
      <c r="AP133" s="63"/>
      <c r="AQ133" s="806" t="s">
        <v>111</v>
      </c>
      <c r="AR133" s="72">
        <f t="shared" ca="1" si="5247"/>
        <v>0</v>
      </c>
      <c r="AS133" s="63"/>
      <c r="AT133" s="796" t="s">
        <v>111</v>
      </c>
      <c r="AU133" s="72">
        <f t="shared" ca="1" si="5248"/>
        <v>0</v>
      </c>
      <c r="AV133" s="63"/>
      <c r="AW133" s="796" t="s">
        <v>111</v>
      </c>
      <c r="AX133" s="72">
        <f t="shared" ca="1" si="5249"/>
        <v>0</v>
      </c>
      <c r="AY133" s="63"/>
      <c r="AZ133" s="796" t="s">
        <v>1322</v>
      </c>
      <c r="BA133" s="72">
        <f t="shared" ca="1" si="5250"/>
        <v>0</v>
      </c>
      <c r="BB133" s="63"/>
      <c r="BC133" s="796" t="s">
        <v>111</v>
      </c>
      <c r="BD133" s="72">
        <f t="shared" ca="1" si="5251"/>
        <v>0</v>
      </c>
      <c r="BE133" s="63"/>
      <c r="BF133" s="796" t="s">
        <v>111</v>
      </c>
      <c r="BG133" s="72">
        <f t="shared" ca="1" si="5252"/>
        <v>0</v>
      </c>
      <c r="BH133" s="63"/>
      <c r="BI133" s="796" t="s">
        <v>1263</v>
      </c>
      <c r="BJ133" s="72">
        <f t="shared" ca="1" si="5253"/>
        <v>0</v>
      </c>
      <c r="BK133" s="63"/>
      <c r="BL133" s="796" t="s">
        <v>111</v>
      </c>
      <c r="BM133" s="72">
        <f t="shared" ca="1" si="5254"/>
        <v>0</v>
      </c>
      <c r="BN133" s="63"/>
      <c r="BO133" s="816" t="s">
        <v>111</v>
      </c>
      <c r="BP133" s="72">
        <f t="shared" ca="1" si="5255"/>
        <v>0</v>
      </c>
      <c r="BQ133" s="63"/>
      <c r="BR133" s="796" t="s">
        <v>111</v>
      </c>
      <c r="BS133" s="72">
        <f t="shared" ca="1" si="5256"/>
        <v>0</v>
      </c>
      <c r="BT133" s="63"/>
      <c r="BU133" s="796" t="s">
        <v>1263</v>
      </c>
      <c r="BV133" s="72">
        <f t="shared" ca="1" si="5257"/>
        <v>0</v>
      </c>
      <c r="BW133" s="63"/>
      <c r="BX133" s="73" t="s">
        <v>111</v>
      </c>
      <c r="BY133" s="72">
        <f t="shared" ca="1" si="5258"/>
        <v>0</v>
      </c>
      <c r="BZ133" s="63"/>
      <c r="CA133" s="816" t="s">
        <v>111</v>
      </c>
      <c r="CB133" s="72">
        <f t="shared" ca="1" si="5259"/>
        <v>0</v>
      </c>
      <c r="CC133" s="63"/>
      <c r="CD133" s="825" t="s">
        <v>111</v>
      </c>
      <c r="CE133" s="72">
        <f t="shared" ca="1" si="5260"/>
        <v>0</v>
      </c>
      <c r="CF133" s="63"/>
      <c r="CG133" s="796" t="s">
        <v>111</v>
      </c>
      <c r="CH133" s="72">
        <f t="shared" ca="1" si="5261"/>
        <v>0</v>
      </c>
      <c r="CI133" s="63"/>
      <c r="CJ133" s="796" t="s">
        <v>111</v>
      </c>
      <c r="CK133" s="72">
        <f t="shared" ca="1" si="5262"/>
        <v>0</v>
      </c>
      <c r="CL133" s="63"/>
      <c r="CM133" s="796" t="s">
        <v>111</v>
      </c>
      <c r="CN133" s="72">
        <f t="shared" ca="1" si="5263"/>
        <v>0</v>
      </c>
      <c r="CO133" s="63"/>
      <c r="CP133" s="796" t="s">
        <v>1263</v>
      </c>
      <c r="CQ133" s="72">
        <f t="shared" ca="1" si="5264"/>
        <v>0</v>
      </c>
      <c r="CR133" s="63"/>
      <c r="CS133" s="796" t="s">
        <v>1263</v>
      </c>
      <c r="CT133" s="72">
        <f t="shared" ca="1" si="5265"/>
        <v>0</v>
      </c>
      <c r="CU133" s="63"/>
      <c r="CV133" s="796" t="s">
        <v>1263</v>
      </c>
      <c r="CW133" s="72">
        <f t="shared" ca="1" si="5266"/>
        <v>0</v>
      </c>
      <c r="CX133" s="63"/>
      <c r="CY133" s="796" t="s">
        <v>111</v>
      </c>
      <c r="CZ133" s="72">
        <f t="shared" ca="1" si="5267"/>
        <v>0</v>
      </c>
      <c r="DA133" s="63"/>
      <c r="DB133" s="796" t="s">
        <v>1263</v>
      </c>
      <c r="DC133" s="72">
        <f t="shared" ca="1" si="5268"/>
        <v>0</v>
      </c>
      <c r="DD133" s="63"/>
      <c r="DE133" s="796" t="s">
        <v>1263</v>
      </c>
      <c r="DF133" s="72">
        <f t="shared" ca="1" si="5269"/>
        <v>0</v>
      </c>
      <c r="DG133" s="63"/>
      <c r="DH133" s="796" t="s">
        <v>111</v>
      </c>
      <c r="DI133" s="72">
        <f t="shared" ca="1" si="5270"/>
        <v>0</v>
      </c>
      <c r="DJ133" s="63"/>
      <c r="DK133" s="796" t="s">
        <v>111</v>
      </c>
      <c r="DL133" s="72">
        <f t="shared" ca="1" si="5271"/>
        <v>0</v>
      </c>
      <c r="DM133" s="63"/>
      <c r="DN133" s="73"/>
      <c r="DO133" s="72">
        <f t="shared" ca="1" si="5272"/>
        <v>0</v>
      </c>
      <c r="DP133" s="63"/>
      <c r="DQ133" s="796" t="s">
        <v>111</v>
      </c>
      <c r="DR133" s="72">
        <f t="shared" ca="1" si="5273"/>
        <v>0</v>
      </c>
      <c r="DS133" s="63"/>
      <c r="DT133" s="73" t="s">
        <v>111</v>
      </c>
      <c r="DU133" s="72">
        <f t="shared" ca="1" si="5274"/>
        <v>0</v>
      </c>
      <c r="DV133" s="63"/>
      <c r="DW133" s="73"/>
      <c r="DX133" s="72">
        <f t="shared" ca="1" si="5275"/>
        <v>0</v>
      </c>
      <c r="DY133" s="63"/>
      <c r="DZ133" s="73"/>
      <c r="EA133" s="72">
        <f t="shared" ca="1" si="5276"/>
        <v>0</v>
      </c>
      <c r="EB133" s="63"/>
      <c r="EC133" s="73"/>
      <c r="ED133" s="72">
        <f t="shared" ca="1" si="5277"/>
        <v>0</v>
      </c>
      <c r="EE133" s="63"/>
      <c r="EF133" s="73"/>
      <c r="EG133" s="72">
        <f t="shared" ca="1" si="5278"/>
        <v>0</v>
      </c>
      <c r="EH133" s="63"/>
      <c r="EI133" s="73"/>
      <c r="EJ133" s="72">
        <f t="shared" ca="1" si="5279"/>
        <v>0</v>
      </c>
      <c r="EK133" s="63"/>
      <c r="EL133" s="73"/>
      <c r="EM133" s="72">
        <f t="shared" ca="1" si="5280"/>
        <v>0</v>
      </c>
      <c r="EN133" s="63"/>
      <c r="EO133" s="73"/>
      <c r="EP133" s="72">
        <f t="shared" ca="1" si="5281"/>
        <v>0</v>
      </c>
      <c r="EQ133" s="63"/>
      <c r="ER133" s="73"/>
      <c r="ES133" s="72">
        <f t="shared" ca="1" si="5282"/>
        <v>0</v>
      </c>
      <c r="ET133" s="63"/>
      <c r="EU133" s="73"/>
      <c r="EV133" s="72">
        <f t="shared" ca="1" si="5283"/>
        <v>0</v>
      </c>
      <c r="EW133" s="63"/>
      <c r="EX133" s="73"/>
      <c r="EY133" s="72">
        <f t="shared" ca="1" si="5284"/>
        <v>0</v>
      </c>
      <c r="EZ133" s="63"/>
      <c r="FA133" s="73"/>
      <c r="FB133" s="72">
        <f t="shared" ca="1" si="5285"/>
        <v>0</v>
      </c>
      <c r="FC133" s="63"/>
      <c r="FD133" s="73"/>
      <c r="FE133" s="72">
        <f t="shared" ca="1" si="5286"/>
        <v>0</v>
      </c>
      <c r="FF133" s="63"/>
      <c r="FG133" s="73"/>
      <c r="FH133" s="72">
        <f t="shared" ca="1" si="5287"/>
        <v>0</v>
      </c>
      <c r="FI133" s="63"/>
      <c r="FJ133" s="73"/>
      <c r="FK133" s="72">
        <f t="shared" ca="1" si="5288"/>
        <v>0</v>
      </c>
      <c r="FL133" s="63"/>
      <c r="FM133" s="73"/>
      <c r="FN133" s="72">
        <f t="shared" ca="1" si="5289"/>
        <v>0</v>
      </c>
      <c r="FO133" s="63"/>
      <c r="FP133" s="73"/>
      <c r="FQ133" s="72">
        <f t="shared" ca="1" si="5290"/>
        <v>0</v>
      </c>
      <c r="FR133" s="63"/>
      <c r="FS133" s="73"/>
      <c r="FT133" s="72">
        <f t="shared" ca="1" si="5291"/>
        <v>0</v>
      </c>
      <c r="FU133" s="63"/>
      <c r="FV133" s="73"/>
      <c r="FW133" s="72">
        <f t="shared" ca="1" si="5292"/>
        <v>0</v>
      </c>
      <c r="FX133" s="63"/>
      <c r="FY133" s="73"/>
      <c r="FZ133" s="72">
        <f t="shared" ca="1" si="5293"/>
        <v>0</v>
      </c>
      <c r="GA133" s="63"/>
      <c r="GB133" s="73"/>
      <c r="GC133" s="72">
        <f t="shared" ca="1" si="5294"/>
        <v>0</v>
      </c>
      <c r="GD133" s="63"/>
      <c r="GE133" s="73"/>
      <c r="GF133" s="72">
        <f t="shared" ca="1" si="5295"/>
        <v>0</v>
      </c>
      <c r="GG133" s="63"/>
      <c r="GH133" s="73"/>
      <c r="GI133" s="72">
        <f t="shared" ca="1" si="5296"/>
        <v>0</v>
      </c>
      <c r="GJ133" s="63"/>
      <c r="GK133" s="73"/>
      <c r="GL133" s="72">
        <f t="shared" ca="1" si="5297"/>
        <v>0</v>
      </c>
      <c r="GM133" s="63"/>
      <c r="GN133" s="73"/>
      <c r="GO133" s="72">
        <f t="shared" ca="1" si="5298"/>
        <v>0</v>
      </c>
      <c r="GP133" s="63"/>
      <c r="GQ133" s="73"/>
      <c r="GR133" s="72">
        <f t="shared" ca="1" si="5299"/>
        <v>0</v>
      </c>
      <c r="GS133" s="63"/>
      <c r="GT133" s="73"/>
      <c r="GU133" s="72">
        <f t="shared" ca="1" si="5300"/>
        <v>0</v>
      </c>
      <c r="GV133" s="63"/>
      <c r="GW133" s="73"/>
      <c r="GX133" s="72">
        <f t="shared" ca="1" si="5301"/>
        <v>0</v>
      </c>
      <c r="GY133" s="63"/>
      <c r="GZ133" s="73"/>
      <c r="HA133" s="72">
        <f t="shared" ca="1" si="5302"/>
        <v>0</v>
      </c>
      <c r="HB133" s="63"/>
      <c r="HC133" s="73"/>
      <c r="HD133" s="72">
        <f t="shared" ca="1" si="5303"/>
        <v>0</v>
      </c>
      <c r="HE133" s="63"/>
      <c r="HF133" s="73"/>
      <c r="HG133" s="72">
        <f t="shared" ca="1" si="5304"/>
        <v>0</v>
      </c>
      <c r="HH133" s="63"/>
      <c r="HI133" s="73"/>
      <c r="HJ133" s="72">
        <f t="shared" ca="1" si="5305"/>
        <v>0</v>
      </c>
      <c r="HK133" s="63"/>
      <c r="HL133" s="73"/>
      <c r="HM133" s="72">
        <f t="shared" ca="1" si="5306"/>
        <v>0</v>
      </c>
      <c r="HN133" s="63"/>
      <c r="HO133" s="73"/>
      <c r="HP133" s="72">
        <f t="shared" ca="1" si="5307"/>
        <v>0</v>
      </c>
      <c r="HQ133" s="63"/>
      <c r="HR133" s="73"/>
      <c r="HS133" s="72">
        <f t="shared" ca="1" si="5308"/>
        <v>0</v>
      </c>
      <c r="HT133" s="63"/>
      <c r="HU133" s="73"/>
      <c r="HV133" s="72">
        <f t="shared" ca="1" si="5309"/>
        <v>0</v>
      </c>
      <c r="HW133" s="63"/>
      <c r="HX133" s="73"/>
      <c r="HY133" s="72">
        <f t="shared" ca="1" si="5310"/>
        <v>0</v>
      </c>
      <c r="HZ133" s="63"/>
      <c r="IA133" s="73"/>
      <c r="IB133" s="72">
        <f t="shared" ca="1" si="5311"/>
        <v>0</v>
      </c>
      <c r="IC133" s="63"/>
      <c r="ID133" s="73"/>
      <c r="IE133" s="72">
        <f t="shared" ca="1" si="5312"/>
        <v>0</v>
      </c>
      <c r="IF133" s="63"/>
      <c r="IG133" s="73"/>
      <c r="IH133" s="72">
        <f t="shared" ca="1" si="5313"/>
        <v>0</v>
      </c>
      <c r="II133" s="63"/>
      <c r="IJ133" s="73"/>
      <c r="IK133" s="72">
        <f t="shared" ca="1" si="5314"/>
        <v>0</v>
      </c>
      <c r="IL133" s="63"/>
      <c r="IM133" s="73"/>
      <c r="IN133" s="72">
        <f t="shared" ca="1" si="5315"/>
        <v>0</v>
      </c>
      <c r="IO133" s="63"/>
      <c r="IP133" s="73"/>
      <c r="IQ133" s="72">
        <f t="shared" ca="1" si="5316"/>
        <v>0</v>
      </c>
      <c r="IR133" s="63"/>
      <c r="IS133" s="73"/>
      <c r="IT133" s="72">
        <f t="shared" ca="1" si="5317"/>
        <v>0</v>
      </c>
      <c r="IU133" s="63"/>
      <c r="IV133" s="73"/>
      <c r="IW133" s="72">
        <f t="shared" ca="1" si="5318"/>
        <v>0</v>
      </c>
      <c r="IX133" s="63"/>
      <c r="IY133" s="73"/>
      <c r="IZ133" s="72">
        <f t="shared" ca="1" si="5319"/>
        <v>0</v>
      </c>
      <c r="JA133" s="63"/>
      <c r="JB133" s="73"/>
      <c r="JC133" s="72">
        <f t="shared" ca="1" si="5320"/>
        <v>0</v>
      </c>
      <c r="JD133" s="63"/>
      <c r="JE133" s="73"/>
      <c r="JF133" s="72">
        <f t="shared" ca="1" si="5321"/>
        <v>0</v>
      </c>
      <c r="JG133" s="63"/>
      <c r="JH133" s="73"/>
      <c r="JI133" s="72">
        <f t="shared" ca="1" si="5322"/>
        <v>0</v>
      </c>
      <c r="JJ133" s="63"/>
      <c r="JK133" s="73"/>
      <c r="JL133" s="72">
        <f t="shared" ca="1" si="5323"/>
        <v>0</v>
      </c>
      <c r="JM133" s="63"/>
      <c r="JN133" s="73"/>
      <c r="JO133" s="72">
        <f t="shared" ca="1" si="5324"/>
        <v>0</v>
      </c>
      <c r="JP133" s="63"/>
      <c r="JQ133" s="73"/>
      <c r="JR133" s="72">
        <f t="shared" ca="1" si="5325"/>
        <v>0</v>
      </c>
      <c r="JS133" s="63"/>
      <c r="JT133" s="73"/>
      <c r="JU133" s="72">
        <f t="shared" ca="1" si="5326"/>
        <v>0</v>
      </c>
      <c r="JV133" s="63"/>
      <c r="JW133" s="73"/>
      <c r="JX133" s="72">
        <f t="shared" ca="1" si="5327"/>
        <v>0</v>
      </c>
      <c r="JY133" s="63"/>
      <c r="JZ133" s="73"/>
      <c r="KA133" s="72">
        <f t="shared" ca="1" si="5328"/>
        <v>0</v>
      </c>
      <c r="KB133" s="63"/>
      <c r="KC133" s="73"/>
      <c r="KD133" s="72">
        <f t="shared" ca="1" si="5329"/>
        <v>0</v>
      </c>
      <c r="KE133" s="63"/>
      <c r="KF133" s="73"/>
      <c r="KG133" s="72">
        <f t="shared" ca="1" si="5330"/>
        <v>0</v>
      </c>
      <c r="KH133" s="63"/>
      <c r="KI133" s="73"/>
      <c r="KJ133" s="72">
        <f t="shared" ca="1" si="5331"/>
        <v>0</v>
      </c>
      <c r="KK133" s="63"/>
      <c r="KL133" s="73"/>
      <c r="KM133" s="72">
        <f t="shared" ca="1" si="5332"/>
        <v>0</v>
      </c>
      <c r="KN133" s="63"/>
      <c r="KO133" s="73"/>
      <c r="KP133" s="72">
        <f t="shared" ca="1" si="5333"/>
        <v>0</v>
      </c>
      <c r="KQ133" s="63"/>
      <c r="KR133" s="73"/>
      <c r="KS133" s="72">
        <f t="shared" ca="1" si="5334"/>
        <v>0</v>
      </c>
      <c r="KT133" s="63"/>
      <c r="KU133" s="73"/>
      <c r="KV133" s="72">
        <f t="shared" ca="1" si="5335"/>
        <v>0</v>
      </c>
      <c r="KW133" s="63"/>
      <c r="KX133" s="73"/>
      <c r="KY133" s="72">
        <f t="shared" ca="1" si="5336"/>
        <v>0</v>
      </c>
      <c r="KZ133" s="63"/>
      <c r="LA133" s="73"/>
      <c r="LB133" s="72">
        <f t="shared" ca="1" si="5337"/>
        <v>0</v>
      </c>
      <c r="LC133" s="63"/>
      <c r="LD133" s="73"/>
      <c r="LE133" s="72">
        <f t="shared" ca="1" si="5338"/>
        <v>0</v>
      </c>
      <c r="LF133" s="63"/>
    </row>
    <row r="134" spans="1:318" s="784" customFormat="1">
      <c r="A134" s="49"/>
      <c r="B134" s="49"/>
      <c r="C134" s="49"/>
      <c r="D134" s="49"/>
      <c r="E134" s="64"/>
      <c r="F134" s="125">
        <f t="shared" si="5339"/>
        <v>15</v>
      </c>
      <c r="G134" s="443">
        <f ca="1">VLOOKUP(H134,Equipos!$Q$1:$R$25,2,0)</f>
        <v>19</v>
      </c>
      <c r="H134" s="445" t="str">
        <f>Idiomas!$D$137</f>
        <v>CLASIFICADOS PARA DIECISEISAVOS</v>
      </c>
      <c r="I134" s="50"/>
      <c r="J134" s="843"/>
      <c r="K134" s="56" t="str">
        <f>Idiomas!$D$198&amp;"-"&amp;ROWS($L$130:L134)</f>
        <v>Dieciseisavofinalista-5</v>
      </c>
      <c r="L134" s="53"/>
      <c r="M134" s="55" t="str">
        <f ca="1">WORLDCUP!AA105</f>
        <v>2E</v>
      </c>
      <c r="N134" s="25"/>
      <c r="O134" s="25"/>
      <c r="P134" s="25"/>
      <c r="Q134" s="25"/>
      <c r="R134" s="108"/>
      <c r="S134" s="796" t="s">
        <v>1261</v>
      </c>
      <c r="T134" s="72">
        <f t="shared" ca="1" si="5239"/>
        <v>0</v>
      </c>
      <c r="U134" s="63"/>
      <c r="V134" s="73" t="s">
        <v>1261</v>
      </c>
      <c r="W134" s="72">
        <f t="shared" ca="1" si="5240"/>
        <v>0</v>
      </c>
      <c r="X134" s="63"/>
      <c r="Y134" s="796" t="s">
        <v>77</v>
      </c>
      <c r="Z134" s="72">
        <f t="shared" ca="1" si="5241"/>
        <v>0</v>
      </c>
      <c r="AA134" s="63"/>
      <c r="AB134" s="796" t="s">
        <v>1261</v>
      </c>
      <c r="AC134" s="72">
        <f t="shared" ca="1" si="5242"/>
        <v>0</v>
      </c>
      <c r="AD134" s="63"/>
      <c r="AE134" s="796" t="s">
        <v>1261</v>
      </c>
      <c r="AF134" s="72">
        <f t="shared" ca="1" si="5243"/>
        <v>0</v>
      </c>
      <c r="AG134" s="63"/>
      <c r="AH134" s="796" t="s">
        <v>1261</v>
      </c>
      <c r="AI134" s="72">
        <f t="shared" ca="1" si="5244"/>
        <v>0</v>
      </c>
      <c r="AJ134" s="63"/>
      <c r="AK134" s="806" t="s">
        <v>1261</v>
      </c>
      <c r="AL134" s="72">
        <f t="shared" ca="1" si="5245"/>
        <v>0</v>
      </c>
      <c r="AM134" s="63"/>
      <c r="AN134" s="796" t="s">
        <v>1261</v>
      </c>
      <c r="AO134" s="72">
        <f t="shared" ca="1" si="5246"/>
        <v>0</v>
      </c>
      <c r="AP134" s="63"/>
      <c r="AQ134" s="806" t="s">
        <v>1261</v>
      </c>
      <c r="AR134" s="72">
        <f t="shared" ca="1" si="5247"/>
        <v>0</v>
      </c>
      <c r="AS134" s="63"/>
      <c r="AT134" s="796" t="s">
        <v>77</v>
      </c>
      <c r="AU134" s="72">
        <f t="shared" ca="1" si="5248"/>
        <v>0</v>
      </c>
      <c r="AV134" s="63"/>
      <c r="AW134" s="796" t="s">
        <v>1261</v>
      </c>
      <c r="AX134" s="72">
        <f t="shared" ca="1" si="5249"/>
        <v>0</v>
      </c>
      <c r="AY134" s="63"/>
      <c r="AZ134" s="796" t="s">
        <v>1633</v>
      </c>
      <c r="BA134" s="72">
        <f t="shared" ca="1" si="5250"/>
        <v>0</v>
      </c>
      <c r="BB134" s="63"/>
      <c r="BC134" s="796" t="s">
        <v>1261</v>
      </c>
      <c r="BD134" s="72">
        <f t="shared" ca="1" si="5251"/>
        <v>0</v>
      </c>
      <c r="BE134" s="63"/>
      <c r="BF134" s="796" t="s">
        <v>77</v>
      </c>
      <c r="BG134" s="72">
        <f t="shared" ca="1" si="5252"/>
        <v>0</v>
      </c>
      <c r="BH134" s="63"/>
      <c r="BI134" s="796" t="s">
        <v>1633</v>
      </c>
      <c r="BJ134" s="72">
        <f t="shared" ca="1" si="5253"/>
        <v>0</v>
      </c>
      <c r="BK134" s="63"/>
      <c r="BL134" s="796" t="s">
        <v>1633</v>
      </c>
      <c r="BM134" s="72">
        <f t="shared" ca="1" si="5254"/>
        <v>0</v>
      </c>
      <c r="BN134" s="63"/>
      <c r="BO134" s="816" t="s">
        <v>1261</v>
      </c>
      <c r="BP134" s="72">
        <f t="shared" ca="1" si="5255"/>
        <v>0</v>
      </c>
      <c r="BQ134" s="63"/>
      <c r="BR134" s="796" t="s">
        <v>1261</v>
      </c>
      <c r="BS134" s="72">
        <f t="shared" ca="1" si="5256"/>
        <v>0</v>
      </c>
      <c r="BT134" s="63"/>
      <c r="BU134" s="796" t="s">
        <v>1261</v>
      </c>
      <c r="BV134" s="72">
        <f t="shared" ca="1" si="5257"/>
        <v>0</v>
      </c>
      <c r="BW134" s="63"/>
      <c r="BX134" s="73" t="s">
        <v>1261</v>
      </c>
      <c r="BY134" s="72">
        <f t="shared" ca="1" si="5258"/>
        <v>0</v>
      </c>
      <c r="BZ134" s="63"/>
      <c r="CA134" s="816" t="s">
        <v>1261</v>
      </c>
      <c r="CB134" s="72">
        <f t="shared" ca="1" si="5259"/>
        <v>0</v>
      </c>
      <c r="CC134" s="63"/>
      <c r="CD134" s="825" t="s">
        <v>1261</v>
      </c>
      <c r="CE134" s="72">
        <f t="shared" ca="1" si="5260"/>
        <v>0</v>
      </c>
      <c r="CF134" s="63"/>
      <c r="CG134" s="796" t="s">
        <v>1261</v>
      </c>
      <c r="CH134" s="72">
        <f t="shared" ca="1" si="5261"/>
        <v>0</v>
      </c>
      <c r="CI134" s="63"/>
      <c r="CJ134" s="796" t="s">
        <v>1261</v>
      </c>
      <c r="CK134" s="72">
        <f t="shared" ca="1" si="5262"/>
        <v>0</v>
      </c>
      <c r="CL134" s="63"/>
      <c r="CM134" s="796" t="s">
        <v>1261</v>
      </c>
      <c r="CN134" s="72">
        <f t="shared" ca="1" si="5263"/>
        <v>0</v>
      </c>
      <c r="CO134" s="63"/>
      <c r="CP134" s="796" t="s">
        <v>1261</v>
      </c>
      <c r="CQ134" s="72">
        <f t="shared" ca="1" si="5264"/>
        <v>0</v>
      </c>
      <c r="CR134" s="63"/>
      <c r="CS134" s="796" t="s">
        <v>1261</v>
      </c>
      <c r="CT134" s="72">
        <f t="shared" ca="1" si="5265"/>
        <v>0</v>
      </c>
      <c r="CU134" s="63"/>
      <c r="CV134" s="796" t="s">
        <v>77</v>
      </c>
      <c r="CW134" s="72">
        <f t="shared" ca="1" si="5266"/>
        <v>0</v>
      </c>
      <c r="CX134" s="63"/>
      <c r="CY134" s="796" t="s">
        <v>1261</v>
      </c>
      <c r="CZ134" s="72">
        <f t="shared" ca="1" si="5267"/>
        <v>0</v>
      </c>
      <c r="DA134" s="63"/>
      <c r="DB134" s="796" t="s">
        <v>1261</v>
      </c>
      <c r="DC134" s="72">
        <f t="shared" ca="1" si="5268"/>
        <v>0</v>
      </c>
      <c r="DD134" s="63"/>
      <c r="DE134" s="796" t="s">
        <v>1633</v>
      </c>
      <c r="DF134" s="72">
        <f t="shared" ca="1" si="5269"/>
        <v>0</v>
      </c>
      <c r="DG134" s="63"/>
      <c r="DH134" s="796" t="s">
        <v>1261</v>
      </c>
      <c r="DI134" s="72">
        <f t="shared" ca="1" si="5270"/>
        <v>0</v>
      </c>
      <c r="DJ134" s="63"/>
      <c r="DK134" s="796" t="s">
        <v>1261</v>
      </c>
      <c r="DL134" s="72">
        <f t="shared" ca="1" si="5271"/>
        <v>0</v>
      </c>
      <c r="DM134" s="63"/>
      <c r="DN134" s="73"/>
      <c r="DO134" s="72">
        <f t="shared" ca="1" si="5272"/>
        <v>0</v>
      </c>
      <c r="DP134" s="63"/>
      <c r="DQ134" s="796" t="s">
        <v>1261</v>
      </c>
      <c r="DR134" s="72">
        <f t="shared" ca="1" si="5273"/>
        <v>0</v>
      </c>
      <c r="DS134" s="63"/>
      <c r="DT134" s="73" t="s">
        <v>1261</v>
      </c>
      <c r="DU134" s="72">
        <f t="shared" ca="1" si="5274"/>
        <v>0</v>
      </c>
      <c r="DV134" s="63"/>
      <c r="DW134" s="73"/>
      <c r="DX134" s="72">
        <f t="shared" ca="1" si="5275"/>
        <v>0</v>
      </c>
      <c r="DY134" s="63"/>
      <c r="DZ134" s="73"/>
      <c r="EA134" s="72">
        <f t="shared" ca="1" si="5276"/>
        <v>0</v>
      </c>
      <c r="EB134" s="63"/>
      <c r="EC134" s="73"/>
      <c r="ED134" s="72">
        <f t="shared" ca="1" si="5277"/>
        <v>0</v>
      </c>
      <c r="EE134" s="63"/>
      <c r="EF134" s="73"/>
      <c r="EG134" s="72">
        <f t="shared" ca="1" si="5278"/>
        <v>0</v>
      </c>
      <c r="EH134" s="63"/>
      <c r="EI134" s="73"/>
      <c r="EJ134" s="72">
        <f t="shared" ca="1" si="5279"/>
        <v>0</v>
      </c>
      <c r="EK134" s="63"/>
      <c r="EL134" s="73"/>
      <c r="EM134" s="72">
        <f t="shared" ca="1" si="5280"/>
        <v>0</v>
      </c>
      <c r="EN134" s="63"/>
      <c r="EO134" s="73"/>
      <c r="EP134" s="72">
        <f t="shared" ca="1" si="5281"/>
        <v>0</v>
      </c>
      <c r="EQ134" s="63"/>
      <c r="ER134" s="73"/>
      <c r="ES134" s="72">
        <f t="shared" ca="1" si="5282"/>
        <v>0</v>
      </c>
      <c r="ET134" s="63"/>
      <c r="EU134" s="73"/>
      <c r="EV134" s="72">
        <f t="shared" ca="1" si="5283"/>
        <v>0</v>
      </c>
      <c r="EW134" s="63"/>
      <c r="EX134" s="73"/>
      <c r="EY134" s="72">
        <f t="shared" ca="1" si="5284"/>
        <v>0</v>
      </c>
      <c r="EZ134" s="63"/>
      <c r="FA134" s="73"/>
      <c r="FB134" s="72">
        <f t="shared" ca="1" si="5285"/>
        <v>0</v>
      </c>
      <c r="FC134" s="63"/>
      <c r="FD134" s="73"/>
      <c r="FE134" s="72">
        <f t="shared" ca="1" si="5286"/>
        <v>0</v>
      </c>
      <c r="FF134" s="63"/>
      <c r="FG134" s="73"/>
      <c r="FH134" s="72">
        <f t="shared" ca="1" si="5287"/>
        <v>0</v>
      </c>
      <c r="FI134" s="63"/>
      <c r="FJ134" s="73"/>
      <c r="FK134" s="72">
        <f t="shared" ca="1" si="5288"/>
        <v>0</v>
      </c>
      <c r="FL134" s="63"/>
      <c r="FM134" s="73"/>
      <c r="FN134" s="72">
        <f t="shared" ca="1" si="5289"/>
        <v>0</v>
      </c>
      <c r="FO134" s="63"/>
      <c r="FP134" s="73"/>
      <c r="FQ134" s="72">
        <f t="shared" ca="1" si="5290"/>
        <v>0</v>
      </c>
      <c r="FR134" s="63"/>
      <c r="FS134" s="73"/>
      <c r="FT134" s="72">
        <f t="shared" ca="1" si="5291"/>
        <v>0</v>
      </c>
      <c r="FU134" s="63"/>
      <c r="FV134" s="73"/>
      <c r="FW134" s="72">
        <f t="shared" ca="1" si="5292"/>
        <v>0</v>
      </c>
      <c r="FX134" s="63"/>
      <c r="FY134" s="73"/>
      <c r="FZ134" s="72">
        <f t="shared" ca="1" si="5293"/>
        <v>0</v>
      </c>
      <c r="GA134" s="63"/>
      <c r="GB134" s="73"/>
      <c r="GC134" s="72">
        <f t="shared" ca="1" si="5294"/>
        <v>0</v>
      </c>
      <c r="GD134" s="63"/>
      <c r="GE134" s="73"/>
      <c r="GF134" s="72">
        <f t="shared" ca="1" si="5295"/>
        <v>0</v>
      </c>
      <c r="GG134" s="63"/>
      <c r="GH134" s="73"/>
      <c r="GI134" s="72">
        <f t="shared" ca="1" si="5296"/>
        <v>0</v>
      </c>
      <c r="GJ134" s="63"/>
      <c r="GK134" s="73"/>
      <c r="GL134" s="72">
        <f t="shared" ca="1" si="5297"/>
        <v>0</v>
      </c>
      <c r="GM134" s="63"/>
      <c r="GN134" s="73"/>
      <c r="GO134" s="72">
        <f t="shared" ca="1" si="5298"/>
        <v>0</v>
      </c>
      <c r="GP134" s="63"/>
      <c r="GQ134" s="73"/>
      <c r="GR134" s="72">
        <f t="shared" ca="1" si="5299"/>
        <v>0</v>
      </c>
      <c r="GS134" s="63"/>
      <c r="GT134" s="73"/>
      <c r="GU134" s="72">
        <f t="shared" ca="1" si="5300"/>
        <v>0</v>
      </c>
      <c r="GV134" s="63"/>
      <c r="GW134" s="73"/>
      <c r="GX134" s="72">
        <f t="shared" ca="1" si="5301"/>
        <v>0</v>
      </c>
      <c r="GY134" s="63"/>
      <c r="GZ134" s="73"/>
      <c r="HA134" s="72">
        <f t="shared" ca="1" si="5302"/>
        <v>0</v>
      </c>
      <c r="HB134" s="63"/>
      <c r="HC134" s="73"/>
      <c r="HD134" s="72">
        <f t="shared" ca="1" si="5303"/>
        <v>0</v>
      </c>
      <c r="HE134" s="63"/>
      <c r="HF134" s="73"/>
      <c r="HG134" s="72">
        <f t="shared" ca="1" si="5304"/>
        <v>0</v>
      </c>
      <c r="HH134" s="63"/>
      <c r="HI134" s="73"/>
      <c r="HJ134" s="72">
        <f t="shared" ca="1" si="5305"/>
        <v>0</v>
      </c>
      <c r="HK134" s="63"/>
      <c r="HL134" s="73"/>
      <c r="HM134" s="72">
        <f t="shared" ca="1" si="5306"/>
        <v>0</v>
      </c>
      <c r="HN134" s="63"/>
      <c r="HO134" s="73"/>
      <c r="HP134" s="72">
        <f t="shared" ca="1" si="5307"/>
        <v>0</v>
      </c>
      <c r="HQ134" s="63"/>
      <c r="HR134" s="73"/>
      <c r="HS134" s="72">
        <f t="shared" ca="1" si="5308"/>
        <v>0</v>
      </c>
      <c r="HT134" s="63"/>
      <c r="HU134" s="73"/>
      <c r="HV134" s="72">
        <f t="shared" ca="1" si="5309"/>
        <v>0</v>
      </c>
      <c r="HW134" s="63"/>
      <c r="HX134" s="73"/>
      <c r="HY134" s="72">
        <f t="shared" ca="1" si="5310"/>
        <v>0</v>
      </c>
      <c r="HZ134" s="63"/>
      <c r="IA134" s="73"/>
      <c r="IB134" s="72">
        <f t="shared" ca="1" si="5311"/>
        <v>0</v>
      </c>
      <c r="IC134" s="63"/>
      <c r="ID134" s="73"/>
      <c r="IE134" s="72">
        <f t="shared" ca="1" si="5312"/>
        <v>0</v>
      </c>
      <c r="IF134" s="63"/>
      <c r="IG134" s="73"/>
      <c r="IH134" s="72">
        <f t="shared" ca="1" si="5313"/>
        <v>0</v>
      </c>
      <c r="II134" s="63"/>
      <c r="IJ134" s="73"/>
      <c r="IK134" s="72">
        <f t="shared" ca="1" si="5314"/>
        <v>0</v>
      </c>
      <c r="IL134" s="63"/>
      <c r="IM134" s="73"/>
      <c r="IN134" s="72">
        <f t="shared" ca="1" si="5315"/>
        <v>0</v>
      </c>
      <c r="IO134" s="63"/>
      <c r="IP134" s="73"/>
      <c r="IQ134" s="72">
        <f t="shared" ca="1" si="5316"/>
        <v>0</v>
      </c>
      <c r="IR134" s="63"/>
      <c r="IS134" s="73"/>
      <c r="IT134" s="72">
        <f t="shared" ca="1" si="5317"/>
        <v>0</v>
      </c>
      <c r="IU134" s="63"/>
      <c r="IV134" s="73"/>
      <c r="IW134" s="72">
        <f t="shared" ca="1" si="5318"/>
        <v>0</v>
      </c>
      <c r="IX134" s="63"/>
      <c r="IY134" s="73"/>
      <c r="IZ134" s="72">
        <f t="shared" ca="1" si="5319"/>
        <v>0</v>
      </c>
      <c r="JA134" s="63"/>
      <c r="JB134" s="73"/>
      <c r="JC134" s="72">
        <f t="shared" ca="1" si="5320"/>
        <v>0</v>
      </c>
      <c r="JD134" s="63"/>
      <c r="JE134" s="73"/>
      <c r="JF134" s="72">
        <f t="shared" ca="1" si="5321"/>
        <v>0</v>
      </c>
      <c r="JG134" s="63"/>
      <c r="JH134" s="73"/>
      <c r="JI134" s="72">
        <f t="shared" ca="1" si="5322"/>
        <v>0</v>
      </c>
      <c r="JJ134" s="63"/>
      <c r="JK134" s="73"/>
      <c r="JL134" s="72">
        <f t="shared" ca="1" si="5323"/>
        <v>0</v>
      </c>
      <c r="JM134" s="63"/>
      <c r="JN134" s="73"/>
      <c r="JO134" s="72">
        <f t="shared" ca="1" si="5324"/>
        <v>0</v>
      </c>
      <c r="JP134" s="63"/>
      <c r="JQ134" s="73"/>
      <c r="JR134" s="72">
        <f t="shared" ca="1" si="5325"/>
        <v>0</v>
      </c>
      <c r="JS134" s="63"/>
      <c r="JT134" s="73"/>
      <c r="JU134" s="72">
        <f t="shared" ca="1" si="5326"/>
        <v>0</v>
      </c>
      <c r="JV134" s="63"/>
      <c r="JW134" s="73"/>
      <c r="JX134" s="72">
        <f t="shared" ca="1" si="5327"/>
        <v>0</v>
      </c>
      <c r="JY134" s="63"/>
      <c r="JZ134" s="73"/>
      <c r="KA134" s="72">
        <f t="shared" ca="1" si="5328"/>
        <v>0</v>
      </c>
      <c r="KB134" s="63"/>
      <c r="KC134" s="73"/>
      <c r="KD134" s="72">
        <f t="shared" ca="1" si="5329"/>
        <v>0</v>
      </c>
      <c r="KE134" s="63"/>
      <c r="KF134" s="73"/>
      <c r="KG134" s="72">
        <f t="shared" ca="1" si="5330"/>
        <v>0</v>
      </c>
      <c r="KH134" s="63"/>
      <c r="KI134" s="73"/>
      <c r="KJ134" s="72">
        <f t="shared" ca="1" si="5331"/>
        <v>0</v>
      </c>
      <c r="KK134" s="63"/>
      <c r="KL134" s="73"/>
      <c r="KM134" s="72">
        <f t="shared" ca="1" si="5332"/>
        <v>0</v>
      </c>
      <c r="KN134" s="63"/>
      <c r="KO134" s="73"/>
      <c r="KP134" s="72">
        <f t="shared" ca="1" si="5333"/>
        <v>0</v>
      </c>
      <c r="KQ134" s="63"/>
      <c r="KR134" s="73"/>
      <c r="KS134" s="72">
        <f t="shared" ca="1" si="5334"/>
        <v>0</v>
      </c>
      <c r="KT134" s="63"/>
      <c r="KU134" s="73"/>
      <c r="KV134" s="72">
        <f t="shared" ca="1" si="5335"/>
        <v>0</v>
      </c>
      <c r="KW134" s="63"/>
      <c r="KX134" s="73"/>
      <c r="KY134" s="72">
        <f t="shared" ca="1" si="5336"/>
        <v>0</v>
      </c>
      <c r="KZ134" s="63"/>
      <c r="LA134" s="73"/>
      <c r="LB134" s="72">
        <f t="shared" ca="1" si="5337"/>
        <v>0</v>
      </c>
      <c r="LC134" s="63"/>
      <c r="LD134" s="73"/>
      <c r="LE134" s="72">
        <f t="shared" ca="1" si="5338"/>
        <v>0</v>
      </c>
      <c r="LF134" s="63"/>
    </row>
    <row r="135" spans="1:318" s="784" customFormat="1">
      <c r="A135" s="49"/>
      <c r="B135" s="49"/>
      <c r="C135" s="49"/>
      <c r="D135" s="49"/>
      <c r="E135" s="64"/>
      <c r="F135" s="125">
        <f t="shared" si="5339"/>
        <v>15</v>
      </c>
      <c r="G135" s="443">
        <f ca="1">VLOOKUP(H135,Equipos!$Q$1:$R$25,2,0)</f>
        <v>19</v>
      </c>
      <c r="H135" s="445" t="str">
        <f>Idiomas!$D$137</f>
        <v>CLASIFICADOS PARA DIECISEISAVOS</v>
      </c>
      <c r="I135" s="50"/>
      <c r="J135" s="843"/>
      <c r="K135" s="56" t="str">
        <f>Idiomas!$D$198&amp;"-"&amp;ROWS($L$130:L135)</f>
        <v>Dieciseisavofinalista-6</v>
      </c>
      <c r="L135" s="53"/>
      <c r="M135" s="55" t="str">
        <f ca="1">WORLDCUP!AA106</f>
        <v>1I</v>
      </c>
      <c r="N135" s="25"/>
      <c r="O135" s="25"/>
      <c r="P135" s="25"/>
      <c r="Q135" s="25"/>
      <c r="R135" s="108"/>
      <c r="S135" s="796" t="s">
        <v>74</v>
      </c>
      <c r="T135" s="72">
        <f t="shared" ca="1" si="5239"/>
        <v>0</v>
      </c>
      <c r="U135" s="63"/>
      <c r="V135" s="73" t="s">
        <v>74</v>
      </c>
      <c r="W135" s="72">
        <f t="shared" ca="1" si="5240"/>
        <v>0</v>
      </c>
      <c r="X135" s="63"/>
      <c r="Y135" s="796" t="s">
        <v>74</v>
      </c>
      <c r="Z135" s="72">
        <f t="shared" ca="1" si="5241"/>
        <v>0</v>
      </c>
      <c r="AA135" s="63"/>
      <c r="AB135" s="796" t="s">
        <v>74</v>
      </c>
      <c r="AC135" s="72">
        <f t="shared" ca="1" si="5242"/>
        <v>0</v>
      </c>
      <c r="AD135" s="63"/>
      <c r="AE135" s="796" t="s">
        <v>74</v>
      </c>
      <c r="AF135" s="72">
        <f t="shared" ca="1" si="5243"/>
        <v>0</v>
      </c>
      <c r="AG135" s="63"/>
      <c r="AH135" s="796" t="s">
        <v>135</v>
      </c>
      <c r="AI135" s="72">
        <f t="shared" ca="1" si="5244"/>
        <v>0</v>
      </c>
      <c r="AJ135" s="63"/>
      <c r="AK135" s="806" t="s">
        <v>74</v>
      </c>
      <c r="AL135" s="72">
        <f t="shared" ca="1" si="5245"/>
        <v>0</v>
      </c>
      <c r="AM135" s="63"/>
      <c r="AN135" s="796" t="s">
        <v>74</v>
      </c>
      <c r="AO135" s="72">
        <f t="shared" ca="1" si="5246"/>
        <v>0</v>
      </c>
      <c r="AP135" s="63"/>
      <c r="AQ135" s="806" t="s">
        <v>74</v>
      </c>
      <c r="AR135" s="72">
        <f t="shared" ca="1" si="5247"/>
        <v>0</v>
      </c>
      <c r="AS135" s="63"/>
      <c r="AT135" s="796" t="s">
        <v>1634</v>
      </c>
      <c r="AU135" s="72">
        <f t="shared" ca="1" si="5248"/>
        <v>0</v>
      </c>
      <c r="AV135" s="63"/>
      <c r="AW135" s="796" t="s">
        <v>74</v>
      </c>
      <c r="AX135" s="72">
        <f t="shared" ca="1" si="5249"/>
        <v>0</v>
      </c>
      <c r="AY135" s="63"/>
      <c r="AZ135" s="796" t="s">
        <v>1757</v>
      </c>
      <c r="BA135" s="72">
        <f t="shared" ca="1" si="5250"/>
        <v>0</v>
      </c>
      <c r="BB135" s="63"/>
      <c r="BC135" s="796" t="s">
        <v>74</v>
      </c>
      <c r="BD135" s="72">
        <f t="shared" ca="1" si="5251"/>
        <v>0</v>
      </c>
      <c r="BE135" s="63"/>
      <c r="BF135" s="796" t="s">
        <v>135</v>
      </c>
      <c r="BG135" s="72">
        <f t="shared" ca="1" si="5252"/>
        <v>0</v>
      </c>
      <c r="BH135" s="63"/>
      <c r="BI135" s="796" t="s">
        <v>74</v>
      </c>
      <c r="BJ135" s="72">
        <f t="shared" ca="1" si="5253"/>
        <v>0</v>
      </c>
      <c r="BK135" s="63"/>
      <c r="BL135" s="796" t="s">
        <v>135</v>
      </c>
      <c r="BM135" s="72">
        <f t="shared" ca="1" si="5254"/>
        <v>0</v>
      </c>
      <c r="BN135" s="63"/>
      <c r="BO135" s="816" t="s">
        <v>74</v>
      </c>
      <c r="BP135" s="72">
        <f t="shared" ca="1" si="5255"/>
        <v>0</v>
      </c>
      <c r="BQ135" s="63"/>
      <c r="BR135" s="796" t="s">
        <v>135</v>
      </c>
      <c r="BS135" s="72">
        <f t="shared" ca="1" si="5256"/>
        <v>0</v>
      </c>
      <c r="BT135" s="63"/>
      <c r="BU135" s="796" t="s">
        <v>74</v>
      </c>
      <c r="BV135" s="72">
        <f t="shared" ca="1" si="5257"/>
        <v>0</v>
      </c>
      <c r="BW135" s="63"/>
      <c r="BX135" s="73" t="s">
        <v>74</v>
      </c>
      <c r="BY135" s="72">
        <f t="shared" ca="1" si="5258"/>
        <v>0</v>
      </c>
      <c r="BZ135" s="63"/>
      <c r="CA135" s="816" t="s">
        <v>74</v>
      </c>
      <c r="CB135" s="72">
        <f t="shared" ca="1" si="5259"/>
        <v>0</v>
      </c>
      <c r="CC135" s="63"/>
      <c r="CD135" s="825" t="s">
        <v>74</v>
      </c>
      <c r="CE135" s="72">
        <f t="shared" ca="1" si="5260"/>
        <v>0</v>
      </c>
      <c r="CF135" s="63"/>
      <c r="CG135" s="796" t="s">
        <v>135</v>
      </c>
      <c r="CH135" s="72">
        <f t="shared" ca="1" si="5261"/>
        <v>0</v>
      </c>
      <c r="CI135" s="63"/>
      <c r="CJ135" s="796" t="s">
        <v>74</v>
      </c>
      <c r="CK135" s="72">
        <f t="shared" ca="1" si="5262"/>
        <v>0</v>
      </c>
      <c r="CL135" s="63"/>
      <c r="CM135" s="796" t="s">
        <v>74</v>
      </c>
      <c r="CN135" s="72">
        <f t="shared" ca="1" si="5263"/>
        <v>0</v>
      </c>
      <c r="CO135" s="63"/>
      <c r="CP135" s="796" t="s">
        <v>74</v>
      </c>
      <c r="CQ135" s="72">
        <f t="shared" ca="1" si="5264"/>
        <v>0</v>
      </c>
      <c r="CR135" s="63"/>
      <c r="CS135" s="796" t="s">
        <v>74</v>
      </c>
      <c r="CT135" s="72">
        <f t="shared" ca="1" si="5265"/>
        <v>0</v>
      </c>
      <c r="CU135" s="63"/>
      <c r="CV135" s="796" t="s">
        <v>74</v>
      </c>
      <c r="CW135" s="72">
        <f t="shared" ca="1" si="5266"/>
        <v>0</v>
      </c>
      <c r="CX135" s="63"/>
      <c r="CY135" s="796" t="s">
        <v>74</v>
      </c>
      <c r="CZ135" s="72">
        <f t="shared" ca="1" si="5267"/>
        <v>0</v>
      </c>
      <c r="DA135" s="63"/>
      <c r="DB135" s="796" t="s">
        <v>74</v>
      </c>
      <c r="DC135" s="72">
        <f t="shared" ca="1" si="5268"/>
        <v>0</v>
      </c>
      <c r="DD135" s="63"/>
      <c r="DE135" s="796" t="s">
        <v>74</v>
      </c>
      <c r="DF135" s="72">
        <f t="shared" ca="1" si="5269"/>
        <v>0</v>
      </c>
      <c r="DG135" s="63"/>
      <c r="DH135" s="796" t="s">
        <v>74</v>
      </c>
      <c r="DI135" s="72">
        <f t="shared" ca="1" si="5270"/>
        <v>0</v>
      </c>
      <c r="DJ135" s="63"/>
      <c r="DK135" s="796" t="s">
        <v>74</v>
      </c>
      <c r="DL135" s="72">
        <f t="shared" ca="1" si="5271"/>
        <v>0</v>
      </c>
      <c r="DM135" s="63"/>
      <c r="DN135" s="73"/>
      <c r="DO135" s="72">
        <f t="shared" ca="1" si="5272"/>
        <v>0</v>
      </c>
      <c r="DP135" s="63"/>
      <c r="DQ135" s="796" t="s">
        <v>74</v>
      </c>
      <c r="DR135" s="72">
        <f t="shared" ca="1" si="5273"/>
        <v>0</v>
      </c>
      <c r="DS135" s="63"/>
      <c r="DT135" s="73" t="s">
        <v>74</v>
      </c>
      <c r="DU135" s="72">
        <f t="shared" ca="1" si="5274"/>
        <v>0</v>
      </c>
      <c r="DV135" s="63"/>
      <c r="DW135" s="73"/>
      <c r="DX135" s="72">
        <f t="shared" ca="1" si="5275"/>
        <v>0</v>
      </c>
      <c r="DY135" s="63"/>
      <c r="DZ135" s="73"/>
      <c r="EA135" s="72">
        <f t="shared" ca="1" si="5276"/>
        <v>0</v>
      </c>
      <c r="EB135" s="63"/>
      <c r="EC135" s="73"/>
      <c r="ED135" s="72">
        <f t="shared" ca="1" si="5277"/>
        <v>0</v>
      </c>
      <c r="EE135" s="63"/>
      <c r="EF135" s="73"/>
      <c r="EG135" s="72">
        <f t="shared" ca="1" si="5278"/>
        <v>0</v>
      </c>
      <c r="EH135" s="63"/>
      <c r="EI135" s="73"/>
      <c r="EJ135" s="72">
        <f t="shared" ca="1" si="5279"/>
        <v>0</v>
      </c>
      <c r="EK135" s="63"/>
      <c r="EL135" s="73"/>
      <c r="EM135" s="72">
        <f t="shared" ca="1" si="5280"/>
        <v>0</v>
      </c>
      <c r="EN135" s="63"/>
      <c r="EO135" s="73"/>
      <c r="EP135" s="72">
        <f t="shared" ca="1" si="5281"/>
        <v>0</v>
      </c>
      <c r="EQ135" s="63"/>
      <c r="ER135" s="73"/>
      <c r="ES135" s="72">
        <f t="shared" ca="1" si="5282"/>
        <v>0</v>
      </c>
      <c r="ET135" s="63"/>
      <c r="EU135" s="73"/>
      <c r="EV135" s="72">
        <f t="shared" ca="1" si="5283"/>
        <v>0</v>
      </c>
      <c r="EW135" s="63"/>
      <c r="EX135" s="73"/>
      <c r="EY135" s="72">
        <f t="shared" ca="1" si="5284"/>
        <v>0</v>
      </c>
      <c r="EZ135" s="63"/>
      <c r="FA135" s="73"/>
      <c r="FB135" s="72">
        <f t="shared" ca="1" si="5285"/>
        <v>0</v>
      </c>
      <c r="FC135" s="63"/>
      <c r="FD135" s="73"/>
      <c r="FE135" s="72">
        <f t="shared" ca="1" si="5286"/>
        <v>0</v>
      </c>
      <c r="FF135" s="63"/>
      <c r="FG135" s="73"/>
      <c r="FH135" s="72">
        <f t="shared" ca="1" si="5287"/>
        <v>0</v>
      </c>
      <c r="FI135" s="63"/>
      <c r="FJ135" s="73"/>
      <c r="FK135" s="72">
        <f t="shared" ca="1" si="5288"/>
        <v>0</v>
      </c>
      <c r="FL135" s="63"/>
      <c r="FM135" s="73"/>
      <c r="FN135" s="72">
        <f t="shared" ca="1" si="5289"/>
        <v>0</v>
      </c>
      <c r="FO135" s="63"/>
      <c r="FP135" s="73"/>
      <c r="FQ135" s="72">
        <f t="shared" ca="1" si="5290"/>
        <v>0</v>
      </c>
      <c r="FR135" s="63"/>
      <c r="FS135" s="73"/>
      <c r="FT135" s="72">
        <f t="shared" ca="1" si="5291"/>
        <v>0</v>
      </c>
      <c r="FU135" s="63"/>
      <c r="FV135" s="73"/>
      <c r="FW135" s="72">
        <f t="shared" ca="1" si="5292"/>
        <v>0</v>
      </c>
      <c r="FX135" s="63"/>
      <c r="FY135" s="73"/>
      <c r="FZ135" s="72">
        <f t="shared" ca="1" si="5293"/>
        <v>0</v>
      </c>
      <c r="GA135" s="63"/>
      <c r="GB135" s="73"/>
      <c r="GC135" s="72">
        <f t="shared" ca="1" si="5294"/>
        <v>0</v>
      </c>
      <c r="GD135" s="63"/>
      <c r="GE135" s="73"/>
      <c r="GF135" s="72">
        <f t="shared" ca="1" si="5295"/>
        <v>0</v>
      </c>
      <c r="GG135" s="63"/>
      <c r="GH135" s="73"/>
      <c r="GI135" s="72">
        <f t="shared" ca="1" si="5296"/>
        <v>0</v>
      </c>
      <c r="GJ135" s="63"/>
      <c r="GK135" s="73"/>
      <c r="GL135" s="72">
        <f t="shared" ca="1" si="5297"/>
        <v>0</v>
      </c>
      <c r="GM135" s="63"/>
      <c r="GN135" s="73"/>
      <c r="GO135" s="72">
        <f t="shared" ca="1" si="5298"/>
        <v>0</v>
      </c>
      <c r="GP135" s="63"/>
      <c r="GQ135" s="73"/>
      <c r="GR135" s="72">
        <f t="shared" ca="1" si="5299"/>
        <v>0</v>
      </c>
      <c r="GS135" s="63"/>
      <c r="GT135" s="73"/>
      <c r="GU135" s="72">
        <f t="shared" ca="1" si="5300"/>
        <v>0</v>
      </c>
      <c r="GV135" s="63"/>
      <c r="GW135" s="73"/>
      <c r="GX135" s="72">
        <f t="shared" ca="1" si="5301"/>
        <v>0</v>
      </c>
      <c r="GY135" s="63"/>
      <c r="GZ135" s="73"/>
      <c r="HA135" s="72">
        <f t="shared" ca="1" si="5302"/>
        <v>0</v>
      </c>
      <c r="HB135" s="63"/>
      <c r="HC135" s="73"/>
      <c r="HD135" s="72">
        <f t="shared" ca="1" si="5303"/>
        <v>0</v>
      </c>
      <c r="HE135" s="63"/>
      <c r="HF135" s="73"/>
      <c r="HG135" s="72">
        <f t="shared" ca="1" si="5304"/>
        <v>0</v>
      </c>
      <c r="HH135" s="63"/>
      <c r="HI135" s="73"/>
      <c r="HJ135" s="72">
        <f t="shared" ca="1" si="5305"/>
        <v>0</v>
      </c>
      <c r="HK135" s="63"/>
      <c r="HL135" s="73"/>
      <c r="HM135" s="72">
        <f t="shared" ca="1" si="5306"/>
        <v>0</v>
      </c>
      <c r="HN135" s="63"/>
      <c r="HO135" s="73"/>
      <c r="HP135" s="72">
        <f t="shared" ca="1" si="5307"/>
        <v>0</v>
      </c>
      <c r="HQ135" s="63"/>
      <c r="HR135" s="73"/>
      <c r="HS135" s="72">
        <f t="shared" ca="1" si="5308"/>
        <v>0</v>
      </c>
      <c r="HT135" s="63"/>
      <c r="HU135" s="73"/>
      <c r="HV135" s="72">
        <f t="shared" ca="1" si="5309"/>
        <v>0</v>
      </c>
      <c r="HW135" s="63"/>
      <c r="HX135" s="73"/>
      <c r="HY135" s="72">
        <f t="shared" ca="1" si="5310"/>
        <v>0</v>
      </c>
      <c r="HZ135" s="63"/>
      <c r="IA135" s="73"/>
      <c r="IB135" s="72">
        <f t="shared" ca="1" si="5311"/>
        <v>0</v>
      </c>
      <c r="IC135" s="63"/>
      <c r="ID135" s="73"/>
      <c r="IE135" s="72">
        <f t="shared" ca="1" si="5312"/>
        <v>0</v>
      </c>
      <c r="IF135" s="63"/>
      <c r="IG135" s="73"/>
      <c r="IH135" s="72">
        <f t="shared" ca="1" si="5313"/>
        <v>0</v>
      </c>
      <c r="II135" s="63"/>
      <c r="IJ135" s="73"/>
      <c r="IK135" s="72">
        <f t="shared" ca="1" si="5314"/>
        <v>0</v>
      </c>
      <c r="IL135" s="63"/>
      <c r="IM135" s="73"/>
      <c r="IN135" s="72">
        <f t="shared" ca="1" si="5315"/>
        <v>0</v>
      </c>
      <c r="IO135" s="63"/>
      <c r="IP135" s="73"/>
      <c r="IQ135" s="72">
        <f t="shared" ca="1" si="5316"/>
        <v>0</v>
      </c>
      <c r="IR135" s="63"/>
      <c r="IS135" s="73"/>
      <c r="IT135" s="72">
        <f t="shared" ca="1" si="5317"/>
        <v>0</v>
      </c>
      <c r="IU135" s="63"/>
      <c r="IV135" s="73"/>
      <c r="IW135" s="72">
        <f t="shared" ca="1" si="5318"/>
        <v>0</v>
      </c>
      <c r="IX135" s="63"/>
      <c r="IY135" s="73"/>
      <c r="IZ135" s="72">
        <f t="shared" ca="1" si="5319"/>
        <v>0</v>
      </c>
      <c r="JA135" s="63"/>
      <c r="JB135" s="73"/>
      <c r="JC135" s="72">
        <f t="shared" ca="1" si="5320"/>
        <v>0</v>
      </c>
      <c r="JD135" s="63"/>
      <c r="JE135" s="73"/>
      <c r="JF135" s="72">
        <f t="shared" ca="1" si="5321"/>
        <v>0</v>
      </c>
      <c r="JG135" s="63"/>
      <c r="JH135" s="73"/>
      <c r="JI135" s="72">
        <f t="shared" ca="1" si="5322"/>
        <v>0</v>
      </c>
      <c r="JJ135" s="63"/>
      <c r="JK135" s="73"/>
      <c r="JL135" s="72">
        <f t="shared" ca="1" si="5323"/>
        <v>0</v>
      </c>
      <c r="JM135" s="63"/>
      <c r="JN135" s="73"/>
      <c r="JO135" s="72">
        <f t="shared" ca="1" si="5324"/>
        <v>0</v>
      </c>
      <c r="JP135" s="63"/>
      <c r="JQ135" s="73"/>
      <c r="JR135" s="72">
        <f t="shared" ca="1" si="5325"/>
        <v>0</v>
      </c>
      <c r="JS135" s="63"/>
      <c r="JT135" s="73"/>
      <c r="JU135" s="72">
        <f t="shared" ca="1" si="5326"/>
        <v>0</v>
      </c>
      <c r="JV135" s="63"/>
      <c r="JW135" s="73"/>
      <c r="JX135" s="72">
        <f t="shared" ca="1" si="5327"/>
        <v>0</v>
      </c>
      <c r="JY135" s="63"/>
      <c r="JZ135" s="73"/>
      <c r="KA135" s="72">
        <f t="shared" ca="1" si="5328"/>
        <v>0</v>
      </c>
      <c r="KB135" s="63"/>
      <c r="KC135" s="73"/>
      <c r="KD135" s="72">
        <f t="shared" ca="1" si="5329"/>
        <v>0</v>
      </c>
      <c r="KE135" s="63"/>
      <c r="KF135" s="73"/>
      <c r="KG135" s="72">
        <f t="shared" ca="1" si="5330"/>
        <v>0</v>
      </c>
      <c r="KH135" s="63"/>
      <c r="KI135" s="73"/>
      <c r="KJ135" s="72">
        <f t="shared" ca="1" si="5331"/>
        <v>0</v>
      </c>
      <c r="KK135" s="63"/>
      <c r="KL135" s="73"/>
      <c r="KM135" s="72">
        <f t="shared" ca="1" si="5332"/>
        <v>0</v>
      </c>
      <c r="KN135" s="63"/>
      <c r="KO135" s="73"/>
      <c r="KP135" s="72">
        <f t="shared" ca="1" si="5333"/>
        <v>0</v>
      </c>
      <c r="KQ135" s="63"/>
      <c r="KR135" s="73"/>
      <c r="KS135" s="72">
        <f t="shared" ca="1" si="5334"/>
        <v>0</v>
      </c>
      <c r="KT135" s="63"/>
      <c r="KU135" s="73"/>
      <c r="KV135" s="72">
        <f t="shared" ca="1" si="5335"/>
        <v>0</v>
      </c>
      <c r="KW135" s="63"/>
      <c r="KX135" s="73"/>
      <c r="KY135" s="72">
        <f t="shared" ca="1" si="5336"/>
        <v>0</v>
      </c>
      <c r="KZ135" s="63"/>
      <c r="LA135" s="73"/>
      <c r="LB135" s="72">
        <f t="shared" ca="1" si="5337"/>
        <v>0</v>
      </c>
      <c r="LC135" s="63"/>
      <c r="LD135" s="73"/>
      <c r="LE135" s="72">
        <f t="shared" ca="1" si="5338"/>
        <v>0</v>
      </c>
      <c r="LF135" s="63"/>
    </row>
    <row r="136" spans="1:318" s="784" customFormat="1">
      <c r="A136" s="49"/>
      <c r="B136" s="49"/>
      <c r="C136" s="49"/>
      <c r="D136" s="49"/>
      <c r="E136" s="64"/>
      <c r="F136" s="125">
        <f t="shared" si="5339"/>
        <v>15</v>
      </c>
      <c r="G136" s="443">
        <f ca="1">VLOOKUP(H136,Equipos!$Q$1:$R$25,2,0)</f>
        <v>19</v>
      </c>
      <c r="H136" s="445" t="str">
        <f>Idiomas!$D$137</f>
        <v>CLASIFICADOS PARA DIECISEISAVOS</v>
      </c>
      <c r="I136" s="50"/>
      <c r="J136" s="843"/>
      <c r="K136" s="56" t="str">
        <f>Idiomas!$D$198&amp;"-"&amp;ROWS($L$130:L136)</f>
        <v>Dieciseisavofinalista-7</v>
      </c>
      <c r="L136" s="53"/>
      <c r="M136" s="55" t="str">
        <f ca="1">WORLDCUP!AA107</f>
        <v>1A</v>
      </c>
      <c r="N136" s="25"/>
      <c r="O136" s="25"/>
      <c r="P136" s="25"/>
      <c r="Q136" s="25"/>
      <c r="R136" s="108"/>
      <c r="S136" s="796" t="s">
        <v>1260</v>
      </c>
      <c r="T136" s="72">
        <f t="shared" ca="1" si="5239"/>
        <v>0</v>
      </c>
      <c r="U136" s="63"/>
      <c r="V136" s="73" t="s">
        <v>1265</v>
      </c>
      <c r="W136" s="72">
        <f t="shared" ca="1" si="5240"/>
        <v>0</v>
      </c>
      <c r="X136" s="63"/>
      <c r="Y136" s="796" t="s">
        <v>1260</v>
      </c>
      <c r="Z136" s="72">
        <f t="shared" ca="1" si="5241"/>
        <v>0</v>
      </c>
      <c r="AA136" s="63"/>
      <c r="AB136" s="796" t="s">
        <v>1265</v>
      </c>
      <c r="AC136" s="72">
        <f t="shared" ca="1" si="5242"/>
        <v>0</v>
      </c>
      <c r="AD136" s="63"/>
      <c r="AE136" s="796" t="s">
        <v>1260</v>
      </c>
      <c r="AF136" s="72">
        <f t="shared" ca="1" si="5243"/>
        <v>0</v>
      </c>
      <c r="AG136" s="63"/>
      <c r="AH136" s="796" t="s">
        <v>1260</v>
      </c>
      <c r="AI136" s="72">
        <f t="shared" ca="1" si="5244"/>
        <v>0</v>
      </c>
      <c r="AJ136" s="63"/>
      <c r="AK136" s="806" t="s">
        <v>1265</v>
      </c>
      <c r="AL136" s="72">
        <f t="shared" ca="1" si="5245"/>
        <v>0</v>
      </c>
      <c r="AM136" s="63"/>
      <c r="AN136" s="796" t="s">
        <v>1265</v>
      </c>
      <c r="AO136" s="72">
        <f t="shared" ca="1" si="5246"/>
        <v>0</v>
      </c>
      <c r="AP136" s="63"/>
      <c r="AQ136" s="806" t="s">
        <v>1843</v>
      </c>
      <c r="AR136" s="72">
        <f t="shared" ca="1" si="5247"/>
        <v>0</v>
      </c>
      <c r="AS136" s="63"/>
      <c r="AT136" s="796" t="s">
        <v>1260</v>
      </c>
      <c r="AU136" s="72">
        <f t="shared" ca="1" si="5248"/>
        <v>0</v>
      </c>
      <c r="AV136" s="63"/>
      <c r="AW136" s="796" t="s">
        <v>1265</v>
      </c>
      <c r="AX136" s="72">
        <f t="shared" ca="1" si="5249"/>
        <v>0</v>
      </c>
      <c r="AY136" s="63"/>
      <c r="AZ136" s="796" t="s">
        <v>1630</v>
      </c>
      <c r="BA136" s="72">
        <f t="shared" ca="1" si="5250"/>
        <v>0</v>
      </c>
      <c r="BB136" s="63"/>
      <c r="BC136" s="796" t="s">
        <v>1630</v>
      </c>
      <c r="BD136" s="72">
        <f t="shared" ca="1" si="5251"/>
        <v>0</v>
      </c>
      <c r="BE136" s="63"/>
      <c r="BF136" s="796" t="s">
        <v>1265</v>
      </c>
      <c r="BG136" s="72">
        <f t="shared" ca="1" si="5252"/>
        <v>0</v>
      </c>
      <c r="BH136" s="63"/>
      <c r="BI136" s="796" t="s">
        <v>1265</v>
      </c>
      <c r="BJ136" s="72">
        <f t="shared" ca="1" si="5253"/>
        <v>0</v>
      </c>
      <c r="BK136" s="63"/>
      <c r="BL136" s="796" t="s">
        <v>1265</v>
      </c>
      <c r="BM136" s="72">
        <f t="shared" ca="1" si="5254"/>
        <v>0</v>
      </c>
      <c r="BN136" s="63"/>
      <c r="BO136" s="816" t="s">
        <v>1265</v>
      </c>
      <c r="BP136" s="72">
        <f t="shared" ca="1" si="5255"/>
        <v>0</v>
      </c>
      <c r="BQ136" s="63"/>
      <c r="BR136" s="796" t="s">
        <v>1260</v>
      </c>
      <c r="BS136" s="72">
        <f t="shared" ca="1" si="5256"/>
        <v>0</v>
      </c>
      <c r="BT136" s="63"/>
      <c r="BU136" s="796" t="s">
        <v>1265</v>
      </c>
      <c r="BV136" s="72">
        <f t="shared" ca="1" si="5257"/>
        <v>0</v>
      </c>
      <c r="BW136" s="63"/>
      <c r="BX136" s="73" t="s">
        <v>1260</v>
      </c>
      <c r="BY136" s="72">
        <f t="shared" ca="1" si="5258"/>
        <v>0</v>
      </c>
      <c r="BZ136" s="63"/>
      <c r="CA136" s="816" t="s">
        <v>1265</v>
      </c>
      <c r="CB136" s="72">
        <f t="shared" ca="1" si="5259"/>
        <v>0</v>
      </c>
      <c r="CC136" s="63"/>
      <c r="CD136" s="825" t="s">
        <v>1843</v>
      </c>
      <c r="CE136" s="72">
        <f t="shared" ca="1" si="5260"/>
        <v>0</v>
      </c>
      <c r="CF136" s="63"/>
      <c r="CG136" s="796" t="s">
        <v>1260</v>
      </c>
      <c r="CH136" s="72">
        <f t="shared" ca="1" si="5261"/>
        <v>0</v>
      </c>
      <c r="CI136" s="63"/>
      <c r="CJ136" s="796" t="s">
        <v>1843</v>
      </c>
      <c r="CK136" s="72">
        <f t="shared" ca="1" si="5262"/>
        <v>0</v>
      </c>
      <c r="CL136" s="63"/>
      <c r="CM136" s="796" t="s">
        <v>1265</v>
      </c>
      <c r="CN136" s="72">
        <f t="shared" ca="1" si="5263"/>
        <v>0</v>
      </c>
      <c r="CO136" s="63"/>
      <c r="CP136" s="796" t="s">
        <v>1260</v>
      </c>
      <c r="CQ136" s="72">
        <f t="shared" ca="1" si="5264"/>
        <v>0</v>
      </c>
      <c r="CR136" s="63"/>
      <c r="CS136" s="796" t="s">
        <v>1265</v>
      </c>
      <c r="CT136" s="72">
        <f t="shared" ca="1" si="5265"/>
        <v>0</v>
      </c>
      <c r="CU136" s="63"/>
      <c r="CV136" s="796" t="s">
        <v>1265</v>
      </c>
      <c r="CW136" s="72">
        <f t="shared" ca="1" si="5266"/>
        <v>0</v>
      </c>
      <c r="CX136" s="63"/>
      <c r="CY136" s="796" t="s">
        <v>1260</v>
      </c>
      <c r="CZ136" s="72">
        <f t="shared" ca="1" si="5267"/>
        <v>0</v>
      </c>
      <c r="DA136" s="63"/>
      <c r="DB136" s="796" t="s">
        <v>1265</v>
      </c>
      <c r="DC136" s="72">
        <f t="shared" ca="1" si="5268"/>
        <v>0</v>
      </c>
      <c r="DD136" s="63"/>
      <c r="DE136" s="796" t="s">
        <v>1260</v>
      </c>
      <c r="DF136" s="72">
        <f t="shared" ca="1" si="5269"/>
        <v>0</v>
      </c>
      <c r="DG136" s="63"/>
      <c r="DH136" s="796" t="s">
        <v>1843</v>
      </c>
      <c r="DI136" s="72">
        <f t="shared" ca="1" si="5270"/>
        <v>0</v>
      </c>
      <c r="DJ136" s="63"/>
      <c r="DK136" s="796" t="s">
        <v>1265</v>
      </c>
      <c r="DL136" s="72">
        <f t="shared" ca="1" si="5271"/>
        <v>0</v>
      </c>
      <c r="DM136" s="63"/>
      <c r="DN136" s="73"/>
      <c r="DO136" s="72">
        <f t="shared" ca="1" si="5272"/>
        <v>0</v>
      </c>
      <c r="DP136" s="63"/>
      <c r="DQ136" s="796" t="s">
        <v>1260</v>
      </c>
      <c r="DR136" s="72">
        <f t="shared" ca="1" si="5273"/>
        <v>0</v>
      </c>
      <c r="DS136" s="63"/>
      <c r="DT136" s="73" t="s">
        <v>1265</v>
      </c>
      <c r="DU136" s="72">
        <f t="shared" ca="1" si="5274"/>
        <v>0</v>
      </c>
      <c r="DV136" s="63"/>
      <c r="DW136" s="73"/>
      <c r="DX136" s="72">
        <f t="shared" ca="1" si="5275"/>
        <v>0</v>
      </c>
      <c r="DY136" s="63"/>
      <c r="DZ136" s="73"/>
      <c r="EA136" s="72">
        <f t="shared" ca="1" si="5276"/>
        <v>0</v>
      </c>
      <c r="EB136" s="63"/>
      <c r="EC136" s="73"/>
      <c r="ED136" s="72">
        <f t="shared" ca="1" si="5277"/>
        <v>0</v>
      </c>
      <c r="EE136" s="63"/>
      <c r="EF136" s="73"/>
      <c r="EG136" s="72">
        <f t="shared" ca="1" si="5278"/>
        <v>0</v>
      </c>
      <c r="EH136" s="63"/>
      <c r="EI136" s="73"/>
      <c r="EJ136" s="72">
        <f t="shared" ca="1" si="5279"/>
        <v>0</v>
      </c>
      <c r="EK136" s="63"/>
      <c r="EL136" s="73"/>
      <c r="EM136" s="72">
        <f t="shared" ca="1" si="5280"/>
        <v>0</v>
      </c>
      <c r="EN136" s="63"/>
      <c r="EO136" s="73"/>
      <c r="EP136" s="72">
        <f t="shared" ca="1" si="5281"/>
        <v>0</v>
      </c>
      <c r="EQ136" s="63"/>
      <c r="ER136" s="73"/>
      <c r="ES136" s="72">
        <f t="shared" ca="1" si="5282"/>
        <v>0</v>
      </c>
      <c r="ET136" s="63"/>
      <c r="EU136" s="73"/>
      <c r="EV136" s="72">
        <f t="shared" ca="1" si="5283"/>
        <v>0</v>
      </c>
      <c r="EW136" s="63"/>
      <c r="EX136" s="73"/>
      <c r="EY136" s="72">
        <f t="shared" ca="1" si="5284"/>
        <v>0</v>
      </c>
      <c r="EZ136" s="63"/>
      <c r="FA136" s="73"/>
      <c r="FB136" s="72">
        <f t="shared" ca="1" si="5285"/>
        <v>0</v>
      </c>
      <c r="FC136" s="63"/>
      <c r="FD136" s="73"/>
      <c r="FE136" s="72">
        <f t="shared" ca="1" si="5286"/>
        <v>0</v>
      </c>
      <c r="FF136" s="63"/>
      <c r="FG136" s="73"/>
      <c r="FH136" s="72">
        <f t="shared" ca="1" si="5287"/>
        <v>0</v>
      </c>
      <c r="FI136" s="63"/>
      <c r="FJ136" s="73"/>
      <c r="FK136" s="72">
        <f t="shared" ca="1" si="5288"/>
        <v>0</v>
      </c>
      <c r="FL136" s="63"/>
      <c r="FM136" s="73"/>
      <c r="FN136" s="72">
        <f t="shared" ca="1" si="5289"/>
        <v>0</v>
      </c>
      <c r="FO136" s="63"/>
      <c r="FP136" s="73"/>
      <c r="FQ136" s="72">
        <f t="shared" ca="1" si="5290"/>
        <v>0</v>
      </c>
      <c r="FR136" s="63"/>
      <c r="FS136" s="73"/>
      <c r="FT136" s="72">
        <f t="shared" ca="1" si="5291"/>
        <v>0</v>
      </c>
      <c r="FU136" s="63"/>
      <c r="FV136" s="73"/>
      <c r="FW136" s="72">
        <f t="shared" ca="1" si="5292"/>
        <v>0</v>
      </c>
      <c r="FX136" s="63"/>
      <c r="FY136" s="73"/>
      <c r="FZ136" s="72">
        <f t="shared" ca="1" si="5293"/>
        <v>0</v>
      </c>
      <c r="GA136" s="63"/>
      <c r="GB136" s="73"/>
      <c r="GC136" s="72">
        <f t="shared" ca="1" si="5294"/>
        <v>0</v>
      </c>
      <c r="GD136" s="63"/>
      <c r="GE136" s="73"/>
      <c r="GF136" s="72">
        <f t="shared" ca="1" si="5295"/>
        <v>0</v>
      </c>
      <c r="GG136" s="63"/>
      <c r="GH136" s="73"/>
      <c r="GI136" s="72">
        <f t="shared" ca="1" si="5296"/>
        <v>0</v>
      </c>
      <c r="GJ136" s="63"/>
      <c r="GK136" s="73"/>
      <c r="GL136" s="72">
        <f t="shared" ca="1" si="5297"/>
        <v>0</v>
      </c>
      <c r="GM136" s="63"/>
      <c r="GN136" s="73"/>
      <c r="GO136" s="72">
        <f t="shared" ca="1" si="5298"/>
        <v>0</v>
      </c>
      <c r="GP136" s="63"/>
      <c r="GQ136" s="73"/>
      <c r="GR136" s="72">
        <f t="shared" ca="1" si="5299"/>
        <v>0</v>
      </c>
      <c r="GS136" s="63"/>
      <c r="GT136" s="73"/>
      <c r="GU136" s="72">
        <f t="shared" ca="1" si="5300"/>
        <v>0</v>
      </c>
      <c r="GV136" s="63"/>
      <c r="GW136" s="73"/>
      <c r="GX136" s="72">
        <f t="shared" ca="1" si="5301"/>
        <v>0</v>
      </c>
      <c r="GY136" s="63"/>
      <c r="GZ136" s="73"/>
      <c r="HA136" s="72">
        <f t="shared" ca="1" si="5302"/>
        <v>0</v>
      </c>
      <c r="HB136" s="63"/>
      <c r="HC136" s="73"/>
      <c r="HD136" s="72">
        <f t="shared" ca="1" si="5303"/>
        <v>0</v>
      </c>
      <c r="HE136" s="63"/>
      <c r="HF136" s="73"/>
      <c r="HG136" s="72">
        <f t="shared" ca="1" si="5304"/>
        <v>0</v>
      </c>
      <c r="HH136" s="63"/>
      <c r="HI136" s="73"/>
      <c r="HJ136" s="72">
        <f t="shared" ca="1" si="5305"/>
        <v>0</v>
      </c>
      <c r="HK136" s="63"/>
      <c r="HL136" s="73"/>
      <c r="HM136" s="72">
        <f t="shared" ca="1" si="5306"/>
        <v>0</v>
      </c>
      <c r="HN136" s="63"/>
      <c r="HO136" s="73"/>
      <c r="HP136" s="72">
        <f t="shared" ca="1" si="5307"/>
        <v>0</v>
      </c>
      <c r="HQ136" s="63"/>
      <c r="HR136" s="73"/>
      <c r="HS136" s="72">
        <f t="shared" ca="1" si="5308"/>
        <v>0</v>
      </c>
      <c r="HT136" s="63"/>
      <c r="HU136" s="73"/>
      <c r="HV136" s="72">
        <f t="shared" ca="1" si="5309"/>
        <v>0</v>
      </c>
      <c r="HW136" s="63"/>
      <c r="HX136" s="73"/>
      <c r="HY136" s="72">
        <f t="shared" ca="1" si="5310"/>
        <v>0</v>
      </c>
      <c r="HZ136" s="63"/>
      <c r="IA136" s="73"/>
      <c r="IB136" s="72">
        <f t="shared" ca="1" si="5311"/>
        <v>0</v>
      </c>
      <c r="IC136" s="63"/>
      <c r="ID136" s="73"/>
      <c r="IE136" s="72">
        <f t="shared" ca="1" si="5312"/>
        <v>0</v>
      </c>
      <c r="IF136" s="63"/>
      <c r="IG136" s="73"/>
      <c r="IH136" s="72">
        <f t="shared" ca="1" si="5313"/>
        <v>0</v>
      </c>
      <c r="II136" s="63"/>
      <c r="IJ136" s="73"/>
      <c r="IK136" s="72">
        <f t="shared" ca="1" si="5314"/>
        <v>0</v>
      </c>
      <c r="IL136" s="63"/>
      <c r="IM136" s="73"/>
      <c r="IN136" s="72">
        <f t="shared" ca="1" si="5315"/>
        <v>0</v>
      </c>
      <c r="IO136" s="63"/>
      <c r="IP136" s="73"/>
      <c r="IQ136" s="72">
        <f t="shared" ca="1" si="5316"/>
        <v>0</v>
      </c>
      <c r="IR136" s="63"/>
      <c r="IS136" s="73"/>
      <c r="IT136" s="72">
        <f t="shared" ca="1" si="5317"/>
        <v>0</v>
      </c>
      <c r="IU136" s="63"/>
      <c r="IV136" s="73"/>
      <c r="IW136" s="72">
        <f t="shared" ca="1" si="5318"/>
        <v>0</v>
      </c>
      <c r="IX136" s="63"/>
      <c r="IY136" s="73"/>
      <c r="IZ136" s="72">
        <f t="shared" ca="1" si="5319"/>
        <v>0</v>
      </c>
      <c r="JA136" s="63"/>
      <c r="JB136" s="73"/>
      <c r="JC136" s="72">
        <f t="shared" ca="1" si="5320"/>
        <v>0</v>
      </c>
      <c r="JD136" s="63"/>
      <c r="JE136" s="73"/>
      <c r="JF136" s="72">
        <f t="shared" ca="1" si="5321"/>
        <v>0</v>
      </c>
      <c r="JG136" s="63"/>
      <c r="JH136" s="73"/>
      <c r="JI136" s="72">
        <f t="shared" ca="1" si="5322"/>
        <v>0</v>
      </c>
      <c r="JJ136" s="63"/>
      <c r="JK136" s="73"/>
      <c r="JL136" s="72">
        <f t="shared" ca="1" si="5323"/>
        <v>0</v>
      </c>
      <c r="JM136" s="63"/>
      <c r="JN136" s="73"/>
      <c r="JO136" s="72">
        <f t="shared" ca="1" si="5324"/>
        <v>0</v>
      </c>
      <c r="JP136" s="63"/>
      <c r="JQ136" s="73"/>
      <c r="JR136" s="72">
        <f t="shared" ca="1" si="5325"/>
        <v>0</v>
      </c>
      <c r="JS136" s="63"/>
      <c r="JT136" s="73"/>
      <c r="JU136" s="72">
        <f t="shared" ca="1" si="5326"/>
        <v>0</v>
      </c>
      <c r="JV136" s="63"/>
      <c r="JW136" s="73"/>
      <c r="JX136" s="72">
        <f t="shared" ca="1" si="5327"/>
        <v>0</v>
      </c>
      <c r="JY136" s="63"/>
      <c r="JZ136" s="73"/>
      <c r="KA136" s="72">
        <f t="shared" ca="1" si="5328"/>
        <v>0</v>
      </c>
      <c r="KB136" s="63"/>
      <c r="KC136" s="73"/>
      <c r="KD136" s="72">
        <f t="shared" ca="1" si="5329"/>
        <v>0</v>
      </c>
      <c r="KE136" s="63"/>
      <c r="KF136" s="73"/>
      <c r="KG136" s="72">
        <f t="shared" ca="1" si="5330"/>
        <v>0</v>
      </c>
      <c r="KH136" s="63"/>
      <c r="KI136" s="73"/>
      <c r="KJ136" s="72">
        <f t="shared" ca="1" si="5331"/>
        <v>0</v>
      </c>
      <c r="KK136" s="63"/>
      <c r="KL136" s="73"/>
      <c r="KM136" s="72">
        <f t="shared" ca="1" si="5332"/>
        <v>0</v>
      </c>
      <c r="KN136" s="63"/>
      <c r="KO136" s="73"/>
      <c r="KP136" s="72">
        <f t="shared" ca="1" si="5333"/>
        <v>0</v>
      </c>
      <c r="KQ136" s="63"/>
      <c r="KR136" s="73"/>
      <c r="KS136" s="72">
        <f t="shared" ca="1" si="5334"/>
        <v>0</v>
      </c>
      <c r="KT136" s="63"/>
      <c r="KU136" s="73"/>
      <c r="KV136" s="72">
        <f t="shared" ca="1" si="5335"/>
        <v>0</v>
      </c>
      <c r="KW136" s="63"/>
      <c r="KX136" s="73"/>
      <c r="KY136" s="72">
        <f t="shared" ca="1" si="5336"/>
        <v>0</v>
      </c>
      <c r="KZ136" s="63"/>
      <c r="LA136" s="73"/>
      <c r="LB136" s="72">
        <f t="shared" ca="1" si="5337"/>
        <v>0</v>
      </c>
      <c r="LC136" s="63"/>
      <c r="LD136" s="73"/>
      <c r="LE136" s="72">
        <f t="shared" ca="1" si="5338"/>
        <v>0</v>
      </c>
      <c r="LF136" s="63"/>
    </row>
    <row r="137" spans="1:318" s="784" customFormat="1">
      <c r="A137" s="49"/>
      <c r="B137" s="49"/>
      <c r="C137" s="49"/>
      <c r="D137" s="49"/>
      <c r="E137" s="64"/>
      <c r="F137" s="125">
        <f t="shared" si="5339"/>
        <v>15</v>
      </c>
      <c r="G137" s="443">
        <f ca="1">VLOOKUP(H137,Equipos!$Q$1:$R$25,2,0)</f>
        <v>19</v>
      </c>
      <c r="H137" s="445" t="str">
        <f>Idiomas!$D$137</f>
        <v>CLASIFICADOS PARA DIECISEISAVOS</v>
      </c>
      <c r="I137" s="50"/>
      <c r="J137" s="843"/>
      <c r="K137" s="56" t="str">
        <f>Idiomas!$D$198&amp;"-"&amp;ROWS($L$130:L137)</f>
        <v>Dieciseisavofinalista-8</v>
      </c>
      <c r="L137" s="53"/>
      <c r="M137" s="55" t="str">
        <f ca="1">WORLDCUP!AA108</f>
        <v>1L</v>
      </c>
      <c r="N137" s="25"/>
      <c r="O137" s="25"/>
      <c r="P137" s="25"/>
      <c r="Q137" s="25"/>
      <c r="R137" s="108"/>
      <c r="S137" s="796" t="s">
        <v>76</v>
      </c>
      <c r="T137" s="72">
        <f t="shared" ca="1" si="5239"/>
        <v>0</v>
      </c>
      <c r="U137" s="63"/>
      <c r="V137" s="73" t="s">
        <v>76</v>
      </c>
      <c r="W137" s="72">
        <f t="shared" ca="1" si="5240"/>
        <v>0</v>
      </c>
      <c r="X137" s="63"/>
      <c r="Y137" s="796" t="s">
        <v>78</v>
      </c>
      <c r="Z137" s="72">
        <f t="shared" ca="1" si="5241"/>
        <v>0</v>
      </c>
      <c r="AA137" s="63"/>
      <c r="AB137" s="796" t="s">
        <v>76</v>
      </c>
      <c r="AC137" s="72">
        <f t="shared" ca="1" si="5242"/>
        <v>0</v>
      </c>
      <c r="AD137" s="63"/>
      <c r="AE137" s="796" t="s">
        <v>76</v>
      </c>
      <c r="AF137" s="72">
        <f t="shared" ca="1" si="5243"/>
        <v>0</v>
      </c>
      <c r="AG137" s="63"/>
      <c r="AH137" s="796" t="s">
        <v>76</v>
      </c>
      <c r="AI137" s="72">
        <f t="shared" ca="1" si="5244"/>
        <v>0</v>
      </c>
      <c r="AJ137" s="63"/>
      <c r="AK137" s="806" t="s">
        <v>76</v>
      </c>
      <c r="AL137" s="72">
        <f t="shared" ca="1" si="5245"/>
        <v>0</v>
      </c>
      <c r="AM137" s="63"/>
      <c r="AN137" s="796" t="s">
        <v>76</v>
      </c>
      <c r="AO137" s="72">
        <f t="shared" ca="1" si="5246"/>
        <v>0</v>
      </c>
      <c r="AP137" s="63"/>
      <c r="AQ137" s="806" t="s">
        <v>78</v>
      </c>
      <c r="AR137" s="72">
        <f t="shared" ca="1" si="5247"/>
        <v>0</v>
      </c>
      <c r="AS137" s="63"/>
      <c r="AT137" s="796" t="s">
        <v>78</v>
      </c>
      <c r="AU137" s="72">
        <f t="shared" ca="1" si="5248"/>
        <v>0</v>
      </c>
      <c r="AV137" s="63"/>
      <c r="AW137" s="796" t="s">
        <v>76</v>
      </c>
      <c r="AX137" s="72">
        <f t="shared" ca="1" si="5249"/>
        <v>0</v>
      </c>
      <c r="AY137" s="63"/>
      <c r="AZ137" s="796" t="s">
        <v>1730</v>
      </c>
      <c r="BA137" s="72">
        <f t="shared" ca="1" si="5250"/>
        <v>0</v>
      </c>
      <c r="BB137" s="63"/>
      <c r="BC137" s="796" t="s">
        <v>76</v>
      </c>
      <c r="BD137" s="72">
        <f t="shared" ca="1" si="5251"/>
        <v>0</v>
      </c>
      <c r="BE137" s="63"/>
      <c r="BF137" s="796" t="s">
        <v>78</v>
      </c>
      <c r="BG137" s="72">
        <f t="shared" ca="1" si="5252"/>
        <v>0</v>
      </c>
      <c r="BH137" s="63"/>
      <c r="BI137" s="796" t="s">
        <v>76</v>
      </c>
      <c r="BJ137" s="72">
        <f t="shared" ca="1" si="5253"/>
        <v>0</v>
      </c>
      <c r="BK137" s="63"/>
      <c r="BL137" s="796" t="s">
        <v>78</v>
      </c>
      <c r="BM137" s="72">
        <f t="shared" ca="1" si="5254"/>
        <v>0</v>
      </c>
      <c r="BN137" s="63"/>
      <c r="BO137" s="816" t="s">
        <v>76</v>
      </c>
      <c r="BP137" s="72">
        <f t="shared" ca="1" si="5255"/>
        <v>0</v>
      </c>
      <c r="BQ137" s="63"/>
      <c r="BR137" s="796" t="s">
        <v>78</v>
      </c>
      <c r="BS137" s="72">
        <f t="shared" ca="1" si="5256"/>
        <v>0</v>
      </c>
      <c r="BT137" s="63"/>
      <c r="BU137" s="796" t="s">
        <v>76</v>
      </c>
      <c r="BV137" s="72">
        <f t="shared" ca="1" si="5257"/>
        <v>0</v>
      </c>
      <c r="BW137" s="63"/>
      <c r="BX137" s="73" t="s">
        <v>76</v>
      </c>
      <c r="BY137" s="72">
        <f t="shared" ca="1" si="5258"/>
        <v>0</v>
      </c>
      <c r="BZ137" s="63"/>
      <c r="CA137" s="816" t="s">
        <v>76</v>
      </c>
      <c r="CB137" s="72">
        <f t="shared" ca="1" si="5259"/>
        <v>0</v>
      </c>
      <c r="CC137" s="63"/>
      <c r="CD137" s="825" t="s">
        <v>76</v>
      </c>
      <c r="CE137" s="72">
        <f t="shared" ca="1" si="5260"/>
        <v>0</v>
      </c>
      <c r="CF137" s="63"/>
      <c r="CG137" s="796" t="s">
        <v>76</v>
      </c>
      <c r="CH137" s="72">
        <f t="shared" ca="1" si="5261"/>
        <v>0</v>
      </c>
      <c r="CI137" s="63"/>
      <c r="CJ137" s="796" t="s">
        <v>76</v>
      </c>
      <c r="CK137" s="72">
        <f t="shared" ca="1" si="5262"/>
        <v>0</v>
      </c>
      <c r="CL137" s="63"/>
      <c r="CM137" s="796" t="s">
        <v>76</v>
      </c>
      <c r="CN137" s="72">
        <f t="shared" ca="1" si="5263"/>
        <v>0</v>
      </c>
      <c r="CO137" s="63"/>
      <c r="CP137" s="796" t="s">
        <v>76</v>
      </c>
      <c r="CQ137" s="72">
        <f t="shared" ca="1" si="5264"/>
        <v>0</v>
      </c>
      <c r="CR137" s="63"/>
      <c r="CS137" s="796" t="s">
        <v>76</v>
      </c>
      <c r="CT137" s="72">
        <f t="shared" ca="1" si="5265"/>
        <v>0</v>
      </c>
      <c r="CU137" s="63"/>
      <c r="CV137" s="796" t="s">
        <v>76</v>
      </c>
      <c r="CW137" s="72">
        <f t="shared" ca="1" si="5266"/>
        <v>0</v>
      </c>
      <c r="CX137" s="63"/>
      <c r="CY137" s="796" t="s">
        <v>78</v>
      </c>
      <c r="CZ137" s="72">
        <f t="shared" ca="1" si="5267"/>
        <v>0</v>
      </c>
      <c r="DA137" s="63"/>
      <c r="DB137" s="796" t="s">
        <v>78</v>
      </c>
      <c r="DC137" s="72">
        <f t="shared" ca="1" si="5268"/>
        <v>0</v>
      </c>
      <c r="DD137" s="63"/>
      <c r="DE137" s="796" t="s">
        <v>76</v>
      </c>
      <c r="DF137" s="72">
        <f t="shared" ca="1" si="5269"/>
        <v>0</v>
      </c>
      <c r="DG137" s="63"/>
      <c r="DH137" s="796" t="s">
        <v>76</v>
      </c>
      <c r="DI137" s="72">
        <f t="shared" ca="1" si="5270"/>
        <v>0</v>
      </c>
      <c r="DJ137" s="63"/>
      <c r="DK137" s="796" t="s">
        <v>76</v>
      </c>
      <c r="DL137" s="72">
        <f t="shared" ca="1" si="5271"/>
        <v>0</v>
      </c>
      <c r="DM137" s="63"/>
      <c r="DN137" s="73"/>
      <c r="DO137" s="72">
        <f t="shared" ca="1" si="5272"/>
        <v>0</v>
      </c>
      <c r="DP137" s="63"/>
      <c r="DQ137" s="796" t="s">
        <v>76</v>
      </c>
      <c r="DR137" s="72">
        <f t="shared" ca="1" si="5273"/>
        <v>0</v>
      </c>
      <c r="DS137" s="63"/>
      <c r="DT137" s="73" t="s">
        <v>76</v>
      </c>
      <c r="DU137" s="72">
        <f t="shared" ca="1" si="5274"/>
        <v>0</v>
      </c>
      <c r="DV137" s="63"/>
      <c r="DW137" s="73"/>
      <c r="DX137" s="72">
        <f t="shared" ca="1" si="5275"/>
        <v>0</v>
      </c>
      <c r="DY137" s="63"/>
      <c r="DZ137" s="73"/>
      <c r="EA137" s="72">
        <f t="shared" ca="1" si="5276"/>
        <v>0</v>
      </c>
      <c r="EB137" s="63"/>
      <c r="EC137" s="73"/>
      <c r="ED137" s="72">
        <f t="shared" ca="1" si="5277"/>
        <v>0</v>
      </c>
      <c r="EE137" s="63"/>
      <c r="EF137" s="73"/>
      <c r="EG137" s="72">
        <f t="shared" ca="1" si="5278"/>
        <v>0</v>
      </c>
      <c r="EH137" s="63"/>
      <c r="EI137" s="73"/>
      <c r="EJ137" s="72">
        <f t="shared" ca="1" si="5279"/>
        <v>0</v>
      </c>
      <c r="EK137" s="63"/>
      <c r="EL137" s="73"/>
      <c r="EM137" s="72">
        <f t="shared" ca="1" si="5280"/>
        <v>0</v>
      </c>
      <c r="EN137" s="63"/>
      <c r="EO137" s="73"/>
      <c r="EP137" s="72">
        <f t="shared" ca="1" si="5281"/>
        <v>0</v>
      </c>
      <c r="EQ137" s="63"/>
      <c r="ER137" s="73"/>
      <c r="ES137" s="72">
        <f t="shared" ca="1" si="5282"/>
        <v>0</v>
      </c>
      <c r="ET137" s="63"/>
      <c r="EU137" s="73"/>
      <c r="EV137" s="72">
        <f t="shared" ca="1" si="5283"/>
        <v>0</v>
      </c>
      <c r="EW137" s="63"/>
      <c r="EX137" s="73"/>
      <c r="EY137" s="72">
        <f t="shared" ca="1" si="5284"/>
        <v>0</v>
      </c>
      <c r="EZ137" s="63"/>
      <c r="FA137" s="73"/>
      <c r="FB137" s="72">
        <f t="shared" ca="1" si="5285"/>
        <v>0</v>
      </c>
      <c r="FC137" s="63"/>
      <c r="FD137" s="73"/>
      <c r="FE137" s="72">
        <f t="shared" ca="1" si="5286"/>
        <v>0</v>
      </c>
      <c r="FF137" s="63"/>
      <c r="FG137" s="73"/>
      <c r="FH137" s="72">
        <f t="shared" ca="1" si="5287"/>
        <v>0</v>
      </c>
      <c r="FI137" s="63"/>
      <c r="FJ137" s="73"/>
      <c r="FK137" s="72">
        <f t="shared" ca="1" si="5288"/>
        <v>0</v>
      </c>
      <c r="FL137" s="63"/>
      <c r="FM137" s="73"/>
      <c r="FN137" s="72">
        <f t="shared" ca="1" si="5289"/>
        <v>0</v>
      </c>
      <c r="FO137" s="63"/>
      <c r="FP137" s="73"/>
      <c r="FQ137" s="72">
        <f t="shared" ca="1" si="5290"/>
        <v>0</v>
      </c>
      <c r="FR137" s="63"/>
      <c r="FS137" s="73"/>
      <c r="FT137" s="72">
        <f t="shared" ca="1" si="5291"/>
        <v>0</v>
      </c>
      <c r="FU137" s="63"/>
      <c r="FV137" s="73"/>
      <c r="FW137" s="72">
        <f t="shared" ca="1" si="5292"/>
        <v>0</v>
      </c>
      <c r="FX137" s="63"/>
      <c r="FY137" s="73"/>
      <c r="FZ137" s="72">
        <f t="shared" ca="1" si="5293"/>
        <v>0</v>
      </c>
      <c r="GA137" s="63"/>
      <c r="GB137" s="73"/>
      <c r="GC137" s="72">
        <f t="shared" ca="1" si="5294"/>
        <v>0</v>
      </c>
      <c r="GD137" s="63"/>
      <c r="GE137" s="73"/>
      <c r="GF137" s="72">
        <f t="shared" ca="1" si="5295"/>
        <v>0</v>
      </c>
      <c r="GG137" s="63"/>
      <c r="GH137" s="73"/>
      <c r="GI137" s="72">
        <f t="shared" ca="1" si="5296"/>
        <v>0</v>
      </c>
      <c r="GJ137" s="63"/>
      <c r="GK137" s="73"/>
      <c r="GL137" s="72">
        <f t="shared" ca="1" si="5297"/>
        <v>0</v>
      </c>
      <c r="GM137" s="63"/>
      <c r="GN137" s="73"/>
      <c r="GO137" s="72">
        <f t="shared" ca="1" si="5298"/>
        <v>0</v>
      </c>
      <c r="GP137" s="63"/>
      <c r="GQ137" s="73"/>
      <c r="GR137" s="72">
        <f t="shared" ca="1" si="5299"/>
        <v>0</v>
      </c>
      <c r="GS137" s="63"/>
      <c r="GT137" s="73"/>
      <c r="GU137" s="72">
        <f t="shared" ca="1" si="5300"/>
        <v>0</v>
      </c>
      <c r="GV137" s="63"/>
      <c r="GW137" s="73"/>
      <c r="GX137" s="72">
        <f t="shared" ca="1" si="5301"/>
        <v>0</v>
      </c>
      <c r="GY137" s="63"/>
      <c r="GZ137" s="73"/>
      <c r="HA137" s="72">
        <f t="shared" ca="1" si="5302"/>
        <v>0</v>
      </c>
      <c r="HB137" s="63"/>
      <c r="HC137" s="73"/>
      <c r="HD137" s="72">
        <f t="shared" ca="1" si="5303"/>
        <v>0</v>
      </c>
      <c r="HE137" s="63"/>
      <c r="HF137" s="73"/>
      <c r="HG137" s="72">
        <f t="shared" ca="1" si="5304"/>
        <v>0</v>
      </c>
      <c r="HH137" s="63"/>
      <c r="HI137" s="73"/>
      <c r="HJ137" s="72">
        <f t="shared" ca="1" si="5305"/>
        <v>0</v>
      </c>
      <c r="HK137" s="63"/>
      <c r="HL137" s="73"/>
      <c r="HM137" s="72">
        <f t="shared" ca="1" si="5306"/>
        <v>0</v>
      </c>
      <c r="HN137" s="63"/>
      <c r="HO137" s="73"/>
      <c r="HP137" s="72">
        <f t="shared" ca="1" si="5307"/>
        <v>0</v>
      </c>
      <c r="HQ137" s="63"/>
      <c r="HR137" s="73"/>
      <c r="HS137" s="72">
        <f t="shared" ca="1" si="5308"/>
        <v>0</v>
      </c>
      <c r="HT137" s="63"/>
      <c r="HU137" s="73"/>
      <c r="HV137" s="72">
        <f t="shared" ca="1" si="5309"/>
        <v>0</v>
      </c>
      <c r="HW137" s="63"/>
      <c r="HX137" s="73"/>
      <c r="HY137" s="72">
        <f t="shared" ca="1" si="5310"/>
        <v>0</v>
      </c>
      <c r="HZ137" s="63"/>
      <c r="IA137" s="73"/>
      <c r="IB137" s="72">
        <f t="shared" ca="1" si="5311"/>
        <v>0</v>
      </c>
      <c r="IC137" s="63"/>
      <c r="ID137" s="73"/>
      <c r="IE137" s="72">
        <f t="shared" ca="1" si="5312"/>
        <v>0</v>
      </c>
      <c r="IF137" s="63"/>
      <c r="IG137" s="73"/>
      <c r="IH137" s="72">
        <f t="shared" ca="1" si="5313"/>
        <v>0</v>
      </c>
      <c r="II137" s="63"/>
      <c r="IJ137" s="73"/>
      <c r="IK137" s="72">
        <f t="shared" ca="1" si="5314"/>
        <v>0</v>
      </c>
      <c r="IL137" s="63"/>
      <c r="IM137" s="73"/>
      <c r="IN137" s="72">
        <f t="shared" ca="1" si="5315"/>
        <v>0</v>
      </c>
      <c r="IO137" s="63"/>
      <c r="IP137" s="73"/>
      <c r="IQ137" s="72">
        <f t="shared" ca="1" si="5316"/>
        <v>0</v>
      </c>
      <c r="IR137" s="63"/>
      <c r="IS137" s="73"/>
      <c r="IT137" s="72">
        <f t="shared" ca="1" si="5317"/>
        <v>0</v>
      </c>
      <c r="IU137" s="63"/>
      <c r="IV137" s="73"/>
      <c r="IW137" s="72">
        <f t="shared" ca="1" si="5318"/>
        <v>0</v>
      </c>
      <c r="IX137" s="63"/>
      <c r="IY137" s="73"/>
      <c r="IZ137" s="72">
        <f t="shared" ca="1" si="5319"/>
        <v>0</v>
      </c>
      <c r="JA137" s="63"/>
      <c r="JB137" s="73"/>
      <c r="JC137" s="72">
        <f t="shared" ca="1" si="5320"/>
        <v>0</v>
      </c>
      <c r="JD137" s="63"/>
      <c r="JE137" s="73"/>
      <c r="JF137" s="72">
        <f t="shared" ca="1" si="5321"/>
        <v>0</v>
      </c>
      <c r="JG137" s="63"/>
      <c r="JH137" s="73"/>
      <c r="JI137" s="72">
        <f t="shared" ca="1" si="5322"/>
        <v>0</v>
      </c>
      <c r="JJ137" s="63"/>
      <c r="JK137" s="73"/>
      <c r="JL137" s="72">
        <f t="shared" ca="1" si="5323"/>
        <v>0</v>
      </c>
      <c r="JM137" s="63"/>
      <c r="JN137" s="73"/>
      <c r="JO137" s="72">
        <f t="shared" ca="1" si="5324"/>
        <v>0</v>
      </c>
      <c r="JP137" s="63"/>
      <c r="JQ137" s="73"/>
      <c r="JR137" s="72">
        <f t="shared" ca="1" si="5325"/>
        <v>0</v>
      </c>
      <c r="JS137" s="63"/>
      <c r="JT137" s="73"/>
      <c r="JU137" s="72">
        <f t="shared" ca="1" si="5326"/>
        <v>0</v>
      </c>
      <c r="JV137" s="63"/>
      <c r="JW137" s="73"/>
      <c r="JX137" s="72">
        <f t="shared" ca="1" si="5327"/>
        <v>0</v>
      </c>
      <c r="JY137" s="63"/>
      <c r="JZ137" s="73"/>
      <c r="KA137" s="72">
        <f t="shared" ca="1" si="5328"/>
        <v>0</v>
      </c>
      <c r="KB137" s="63"/>
      <c r="KC137" s="73"/>
      <c r="KD137" s="72">
        <f t="shared" ca="1" si="5329"/>
        <v>0</v>
      </c>
      <c r="KE137" s="63"/>
      <c r="KF137" s="73"/>
      <c r="KG137" s="72">
        <f t="shared" ca="1" si="5330"/>
        <v>0</v>
      </c>
      <c r="KH137" s="63"/>
      <c r="KI137" s="73"/>
      <c r="KJ137" s="72">
        <f t="shared" ca="1" si="5331"/>
        <v>0</v>
      </c>
      <c r="KK137" s="63"/>
      <c r="KL137" s="73"/>
      <c r="KM137" s="72">
        <f t="shared" ca="1" si="5332"/>
        <v>0</v>
      </c>
      <c r="KN137" s="63"/>
      <c r="KO137" s="73"/>
      <c r="KP137" s="72">
        <f t="shared" ca="1" si="5333"/>
        <v>0</v>
      </c>
      <c r="KQ137" s="63"/>
      <c r="KR137" s="73"/>
      <c r="KS137" s="72">
        <f t="shared" ca="1" si="5334"/>
        <v>0</v>
      </c>
      <c r="KT137" s="63"/>
      <c r="KU137" s="73"/>
      <c r="KV137" s="72">
        <f t="shared" ca="1" si="5335"/>
        <v>0</v>
      </c>
      <c r="KW137" s="63"/>
      <c r="KX137" s="73"/>
      <c r="KY137" s="72">
        <f t="shared" ca="1" si="5336"/>
        <v>0</v>
      </c>
      <c r="KZ137" s="63"/>
      <c r="LA137" s="73"/>
      <c r="LB137" s="72">
        <f t="shared" ca="1" si="5337"/>
        <v>0</v>
      </c>
      <c r="LC137" s="63"/>
      <c r="LD137" s="73"/>
      <c r="LE137" s="72">
        <f t="shared" ca="1" si="5338"/>
        <v>0</v>
      </c>
      <c r="LF137" s="63"/>
    </row>
    <row r="138" spans="1:318" s="784" customFormat="1">
      <c r="A138" s="49"/>
      <c r="B138" s="49"/>
      <c r="C138" s="49"/>
      <c r="D138" s="49"/>
      <c r="E138" s="64"/>
      <c r="F138" s="125">
        <f t="shared" si="5339"/>
        <v>15</v>
      </c>
      <c r="G138" s="443">
        <f ca="1">VLOOKUP(H138,Equipos!$Q$1:$R$25,2,0)</f>
        <v>19</v>
      </c>
      <c r="H138" s="445" t="str">
        <f>Idiomas!$D$137</f>
        <v>CLASIFICADOS PARA DIECISEISAVOS</v>
      </c>
      <c r="I138" s="50"/>
      <c r="J138" s="843"/>
      <c r="K138" s="56" t="str">
        <f>Idiomas!$D$198&amp;"-"&amp;ROWS($L$130:L138)</f>
        <v>Dieciseisavofinalista-9</v>
      </c>
      <c r="L138" s="53"/>
      <c r="M138" s="55" t="str">
        <f ca="1">WORLDCUP!AA109</f>
        <v>1G</v>
      </c>
      <c r="N138" s="25"/>
      <c r="O138" s="25"/>
      <c r="P138" s="25"/>
      <c r="Q138" s="25"/>
      <c r="R138" s="108"/>
      <c r="S138" s="796" t="s">
        <v>110</v>
      </c>
      <c r="T138" s="72">
        <f t="shared" ca="1" si="5239"/>
        <v>0</v>
      </c>
      <c r="U138" s="63"/>
      <c r="V138" s="73" t="s">
        <v>110</v>
      </c>
      <c r="W138" s="72">
        <f t="shared" ca="1" si="5240"/>
        <v>0</v>
      </c>
      <c r="X138" s="63"/>
      <c r="Y138" s="796" t="s">
        <v>110</v>
      </c>
      <c r="Z138" s="72">
        <f t="shared" ca="1" si="5241"/>
        <v>0</v>
      </c>
      <c r="AA138" s="63"/>
      <c r="AB138" s="796" t="s">
        <v>110</v>
      </c>
      <c r="AC138" s="72">
        <f t="shared" ca="1" si="5242"/>
        <v>0</v>
      </c>
      <c r="AD138" s="63"/>
      <c r="AE138" s="796" t="s">
        <v>110</v>
      </c>
      <c r="AF138" s="72">
        <f t="shared" ca="1" si="5243"/>
        <v>0</v>
      </c>
      <c r="AG138" s="63"/>
      <c r="AH138" s="796" t="s">
        <v>110</v>
      </c>
      <c r="AI138" s="72">
        <f t="shared" ca="1" si="5244"/>
        <v>0</v>
      </c>
      <c r="AJ138" s="63"/>
      <c r="AK138" s="806" t="s">
        <v>110</v>
      </c>
      <c r="AL138" s="72">
        <f t="shared" ca="1" si="5245"/>
        <v>0</v>
      </c>
      <c r="AM138" s="63"/>
      <c r="AN138" s="796" t="s">
        <v>110</v>
      </c>
      <c r="AO138" s="72">
        <f t="shared" ca="1" si="5246"/>
        <v>0</v>
      </c>
      <c r="AP138" s="63"/>
      <c r="AQ138" s="806" t="s">
        <v>110</v>
      </c>
      <c r="AR138" s="72">
        <f t="shared" ca="1" si="5247"/>
        <v>0</v>
      </c>
      <c r="AS138" s="63"/>
      <c r="AT138" s="796" t="s">
        <v>110</v>
      </c>
      <c r="AU138" s="72">
        <f t="shared" ca="1" si="5248"/>
        <v>0</v>
      </c>
      <c r="AV138" s="63"/>
      <c r="AW138" s="796" t="s">
        <v>110</v>
      </c>
      <c r="AX138" s="72">
        <f t="shared" ca="1" si="5249"/>
        <v>0</v>
      </c>
      <c r="AY138" s="63"/>
      <c r="AZ138" s="796" t="s">
        <v>1262</v>
      </c>
      <c r="BA138" s="72">
        <f t="shared" ca="1" si="5250"/>
        <v>0</v>
      </c>
      <c r="BB138" s="63"/>
      <c r="BC138" s="796" t="s">
        <v>110</v>
      </c>
      <c r="BD138" s="72">
        <f t="shared" ca="1" si="5251"/>
        <v>0</v>
      </c>
      <c r="BE138" s="63"/>
      <c r="BF138" s="796" t="s">
        <v>110</v>
      </c>
      <c r="BG138" s="72">
        <f t="shared" ca="1" si="5252"/>
        <v>0</v>
      </c>
      <c r="BH138" s="63"/>
      <c r="BI138" s="796" t="s">
        <v>110</v>
      </c>
      <c r="BJ138" s="72">
        <f t="shared" ca="1" si="5253"/>
        <v>0</v>
      </c>
      <c r="BK138" s="63"/>
      <c r="BL138" s="796" t="s">
        <v>110</v>
      </c>
      <c r="BM138" s="72">
        <f t="shared" ca="1" si="5254"/>
        <v>0</v>
      </c>
      <c r="BN138" s="63"/>
      <c r="BO138" s="816" t="s">
        <v>110</v>
      </c>
      <c r="BP138" s="72">
        <f t="shared" ca="1" si="5255"/>
        <v>0</v>
      </c>
      <c r="BQ138" s="63"/>
      <c r="BR138" s="796" t="s">
        <v>110</v>
      </c>
      <c r="BS138" s="72">
        <f t="shared" ca="1" si="5256"/>
        <v>0</v>
      </c>
      <c r="BT138" s="63"/>
      <c r="BU138" s="796" t="s">
        <v>110</v>
      </c>
      <c r="BV138" s="72">
        <f t="shared" ca="1" si="5257"/>
        <v>0</v>
      </c>
      <c r="BW138" s="63"/>
      <c r="BX138" s="73" t="s">
        <v>1550</v>
      </c>
      <c r="BY138" s="72">
        <f t="shared" ca="1" si="5258"/>
        <v>0</v>
      </c>
      <c r="BZ138" s="63"/>
      <c r="CA138" s="816" t="s">
        <v>110</v>
      </c>
      <c r="CB138" s="72">
        <f t="shared" ca="1" si="5259"/>
        <v>0</v>
      </c>
      <c r="CC138" s="63"/>
      <c r="CD138" s="825" t="s">
        <v>110</v>
      </c>
      <c r="CE138" s="72">
        <f t="shared" ca="1" si="5260"/>
        <v>0</v>
      </c>
      <c r="CF138" s="63"/>
      <c r="CG138" s="796" t="s">
        <v>110</v>
      </c>
      <c r="CH138" s="72">
        <f t="shared" ca="1" si="5261"/>
        <v>0</v>
      </c>
      <c r="CI138" s="63"/>
      <c r="CJ138" s="796" t="s">
        <v>110</v>
      </c>
      <c r="CK138" s="72">
        <f t="shared" ca="1" si="5262"/>
        <v>0</v>
      </c>
      <c r="CL138" s="63"/>
      <c r="CM138" s="796" t="s">
        <v>110</v>
      </c>
      <c r="CN138" s="72">
        <f t="shared" ca="1" si="5263"/>
        <v>0</v>
      </c>
      <c r="CO138" s="63"/>
      <c r="CP138" s="796" t="s">
        <v>110</v>
      </c>
      <c r="CQ138" s="72">
        <f t="shared" ca="1" si="5264"/>
        <v>0</v>
      </c>
      <c r="CR138" s="63"/>
      <c r="CS138" s="796" t="s">
        <v>110</v>
      </c>
      <c r="CT138" s="72">
        <f t="shared" ca="1" si="5265"/>
        <v>0</v>
      </c>
      <c r="CU138" s="63"/>
      <c r="CV138" s="796" t="s">
        <v>1550</v>
      </c>
      <c r="CW138" s="72">
        <f t="shared" ca="1" si="5266"/>
        <v>0</v>
      </c>
      <c r="CX138" s="63"/>
      <c r="CY138" s="796" t="s">
        <v>110</v>
      </c>
      <c r="CZ138" s="72">
        <f t="shared" ca="1" si="5267"/>
        <v>0</v>
      </c>
      <c r="DA138" s="63"/>
      <c r="DB138" s="796" t="s">
        <v>110</v>
      </c>
      <c r="DC138" s="72">
        <f t="shared" ca="1" si="5268"/>
        <v>0</v>
      </c>
      <c r="DD138" s="63"/>
      <c r="DE138" s="796" t="s">
        <v>110</v>
      </c>
      <c r="DF138" s="72">
        <f t="shared" ca="1" si="5269"/>
        <v>0</v>
      </c>
      <c r="DG138" s="63"/>
      <c r="DH138" s="796" t="s">
        <v>110</v>
      </c>
      <c r="DI138" s="72">
        <f t="shared" ca="1" si="5270"/>
        <v>0</v>
      </c>
      <c r="DJ138" s="63"/>
      <c r="DK138" s="796" t="s">
        <v>110</v>
      </c>
      <c r="DL138" s="72">
        <f t="shared" ca="1" si="5271"/>
        <v>0</v>
      </c>
      <c r="DM138" s="63"/>
      <c r="DN138" s="73"/>
      <c r="DO138" s="72">
        <f t="shared" ca="1" si="5272"/>
        <v>0</v>
      </c>
      <c r="DP138" s="63"/>
      <c r="DQ138" s="796" t="s">
        <v>110</v>
      </c>
      <c r="DR138" s="72">
        <f t="shared" ca="1" si="5273"/>
        <v>0</v>
      </c>
      <c r="DS138" s="63"/>
      <c r="DT138" s="73" t="s">
        <v>110</v>
      </c>
      <c r="DU138" s="72">
        <f t="shared" ca="1" si="5274"/>
        <v>0</v>
      </c>
      <c r="DV138" s="63"/>
      <c r="DW138" s="73"/>
      <c r="DX138" s="72">
        <f t="shared" ca="1" si="5275"/>
        <v>0</v>
      </c>
      <c r="DY138" s="63"/>
      <c r="DZ138" s="73"/>
      <c r="EA138" s="72">
        <f t="shared" ca="1" si="5276"/>
        <v>0</v>
      </c>
      <c r="EB138" s="63"/>
      <c r="EC138" s="73"/>
      <c r="ED138" s="72">
        <f t="shared" ca="1" si="5277"/>
        <v>0</v>
      </c>
      <c r="EE138" s="63"/>
      <c r="EF138" s="73"/>
      <c r="EG138" s="72">
        <f t="shared" ca="1" si="5278"/>
        <v>0</v>
      </c>
      <c r="EH138" s="63"/>
      <c r="EI138" s="73"/>
      <c r="EJ138" s="72">
        <f t="shared" ca="1" si="5279"/>
        <v>0</v>
      </c>
      <c r="EK138" s="63"/>
      <c r="EL138" s="73"/>
      <c r="EM138" s="72">
        <f t="shared" ca="1" si="5280"/>
        <v>0</v>
      </c>
      <c r="EN138" s="63"/>
      <c r="EO138" s="73"/>
      <c r="EP138" s="72">
        <f t="shared" ca="1" si="5281"/>
        <v>0</v>
      </c>
      <c r="EQ138" s="63"/>
      <c r="ER138" s="73"/>
      <c r="ES138" s="72">
        <f t="shared" ca="1" si="5282"/>
        <v>0</v>
      </c>
      <c r="ET138" s="63"/>
      <c r="EU138" s="73"/>
      <c r="EV138" s="72">
        <f t="shared" ca="1" si="5283"/>
        <v>0</v>
      </c>
      <c r="EW138" s="63"/>
      <c r="EX138" s="73"/>
      <c r="EY138" s="72">
        <f t="shared" ca="1" si="5284"/>
        <v>0</v>
      </c>
      <c r="EZ138" s="63"/>
      <c r="FA138" s="73"/>
      <c r="FB138" s="72">
        <f t="shared" ca="1" si="5285"/>
        <v>0</v>
      </c>
      <c r="FC138" s="63"/>
      <c r="FD138" s="73"/>
      <c r="FE138" s="72">
        <f t="shared" ca="1" si="5286"/>
        <v>0</v>
      </c>
      <c r="FF138" s="63"/>
      <c r="FG138" s="73"/>
      <c r="FH138" s="72">
        <f t="shared" ca="1" si="5287"/>
        <v>0</v>
      </c>
      <c r="FI138" s="63"/>
      <c r="FJ138" s="73"/>
      <c r="FK138" s="72">
        <f t="shared" ca="1" si="5288"/>
        <v>0</v>
      </c>
      <c r="FL138" s="63"/>
      <c r="FM138" s="73"/>
      <c r="FN138" s="72">
        <f t="shared" ca="1" si="5289"/>
        <v>0</v>
      </c>
      <c r="FO138" s="63"/>
      <c r="FP138" s="73"/>
      <c r="FQ138" s="72">
        <f t="shared" ca="1" si="5290"/>
        <v>0</v>
      </c>
      <c r="FR138" s="63"/>
      <c r="FS138" s="73"/>
      <c r="FT138" s="72">
        <f t="shared" ca="1" si="5291"/>
        <v>0</v>
      </c>
      <c r="FU138" s="63"/>
      <c r="FV138" s="73"/>
      <c r="FW138" s="72">
        <f t="shared" ca="1" si="5292"/>
        <v>0</v>
      </c>
      <c r="FX138" s="63"/>
      <c r="FY138" s="73"/>
      <c r="FZ138" s="72">
        <f t="shared" ca="1" si="5293"/>
        <v>0</v>
      </c>
      <c r="GA138" s="63"/>
      <c r="GB138" s="73"/>
      <c r="GC138" s="72">
        <f t="shared" ca="1" si="5294"/>
        <v>0</v>
      </c>
      <c r="GD138" s="63"/>
      <c r="GE138" s="73"/>
      <c r="GF138" s="72">
        <f t="shared" ca="1" si="5295"/>
        <v>0</v>
      </c>
      <c r="GG138" s="63"/>
      <c r="GH138" s="73"/>
      <c r="GI138" s="72">
        <f t="shared" ca="1" si="5296"/>
        <v>0</v>
      </c>
      <c r="GJ138" s="63"/>
      <c r="GK138" s="73"/>
      <c r="GL138" s="72">
        <f t="shared" ca="1" si="5297"/>
        <v>0</v>
      </c>
      <c r="GM138" s="63"/>
      <c r="GN138" s="73"/>
      <c r="GO138" s="72">
        <f t="shared" ca="1" si="5298"/>
        <v>0</v>
      </c>
      <c r="GP138" s="63"/>
      <c r="GQ138" s="73"/>
      <c r="GR138" s="72">
        <f t="shared" ca="1" si="5299"/>
        <v>0</v>
      </c>
      <c r="GS138" s="63"/>
      <c r="GT138" s="73"/>
      <c r="GU138" s="72">
        <f t="shared" ca="1" si="5300"/>
        <v>0</v>
      </c>
      <c r="GV138" s="63"/>
      <c r="GW138" s="73"/>
      <c r="GX138" s="72">
        <f t="shared" ca="1" si="5301"/>
        <v>0</v>
      </c>
      <c r="GY138" s="63"/>
      <c r="GZ138" s="73"/>
      <c r="HA138" s="72">
        <f t="shared" ca="1" si="5302"/>
        <v>0</v>
      </c>
      <c r="HB138" s="63"/>
      <c r="HC138" s="73"/>
      <c r="HD138" s="72">
        <f t="shared" ca="1" si="5303"/>
        <v>0</v>
      </c>
      <c r="HE138" s="63"/>
      <c r="HF138" s="73"/>
      <c r="HG138" s="72">
        <f t="shared" ca="1" si="5304"/>
        <v>0</v>
      </c>
      <c r="HH138" s="63"/>
      <c r="HI138" s="73"/>
      <c r="HJ138" s="72">
        <f t="shared" ca="1" si="5305"/>
        <v>0</v>
      </c>
      <c r="HK138" s="63"/>
      <c r="HL138" s="73"/>
      <c r="HM138" s="72">
        <f t="shared" ca="1" si="5306"/>
        <v>0</v>
      </c>
      <c r="HN138" s="63"/>
      <c r="HO138" s="73"/>
      <c r="HP138" s="72">
        <f t="shared" ca="1" si="5307"/>
        <v>0</v>
      </c>
      <c r="HQ138" s="63"/>
      <c r="HR138" s="73"/>
      <c r="HS138" s="72">
        <f t="shared" ca="1" si="5308"/>
        <v>0</v>
      </c>
      <c r="HT138" s="63"/>
      <c r="HU138" s="73"/>
      <c r="HV138" s="72">
        <f t="shared" ca="1" si="5309"/>
        <v>0</v>
      </c>
      <c r="HW138" s="63"/>
      <c r="HX138" s="73"/>
      <c r="HY138" s="72">
        <f t="shared" ca="1" si="5310"/>
        <v>0</v>
      </c>
      <c r="HZ138" s="63"/>
      <c r="IA138" s="73"/>
      <c r="IB138" s="72">
        <f t="shared" ca="1" si="5311"/>
        <v>0</v>
      </c>
      <c r="IC138" s="63"/>
      <c r="ID138" s="73"/>
      <c r="IE138" s="72">
        <f t="shared" ca="1" si="5312"/>
        <v>0</v>
      </c>
      <c r="IF138" s="63"/>
      <c r="IG138" s="73"/>
      <c r="IH138" s="72">
        <f t="shared" ca="1" si="5313"/>
        <v>0</v>
      </c>
      <c r="II138" s="63"/>
      <c r="IJ138" s="73"/>
      <c r="IK138" s="72">
        <f t="shared" ca="1" si="5314"/>
        <v>0</v>
      </c>
      <c r="IL138" s="63"/>
      <c r="IM138" s="73"/>
      <c r="IN138" s="72">
        <f t="shared" ca="1" si="5315"/>
        <v>0</v>
      </c>
      <c r="IO138" s="63"/>
      <c r="IP138" s="73"/>
      <c r="IQ138" s="72">
        <f t="shared" ca="1" si="5316"/>
        <v>0</v>
      </c>
      <c r="IR138" s="63"/>
      <c r="IS138" s="73"/>
      <c r="IT138" s="72">
        <f t="shared" ca="1" si="5317"/>
        <v>0</v>
      </c>
      <c r="IU138" s="63"/>
      <c r="IV138" s="73"/>
      <c r="IW138" s="72">
        <f t="shared" ca="1" si="5318"/>
        <v>0</v>
      </c>
      <c r="IX138" s="63"/>
      <c r="IY138" s="73"/>
      <c r="IZ138" s="72">
        <f t="shared" ca="1" si="5319"/>
        <v>0</v>
      </c>
      <c r="JA138" s="63"/>
      <c r="JB138" s="73"/>
      <c r="JC138" s="72">
        <f t="shared" ca="1" si="5320"/>
        <v>0</v>
      </c>
      <c r="JD138" s="63"/>
      <c r="JE138" s="73"/>
      <c r="JF138" s="72">
        <f t="shared" ca="1" si="5321"/>
        <v>0</v>
      </c>
      <c r="JG138" s="63"/>
      <c r="JH138" s="73"/>
      <c r="JI138" s="72">
        <f t="shared" ca="1" si="5322"/>
        <v>0</v>
      </c>
      <c r="JJ138" s="63"/>
      <c r="JK138" s="73"/>
      <c r="JL138" s="72">
        <f t="shared" ca="1" si="5323"/>
        <v>0</v>
      </c>
      <c r="JM138" s="63"/>
      <c r="JN138" s="73"/>
      <c r="JO138" s="72">
        <f t="shared" ca="1" si="5324"/>
        <v>0</v>
      </c>
      <c r="JP138" s="63"/>
      <c r="JQ138" s="73"/>
      <c r="JR138" s="72">
        <f t="shared" ca="1" si="5325"/>
        <v>0</v>
      </c>
      <c r="JS138" s="63"/>
      <c r="JT138" s="73"/>
      <c r="JU138" s="72">
        <f t="shared" ca="1" si="5326"/>
        <v>0</v>
      </c>
      <c r="JV138" s="63"/>
      <c r="JW138" s="73"/>
      <c r="JX138" s="72">
        <f t="shared" ca="1" si="5327"/>
        <v>0</v>
      </c>
      <c r="JY138" s="63"/>
      <c r="JZ138" s="73"/>
      <c r="KA138" s="72">
        <f t="shared" ca="1" si="5328"/>
        <v>0</v>
      </c>
      <c r="KB138" s="63"/>
      <c r="KC138" s="73"/>
      <c r="KD138" s="72">
        <f t="shared" ca="1" si="5329"/>
        <v>0</v>
      </c>
      <c r="KE138" s="63"/>
      <c r="KF138" s="73"/>
      <c r="KG138" s="72">
        <f t="shared" ca="1" si="5330"/>
        <v>0</v>
      </c>
      <c r="KH138" s="63"/>
      <c r="KI138" s="73"/>
      <c r="KJ138" s="72">
        <f t="shared" ca="1" si="5331"/>
        <v>0</v>
      </c>
      <c r="KK138" s="63"/>
      <c r="KL138" s="73"/>
      <c r="KM138" s="72">
        <f t="shared" ca="1" si="5332"/>
        <v>0</v>
      </c>
      <c r="KN138" s="63"/>
      <c r="KO138" s="73"/>
      <c r="KP138" s="72">
        <f t="shared" ca="1" si="5333"/>
        <v>0</v>
      </c>
      <c r="KQ138" s="63"/>
      <c r="KR138" s="73"/>
      <c r="KS138" s="72">
        <f t="shared" ca="1" si="5334"/>
        <v>0</v>
      </c>
      <c r="KT138" s="63"/>
      <c r="KU138" s="73"/>
      <c r="KV138" s="72">
        <f t="shared" ca="1" si="5335"/>
        <v>0</v>
      </c>
      <c r="KW138" s="63"/>
      <c r="KX138" s="73"/>
      <c r="KY138" s="72">
        <f t="shared" ca="1" si="5336"/>
        <v>0</v>
      </c>
      <c r="KZ138" s="63"/>
      <c r="LA138" s="73"/>
      <c r="LB138" s="72">
        <f t="shared" ca="1" si="5337"/>
        <v>0</v>
      </c>
      <c r="LC138" s="63"/>
      <c r="LD138" s="73"/>
      <c r="LE138" s="72">
        <f t="shared" ca="1" si="5338"/>
        <v>0</v>
      </c>
      <c r="LF138" s="63"/>
    </row>
    <row r="139" spans="1:318" s="784" customFormat="1">
      <c r="A139" s="49"/>
      <c r="B139" s="49"/>
      <c r="C139" s="49"/>
      <c r="D139" s="49"/>
      <c r="E139" s="64"/>
      <c r="F139" s="125">
        <f t="shared" si="5339"/>
        <v>15</v>
      </c>
      <c r="G139" s="443">
        <f ca="1">VLOOKUP(H139,Equipos!$Q$1:$R$25,2,0)</f>
        <v>19</v>
      </c>
      <c r="H139" s="445" t="str">
        <f>Idiomas!$D$137</f>
        <v>CLASIFICADOS PARA DIECISEISAVOS</v>
      </c>
      <c r="I139" s="50"/>
      <c r="J139" s="843"/>
      <c r="K139" s="56" t="str">
        <f>Idiomas!$D$198&amp;"-"&amp;ROWS($L$130:L139)</f>
        <v>Dieciseisavofinalista-10</v>
      </c>
      <c r="L139" s="53"/>
      <c r="M139" s="55" t="str">
        <f ca="1">WORLDCUP!AA110</f>
        <v>1D</v>
      </c>
      <c r="N139" s="25"/>
      <c r="O139" s="25"/>
      <c r="P139" s="25"/>
      <c r="Q139" s="25"/>
      <c r="R139" s="108"/>
      <c r="S139" s="796" t="s">
        <v>497</v>
      </c>
      <c r="T139" s="72">
        <f t="shared" ca="1" si="5239"/>
        <v>0</v>
      </c>
      <c r="U139" s="63"/>
      <c r="V139" s="73" t="s">
        <v>1835</v>
      </c>
      <c r="W139" s="72">
        <f t="shared" ca="1" si="5240"/>
        <v>0</v>
      </c>
      <c r="X139" s="63"/>
      <c r="Y139" s="796" t="s">
        <v>1319</v>
      </c>
      <c r="Z139" s="72">
        <f t="shared" ca="1" si="5241"/>
        <v>0</v>
      </c>
      <c r="AA139" s="63"/>
      <c r="AB139" s="796" t="s">
        <v>1835</v>
      </c>
      <c r="AC139" s="72">
        <f t="shared" ca="1" si="5242"/>
        <v>0</v>
      </c>
      <c r="AD139" s="63"/>
      <c r="AE139" s="796" t="s">
        <v>1835</v>
      </c>
      <c r="AF139" s="72">
        <f t="shared" ca="1" si="5243"/>
        <v>0</v>
      </c>
      <c r="AG139" s="63"/>
      <c r="AH139" s="796" t="s">
        <v>1835</v>
      </c>
      <c r="AI139" s="72">
        <f t="shared" ca="1" si="5244"/>
        <v>0</v>
      </c>
      <c r="AJ139" s="63"/>
      <c r="AK139" s="806" t="s">
        <v>497</v>
      </c>
      <c r="AL139" s="72">
        <f t="shared" ca="1" si="5245"/>
        <v>0</v>
      </c>
      <c r="AM139" s="63"/>
      <c r="AN139" s="796" t="s">
        <v>1835</v>
      </c>
      <c r="AO139" s="72">
        <f t="shared" ca="1" si="5246"/>
        <v>0</v>
      </c>
      <c r="AP139" s="63"/>
      <c r="AQ139" s="806" t="s">
        <v>1835</v>
      </c>
      <c r="AR139" s="72">
        <f t="shared" ca="1" si="5247"/>
        <v>0</v>
      </c>
      <c r="AS139" s="63"/>
      <c r="AT139" s="796" t="s">
        <v>1319</v>
      </c>
      <c r="AU139" s="72">
        <f t="shared" ca="1" si="5248"/>
        <v>0</v>
      </c>
      <c r="AV139" s="63"/>
      <c r="AW139" s="796" t="s">
        <v>1835</v>
      </c>
      <c r="AX139" s="72">
        <f t="shared" ca="1" si="5249"/>
        <v>0</v>
      </c>
      <c r="AY139" s="63"/>
      <c r="AZ139" s="796" t="s">
        <v>1257</v>
      </c>
      <c r="BA139" s="72">
        <f t="shared" ca="1" si="5250"/>
        <v>0</v>
      </c>
      <c r="BB139" s="63"/>
      <c r="BC139" s="796" t="s">
        <v>1835</v>
      </c>
      <c r="BD139" s="72">
        <f t="shared" ca="1" si="5251"/>
        <v>0</v>
      </c>
      <c r="BE139" s="63"/>
      <c r="BF139" s="796" t="s">
        <v>497</v>
      </c>
      <c r="BG139" s="72">
        <f t="shared" ca="1" si="5252"/>
        <v>0</v>
      </c>
      <c r="BH139" s="63"/>
      <c r="BI139" s="796" t="s">
        <v>1835</v>
      </c>
      <c r="BJ139" s="72">
        <f t="shared" ca="1" si="5253"/>
        <v>0</v>
      </c>
      <c r="BK139" s="63"/>
      <c r="BL139" s="796" t="s">
        <v>497</v>
      </c>
      <c r="BM139" s="72">
        <f t="shared" ca="1" si="5254"/>
        <v>0</v>
      </c>
      <c r="BN139" s="63"/>
      <c r="BO139" s="816" t="s">
        <v>1835</v>
      </c>
      <c r="BP139" s="72">
        <f t="shared" ca="1" si="5255"/>
        <v>0</v>
      </c>
      <c r="BQ139" s="63"/>
      <c r="BR139" s="796" t="s">
        <v>1835</v>
      </c>
      <c r="BS139" s="72">
        <f t="shared" ca="1" si="5256"/>
        <v>0</v>
      </c>
      <c r="BT139" s="63"/>
      <c r="BU139" s="796" t="s">
        <v>1835</v>
      </c>
      <c r="BV139" s="72">
        <f t="shared" ca="1" si="5257"/>
        <v>0</v>
      </c>
      <c r="BW139" s="63"/>
      <c r="BX139" s="73" t="s">
        <v>1319</v>
      </c>
      <c r="BY139" s="72">
        <f t="shared" ca="1" si="5258"/>
        <v>0</v>
      </c>
      <c r="BZ139" s="63"/>
      <c r="CA139" s="816" t="s">
        <v>1835</v>
      </c>
      <c r="CB139" s="72">
        <f t="shared" ca="1" si="5259"/>
        <v>0</v>
      </c>
      <c r="CC139" s="63"/>
      <c r="CD139" s="825" t="s">
        <v>497</v>
      </c>
      <c r="CE139" s="72">
        <f t="shared" ca="1" si="5260"/>
        <v>0</v>
      </c>
      <c r="CF139" s="63"/>
      <c r="CG139" s="796" t="s">
        <v>1835</v>
      </c>
      <c r="CH139" s="72">
        <f t="shared" ca="1" si="5261"/>
        <v>0</v>
      </c>
      <c r="CI139" s="63"/>
      <c r="CJ139" s="796" t="s">
        <v>1835</v>
      </c>
      <c r="CK139" s="72">
        <f t="shared" ca="1" si="5262"/>
        <v>0</v>
      </c>
      <c r="CL139" s="63"/>
      <c r="CM139" s="796" t="s">
        <v>1319</v>
      </c>
      <c r="CN139" s="72">
        <f t="shared" ca="1" si="5263"/>
        <v>0</v>
      </c>
      <c r="CO139" s="63"/>
      <c r="CP139" s="796" t="s">
        <v>1319</v>
      </c>
      <c r="CQ139" s="72">
        <f t="shared" ca="1" si="5264"/>
        <v>0</v>
      </c>
      <c r="CR139" s="63"/>
      <c r="CS139" s="796" t="s">
        <v>497</v>
      </c>
      <c r="CT139" s="72">
        <f t="shared" ca="1" si="5265"/>
        <v>0</v>
      </c>
      <c r="CU139" s="63"/>
      <c r="CV139" s="796" t="s">
        <v>1835</v>
      </c>
      <c r="CW139" s="72">
        <f t="shared" ca="1" si="5266"/>
        <v>0</v>
      </c>
      <c r="CX139" s="63"/>
      <c r="CY139" s="796" t="s">
        <v>497</v>
      </c>
      <c r="CZ139" s="72">
        <f t="shared" ca="1" si="5267"/>
        <v>0</v>
      </c>
      <c r="DA139" s="63"/>
      <c r="DB139" s="796" t="s">
        <v>1835</v>
      </c>
      <c r="DC139" s="72">
        <f t="shared" ca="1" si="5268"/>
        <v>0</v>
      </c>
      <c r="DD139" s="63"/>
      <c r="DE139" s="796" t="s">
        <v>1835</v>
      </c>
      <c r="DF139" s="72">
        <f t="shared" ca="1" si="5269"/>
        <v>0</v>
      </c>
      <c r="DG139" s="63"/>
      <c r="DH139" s="796" t="s">
        <v>497</v>
      </c>
      <c r="DI139" s="72">
        <f t="shared" ca="1" si="5270"/>
        <v>0</v>
      </c>
      <c r="DJ139" s="63"/>
      <c r="DK139" s="796" t="s">
        <v>1835</v>
      </c>
      <c r="DL139" s="72">
        <f t="shared" ca="1" si="5271"/>
        <v>0</v>
      </c>
      <c r="DM139" s="63"/>
      <c r="DN139" s="73"/>
      <c r="DO139" s="72">
        <f t="shared" ca="1" si="5272"/>
        <v>0</v>
      </c>
      <c r="DP139" s="63"/>
      <c r="DQ139" s="796" t="s">
        <v>1319</v>
      </c>
      <c r="DR139" s="72">
        <f t="shared" ca="1" si="5273"/>
        <v>0</v>
      </c>
      <c r="DS139" s="63"/>
      <c r="DT139" s="73" t="s">
        <v>497</v>
      </c>
      <c r="DU139" s="72">
        <f t="shared" ca="1" si="5274"/>
        <v>0</v>
      </c>
      <c r="DV139" s="63"/>
      <c r="DW139" s="73"/>
      <c r="DX139" s="72">
        <f t="shared" ca="1" si="5275"/>
        <v>0</v>
      </c>
      <c r="DY139" s="63"/>
      <c r="DZ139" s="73"/>
      <c r="EA139" s="72">
        <f t="shared" ca="1" si="5276"/>
        <v>0</v>
      </c>
      <c r="EB139" s="63"/>
      <c r="EC139" s="73"/>
      <c r="ED139" s="72">
        <f t="shared" ca="1" si="5277"/>
        <v>0</v>
      </c>
      <c r="EE139" s="63"/>
      <c r="EF139" s="73"/>
      <c r="EG139" s="72">
        <f t="shared" ca="1" si="5278"/>
        <v>0</v>
      </c>
      <c r="EH139" s="63"/>
      <c r="EI139" s="73"/>
      <c r="EJ139" s="72">
        <f t="shared" ca="1" si="5279"/>
        <v>0</v>
      </c>
      <c r="EK139" s="63"/>
      <c r="EL139" s="73"/>
      <c r="EM139" s="72">
        <f t="shared" ca="1" si="5280"/>
        <v>0</v>
      </c>
      <c r="EN139" s="63"/>
      <c r="EO139" s="73"/>
      <c r="EP139" s="72">
        <f t="shared" ca="1" si="5281"/>
        <v>0</v>
      </c>
      <c r="EQ139" s="63"/>
      <c r="ER139" s="73"/>
      <c r="ES139" s="72">
        <f t="shared" ca="1" si="5282"/>
        <v>0</v>
      </c>
      <c r="ET139" s="63"/>
      <c r="EU139" s="73"/>
      <c r="EV139" s="72">
        <f t="shared" ca="1" si="5283"/>
        <v>0</v>
      </c>
      <c r="EW139" s="63"/>
      <c r="EX139" s="73"/>
      <c r="EY139" s="72">
        <f t="shared" ca="1" si="5284"/>
        <v>0</v>
      </c>
      <c r="EZ139" s="63"/>
      <c r="FA139" s="73"/>
      <c r="FB139" s="72">
        <f t="shared" ca="1" si="5285"/>
        <v>0</v>
      </c>
      <c r="FC139" s="63"/>
      <c r="FD139" s="73"/>
      <c r="FE139" s="72">
        <f t="shared" ca="1" si="5286"/>
        <v>0</v>
      </c>
      <c r="FF139" s="63"/>
      <c r="FG139" s="73"/>
      <c r="FH139" s="72">
        <f t="shared" ca="1" si="5287"/>
        <v>0</v>
      </c>
      <c r="FI139" s="63"/>
      <c r="FJ139" s="73"/>
      <c r="FK139" s="72">
        <f t="shared" ca="1" si="5288"/>
        <v>0</v>
      </c>
      <c r="FL139" s="63"/>
      <c r="FM139" s="73"/>
      <c r="FN139" s="72">
        <f t="shared" ca="1" si="5289"/>
        <v>0</v>
      </c>
      <c r="FO139" s="63"/>
      <c r="FP139" s="73"/>
      <c r="FQ139" s="72">
        <f t="shared" ca="1" si="5290"/>
        <v>0</v>
      </c>
      <c r="FR139" s="63"/>
      <c r="FS139" s="73"/>
      <c r="FT139" s="72">
        <f t="shared" ca="1" si="5291"/>
        <v>0</v>
      </c>
      <c r="FU139" s="63"/>
      <c r="FV139" s="73"/>
      <c r="FW139" s="72">
        <f t="shared" ca="1" si="5292"/>
        <v>0</v>
      </c>
      <c r="FX139" s="63"/>
      <c r="FY139" s="73"/>
      <c r="FZ139" s="72">
        <f t="shared" ca="1" si="5293"/>
        <v>0</v>
      </c>
      <c r="GA139" s="63"/>
      <c r="GB139" s="73"/>
      <c r="GC139" s="72">
        <f t="shared" ca="1" si="5294"/>
        <v>0</v>
      </c>
      <c r="GD139" s="63"/>
      <c r="GE139" s="73"/>
      <c r="GF139" s="72">
        <f t="shared" ca="1" si="5295"/>
        <v>0</v>
      </c>
      <c r="GG139" s="63"/>
      <c r="GH139" s="73"/>
      <c r="GI139" s="72">
        <f t="shared" ca="1" si="5296"/>
        <v>0</v>
      </c>
      <c r="GJ139" s="63"/>
      <c r="GK139" s="73"/>
      <c r="GL139" s="72">
        <f t="shared" ca="1" si="5297"/>
        <v>0</v>
      </c>
      <c r="GM139" s="63"/>
      <c r="GN139" s="73"/>
      <c r="GO139" s="72">
        <f t="shared" ca="1" si="5298"/>
        <v>0</v>
      </c>
      <c r="GP139" s="63"/>
      <c r="GQ139" s="73"/>
      <c r="GR139" s="72">
        <f t="shared" ca="1" si="5299"/>
        <v>0</v>
      </c>
      <c r="GS139" s="63"/>
      <c r="GT139" s="73"/>
      <c r="GU139" s="72">
        <f t="shared" ca="1" si="5300"/>
        <v>0</v>
      </c>
      <c r="GV139" s="63"/>
      <c r="GW139" s="73"/>
      <c r="GX139" s="72">
        <f t="shared" ca="1" si="5301"/>
        <v>0</v>
      </c>
      <c r="GY139" s="63"/>
      <c r="GZ139" s="73"/>
      <c r="HA139" s="72">
        <f t="shared" ca="1" si="5302"/>
        <v>0</v>
      </c>
      <c r="HB139" s="63"/>
      <c r="HC139" s="73"/>
      <c r="HD139" s="72">
        <f t="shared" ca="1" si="5303"/>
        <v>0</v>
      </c>
      <c r="HE139" s="63"/>
      <c r="HF139" s="73"/>
      <c r="HG139" s="72">
        <f t="shared" ca="1" si="5304"/>
        <v>0</v>
      </c>
      <c r="HH139" s="63"/>
      <c r="HI139" s="73"/>
      <c r="HJ139" s="72">
        <f t="shared" ca="1" si="5305"/>
        <v>0</v>
      </c>
      <c r="HK139" s="63"/>
      <c r="HL139" s="73"/>
      <c r="HM139" s="72">
        <f t="shared" ca="1" si="5306"/>
        <v>0</v>
      </c>
      <c r="HN139" s="63"/>
      <c r="HO139" s="73"/>
      <c r="HP139" s="72">
        <f t="shared" ca="1" si="5307"/>
        <v>0</v>
      </c>
      <c r="HQ139" s="63"/>
      <c r="HR139" s="73"/>
      <c r="HS139" s="72">
        <f t="shared" ca="1" si="5308"/>
        <v>0</v>
      </c>
      <c r="HT139" s="63"/>
      <c r="HU139" s="73"/>
      <c r="HV139" s="72">
        <f t="shared" ca="1" si="5309"/>
        <v>0</v>
      </c>
      <c r="HW139" s="63"/>
      <c r="HX139" s="73"/>
      <c r="HY139" s="72">
        <f t="shared" ca="1" si="5310"/>
        <v>0</v>
      </c>
      <c r="HZ139" s="63"/>
      <c r="IA139" s="73"/>
      <c r="IB139" s="72">
        <f t="shared" ca="1" si="5311"/>
        <v>0</v>
      </c>
      <c r="IC139" s="63"/>
      <c r="ID139" s="73"/>
      <c r="IE139" s="72">
        <f t="shared" ca="1" si="5312"/>
        <v>0</v>
      </c>
      <c r="IF139" s="63"/>
      <c r="IG139" s="73"/>
      <c r="IH139" s="72">
        <f t="shared" ca="1" si="5313"/>
        <v>0</v>
      </c>
      <c r="II139" s="63"/>
      <c r="IJ139" s="73"/>
      <c r="IK139" s="72">
        <f t="shared" ca="1" si="5314"/>
        <v>0</v>
      </c>
      <c r="IL139" s="63"/>
      <c r="IM139" s="73"/>
      <c r="IN139" s="72">
        <f t="shared" ca="1" si="5315"/>
        <v>0</v>
      </c>
      <c r="IO139" s="63"/>
      <c r="IP139" s="73"/>
      <c r="IQ139" s="72">
        <f t="shared" ca="1" si="5316"/>
        <v>0</v>
      </c>
      <c r="IR139" s="63"/>
      <c r="IS139" s="73"/>
      <c r="IT139" s="72">
        <f t="shared" ca="1" si="5317"/>
        <v>0</v>
      </c>
      <c r="IU139" s="63"/>
      <c r="IV139" s="73"/>
      <c r="IW139" s="72">
        <f t="shared" ca="1" si="5318"/>
        <v>0</v>
      </c>
      <c r="IX139" s="63"/>
      <c r="IY139" s="73"/>
      <c r="IZ139" s="72">
        <f t="shared" ca="1" si="5319"/>
        <v>0</v>
      </c>
      <c r="JA139" s="63"/>
      <c r="JB139" s="73"/>
      <c r="JC139" s="72">
        <f t="shared" ca="1" si="5320"/>
        <v>0</v>
      </c>
      <c r="JD139" s="63"/>
      <c r="JE139" s="73"/>
      <c r="JF139" s="72">
        <f t="shared" ca="1" si="5321"/>
        <v>0</v>
      </c>
      <c r="JG139" s="63"/>
      <c r="JH139" s="73"/>
      <c r="JI139" s="72">
        <f t="shared" ca="1" si="5322"/>
        <v>0</v>
      </c>
      <c r="JJ139" s="63"/>
      <c r="JK139" s="73"/>
      <c r="JL139" s="72">
        <f t="shared" ca="1" si="5323"/>
        <v>0</v>
      </c>
      <c r="JM139" s="63"/>
      <c r="JN139" s="73"/>
      <c r="JO139" s="72">
        <f t="shared" ca="1" si="5324"/>
        <v>0</v>
      </c>
      <c r="JP139" s="63"/>
      <c r="JQ139" s="73"/>
      <c r="JR139" s="72">
        <f t="shared" ca="1" si="5325"/>
        <v>0</v>
      </c>
      <c r="JS139" s="63"/>
      <c r="JT139" s="73"/>
      <c r="JU139" s="72">
        <f t="shared" ca="1" si="5326"/>
        <v>0</v>
      </c>
      <c r="JV139" s="63"/>
      <c r="JW139" s="73"/>
      <c r="JX139" s="72">
        <f t="shared" ca="1" si="5327"/>
        <v>0</v>
      </c>
      <c r="JY139" s="63"/>
      <c r="JZ139" s="73"/>
      <c r="KA139" s="72">
        <f t="shared" ca="1" si="5328"/>
        <v>0</v>
      </c>
      <c r="KB139" s="63"/>
      <c r="KC139" s="73"/>
      <c r="KD139" s="72">
        <f t="shared" ca="1" si="5329"/>
        <v>0</v>
      </c>
      <c r="KE139" s="63"/>
      <c r="KF139" s="73"/>
      <c r="KG139" s="72">
        <f t="shared" ca="1" si="5330"/>
        <v>0</v>
      </c>
      <c r="KH139" s="63"/>
      <c r="KI139" s="73"/>
      <c r="KJ139" s="72">
        <f t="shared" ca="1" si="5331"/>
        <v>0</v>
      </c>
      <c r="KK139" s="63"/>
      <c r="KL139" s="73"/>
      <c r="KM139" s="72">
        <f t="shared" ca="1" si="5332"/>
        <v>0</v>
      </c>
      <c r="KN139" s="63"/>
      <c r="KO139" s="73"/>
      <c r="KP139" s="72">
        <f t="shared" ca="1" si="5333"/>
        <v>0</v>
      </c>
      <c r="KQ139" s="63"/>
      <c r="KR139" s="73"/>
      <c r="KS139" s="72">
        <f t="shared" ca="1" si="5334"/>
        <v>0</v>
      </c>
      <c r="KT139" s="63"/>
      <c r="KU139" s="73"/>
      <c r="KV139" s="72">
        <f t="shared" ca="1" si="5335"/>
        <v>0</v>
      </c>
      <c r="KW139" s="63"/>
      <c r="KX139" s="73"/>
      <c r="KY139" s="72">
        <f t="shared" ca="1" si="5336"/>
        <v>0</v>
      </c>
      <c r="KZ139" s="63"/>
      <c r="LA139" s="73"/>
      <c r="LB139" s="72">
        <f t="shared" ca="1" si="5337"/>
        <v>0</v>
      </c>
      <c r="LC139" s="63"/>
      <c r="LD139" s="73"/>
      <c r="LE139" s="72">
        <f t="shared" ca="1" si="5338"/>
        <v>0</v>
      </c>
      <c r="LF139" s="63"/>
    </row>
    <row r="140" spans="1:318" s="784" customFormat="1">
      <c r="A140" s="49"/>
      <c r="B140" s="49"/>
      <c r="C140" s="49"/>
      <c r="D140" s="49"/>
      <c r="E140" s="64"/>
      <c r="F140" s="125">
        <f t="shared" si="5339"/>
        <v>15</v>
      </c>
      <c r="G140" s="443">
        <f ca="1">VLOOKUP(H140,Equipos!$Q$1:$R$25,2,0)</f>
        <v>19</v>
      </c>
      <c r="H140" s="445" t="str">
        <f>Idiomas!$D$137</f>
        <v>CLASIFICADOS PARA DIECISEISAVOS</v>
      </c>
      <c r="I140" s="50"/>
      <c r="J140" s="843"/>
      <c r="K140" s="56" t="str">
        <f>Idiomas!$D$198&amp;"-"&amp;ROWS($L$130:L140)</f>
        <v>Dieciseisavofinalista-11</v>
      </c>
      <c r="L140" s="53"/>
      <c r="M140" s="55" t="str">
        <f ca="1">WORLDCUP!AA111</f>
        <v>1H</v>
      </c>
      <c r="N140" s="25"/>
      <c r="O140" s="25"/>
      <c r="P140" s="25"/>
      <c r="Q140" s="25"/>
      <c r="R140" s="108"/>
      <c r="S140" s="796" t="s">
        <v>38</v>
      </c>
      <c r="T140" s="72">
        <f t="shared" ca="1" si="5239"/>
        <v>0</v>
      </c>
      <c r="U140" s="63"/>
      <c r="V140" s="73" t="s">
        <v>38</v>
      </c>
      <c r="W140" s="72">
        <f t="shared" ca="1" si="5240"/>
        <v>0</v>
      </c>
      <c r="X140" s="63"/>
      <c r="Y140" s="796" t="s">
        <v>38</v>
      </c>
      <c r="Z140" s="72">
        <f t="shared" ca="1" si="5241"/>
        <v>0</v>
      </c>
      <c r="AA140" s="63"/>
      <c r="AB140" s="796" t="s">
        <v>38</v>
      </c>
      <c r="AC140" s="72">
        <f t="shared" ca="1" si="5242"/>
        <v>0</v>
      </c>
      <c r="AD140" s="63"/>
      <c r="AE140" s="796" t="s">
        <v>38</v>
      </c>
      <c r="AF140" s="72">
        <f t="shared" ca="1" si="5243"/>
        <v>0</v>
      </c>
      <c r="AG140" s="63"/>
      <c r="AH140" s="796" t="s">
        <v>38</v>
      </c>
      <c r="AI140" s="72">
        <f t="shared" ca="1" si="5244"/>
        <v>0</v>
      </c>
      <c r="AJ140" s="63"/>
      <c r="AK140" s="806" t="s">
        <v>38</v>
      </c>
      <c r="AL140" s="72">
        <f t="shared" ca="1" si="5245"/>
        <v>0</v>
      </c>
      <c r="AM140" s="63"/>
      <c r="AN140" s="796" t="s">
        <v>38</v>
      </c>
      <c r="AO140" s="72">
        <f t="shared" ca="1" si="5246"/>
        <v>0</v>
      </c>
      <c r="AP140" s="63"/>
      <c r="AQ140" s="806" t="s">
        <v>38</v>
      </c>
      <c r="AR140" s="72">
        <f t="shared" ca="1" si="5247"/>
        <v>0</v>
      </c>
      <c r="AS140" s="63"/>
      <c r="AT140" s="796" t="s">
        <v>38</v>
      </c>
      <c r="AU140" s="72">
        <f t="shared" ca="1" si="5248"/>
        <v>0</v>
      </c>
      <c r="AV140" s="63"/>
      <c r="AW140" s="796" t="s">
        <v>38</v>
      </c>
      <c r="AX140" s="72">
        <f t="shared" ca="1" si="5249"/>
        <v>0</v>
      </c>
      <c r="AY140" s="63"/>
      <c r="AZ140" s="796" t="s">
        <v>1632</v>
      </c>
      <c r="BA140" s="72">
        <f t="shared" ca="1" si="5250"/>
        <v>0</v>
      </c>
      <c r="BB140" s="63"/>
      <c r="BC140" s="796" t="s">
        <v>38</v>
      </c>
      <c r="BD140" s="72">
        <f t="shared" ca="1" si="5251"/>
        <v>0</v>
      </c>
      <c r="BE140" s="63"/>
      <c r="BF140" s="796" t="s">
        <v>1318</v>
      </c>
      <c r="BG140" s="72">
        <f t="shared" ca="1" si="5252"/>
        <v>0</v>
      </c>
      <c r="BH140" s="63"/>
      <c r="BI140" s="796" t="s">
        <v>38</v>
      </c>
      <c r="BJ140" s="72">
        <f t="shared" ca="1" si="5253"/>
        <v>0</v>
      </c>
      <c r="BK140" s="63"/>
      <c r="BL140" s="796" t="s">
        <v>38</v>
      </c>
      <c r="BM140" s="72">
        <f t="shared" ca="1" si="5254"/>
        <v>0</v>
      </c>
      <c r="BN140" s="63"/>
      <c r="BO140" s="816" t="s">
        <v>38</v>
      </c>
      <c r="BP140" s="72">
        <f t="shared" ca="1" si="5255"/>
        <v>0</v>
      </c>
      <c r="BQ140" s="63"/>
      <c r="BR140" s="796" t="s">
        <v>38</v>
      </c>
      <c r="BS140" s="72">
        <f t="shared" ca="1" si="5256"/>
        <v>0</v>
      </c>
      <c r="BT140" s="63"/>
      <c r="BU140" s="796" t="s">
        <v>38</v>
      </c>
      <c r="BV140" s="72">
        <f t="shared" ca="1" si="5257"/>
        <v>0</v>
      </c>
      <c r="BW140" s="63"/>
      <c r="BX140" s="73" t="s">
        <v>38</v>
      </c>
      <c r="BY140" s="72">
        <f t="shared" ca="1" si="5258"/>
        <v>0</v>
      </c>
      <c r="BZ140" s="63"/>
      <c r="CA140" s="816" t="s">
        <v>38</v>
      </c>
      <c r="CB140" s="72">
        <f t="shared" ca="1" si="5259"/>
        <v>0</v>
      </c>
      <c r="CC140" s="63"/>
      <c r="CD140" s="825" t="s">
        <v>38</v>
      </c>
      <c r="CE140" s="72">
        <f t="shared" ca="1" si="5260"/>
        <v>0</v>
      </c>
      <c r="CF140" s="63"/>
      <c r="CG140" s="796" t="s">
        <v>38</v>
      </c>
      <c r="CH140" s="72">
        <f t="shared" ca="1" si="5261"/>
        <v>0</v>
      </c>
      <c r="CI140" s="63"/>
      <c r="CJ140" s="796" t="s">
        <v>38</v>
      </c>
      <c r="CK140" s="72">
        <f t="shared" ca="1" si="5262"/>
        <v>0</v>
      </c>
      <c r="CL140" s="63"/>
      <c r="CM140" s="796" t="s">
        <v>38</v>
      </c>
      <c r="CN140" s="72">
        <f t="shared" ca="1" si="5263"/>
        <v>0</v>
      </c>
      <c r="CO140" s="63"/>
      <c r="CP140" s="796" t="s">
        <v>1318</v>
      </c>
      <c r="CQ140" s="72">
        <f t="shared" ca="1" si="5264"/>
        <v>0</v>
      </c>
      <c r="CR140" s="63"/>
      <c r="CS140" s="796" t="s">
        <v>38</v>
      </c>
      <c r="CT140" s="72">
        <f t="shared" ca="1" si="5265"/>
        <v>0</v>
      </c>
      <c r="CU140" s="63"/>
      <c r="CV140" s="796" t="s">
        <v>38</v>
      </c>
      <c r="CW140" s="72">
        <f t="shared" ca="1" si="5266"/>
        <v>0</v>
      </c>
      <c r="CX140" s="63"/>
      <c r="CY140" s="796" t="s">
        <v>38</v>
      </c>
      <c r="CZ140" s="72">
        <f t="shared" ca="1" si="5267"/>
        <v>0</v>
      </c>
      <c r="DA140" s="63"/>
      <c r="DB140" s="796" t="s">
        <v>38</v>
      </c>
      <c r="DC140" s="72">
        <f t="shared" ca="1" si="5268"/>
        <v>0</v>
      </c>
      <c r="DD140" s="63"/>
      <c r="DE140" s="796" t="s">
        <v>38</v>
      </c>
      <c r="DF140" s="72">
        <f t="shared" ca="1" si="5269"/>
        <v>0</v>
      </c>
      <c r="DG140" s="63"/>
      <c r="DH140" s="796" t="s">
        <v>38</v>
      </c>
      <c r="DI140" s="72">
        <f t="shared" ca="1" si="5270"/>
        <v>0</v>
      </c>
      <c r="DJ140" s="63"/>
      <c r="DK140" s="796" t="s">
        <v>38</v>
      </c>
      <c r="DL140" s="72">
        <f t="shared" ca="1" si="5271"/>
        <v>0</v>
      </c>
      <c r="DM140" s="63"/>
      <c r="DN140" s="73"/>
      <c r="DO140" s="72">
        <f t="shared" ca="1" si="5272"/>
        <v>0</v>
      </c>
      <c r="DP140" s="63"/>
      <c r="DQ140" s="796" t="s">
        <v>38</v>
      </c>
      <c r="DR140" s="72">
        <f t="shared" ca="1" si="5273"/>
        <v>0</v>
      </c>
      <c r="DS140" s="63"/>
      <c r="DT140" s="73" t="s">
        <v>38</v>
      </c>
      <c r="DU140" s="72">
        <f t="shared" ca="1" si="5274"/>
        <v>0</v>
      </c>
      <c r="DV140" s="63"/>
      <c r="DW140" s="73"/>
      <c r="DX140" s="72">
        <f t="shared" ca="1" si="5275"/>
        <v>0</v>
      </c>
      <c r="DY140" s="63"/>
      <c r="DZ140" s="73"/>
      <c r="EA140" s="72">
        <f t="shared" ca="1" si="5276"/>
        <v>0</v>
      </c>
      <c r="EB140" s="63"/>
      <c r="EC140" s="73"/>
      <c r="ED140" s="72">
        <f t="shared" ca="1" si="5277"/>
        <v>0</v>
      </c>
      <c r="EE140" s="63"/>
      <c r="EF140" s="73"/>
      <c r="EG140" s="72">
        <f t="shared" ca="1" si="5278"/>
        <v>0</v>
      </c>
      <c r="EH140" s="63"/>
      <c r="EI140" s="73"/>
      <c r="EJ140" s="72">
        <f t="shared" ca="1" si="5279"/>
        <v>0</v>
      </c>
      <c r="EK140" s="63"/>
      <c r="EL140" s="73"/>
      <c r="EM140" s="72">
        <f t="shared" ca="1" si="5280"/>
        <v>0</v>
      </c>
      <c r="EN140" s="63"/>
      <c r="EO140" s="73"/>
      <c r="EP140" s="72">
        <f t="shared" ca="1" si="5281"/>
        <v>0</v>
      </c>
      <c r="EQ140" s="63"/>
      <c r="ER140" s="73"/>
      <c r="ES140" s="72">
        <f t="shared" ca="1" si="5282"/>
        <v>0</v>
      </c>
      <c r="ET140" s="63"/>
      <c r="EU140" s="73"/>
      <c r="EV140" s="72">
        <f t="shared" ca="1" si="5283"/>
        <v>0</v>
      </c>
      <c r="EW140" s="63"/>
      <c r="EX140" s="73"/>
      <c r="EY140" s="72">
        <f t="shared" ca="1" si="5284"/>
        <v>0</v>
      </c>
      <c r="EZ140" s="63"/>
      <c r="FA140" s="73"/>
      <c r="FB140" s="72">
        <f t="shared" ca="1" si="5285"/>
        <v>0</v>
      </c>
      <c r="FC140" s="63"/>
      <c r="FD140" s="73"/>
      <c r="FE140" s="72">
        <f t="shared" ca="1" si="5286"/>
        <v>0</v>
      </c>
      <c r="FF140" s="63"/>
      <c r="FG140" s="73"/>
      <c r="FH140" s="72">
        <f t="shared" ca="1" si="5287"/>
        <v>0</v>
      </c>
      <c r="FI140" s="63"/>
      <c r="FJ140" s="73"/>
      <c r="FK140" s="72">
        <f t="shared" ca="1" si="5288"/>
        <v>0</v>
      </c>
      <c r="FL140" s="63"/>
      <c r="FM140" s="73"/>
      <c r="FN140" s="72">
        <f t="shared" ca="1" si="5289"/>
        <v>0</v>
      </c>
      <c r="FO140" s="63"/>
      <c r="FP140" s="73"/>
      <c r="FQ140" s="72">
        <f t="shared" ca="1" si="5290"/>
        <v>0</v>
      </c>
      <c r="FR140" s="63"/>
      <c r="FS140" s="73"/>
      <c r="FT140" s="72">
        <f t="shared" ca="1" si="5291"/>
        <v>0</v>
      </c>
      <c r="FU140" s="63"/>
      <c r="FV140" s="73"/>
      <c r="FW140" s="72">
        <f t="shared" ca="1" si="5292"/>
        <v>0</v>
      </c>
      <c r="FX140" s="63"/>
      <c r="FY140" s="73"/>
      <c r="FZ140" s="72">
        <f t="shared" ca="1" si="5293"/>
        <v>0</v>
      </c>
      <c r="GA140" s="63"/>
      <c r="GB140" s="73"/>
      <c r="GC140" s="72">
        <f t="shared" ca="1" si="5294"/>
        <v>0</v>
      </c>
      <c r="GD140" s="63"/>
      <c r="GE140" s="73"/>
      <c r="GF140" s="72">
        <f t="shared" ca="1" si="5295"/>
        <v>0</v>
      </c>
      <c r="GG140" s="63"/>
      <c r="GH140" s="73"/>
      <c r="GI140" s="72">
        <f t="shared" ca="1" si="5296"/>
        <v>0</v>
      </c>
      <c r="GJ140" s="63"/>
      <c r="GK140" s="73"/>
      <c r="GL140" s="72">
        <f t="shared" ca="1" si="5297"/>
        <v>0</v>
      </c>
      <c r="GM140" s="63"/>
      <c r="GN140" s="73"/>
      <c r="GO140" s="72">
        <f t="shared" ca="1" si="5298"/>
        <v>0</v>
      </c>
      <c r="GP140" s="63"/>
      <c r="GQ140" s="73"/>
      <c r="GR140" s="72">
        <f t="shared" ca="1" si="5299"/>
        <v>0</v>
      </c>
      <c r="GS140" s="63"/>
      <c r="GT140" s="73"/>
      <c r="GU140" s="72">
        <f t="shared" ca="1" si="5300"/>
        <v>0</v>
      </c>
      <c r="GV140" s="63"/>
      <c r="GW140" s="73"/>
      <c r="GX140" s="72">
        <f t="shared" ca="1" si="5301"/>
        <v>0</v>
      </c>
      <c r="GY140" s="63"/>
      <c r="GZ140" s="73"/>
      <c r="HA140" s="72">
        <f t="shared" ca="1" si="5302"/>
        <v>0</v>
      </c>
      <c r="HB140" s="63"/>
      <c r="HC140" s="73"/>
      <c r="HD140" s="72">
        <f t="shared" ca="1" si="5303"/>
        <v>0</v>
      </c>
      <c r="HE140" s="63"/>
      <c r="HF140" s="73"/>
      <c r="HG140" s="72">
        <f t="shared" ca="1" si="5304"/>
        <v>0</v>
      </c>
      <c r="HH140" s="63"/>
      <c r="HI140" s="73"/>
      <c r="HJ140" s="72">
        <f t="shared" ca="1" si="5305"/>
        <v>0</v>
      </c>
      <c r="HK140" s="63"/>
      <c r="HL140" s="73"/>
      <c r="HM140" s="72">
        <f t="shared" ca="1" si="5306"/>
        <v>0</v>
      </c>
      <c r="HN140" s="63"/>
      <c r="HO140" s="73"/>
      <c r="HP140" s="72">
        <f t="shared" ca="1" si="5307"/>
        <v>0</v>
      </c>
      <c r="HQ140" s="63"/>
      <c r="HR140" s="73"/>
      <c r="HS140" s="72">
        <f t="shared" ca="1" si="5308"/>
        <v>0</v>
      </c>
      <c r="HT140" s="63"/>
      <c r="HU140" s="73"/>
      <c r="HV140" s="72">
        <f t="shared" ca="1" si="5309"/>
        <v>0</v>
      </c>
      <c r="HW140" s="63"/>
      <c r="HX140" s="73"/>
      <c r="HY140" s="72">
        <f t="shared" ca="1" si="5310"/>
        <v>0</v>
      </c>
      <c r="HZ140" s="63"/>
      <c r="IA140" s="73"/>
      <c r="IB140" s="72">
        <f t="shared" ca="1" si="5311"/>
        <v>0</v>
      </c>
      <c r="IC140" s="63"/>
      <c r="ID140" s="73"/>
      <c r="IE140" s="72">
        <f t="shared" ca="1" si="5312"/>
        <v>0</v>
      </c>
      <c r="IF140" s="63"/>
      <c r="IG140" s="73"/>
      <c r="IH140" s="72">
        <f t="shared" ca="1" si="5313"/>
        <v>0</v>
      </c>
      <c r="II140" s="63"/>
      <c r="IJ140" s="73"/>
      <c r="IK140" s="72">
        <f t="shared" ca="1" si="5314"/>
        <v>0</v>
      </c>
      <c r="IL140" s="63"/>
      <c r="IM140" s="73"/>
      <c r="IN140" s="72">
        <f t="shared" ca="1" si="5315"/>
        <v>0</v>
      </c>
      <c r="IO140" s="63"/>
      <c r="IP140" s="73"/>
      <c r="IQ140" s="72">
        <f t="shared" ca="1" si="5316"/>
        <v>0</v>
      </c>
      <c r="IR140" s="63"/>
      <c r="IS140" s="73"/>
      <c r="IT140" s="72">
        <f t="shared" ca="1" si="5317"/>
        <v>0</v>
      </c>
      <c r="IU140" s="63"/>
      <c r="IV140" s="73"/>
      <c r="IW140" s="72">
        <f t="shared" ca="1" si="5318"/>
        <v>0</v>
      </c>
      <c r="IX140" s="63"/>
      <c r="IY140" s="73"/>
      <c r="IZ140" s="72">
        <f t="shared" ca="1" si="5319"/>
        <v>0</v>
      </c>
      <c r="JA140" s="63"/>
      <c r="JB140" s="73"/>
      <c r="JC140" s="72">
        <f t="shared" ca="1" si="5320"/>
        <v>0</v>
      </c>
      <c r="JD140" s="63"/>
      <c r="JE140" s="73"/>
      <c r="JF140" s="72">
        <f t="shared" ca="1" si="5321"/>
        <v>0</v>
      </c>
      <c r="JG140" s="63"/>
      <c r="JH140" s="73"/>
      <c r="JI140" s="72">
        <f t="shared" ca="1" si="5322"/>
        <v>0</v>
      </c>
      <c r="JJ140" s="63"/>
      <c r="JK140" s="73"/>
      <c r="JL140" s="72">
        <f t="shared" ca="1" si="5323"/>
        <v>0</v>
      </c>
      <c r="JM140" s="63"/>
      <c r="JN140" s="73"/>
      <c r="JO140" s="72">
        <f t="shared" ca="1" si="5324"/>
        <v>0</v>
      </c>
      <c r="JP140" s="63"/>
      <c r="JQ140" s="73"/>
      <c r="JR140" s="72">
        <f t="shared" ca="1" si="5325"/>
        <v>0</v>
      </c>
      <c r="JS140" s="63"/>
      <c r="JT140" s="73"/>
      <c r="JU140" s="72">
        <f t="shared" ca="1" si="5326"/>
        <v>0</v>
      </c>
      <c r="JV140" s="63"/>
      <c r="JW140" s="73"/>
      <c r="JX140" s="72">
        <f t="shared" ca="1" si="5327"/>
        <v>0</v>
      </c>
      <c r="JY140" s="63"/>
      <c r="JZ140" s="73"/>
      <c r="KA140" s="72">
        <f t="shared" ca="1" si="5328"/>
        <v>0</v>
      </c>
      <c r="KB140" s="63"/>
      <c r="KC140" s="73"/>
      <c r="KD140" s="72">
        <f t="shared" ca="1" si="5329"/>
        <v>0</v>
      </c>
      <c r="KE140" s="63"/>
      <c r="KF140" s="73"/>
      <c r="KG140" s="72">
        <f t="shared" ca="1" si="5330"/>
        <v>0</v>
      </c>
      <c r="KH140" s="63"/>
      <c r="KI140" s="73"/>
      <c r="KJ140" s="72">
        <f t="shared" ca="1" si="5331"/>
        <v>0</v>
      </c>
      <c r="KK140" s="63"/>
      <c r="KL140" s="73"/>
      <c r="KM140" s="72">
        <f t="shared" ca="1" si="5332"/>
        <v>0</v>
      </c>
      <c r="KN140" s="63"/>
      <c r="KO140" s="73"/>
      <c r="KP140" s="72">
        <f t="shared" ca="1" si="5333"/>
        <v>0</v>
      </c>
      <c r="KQ140" s="63"/>
      <c r="KR140" s="73"/>
      <c r="KS140" s="72">
        <f t="shared" ca="1" si="5334"/>
        <v>0</v>
      </c>
      <c r="KT140" s="63"/>
      <c r="KU140" s="73"/>
      <c r="KV140" s="72">
        <f t="shared" ca="1" si="5335"/>
        <v>0</v>
      </c>
      <c r="KW140" s="63"/>
      <c r="KX140" s="73"/>
      <c r="KY140" s="72">
        <f t="shared" ca="1" si="5336"/>
        <v>0</v>
      </c>
      <c r="KZ140" s="63"/>
      <c r="LA140" s="73"/>
      <c r="LB140" s="72">
        <f t="shared" ca="1" si="5337"/>
        <v>0</v>
      </c>
      <c r="LC140" s="63"/>
      <c r="LD140" s="73"/>
      <c r="LE140" s="72">
        <f t="shared" ca="1" si="5338"/>
        <v>0</v>
      </c>
      <c r="LF140" s="63"/>
    </row>
    <row r="141" spans="1:318" s="784" customFormat="1">
      <c r="A141" s="49"/>
      <c r="B141" s="49"/>
      <c r="C141" s="49"/>
      <c r="D141" s="49"/>
      <c r="E141" s="64"/>
      <c r="F141" s="125">
        <f t="shared" si="5339"/>
        <v>15</v>
      </c>
      <c r="G141" s="443">
        <f ca="1">VLOOKUP(H141,Equipos!$Q$1:$R$25,2,0)</f>
        <v>19</v>
      </c>
      <c r="H141" s="445" t="str">
        <f>Idiomas!$D$137</f>
        <v>CLASIFICADOS PARA DIECISEISAVOS</v>
      </c>
      <c r="I141" s="50"/>
      <c r="J141" s="843"/>
      <c r="K141" s="56" t="str">
        <f>Idiomas!$D$198&amp;"-"&amp;ROWS($L$130:L141)</f>
        <v>Dieciseisavofinalista-12</v>
      </c>
      <c r="L141" s="53"/>
      <c r="M141" s="55" t="str">
        <f ca="1">WORLDCUP!AA112</f>
        <v>2K</v>
      </c>
      <c r="N141" s="25"/>
      <c r="O141" s="25"/>
      <c r="P141" s="25"/>
      <c r="Q141" s="25"/>
      <c r="R141" s="108"/>
      <c r="S141" s="796" t="s">
        <v>1320</v>
      </c>
      <c r="T141" s="72">
        <f t="shared" ca="1" si="5239"/>
        <v>0</v>
      </c>
      <c r="U141" s="63"/>
      <c r="V141" s="73" t="s">
        <v>1320</v>
      </c>
      <c r="W141" s="72">
        <f t="shared" ca="1" si="5240"/>
        <v>0</v>
      </c>
      <c r="X141" s="63"/>
      <c r="Y141" s="796" t="s">
        <v>1320</v>
      </c>
      <c r="Z141" s="72">
        <f t="shared" ca="1" si="5241"/>
        <v>0</v>
      </c>
      <c r="AA141" s="63"/>
      <c r="AB141" s="796" t="s">
        <v>1320</v>
      </c>
      <c r="AC141" s="72">
        <f t="shared" ca="1" si="5242"/>
        <v>0</v>
      </c>
      <c r="AD141" s="63"/>
      <c r="AE141" s="796" t="s">
        <v>1320</v>
      </c>
      <c r="AF141" s="72">
        <f t="shared" ca="1" si="5243"/>
        <v>0</v>
      </c>
      <c r="AG141" s="63"/>
      <c r="AH141" s="796" t="s">
        <v>1320</v>
      </c>
      <c r="AI141" s="72">
        <f t="shared" ca="1" si="5244"/>
        <v>0</v>
      </c>
      <c r="AJ141" s="63"/>
      <c r="AK141" s="806" t="s">
        <v>1320</v>
      </c>
      <c r="AL141" s="72">
        <f t="shared" ca="1" si="5245"/>
        <v>0</v>
      </c>
      <c r="AM141" s="63"/>
      <c r="AN141" s="796" t="s">
        <v>1320</v>
      </c>
      <c r="AO141" s="72">
        <f t="shared" ca="1" si="5246"/>
        <v>0</v>
      </c>
      <c r="AP141" s="63"/>
      <c r="AQ141" s="806" t="s">
        <v>1320</v>
      </c>
      <c r="AR141" s="72">
        <f t="shared" ca="1" si="5247"/>
        <v>0</v>
      </c>
      <c r="AS141" s="63"/>
      <c r="AT141" s="796" t="s">
        <v>1320</v>
      </c>
      <c r="AU141" s="72">
        <f t="shared" ca="1" si="5248"/>
        <v>0</v>
      </c>
      <c r="AV141" s="63"/>
      <c r="AW141" s="796" t="s">
        <v>1320</v>
      </c>
      <c r="AX141" s="72">
        <f t="shared" ca="1" si="5249"/>
        <v>0</v>
      </c>
      <c r="AY141" s="63"/>
      <c r="AZ141" s="796" t="s">
        <v>1839</v>
      </c>
      <c r="BA141" s="72">
        <f t="shared" ca="1" si="5250"/>
        <v>0</v>
      </c>
      <c r="BB141" s="63"/>
      <c r="BC141" s="796" t="s">
        <v>1320</v>
      </c>
      <c r="BD141" s="72">
        <f t="shared" ca="1" si="5251"/>
        <v>0</v>
      </c>
      <c r="BE141" s="63"/>
      <c r="BF141" s="796" t="s">
        <v>1320</v>
      </c>
      <c r="BG141" s="72">
        <f t="shared" ca="1" si="5252"/>
        <v>0</v>
      </c>
      <c r="BH141" s="63"/>
      <c r="BI141" s="796" t="s">
        <v>1320</v>
      </c>
      <c r="BJ141" s="72">
        <f t="shared" ca="1" si="5253"/>
        <v>0</v>
      </c>
      <c r="BK141" s="63"/>
      <c r="BL141" s="796" t="s">
        <v>1320</v>
      </c>
      <c r="BM141" s="72">
        <f t="shared" ca="1" si="5254"/>
        <v>0</v>
      </c>
      <c r="BN141" s="63"/>
      <c r="BO141" s="816" t="s">
        <v>1320</v>
      </c>
      <c r="BP141" s="72">
        <f t="shared" ca="1" si="5255"/>
        <v>0</v>
      </c>
      <c r="BQ141" s="63"/>
      <c r="BR141" s="796" t="s">
        <v>1320</v>
      </c>
      <c r="BS141" s="72">
        <f t="shared" ca="1" si="5256"/>
        <v>0</v>
      </c>
      <c r="BT141" s="63"/>
      <c r="BU141" s="796" t="s">
        <v>1320</v>
      </c>
      <c r="BV141" s="72">
        <f t="shared" ca="1" si="5257"/>
        <v>0</v>
      </c>
      <c r="BW141" s="63"/>
      <c r="BX141" s="73" t="s">
        <v>1320</v>
      </c>
      <c r="BY141" s="72">
        <f t="shared" ca="1" si="5258"/>
        <v>0</v>
      </c>
      <c r="BZ141" s="63"/>
      <c r="CA141" s="816" t="s">
        <v>1320</v>
      </c>
      <c r="CB141" s="72">
        <f t="shared" ca="1" si="5259"/>
        <v>0</v>
      </c>
      <c r="CC141" s="63"/>
      <c r="CD141" s="825" t="s">
        <v>1320</v>
      </c>
      <c r="CE141" s="72">
        <f t="shared" ca="1" si="5260"/>
        <v>0</v>
      </c>
      <c r="CF141" s="63"/>
      <c r="CG141" s="796" t="s">
        <v>1320</v>
      </c>
      <c r="CH141" s="72">
        <f t="shared" ca="1" si="5261"/>
        <v>0</v>
      </c>
      <c r="CI141" s="63"/>
      <c r="CJ141" s="796" t="s">
        <v>1320</v>
      </c>
      <c r="CK141" s="72">
        <f t="shared" ca="1" si="5262"/>
        <v>0</v>
      </c>
      <c r="CL141" s="63"/>
      <c r="CM141" s="796" t="s">
        <v>79</v>
      </c>
      <c r="CN141" s="72">
        <f t="shared" ca="1" si="5263"/>
        <v>0</v>
      </c>
      <c r="CO141" s="63"/>
      <c r="CP141" s="796" t="s">
        <v>1320</v>
      </c>
      <c r="CQ141" s="72">
        <f t="shared" ca="1" si="5264"/>
        <v>0</v>
      </c>
      <c r="CR141" s="63"/>
      <c r="CS141" s="796" t="s">
        <v>1320</v>
      </c>
      <c r="CT141" s="72">
        <f t="shared" ca="1" si="5265"/>
        <v>0</v>
      </c>
      <c r="CU141" s="63"/>
      <c r="CV141" s="796" t="s">
        <v>1320</v>
      </c>
      <c r="CW141" s="72">
        <f t="shared" ca="1" si="5266"/>
        <v>0</v>
      </c>
      <c r="CX141" s="63"/>
      <c r="CY141" s="796" t="s">
        <v>1320</v>
      </c>
      <c r="CZ141" s="72">
        <f t="shared" ca="1" si="5267"/>
        <v>0</v>
      </c>
      <c r="DA141" s="63"/>
      <c r="DB141" s="796" t="s">
        <v>79</v>
      </c>
      <c r="DC141" s="72">
        <f t="shared" ca="1" si="5268"/>
        <v>0</v>
      </c>
      <c r="DD141" s="63"/>
      <c r="DE141" s="796" t="s">
        <v>1320</v>
      </c>
      <c r="DF141" s="72">
        <f t="shared" ca="1" si="5269"/>
        <v>0</v>
      </c>
      <c r="DG141" s="63"/>
      <c r="DH141" s="796" t="s">
        <v>1320</v>
      </c>
      <c r="DI141" s="72">
        <f t="shared" ca="1" si="5270"/>
        <v>0</v>
      </c>
      <c r="DJ141" s="63"/>
      <c r="DK141" s="796" t="s">
        <v>1320</v>
      </c>
      <c r="DL141" s="72">
        <f t="shared" ca="1" si="5271"/>
        <v>0</v>
      </c>
      <c r="DM141" s="63"/>
      <c r="DN141" s="73"/>
      <c r="DO141" s="72">
        <f t="shared" ca="1" si="5272"/>
        <v>0</v>
      </c>
      <c r="DP141" s="63"/>
      <c r="DQ141" s="796" t="s">
        <v>1320</v>
      </c>
      <c r="DR141" s="72">
        <f t="shared" ca="1" si="5273"/>
        <v>0</v>
      </c>
      <c r="DS141" s="63"/>
      <c r="DT141" s="73" t="s">
        <v>1320</v>
      </c>
      <c r="DU141" s="72">
        <f t="shared" ca="1" si="5274"/>
        <v>0</v>
      </c>
      <c r="DV141" s="63"/>
      <c r="DW141" s="73"/>
      <c r="DX141" s="72">
        <f t="shared" ca="1" si="5275"/>
        <v>0</v>
      </c>
      <c r="DY141" s="63"/>
      <c r="DZ141" s="73"/>
      <c r="EA141" s="72">
        <f t="shared" ca="1" si="5276"/>
        <v>0</v>
      </c>
      <c r="EB141" s="63"/>
      <c r="EC141" s="73"/>
      <c r="ED141" s="72">
        <f t="shared" ca="1" si="5277"/>
        <v>0</v>
      </c>
      <c r="EE141" s="63"/>
      <c r="EF141" s="73"/>
      <c r="EG141" s="72">
        <f t="shared" ca="1" si="5278"/>
        <v>0</v>
      </c>
      <c r="EH141" s="63"/>
      <c r="EI141" s="73"/>
      <c r="EJ141" s="72">
        <f t="shared" ca="1" si="5279"/>
        <v>0</v>
      </c>
      <c r="EK141" s="63"/>
      <c r="EL141" s="73"/>
      <c r="EM141" s="72">
        <f t="shared" ca="1" si="5280"/>
        <v>0</v>
      </c>
      <c r="EN141" s="63"/>
      <c r="EO141" s="73"/>
      <c r="EP141" s="72">
        <f t="shared" ca="1" si="5281"/>
        <v>0</v>
      </c>
      <c r="EQ141" s="63"/>
      <c r="ER141" s="73"/>
      <c r="ES141" s="72">
        <f t="shared" ca="1" si="5282"/>
        <v>0</v>
      </c>
      <c r="ET141" s="63"/>
      <c r="EU141" s="73"/>
      <c r="EV141" s="72">
        <f t="shared" ca="1" si="5283"/>
        <v>0</v>
      </c>
      <c r="EW141" s="63"/>
      <c r="EX141" s="73"/>
      <c r="EY141" s="72">
        <f t="shared" ca="1" si="5284"/>
        <v>0</v>
      </c>
      <c r="EZ141" s="63"/>
      <c r="FA141" s="73"/>
      <c r="FB141" s="72">
        <f t="shared" ca="1" si="5285"/>
        <v>0</v>
      </c>
      <c r="FC141" s="63"/>
      <c r="FD141" s="73"/>
      <c r="FE141" s="72">
        <f t="shared" ca="1" si="5286"/>
        <v>0</v>
      </c>
      <c r="FF141" s="63"/>
      <c r="FG141" s="73"/>
      <c r="FH141" s="72">
        <f t="shared" ca="1" si="5287"/>
        <v>0</v>
      </c>
      <c r="FI141" s="63"/>
      <c r="FJ141" s="73"/>
      <c r="FK141" s="72">
        <f t="shared" ca="1" si="5288"/>
        <v>0</v>
      </c>
      <c r="FL141" s="63"/>
      <c r="FM141" s="73"/>
      <c r="FN141" s="72">
        <f t="shared" ca="1" si="5289"/>
        <v>0</v>
      </c>
      <c r="FO141" s="63"/>
      <c r="FP141" s="73"/>
      <c r="FQ141" s="72">
        <f t="shared" ca="1" si="5290"/>
        <v>0</v>
      </c>
      <c r="FR141" s="63"/>
      <c r="FS141" s="73"/>
      <c r="FT141" s="72">
        <f t="shared" ca="1" si="5291"/>
        <v>0</v>
      </c>
      <c r="FU141" s="63"/>
      <c r="FV141" s="73"/>
      <c r="FW141" s="72">
        <f t="shared" ca="1" si="5292"/>
        <v>0</v>
      </c>
      <c r="FX141" s="63"/>
      <c r="FY141" s="73"/>
      <c r="FZ141" s="72">
        <f t="shared" ca="1" si="5293"/>
        <v>0</v>
      </c>
      <c r="GA141" s="63"/>
      <c r="GB141" s="73"/>
      <c r="GC141" s="72">
        <f t="shared" ca="1" si="5294"/>
        <v>0</v>
      </c>
      <c r="GD141" s="63"/>
      <c r="GE141" s="73"/>
      <c r="GF141" s="72">
        <f t="shared" ca="1" si="5295"/>
        <v>0</v>
      </c>
      <c r="GG141" s="63"/>
      <c r="GH141" s="73"/>
      <c r="GI141" s="72">
        <f t="shared" ca="1" si="5296"/>
        <v>0</v>
      </c>
      <c r="GJ141" s="63"/>
      <c r="GK141" s="73"/>
      <c r="GL141" s="72">
        <f t="shared" ca="1" si="5297"/>
        <v>0</v>
      </c>
      <c r="GM141" s="63"/>
      <c r="GN141" s="73"/>
      <c r="GO141" s="72">
        <f t="shared" ca="1" si="5298"/>
        <v>0</v>
      </c>
      <c r="GP141" s="63"/>
      <c r="GQ141" s="73"/>
      <c r="GR141" s="72">
        <f t="shared" ca="1" si="5299"/>
        <v>0</v>
      </c>
      <c r="GS141" s="63"/>
      <c r="GT141" s="73"/>
      <c r="GU141" s="72">
        <f t="shared" ca="1" si="5300"/>
        <v>0</v>
      </c>
      <c r="GV141" s="63"/>
      <c r="GW141" s="73"/>
      <c r="GX141" s="72">
        <f t="shared" ca="1" si="5301"/>
        <v>0</v>
      </c>
      <c r="GY141" s="63"/>
      <c r="GZ141" s="73"/>
      <c r="HA141" s="72">
        <f t="shared" ca="1" si="5302"/>
        <v>0</v>
      </c>
      <c r="HB141" s="63"/>
      <c r="HC141" s="73"/>
      <c r="HD141" s="72">
        <f t="shared" ca="1" si="5303"/>
        <v>0</v>
      </c>
      <c r="HE141" s="63"/>
      <c r="HF141" s="73"/>
      <c r="HG141" s="72">
        <f t="shared" ca="1" si="5304"/>
        <v>0</v>
      </c>
      <c r="HH141" s="63"/>
      <c r="HI141" s="73"/>
      <c r="HJ141" s="72">
        <f t="shared" ca="1" si="5305"/>
        <v>0</v>
      </c>
      <c r="HK141" s="63"/>
      <c r="HL141" s="73"/>
      <c r="HM141" s="72">
        <f t="shared" ca="1" si="5306"/>
        <v>0</v>
      </c>
      <c r="HN141" s="63"/>
      <c r="HO141" s="73"/>
      <c r="HP141" s="72">
        <f t="shared" ca="1" si="5307"/>
        <v>0</v>
      </c>
      <c r="HQ141" s="63"/>
      <c r="HR141" s="73"/>
      <c r="HS141" s="72">
        <f t="shared" ca="1" si="5308"/>
        <v>0</v>
      </c>
      <c r="HT141" s="63"/>
      <c r="HU141" s="73"/>
      <c r="HV141" s="72">
        <f t="shared" ca="1" si="5309"/>
        <v>0</v>
      </c>
      <c r="HW141" s="63"/>
      <c r="HX141" s="73"/>
      <c r="HY141" s="72">
        <f t="shared" ca="1" si="5310"/>
        <v>0</v>
      </c>
      <c r="HZ141" s="63"/>
      <c r="IA141" s="73"/>
      <c r="IB141" s="72">
        <f t="shared" ca="1" si="5311"/>
        <v>0</v>
      </c>
      <c r="IC141" s="63"/>
      <c r="ID141" s="73"/>
      <c r="IE141" s="72">
        <f t="shared" ca="1" si="5312"/>
        <v>0</v>
      </c>
      <c r="IF141" s="63"/>
      <c r="IG141" s="73"/>
      <c r="IH141" s="72">
        <f t="shared" ca="1" si="5313"/>
        <v>0</v>
      </c>
      <c r="II141" s="63"/>
      <c r="IJ141" s="73"/>
      <c r="IK141" s="72">
        <f t="shared" ca="1" si="5314"/>
        <v>0</v>
      </c>
      <c r="IL141" s="63"/>
      <c r="IM141" s="73"/>
      <c r="IN141" s="72">
        <f t="shared" ca="1" si="5315"/>
        <v>0</v>
      </c>
      <c r="IO141" s="63"/>
      <c r="IP141" s="73"/>
      <c r="IQ141" s="72">
        <f t="shared" ca="1" si="5316"/>
        <v>0</v>
      </c>
      <c r="IR141" s="63"/>
      <c r="IS141" s="73"/>
      <c r="IT141" s="72">
        <f t="shared" ca="1" si="5317"/>
        <v>0</v>
      </c>
      <c r="IU141" s="63"/>
      <c r="IV141" s="73"/>
      <c r="IW141" s="72">
        <f t="shared" ca="1" si="5318"/>
        <v>0</v>
      </c>
      <c r="IX141" s="63"/>
      <c r="IY141" s="73"/>
      <c r="IZ141" s="72">
        <f t="shared" ca="1" si="5319"/>
        <v>0</v>
      </c>
      <c r="JA141" s="63"/>
      <c r="JB141" s="73"/>
      <c r="JC141" s="72">
        <f t="shared" ca="1" si="5320"/>
        <v>0</v>
      </c>
      <c r="JD141" s="63"/>
      <c r="JE141" s="73"/>
      <c r="JF141" s="72">
        <f t="shared" ca="1" si="5321"/>
        <v>0</v>
      </c>
      <c r="JG141" s="63"/>
      <c r="JH141" s="73"/>
      <c r="JI141" s="72">
        <f t="shared" ca="1" si="5322"/>
        <v>0</v>
      </c>
      <c r="JJ141" s="63"/>
      <c r="JK141" s="73"/>
      <c r="JL141" s="72">
        <f t="shared" ca="1" si="5323"/>
        <v>0</v>
      </c>
      <c r="JM141" s="63"/>
      <c r="JN141" s="73"/>
      <c r="JO141" s="72">
        <f t="shared" ca="1" si="5324"/>
        <v>0</v>
      </c>
      <c r="JP141" s="63"/>
      <c r="JQ141" s="73"/>
      <c r="JR141" s="72">
        <f t="shared" ca="1" si="5325"/>
        <v>0</v>
      </c>
      <c r="JS141" s="63"/>
      <c r="JT141" s="73"/>
      <c r="JU141" s="72">
        <f t="shared" ca="1" si="5326"/>
        <v>0</v>
      </c>
      <c r="JV141" s="63"/>
      <c r="JW141" s="73"/>
      <c r="JX141" s="72">
        <f t="shared" ca="1" si="5327"/>
        <v>0</v>
      </c>
      <c r="JY141" s="63"/>
      <c r="JZ141" s="73"/>
      <c r="KA141" s="72">
        <f t="shared" ca="1" si="5328"/>
        <v>0</v>
      </c>
      <c r="KB141" s="63"/>
      <c r="KC141" s="73"/>
      <c r="KD141" s="72">
        <f t="shared" ca="1" si="5329"/>
        <v>0</v>
      </c>
      <c r="KE141" s="63"/>
      <c r="KF141" s="73"/>
      <c r="KG141" s="72">
        <f t="shared" ca="1" si="5330"/>
        <v>0</v>
      </c>
      <c r="KH141" s="63"/>
      <c r="KI141" s="73"/>
      <c r="KJ141" s="72">
        <f t="shared" ca="1" si="5331"/>
        <v>0</v>
      </c>
      <c r="KK141" s="63"/>
      <c r="KL141" s="73"/>
      <c r="KM141" s="72">
        <f t="shared" ca="1" si="5332"/>
        <v>0</v>
      </c>
      <c r="KN141" s="63"/>
      <c r="KO141" s="73"/>
      <c r="KP141" s="72">
        <f t="shared" ca="1" si="5333"/>
        <v>0</v>
      </c>
      <c r="KQ141" s="63"/>
      <c r="KR141" s="73"/>
      <c r="KS141" s="72">
        <f t="shared" ca="1" si="5334"/>
        <v>0</v>
      </c>
      <c r="KT141" s="63"/>
      <c r="KU141" s="73"/>
      <c r="KV141" s="72">
        <f t="shared" ca="1" si="5335"/>
        <v>0</v>
      </c>
      <c r="KW141" s="63"/>
      <c r="KX141" s="73"/>
      <c r="KY141" s="72">
        <f t="shared" ca="1" si="5336"/>
        <v>0</v>
      </c>
      <c r="KZ141" s="63"/>
      <c r="LA141" s="73"/>
      <c r="LB141" s="72">
        <f t="shared" ca="1" si="5337"/>
        <v>0</v>
      </c>
      <c r="LC141" s="63"/>
      <c r="LD141" s="73"/>
      <c r="LE141" s="72">
        <f t="shared" ca="1" si="5338"/>
        <v>0</v>
      </c>
      <c r="LF141" s="63"/>
    </row>
    <row r="142" spans="1:318" s="784" customFormat="1">
      <c r="A142" s="49"/>
      <c r="B142" s="49"/>
      <c r="C142" s="49"/>
      <c r="D142" s="49"/>
      <c r="E142" s="64"/>
      <c r="F142" s="125">
        <f t="shared" si="5339"/>
        <v>15</v>
      </c>
      <c r="G142" s="443">
        <f ca="1">VLOOKUP(H142,Equipos!$Q$1:$R$25,2,0)</f>
        <v>19</v>
      </c>
      <c r="H142" s="445" t="str">
        <f>Idiomas!$D$137</f>
        <v>CLASIFICADOS PARA DIECISEISAVOS</v>
      </c>
      <c r="I142" s="50"/>
      <c r="J142" s="843"/>
      <c r="K142" s="56" t="str">
        <f>Idiomas!$D$198&amp;"-"&amp;ROWS($L$130:L142)</f>
        <v>Dieciseisavofinalista-13</v>
      </c>
      <c r="L142" s="53"/>
      <c r="M142" s="55" t="str">
        <f ca="1">WORLDCUP!AA113</f>
        <v>1B</v>
      </c>
      <c r="N142" s="25"/>
      <c r="O142" s="25"/>
      <c r="P142" s="25"/>
      <c r="Q142" s="25"/>
      <c r="R142" s="108"/>
      <c r="S142" s="796" t="s">
        <v>75</v>
      </c>
      <c r="T142" s="72">
        <f t="shared" ca="1" si="5239"/>
        <v>0</v>
      </c>
      <c r="U142" s="63"/>
      <c r="V142" s="73" t="s">
        <v>75</v>
      </c>
      <c r="W142" s="72">
        <f t="shared" ca="1" si="5240"/>
        <v>0</v>
      </c>
      <c r="X142" s="63"/>
      <c r="Y142" s="796" t="s">
        <v>75</v>
      </c>
      <c r="Z142" s="72">
        <f t="shared" ca="1" si="5241"/>
        <v>0</v>
      </c>
      <c r="AA142" s="63"/>
      <c r="AB142" s="796" t="s">
        <v>75</v>
      </c>
      <c r="AC142" s="72">
        <f t="shared" ca="1" si="5242"/>
        <v>0</v>
      </c>
      <c r="AD142" s="63"/>
      <c r="AE142" s="796" t="s">
        <v>75</v>
      </c>
      <c r="AF142" s="72">
        <f t="shared" ca="1" si="5243"/>
        <v>0</v>
      </c>
      <c r="AG142" s="63"/>
      <c r="AH142" s="796" t="s">
        <v>75</v>
      </c>
      <c r="AI142" s="72">
        <f t="shared" ca="1" si="5244"/>
        <v>0</v>
      </c>
      <c r="AJ142" s="63"/>
      <c r="AK142" s="806" t="s">
        <v>75</v>
      </c>
      <c r="AL142" s="72">
        <f t="shared" ca="1" si="5245"/>
        <v>0</v>
      </c>
      <c r="AM142" s="63"/>
      <c r="AN142" s="796" t="s">
        <v>75</v>
      </c>
      <c r="AO142" s="72">
        <f t="shared" ca="1" si="5246"/>
        <v>0</v>
      </c>
      <c r="AP142" s="63"/>
      <c r="AQ142" s="806" t="s">
        <v>75</v>
      </c>
      <c r="AR142" s="72">
        <f t="shared" ca="1" si="5247"/>
        <v>0</v>
      </c>
      <c r="AS142" s="63"/>
      <c r="AT142" s="796" t="s">
        <v>75</v>
      </c>
      <c r="AU142" s="72">
        <f t="shared" ca="1" si="5248"/>
        <v>0</v>
      </c>
      <c r="AV142" s="63"/>
      <c r="AW142" s="796" t="s">
        <v>75</v>
      </c>
      <c r="AX142" s="72">
        <f t="shared" ca="1" si="5249"/>
        <v>0</v>
      </c>
      <c r="AY142" s="63"/>
      <c r="AZ142" s="796" t="s">
        <v>1631</v>
      </c>
      <c r="BA142" s="72">
        <f t="shared" ca="1" si="5250"/>
        <v>0</v>
      </c>
      <c r="BB142" s="63"/>
      <c r="BC142" s="796" t="s">
        <v>1259</v>
      </c>
      <c r="BD142" s="72">
        <f t="shared" ca="1" si="5251"/>
        <v>0</v>
      </c>
      <c r="BE142" s="63"/>
      <c r="BF142" s="796" t="s">
        <v>75</v>
      </c>
      <c r="BG142" s="72">
        <f t="shared" ca="1" si="5252"/>
        <v>0</v>
      </c>
      <c r="BH142" s="63"/>
      <c r="BI142" s="796" t="s">
        <v>75</v>
      </c>
      <c r="BJ142" s="72">
        <f t="shared" ca="1" si="5253"/>
        <v>0</v>
      </c>
      <c r="BK142" s="63"/>
      <c r="BL142" s="796" t="s">
        <v>75</v>
      </c>
      <c r="BM142" s="72">
        <f t="shared" ca="1" si="5254"/>
        <v>0</v>
      </c>
      <c r="BN142" s="63"/>
      <c r="BO142" s="816" t="s">
        <v>75</v>
      </c>
      <c r="BP142" s="72">
        <f t="shared" ca="1" si="5255"/>
        <v>0</v>
      </c>
      <c r="BQ142" s="63"/>
      <c r="BR142" s="796" t="s">
        <v>75</v>
      </c>
      <c r="BS142" s="72">
        <f t="shared" ca="1" si="5256"/>
        <v>0</v>
      </c>
      <c r="BT142" s="63"/>
      <c r="BU142" s="796" t="s">
        <v>75</v>
      </c>
      <c r="BV142" s="72">
        <f t="shared" ca="1" si="5257"/>
        <v>0</v>
      </c>
      <c r="BW142" s="63"/>
      <c r="BX142" s="73" t="s">
        <v>75</v>
      </c>
      <c r="BY142" s="72">
        <f t="shared" ca="1" si="5258"/>
        <v>0</v>
      </c>
      <c r="BZ142" s="63"/>
      <c r="CA142" s="816" t="s">
        <v>1259</v>
      </c>
      <c r="CB142" s="72">
        <f t="shared" ca="1" si="5259"/>
        <v>0</v>
      </c>
      <c r="CC142" s="63"/>
      <c r="CD142" s="825" t="s">
        <v>75</v>
      </c>
      <c r="CE142" s="72">
        <f t="shared" ca="1" si="5260"/>
        <v>0</v>
      </c>
      <c r="CF142" s="63"/>
      <c r="CG142" s="796" t="s">
        <v>75</v>
      </c>
      <c r="CH142" s="72">
        <f t="shared" ca="1" si="5261"/>
        <v>0</v>
      </c>
      <c r="CI142" s="63"/>
      <c r="CJ142" s="796" t="s">
        <v>1841</v>
      </c>
      <c r="CK142" s="72">
        <f t="shared" ca="1" si="5262"/>
        <v>0</v>
      </c>
      <c r="CL142" s="63"/>
      <c r="CM142" s="796" t="s">
        <v>75</v>
      </c>
      <c r="CN142" s="72">
        <f t="shared" ca="1" si="5263"/>
        <v>0</v>
      </c>
      <c r="CO142" s="63"/>
      <c r="CP142" s="796" t="s">
        <v>1259</v>
      </c>
      <c r="CQ142" s="72">
        <f t="shared" ca="1" si="5264"/>
        <v>0</v>
      </c>
      <c r="CR142" s="63"/>
      <c r="CS142" s="796" t="s">
        <v>75</v>
      </c>
      <c r="CT142" s="72">
        <f t="shared" ca="1" si="5265"/>
        <v>0</v>
      </c>
      <c r="CU142" s="63"/>
      <c r="CV142" s="796" t="s">
        <v>1259</v>
      </c>
      <c r="CW142" s="72">
        <f t="shared" ca="1" si="5266"/>
        <v>0</v>
      </c>
      <c r="CX142" s="63"/>
      <c r="CY142" s="796" t="s">
        <v>1259</v>
      </c>
      <c r="CZ142" s="72">
        <f t="shared" ca="1" si="5267"/>
        <v>0</v>
      </c>
      <c r="DA142" s="63"/>
      <c r="DB142" s="796" t="s">
        <v>75</v>
      </c>
      <c r="DC142" s="72">
        <f t="shared" ca="1" si="5268"/>
        <v>0</v>
      </c>
      <c r="DD142" s="63"/>
      <c r="DE142" s="796" t="s">
        <v>1841</v>
      </c>
      <c r="DF142" s="72">
        <f t="shared" ca="1" si="5269"/>
        <v>0</v>
      </c>
      <c r="DG142" s="63"/>
      <c r="DH142" s="796" t="s">
        <v>75</v>
      </c>
      <c r="DI142" s="72">
        <f t="shared" ca="1" si="5270"/>
        <v>0</v>
      </c>
      <c r="DJ142" s="63"/>
      <c r="DK142" s="796" t="s">
        <v>75</v>
      </c>
      <c r="DL142" s="72">
        <f t="shared" ca="1" si="5271"/>
        <v>0</v>
      </c>
      <c r="DM142" s="63"/>
      <c r="DN142" s="73"/>
      <c r="DO142" s="72">
        <f t="shared" ca="1" si="5272"/>
        <v>0</v>
      </c>
      <c r="DP142" s="63"/>
      <c r="DQ142" s="796" t="s">
        <v>1259</v>
      </c>
      <c r="DR142" s="72">
        <f t="shared" ca="1" si="5273"/>
        <v>0</v>
      </c>
      <c r="DS142" s="63"/>
      <c r="DT142" s="73" t="s">
        <v>75</v>
      </c>
      <c r="DU142" s="72">
        <f t="shared" ca="1" si="5274"/>
        <v>0</v>
      </c>
      <c r="DV142" s="63"/>
      <c r="DW142" s="73"/>
      <c r="DX142" s="72">
        <f t="shared" ca="1" si="5275"/>
        <v>0</v>
      </c>
      <c r="DY142" s="63"/>
      <c r="DZ142" s="73"/>
      <c r="EA142" s="72">
        <f t="shared" ca="1" si="5276"/>
        <v>0</v>
      </c>
      <c r="EB142" s="63"/>
      <c r="EC142" s="73"/>
      <c r="ED142" s="72">
        <f t="shared" ca="1" si="5277"/>
        <v>0</v>
      </c>
      <c r="EE142" s="63"/>
      <c r="EF142" s="73"/>
      <c r="EG142" s="72">
        <f t="shared" ca="1" si="5278"/>
        <v>0</v>
      </c>
      <c r="EH142" s="63"/>
      <c r="EI142" s="73"/>
      <c r="EJ142" s="72">
        <f t="shared" ca="1" si="5279"/>
        <v>0</v>
      </c>
      <c r="EK142" s="63"/>
      <c r="EL142" s="73"/>
      <c r="EM142" s="72">
        <f t="shared" ca="1" si="5280"/>
        <v>0</v>
      </c>
      <c r="EN142" s="63"/>
      <c r="EO142" s="73"/>
      <c r="EP142" s="72">
        <f t="shared" ca="1" si="5281"/>
        <v>0</v>
      </c>
      <c r="EQ142" s="63"/>
      <c r="ER142" s="73"/>
      <c r="ES142" s="72">
        <f t="shared" ca="1" si="5282"/>
        <v>0</v>
      </c>
      <c r="ET142" s="63"/>
      <c r="EU142" s="73"/>
      <c r="EV142" s="72">
        <f t="shared" ca="1" si="5283"/>
        <v>0</v>
      </c>
      <c r="EW142" s="63"/>
      <c r="EX142" s="73"/>
      <c r="EY142" s="72">
        <f t="shared" ca="1" si="5284"/>
        <v>0</v>
      </c>
      <c r="EZ142" s="63"/>
      <c r="FA142" s="73"/>
      <c r="FB142" s="72">
        <f t="shared" ca="1" si="5285"/>
        <v>0</v>
      </c>
      <c r="FC142" s="63"/>
      <c r="FD142" s="73"/>
      <c r="FE142" s="72">
        <f t="shared" ca="1" si="5286"/>
        <v>0</v>
      </c>
      <c r="FF142" s="63"/>
      <c r="FG142" s="73"/>
      <c r="FH142" s="72">
        <f t="shared" ca="1" si="5287"/>
        <v>0</v>
      </c>
      <c r="FI142" s="63"/>
      <c r="FJ142" s="73"/>
      <c r="FK142" s="72">
        <f t="shared" ca="1" si="5288"/>
        <v>0</v>
      </c>
      <c r="FL142" s="63"/>
      <c r="FM142" s="73"/>
      <c r="FN142" s="72">
        <f t="shared" ca="1" si="5289"/>
        <v>0</v>
      </c>
      <c r="FO142" s="63"/>
      <c r="FP142" s="73"/>
      <c r="FQ142" s="72">
        <f t="shared" ca="1" si="5290"/>
        <v>0</v>
      </c>
      <c r="FR142" s="63"/>
      <c r="FS142" s="73"/>
      <c r="FT142" s="72">
        <f t="shared" ca="1" si="5291"/>
        <v>0</v>
      </c>
      <c r="FU142" s="63"/>
      <c r="FV142" s="73"/>
      <c r="FW142" s="72">
        <f t="shared" ca="1" si="5292"/>
        <v>0</v>
      </c>
      <c r="FX142" s="63"/>
      <c r="FY142" s="73"/>
      <c r="FZ142" s="72">
        <f t="shared" ca="1" si="5293"/>
        <v>0</v>
      </c>
      <c r="GA142" s="63"/>
      <c r="GB142" s="73"/>
      <c r="GC142" s="72">
        <f t="shared" ca="1" si="5294"/>
        <v>0</v>
      </c>
      <c r="GD142" s="63"/>
      <c r="GE142" s="73"/>
      <c r="GF142" s="72">
        <f t="shared" ca="1" si="5295"/>
        <v>0</v>
      </c>
      <c r="GG142" s="63"/>
      <c r="GH142" s="73"/>
      <c r="GI142" s="72">
        <f t="shared" ca="1" si="5296"/>
        <v>0</v>
      </c>
      <c r="GJ142" s="63"/>
      <c r="GK142" s="73"/>
      <c r="GL142" s="72">
        <f t="shared" ca="1" si="5297"/>
        <v>0</v>
      </c>
      <c r="GM142" s="63"/>
      <c r="GN142" s="73"/>
      <c r="GO142" s="72">
        <f t="shared" ca="1" si="5298"/>
        <v>0</v>
      </c>
      <c r="GP142" s="63"/>
      <c r="GQ142" s="73"/>
      <c r="GR142" s="72">
        <f t="shared" ca="1" si="5299"/>
        <v>0</v>
      </c>
      <c r="GS142" s="63"/>
      <c r="GT142" s="73"/>
      <c r="GU142" s="72">
        <f t="shared" ca="1" si="5300"/>
        <v>0</v>
      </c>
      <c r="GV142" s="63"/>
      <c r="GW142" s="73"/>
      <c r="GX142" s="72">
        <f t="shared" ca="1" si="5301"/>
        <v>0</v>
      </c>
      <c r="GY142" s="63"/>
      <c r="GZ142" s="73"/>
      <c r="HA142" s="72">
        <f t="shared" ca="1" si="5302"/>
        <v>0</v>
      </c>
      <c r="HB142" s="63"/>
      <c r="HC142" s="73"/>
      <c r="HD142" s="72">
        <f t="shared" ca="1" si="5303"/>
        <v>0</v>
      </c>
      <c r="HE142" s="63"/>
      <c r="HF142" s="73"/>
      <c r="HG142" s="72">
        <f t="shared" ca="1" si="5304"/>
        <v>0</v>
      </c>
      <c r="HH142" s="63"/>
      <c r="HI142" s="73"/>
      <c r="HJ142" s="72">
        <f t="shared" ca="1" si="5305"/>
        <v>0</v>
      </c>
      <c r="HK142" s="63"/>
      <c r="HL142" s="73"/>
      <c r="HM142" s="72">
        <f t="shared" ca="1" si="5306"/>
        <v>0</v>
      </c>
      <c r="HN142" s="63"/>
      <c r="HO142" s="73"/>
      <c r="HP142" s="72">
        <f t="shared" ca="1" si="5307"/>
        <v>0</v>
      </c>
      <c r="HQ142" s="63"/>
      <c r="HR142" s="73"/>
      <c r="HS142" s="72">
        <f t="shared" ca="1" si="5308"/>
        <v>0</v>
      </c>
      <c r="HT142" s="63"/>
      <c r="HU142" s="73"/>
      <c r="HV142" s="72">
        <f t="shared" ca="1" si="5309"/>
        <v>0</v>
      </c>
      <c r="HW142" s="63"/>
      <c r="HX142" s="73"/>
      <c r="HY142" s="72">
        <f t="shared" ca="1" si="5310"/>
        <v>0</v>
      </c>
      <c r="HZ142" s="63"/>
      <c r="IA142" s="73"/>
      <c r="IB142" s="72">
        <f t="shared" ca="1" si="5311"/>
        <v>0</v>
      </c>
      <c r="IC142" s="63"/>
      <c r="ID142" s="73"/>
      <c r="IE142" s="72">
        <f t="shared" ca="1" si="5312"/>
        <v>0</v>
      </c>
      <c r="IF142" s="63"/>
      <c r="IG142" s="73"/>
      <c r="IH142" s="72">
        <f t="shared" ca="1" si="5313"/>
        <v>0</v>
      </c>
      <c r="II142" s="63"/>
      <c r="IJ142" s="73"/>
      <c r="IK142" s="72">
        <f t="shared" ca="1" si="5314"/>
        <v>0</v>
      </c>
      <c r="IL142" s="63"/>
      <c r="IM142" s="73"/>
      <c r="IN142" s="72">
        <f t="shared" ca="1" si="5315"/>
        <v>0</v>
      </c>
      <c r="IO142" s="63"/>
      <c r="IP142" s="73"/>
      <c r="IQ142" s="72">
        <f t="shared" ca="1" si="5316"/>
        <v>0</v>
      </c>
      <c r="IR142" s="63"/>
      <c r="IS142" s="73"/>
      <c r="IT142" s="72">
        <f t="shared" ca="1" si="5317"/>
        <v>0</v>
      </c>
      <c r="IU142" s="63"/>
      <c r="IV142" s="73"/>
      <c r="IW142" s="72">
        <f t="shared" ca="1" si="5318"/>
        <v>0</v>
      </c>
      <c r="IX142" s="63"/>
      <c r="IY142" s="73"/>
      <c r="IZ142" s="72">
        <f t="shared" ca="1" si="5319"/>
        <v>0</v>
      </c>
      <c r="JA142" s="63"/>
      <c r="JB142" s="73"/>
      <c r="JC142" s="72">
        <f t="shared" ca="1" si="5320"/>
        <v>0</v>
      </c>
      <c r="JD142" s="63"/>
      <c r="JE142" s="73"/>
      <c r="JF142" s="72">
        <f t="shared" ca="1" si="5321"/>
        <v>0</v>
      </c>
      <c r="JG142" s="63"/>
      <c r="JH142" s="73"/>
      <c r="JI142" s="72">
        <f t="shared" ca="1" si="5322"/>
        <v>0</v>
      </c>
      <c r="JJ142" s="63"/>
      <c r="JK142" s="73"/>
      <c r="JL142" s="72">
        <f t="shared" ca="1" si="5323"/>
        <v>0</v>
      </c>
      <c r="JM142" s="63"/>
      <c r="JN142" s="73"/>
      <c r="JO142" s="72">
        <f t="shared" ca="1" si="5324"/>
        <v>0</v>
      </c>
      <c r="JP142" s="63"/>
      <c r="JQ142" s="73"/>
      <c r="JR142" s="72">
        <f t="shared" ca="1" si="5325"/>
        <v>0</v>
      </c>
      <c r="JS142" s="63"/>
      <c r="JT142" s="73"/>
      <c r="JU142" s="72">
        <f t="shared" ca="1" si="5326"/>
        <v>0</v>
      </c>
      <c r="JV142" s="63"/>
      <c r="JW142" s="73"/>
      <c r="JX142" s="72">
        <f t="shared" ca="1" si="5327"/>
        <v>0</v>
      </c>
      <c r="JY142" s="63"/>
      <c r="JZ142" s="73"/>
      <c r="KA142" s="72">
        <f t="shared" ca="1" si="5328"/>
        <v>0</v>
      </c>
      <c r="KB142" s="63"/>
      <c r="KC142" s="73"/>
      <c r="KD142" s="72">
        <f t="shared" ca="1" si="5329"/>
        <v>0</v>
      </c>
      <c r="KE142" s="63"/>
      <c r="KF142" s="73"/>
      <c r="KG142" s="72">
        <f t="shared" ca="1" si="5330"/>
        <v>0</v>
      </c>
      <c r="KH142" s="63"/>
      <c r="KI142" s="73"/>
      <c r="KJ142" s="72">
        <f t="shared" ca="1" si="5331"/>
        <v>0</v>
      </c>
      <c r="KK142" s="63"/>
      <c r="KL142" s="73"/>
      <c r="KM142" s="72">
        <f t="shared" ca="1" si="5332"/>
        <v>0</v>
      </c>
      <c r="KN142" s="63"/>
      <c r="KO142" s="73"/>
      <c r="KP142" s="72">
        <f t="shared" ca="1" si="5333"/>
        <v>0</v>
      </c>
      <c r="KQ142" s="63"/>
      <c r="KR142" s="73"/>
      <c r="KS142" s="72">
        <f t="shared" ca="1" si="5334"/>
        <v>0</v>
      </c>
      <c r="KT142" s="63"/>
      <c r="KU142" s="73"/>
      <c r="KV142" s="72">
        <f t="shared" ca="1" si="5335"/>
        <v>0</v>
      </c>
      <c r="KW142" s="63"/>
      <c r="KX142" s="73"/>
      <c r="KY142" s="72">
        <f t="shared" ca="1" si="5336"/>
        <v>0</v>
      </c>
      <c r="KZ142" s="63"/>
      <c r="LA142" s="73"/>
      <c r="LB142" s="72">
        <f t="shared" ca="1" si="5337"/>
        <v>0</v>
      </c>
      <c r="LC142" s="63"/>
      <c r="LD142" s="73"/>
      <c r="LE142" s="72">
        <f t="shared" ca="1" si="5338"/>
        <v>0</v>
      </c>
      <c r="LF142" s="63"/>
    </row>
    <row r="143" spans="1:318" s="784" customFormat="1">
      <c r="A143" s="49"/>
      <c r="B143" s="49"/>
      <c r="C143" s="49"/>
      <c r="D143" s="49"/>
      <c r="E143" s="64"/>
      <c r="F143" s="125">
        <f t="shared" si="5339"/>
        <v>15</v>
      </c>
      <c r="G143" s="443">
        <f ca="1">VLOOKUP(H143,Equipos!$Q$1:$R$25,2,0)</f>
        <v>19</v>
      </c>
      <c r="H143" s="445" t="str">
        <f>Idiomas!$D$137</f>
        <v>CLASIFICADOS PARA DIECISEISAVOS</v>
      </c>
      <c r="I143" s="50"/>
      <c r="J143" s="843"/>
      <c r="K143" s="56" t="str">
        <f>Idiomas!$D$198&amp;"-"&amp;ROWS($L$130:L143)</f>
        <v>Dieciseisavofinalista-14</v>
      </c>
      <c r="L143" s="53"/>
      <c r="M143" s="55" t="str">
        <f ca="1">WORLDCUP!AA114</f>
        <v>2D</v>
      </c>
      <c r="N143" s="25"/>
      <c r="O143" s="25"/>
      <c r="P143" s="25"/>
      <c r="Q143" s="25"/>
      <c r="R143" s="108"/>
      <c r="S143" s="796" t="s">
        <v>1835</v>
      </c>
      <c r="T143" s="72">
        <f t="shared" ca="1" si="5239"/>
        <v>0</v>
      </c>
      <c r="U143" s="63"/>
      <c r="V143" s="73" t="s">
        <v>497</v>
      </c>
      <c r="W143" s="72">
        <f t="shared" ca="1" si="5240"/>
        <v>0</v>
      </c>
      <c r="X143" s="63"/>
      <c r="Y143" s="796" t="s">
        <v>497</v>
      </c>
      <c r="Z143" s="72">
        <f t="shared" ca="1" si="5241"/>
        <v>0</v>
      </c>
      <c r="AA143" s="63"/>
      <c r="AB143" s="796" t="s">
        <v>1319</v>
      </c>
      <c r="AC143" s="72">
        <f t="shared" ca="1" si="5242"/>
        <v>0</v>
      </c>
      <c r="AD143" s="63"/>
      <c r="AE143" s="796" t="s">
        <v>1319</v>
      </c>
      <c r="AF143" s="72">
        <f t="shared" ca="1" si="5243"/>
        <v>0</v>
      </c>
      <c r="AG143" s="63"/>
      <c r="AH143" s="796" t="s">
        <v>1319</v>
      </c>
      <c r="AI143" s="72">
        <f t="shared" ca="1" si="5244"/>
        <v>0</v>
      </c>
      <c r="AJ143" s="63"/>
      <c r="AK143" s="806" t="s">
        <v>1319</v>
      </c>
      <c r="AL143" s="72">
        <f t="shared" ca="1" si="5245"/>
        <v>0</v>
      </c>
      <c r="AM143" s="63"/>
      <c r="AN143" s="796" t="s">
        <v>1319</v>
      </c>
      <c r="AO143" s="72">
        <f t="shared" ca="1" si="5246"/>
        <v>0</v>
      </c>
      <c r="AP143" s="63"/>
      <c r="AQ143" s="806" t="s">
        <v>497</v>
      </c>
      <c r="AR143" s="72">
        <f t="shared" ca="1" si="5247"/>
        <v>0</v>
      </c>
      <c r="AS143" s="63"/>
      <c r="AT143" s="796" t="s">
        <v>497</v>
      </c>
      <c r="AU143" s="72">
        <f t="shared" ca="1" si="5248"/>
        <v>0</v>
      </c>
      <c r="AV143" s="63"/>
      <c r="AW143" s="796" t="s">
        <v>497</v>
      </c>
      <c r="AX143" s="72">
        <f t="shared" ca="1" si="5249"/>
        <v>0</v>
      </c>
      <c r="AY143" s="63"/>
      <c r="AZ143" s="796" t="s">
        <v>1319</v>
      </c>
      <c r="BA143" s="72">
        <f t="shared" ca="1" si="5250"/>
        <v>0</v>
      </c>
      <c r="BB143" s="63"/>
      <c r="BC143" s="796" t="s">
        <v>497</v>
      </c>
      <c r="BD143" s="72">
        <f t="shared" ca="1" si="5251"/>
        <v>0</v>
      </c>
      <c r="BE143" s="63"/>
      <c r="BF143" s="796" t="s">
        <v>1319</v>
      </c>
      <c r="BG143" s="72">
        <f t="shared" ca="1" si="5252"/>
        <v>0</v>
      </c>
      <c r="BH143" s="63"/>
      <c r="BI143" s="796" t="s">
        <v>497</v>
      </c>
      <c r="BJ143" s="72">
        <f t="shared" ca="1" si="5253"/>
        <v>0</v>
      </c>
      <c r="BK143" s="63"/>
      <c r="BL143" s="796" t="s">
        <v>1835</v>
      </c>
      <c r="BM143" s="72">
        <f t="shared" ca="1" si="5254"/>
        <v>0</v>
      </c>
      <c r="BN143" s="63"/>
      <c r="BO143" s="816" t="s">
        <v>1319</v>
      </c>
      <c r="BP143" s="72">
        <f t="shared" ca="1" si="5255"/>
        <v>0</v>
      </c>
      <c r="BQ143" s="63"/>
      <c r="BR143" s="796" t="s">
        <v>1319</v>
      </c>
      <c r="BS143" s="72">
        <f t="shared" ca="1" si="5256"/>
        <v>0</v>
      </c>
      <c r="BT143" s="63"/>
      <c r="BU143" s="796" t="s">
        <v>497</v>
      </c>
      <c r="BV143" s="72">
        <f t="shared" ca="1" si="5257"/>
        <v>0</v>
      </c>
      <c r="BW143" s="63"/>
      <c r="BX143" s="73" t="s">
        <v>1835</v>
      </c>
      <c r="BY143" s="72">
        <f t="shared" ca="1" si="5258"/>
        <v>0</v>
      </c>
      <c r="BZ143" s="63"/>
      <c r="CA143" s="816" t="s">
        <v>497</v>
      </c>
      <c r="CB143" s="72">
        <f t="shared" ca="1" si="5259"/>
        <v>0</v>
      </c>
      <c r="CC143" s="63"/>
      <c r="CD143" s="825" t="s">
        <v>1835</v>
      </c>
      <c r="CE143" s="72">
        <f t="shared" ca="1" si="5260"/>
        <v>0</v>
      </c>
      <c r="CF143" s="63"/>
      <c r="CG143" s="796" t="s">
        <v>1319</v>
      </c>
      <c r="CH143" s="72">
        <f t="shared" ca="1" si="5261"/>
        <v>0</v>
      </c>
      <c r="CI143" s="63"/>
      <c r="CJ143" s="796" t="s">
        <v>497</v>
      </c>
      <c r="CK143" s="72">
        <f t="shared" ca="1" si="5262"/>
        <v>0</v>
      </c>
      <c r="CL143" s="63"/>
      <c r="CM143" s="796" t="s">
        <v>497</v>
      </c>
      <c r="CN143" s="72">
        <f t="shared" ca="1" si="5263"/>
        <v>0</v>
      </c>
      <c r="CO143" s="63"/>
      <c r="CP143" s="796" t="s">
        <v>497</v>
      </c>
      <c r="CQ143" s="72">
        <f t="shared" ca="1" si="5264"/>
        <v>0</v>
      </c>
      <c r="CR143" s="63"/>
      <c r="CS143" s="796" t="s">
        <v>1319</v>
      </c>
      <c r="CT143" s="72">
        <f t="shared" ca="1" si="5265"/>
        <v>0</v>
      </c>
      <c r="CU143" s="63"/>
      <c r="CV143" s="796" t="s">
        <v>1319</v>
      </c>
      <c r="CW143" s="72">
        <f t="shared" ca="1" si="5266"/>
        <v>0</v>
      </c>
      <c r="CX143" s="63"/>
      <c r="CY143" s="796" t="s">
        <v>1835</v>
      </c>
      <c r="CZ143" s="72">
        <f t="shared" ca="1" si="5267"/>
        <v>0</v>
      </c>
      <c r="DA143" s="63"/>
      <c r="DB143" s="796" t="s">
        <v>497</v>
      </c>
      <c r="DC143" s="72">
        <f t="shared" ca="1" si="5268"/>
        <v>0</v>
      </c>
      <c r="DD143" s="63"/>
      <c r="DE143" s="796" t="s">
        <v>497</v>
      </c>
      <c r="DF143" s="72">
        <f t="shared" ca="1" si="5269"/>
        <v>0</v>
      </c>
      <c r="DG143" s="63"/>
      <c r="DH143" s="796" t="s">
        <v>1319</v>
      </c>
      <c r="DI143" s="72">
        <f t="shared" ca="1" si="5270"/>
        <v>0</v>
      </c>
      <c r="DJ143" s="63"/>
      <c r="DK143" s="796" t="s">
        <v>497</v>
      </c>
      <c r="DL143" s="72">
        <f t="shared" ca="1" si="5271"/>
        <v>0</v>
      </c>
      <c r="DM143" s="63"/>
      <c r="DN143" s="73"/>
      <c r="DO143" s="72">
        <f t="shared" ca="1" si="5272"/>
        <v>0</v>
      </c>
      <c r="DP143" s="63"/>
      <c r="DQ143" s="796" t="s">
        <v>1835</v>
      </c>
      <c r="DR143" s="72">
        <f t="shared" ca="1" si="5273"/>
        <v>0</v>
      </c>
      <c r="DS143" s="63"/>
      <c r="DT143" s="73" t="s">
        <v>1835</v>
      </c>
      <c r="DU143" s="72">
        <f t="shared" ca="1" si="5274"/>
        <v>0</v>
      </c>
      <c r="DV143" s="63"/>
      <c r="DW143" s="73"/>
      <c r="DX143" s="72">
        <f t="shared" ca="1" si="5275"/>
        <v>0</v>
      </c>
      <c r="DY143" s="63"/>
      <c r="DZ143" s="73"/>
      <c r="EA143" s="72">
        <f t="shared" ca="1" si="5276"/>
        <v>0</v>
      </c>
      <c r="EB143" s="63"/>
      <c r="EC143" s="73"/>
      <c r="ED143" s="72">
        <f t="shared" ca="1" si="5277"/>
        <v>0</v>
      </c>
      <c r="EE143" s="63"/>
      <c r="EF143" s="73"/>
      <c r="EG143" s="72">
        <f t="shared" ca="1" si="5278"/>
        <v>0</v>
      </c>
      <c r="EH143" s="63"/>
      <c r="EI143" s="73"/>
      <c r="EJ143" s="72">
        <f t="shared" ca="1" si="5279"/>
        <v>0</v>
      </c>
      <c r="EK143" s="63"/>
      <c r="EL143" s="73"/>
      <c r="EM143" s="72">
        <f t="shared" ca="1" si="5280"/>
        <v>0</v>
      </c>
      <c r="EN143" s="63"/>
      <c r="EO143" s="73"/>
      <c r="EP143" s="72">
        <f t="shared" ca="1" si="5281"/>
        <v>0</v>
      </c>
      <c r="EQ143" s="63"/>
      <c r="ER143" s="73"/>
      <c r="ES143" s="72">
        <f t="shared" ca="1" si="5282"/>
        <v>0</v>
      </c>
      <c r="ET143" s="63"/>
      <c r="EU143" s="73"/>
      <c r="EV143" s="72">
        <f t="shared" ca="1" si="5283"/>
        <v>0</v>
      </c>
      <c r="EW143" s="63"/>
      <c r="EX143" s="73"/>
      <c r="EY143" s="72">
        <f t="shared" ca="1" si="5284"/>
        <v>0</v>
      </c>
      <c r="EZ143" s="63"/>
      <c r="FA143" s="73"/>
      <c r="FB143" s="72">
        <f t="shared" ca="1" si="5285"/>
        <v>0</v>
      </c>
      <c r="FC143" s="63"/>
      <c r="FD143" s="73"/>
      <c r="FE143" s="72">
        <f t="shared" ca="1" si="5286"/>
        <v>0</v>
      </c>
      <c r="FF143" s="63"/>
      <c r="FG143" s="73"/>
      <c r="FH143" s="72">
        <f t="shared" ca="1" si="5287"/>
        <v>0</v>
      </c>
      <c r="FI143" s="63"/>
      <c r="FJ143" s="73"/>
      <c r="FK143" s="72">
        <f t="shared" ca="1" si="5288"/>
        <v>0</v>
      </c>
      <c r="FL143" s="63"/>
      <c r="FM143" s="73"/>
      <c r="FN143" s="72">
        <f t="shared" ca="1" si="5289"/>
        <v>0</v>
      </c>
      <c r="FO143" s="63"/>
      <c r="FP143" s="73"/>
      <c r="FQ143" s="72">
        <f t="shared" ca="1" si="5290"/>
        <v>0</v>
      </c>
      <c r="FR143" s="63"/>
      <c r="FS143" s="73"/>
      <c r="FT143" s="72">
        <f t="shared" ca="1" si="5291"/>
        <v>0</v>
      </c>
      <c r="FU143" s="63"/>
      <c r="FV143" s="73"/>
      <c r="FW143" s="72">
        <f t="shared" ca="1" si="5292"/>
        <v>0</v>
      </c>
      <c r="FX143" s="63"/>
      <c r="FY143" s="73"/>
      <c r="FZ143" s="72">
        <f t="shared" ca="1" si="5293"/>
        <v>0</v>
      </c>
      <c r="GA143" s="63"/>
      <c r="GB143" s="73"/>
      <c r="GC143" s="72">
        <f t="shared" ca="1" si="5294"/>
        <v>0</v>
      </c>
      <c r="GD143" s="63"/>
      <c r="GE143" s="73"/>
      <c r="GF143" s="72">
        <f t="shared" ca="1" si="5295"/>
        <v>0</v>
      </c>
      <c r="GG143" s="63"/>
      <c r="GH143" s="73"/>
      <c r="GI143" s="72">
        <f t="shared" ca="1" si="5296"/>
        <v>0</v>
      </c>
      <c r="GJ143" s="63"/>
      <c r="GK143" s="73"/>
      <c r="GL143" s="72">
        <f t="shared" ca="1" si="5297"/>
        <v>0</v>
      </c>
      <c r="GM143" s="63"/>
      <c r="GN143" s="73"/>
      <c r="GO143" s="72">
        <f t="shared" ca="1" si="5298"/>
        <v>0</v>
      </c>
      <c r="GP143" s="63"/>
      <c r="GQ143" s="73"/>
      <c r="GR143" s="72">
        <f t="shared" ca="1" si="5299"/>
        <v>0</v>
      </c>
      <c r="GS143" s="63"/>
      <c r="GT143" s="73"/>
      <c r="GU143" s="72">
        <f t="shared" ca="1" si="5300"/>
        <v>0</v>
      </c>
      <c r="GV143" s="63"/>
      <c r="GW143" s="73"/>
      <c r="GX143" s="72">
        <f t="shared" ca="1" si="5301"/>
        <v>0</v>
      </c>
      <c r="GY143" s="63"/>
      <c r="GZ143" s="73"/>
      <c r="HA143" s="72">
        <f t="shared" ca="1" si="5302"/>
        <v>0</v>
      </c>
      <c r="HB143" s="63"/>
      <c r="HC143" s="73"/>
      <c r="HD143" s="72">
        <f t="shared" ca="1" si="5303"/>
        <v>0</v>
      </c>
      <c r="HE143" s="63"/>
      <c r="HF143" s="73"/>
      <c r="HG143" s="72">
        <f t="shared" ca="1" si="5304"/>
        <v>0</v>
      </c>
      <c r="HH143" s="63"/>
      <c r="HI143" s="73"/>
      <c r="HJ143" s="72">
        <f t="shared" ca="1" si="5305"/>
        <v>0</v>
      </c>
      <c r="HK143" s="63"/>
      <c r="HL143" s="73"/>
      <c r="HM143" s="72">
        <f t="shared" ca="1" si="5306"/>
        <v>0</v>
      </c>
      <c r="HN143" s="63"/>
      <c r="HO143" s="73"/>
      <c r="HP143" s="72">
        <f t="shared" ca="1" si="5307"/>
        <v>0</v>
      </c>
      <c r="HQ143" s="63"/>
      <c r="HR143" s="73"/>
      <c r="HS143" s="72">
        <f t="shared" ca="1" si="5308"/>
        <v>0</v>
      </c>
      <c r="HT143" s="63"/>
      <c r="HU143" s="73"/>
      <c r="HV143" s="72">
        <f t="shared" ca="1" si="5309"/>
        <v>0</v>
      </c>
      <c r="HW143" s="63"/>
      <c r="HX143" s="73"/>
      <c r="HY143" s="72">
        <f t="shared" ca="1" si="5310"/>
        <v>0</v>
      </c>
      <c r="HZ143" s="63"/>
      <c r="IA143" s="73"/>
      <c r="IB143" s="72">
        <f t="shared" ca="1" si="5311"/>
        <v>0</v>
      </c>
      <c r="IC143" s="63"/>
      <c r="ID143" s="73"/>
      <c r="IE143" s="72">
        <f t="shared" ca="1" si="5312"/>
        <v>0</v>
      </c>
      <c r="IF143" s="63"/>
      <c r="IG143" s="73"/>
      <c r="IH143" s="72">
        <f t="shared" ca="1" si="5313"/>
        <v>0</v>
      </c>
      <c r="II143" s="63"/>
      <c r="IJ143" s="73"/>
      <c r="IK143" s="72">
        <f t="shared" ca="1" si="5314"/>
        <v>0</v>
      </c>
      <c r="IL143" s="63"/>
      <c r="IM143" s="73"/>
      <c r="IN143" s="72">
        <f t="shared" ca="1" si="5315"/>
        <v>0</v>
      </c>
      <c r="IO143" s="63"/>
      <c r="IP143" s="73"/>
      <c r="IQ143" s="72">
        <f t="shared" ca="1" si="5316"/>
        <v>0</v>
      </c>
      <c r="IR143" s="63"/>
      <c r="IS143" s="73"/>
      <c r="IT143" s="72">
        <f t="shared" ca="1" si="5317"/>
        <v>0</v>
      </c>
      <c r="IU143" s="63"/>
      <c r="IV143" s="73"/>
      <c r="IW143" s="72">
        <f t="shared" ca="1" si="5318"/>
        <v>0</v>
      </c>
      <c r="IX143" s="63"/>
      <c r="IY143" s="73"/>
      <c r="IZ143" s="72">
        <f t="shared" ca="1" si="5319"/>
        <v>0</v>
      </c>
      <c r="JA143" s="63"/>
      <c r="JB143" s="73"/>
      <c r="JC143" s="72">
        <f t="shared" ca="1" si="5320"/>
        <v>0</v>
      </c>
      <c r="JD143" s="63"/>
      <c r="JE143" s="73"/>
      <c r="JF143" s="72">
        <f t="shared" ca="1" si="5321"/>
        <v>0</v>
      </c>
      <c r="JG143" s="63"/>
      <c r="JH143" s="73"/>
      <c r="JI143" s="72">
        <f t="shared" ca="1" si="5322"/>
        <v>0</v>
      </c>
      <c r="JJ143" s="63"/>
      <c r="JK143" s="73"/>
      <c r="JL143" s="72">
        <f t="shared" ca="1" si="5323"/>
        <v>0</v>
      </c>
      <c r="JM143" s="63"/>
      <c r="JN143" s="73"/>
      <c r="JO143" s="72">
        <f t="shared" ca="1" si="5324"/>
        <v>0</v>
      </c>
      <c r="JP143" s="63"/>
      <c r="JQ143" s="73"/>
      <c r="JR143" s="72">
        <f t="shared" ca="1" si="5325"/>
        <v>0</v>
      </c>
      <c r="JS143" s="63"/>
      <c r="JT143" s="73"/>
      <c r="JU143" s="72">
        <f t="shared" ca="1" si="5326"/>
        <v>0</v>
      </c>
      <c r="JV143" s="63"/>
      <c r="JW143" s="73"/>
      <c r="JX143" s="72">
        <f t="shared" ca="1" si="5327"/>
        <v>0</v>
      </c>
      <c r="JY143" s="63"/>
      <c r="JZ143" s="73"/>
      <c r="KA143" s="72">
        <f t="shared" ca="1" si="5328"/>
        <v>0</v>
      </c>
      <c r="KB143" s="63"/>
      <c r="KC143" s="73"/>
      <c r="KD143" s="72">
        <f t="shared" ca="1" si="5329"/>
        <v>0</v>
      </c>
      <c r="KE143" s="63"/>
      <c r="KF143" s="73"/>
      <c r="KG143" s="72">
        <f t="shared" ca="1" si="5330"/>
        <v>0</v>
      </c>
      <c r="KH143" s="63"/>
      <c r="KI143" s="73"/>
      <c r="KJ143" s="72">
        <f t="shared" ca="1" si="5331"/>
        <v>0</v>
      </c>
      <c r="KK143" s="63"/>
      <c r="KL143" s="73"/>
      <c r="KM143" s="72">
        <f t="shared" ca="1" si="5332"/>
        <v>0</v>
      </c>
      <c r="KN143" s="63"/>
      <c r="KO143" s="73"/>
      <c r="KP143" s="72">
        <f t="shared" ca="1" si="5333"/>
        <v>0</v>
      </c>
      <c r="KQ143" s="63"/>
      <c r="KR143" s="73"/>
      <c r="KS143" s="72">
        <f t="shared" ca="1" si="5334"/>
        <v>0</v>
      </c>
      <c r="KT143" s="63"/>
      <c r="KU143" s="73"/>
      <c r="KV143" s="72">
        <f t="shared" ca="1" si="5335"/>
        <v>0</v>
      </c>
      <c r="KW143" s="63"/>
      <c r="KX143" s="73"/>
      <c r="KY143" s="72">
        <f t="shared" ca="1" si="5336"/>
        <v>0</v>
      </c>
      <c r="KZ143" s="63"/>
      <c r="LA143" s="73"/>
      <c r="LB143" s="72">
        <f t="shared" ca="1" si="5337"/>
        <v>0</v>
      </c>
      <c r="LC143" s="63"/>
      <c r="LD143" s="73"/>
      <c r="LE143" s="72">
        <f t="shared" ca="1" si="5338"/>
        <v>0</v>
      </c>
      <c r="LF143" s="63"/>
    </row>
    <row r="144" spans="1:318" s="784" customFormat="1">
      <c r="A144" s="49"/>
      <c r="B144" s="49"/>
      <c r="C144" s="49"/>
      <c r="D144" s="49"/>
      <c r="E144" s="64"/>
      <c r="F144" s="125">
        <f t="shared" si="5339"/>
        <v>15</v>
      </c>
      <c r="G144" s="443">
        <f ca="1">VLOOKUP(H144,Equipos!$Q$1:$R$25,2,0)</f>
        <v>19</v>
      </c>
      <c r="H144" s="445" t="str">
        <f>Idiomas!$D$137</f>
        <v>CLASIFICADOS PARA DIECISEISAVOS</v>
      </c>
      <c r="I144" s="50"/>
      <c r="J144" s="843"/>
      <c r="K144" s="56" t="str">
        <f>Idiomas!$D$198&amp;"-"&amp;ROWS($L$130:L144)</f>
        <v>Dieciseisavofinalista-15</v>
      </c>
      <c r="L144" s="53"/>
      <c r="M144" s="55" t="str">
        <f ca="1">WORLDCUP!AA115</f>
        <v>1J</v>
      </c>
      <c r="N144" s="25"/>
      <c r="O144" s="25"/>
      <c r="P144" s="25"/>
      <c r="Q144" s="25"/>
      <c r="R144" s="108"/>
      <c r="S144" s="796" t="s">
        <v>1256</v>
      </c>
      <c r="T144" s="72">
        <f t="shared" ca="1" si="5239"/>
        <v>0</v>
      </c>
      <c r="U144" s="63"/>
      <c r="V144" s="73" t="s">
        <v>1256</v>
      </c>
      <c r="W144" s="72">
        <f t="shared" ca="1" si="5240"/>
        <v>0</v>
      </c>
      <c r="X144" s="63"/>
      <c r="Y144" s="796" t="s">
        <v>1256</v>
      </c>
      <c r="Z144" s="72">
        <f t="shared" ca="1" si="5241"/>
        <v>0</v>
      </c>
      <c r="AA144" s="63"/>
      <c r="AB144" s="796" t="s">
        <v>1256</v>
      </c>
      <c r="AC144" s="72">
        <f t="shared" ca="1" si="5242"/>
        <v>0</v>
      </c>
      <c r="AD144" s="63"/>
      <c r="AE144" s="796" t="s">
        <v>1256</v>
      </c>
      <c r="AF144" s="72">
        <f t="shared" ca="1" si="5243"/>
        <v>0</v>
      </c>
      <c r="AG144" s="63"/>
      <c r="AH144" s="796" t="s">
        <v>1256</v>
      </c>
      <c r="AI144" s="72">
        <f t="shared" ca="1" si="5244"/>
        <v>0</v>
      </c>
      <c r="AJ144" s="63"/>
      <c r="AK144" s="806" t="s">
        <v>1256</v>
      </c>
      <c r="AL144" s="72">
        <f t="shared" ca="1" si="5245"/>
        <v>0</v>
      </c>
      <c r="AM144" s="63"/>
      <c r="AN144" s="796" t="s">
        <v>1256</v>
      </c>
      <c r="AO144" s="72">
        <f t="shared" ca="1" si="5246"/>
        <v>0</v>
      </c>
      <c r="AP144" s="63"/>
      <c r="AQ144" s="806" t="s">
        <v>1256</v>
      </c>
      <c r="AR144" s="72">
        <f t="shared" ca="1" si="5247"/>
        <v>0</v>
      </c>
      <c r="AS144" s="63"/>
      <c r="AT144" s="796" t="s">
        <v>1256</v>
      </c>
      <c r="AU144" s="72">
        <f t="shared" ca="1" si="5248"/>
        <v>0</v>
      </c>
      <c r="AV144" s="63"/>
      <c r="AW144" s="796" t="s">
        <v>1256</v>
      </c>
      <c r="AX144" s="72">
        <f t="shared" ca="1" si="5249"/>
        <v>0</v>
      </c>
      <c r="AY144" s="63"/>
      <c r="AZ144" s="796" t="s">
        <v>1264</v>
      </c>
      <c r="BA144" s="72">
        <f t="shared" ca="1" si="5250"/>
        <v>0</v>
      </c>
      <c r="BB144" s="63"/>
      <c r="BC144" s="796" t="s">
        <v>1256</v>
      </c>
      <c r="BD144" s="72">
        <f t="shared" ca="1" si="5251"/>
        <v>0</v>
      </c>
      <c r="BE144" s="63"/>
      <c r="BF144" s="796" t="s">
        <v>1256</v>
      </c>
      <c r="BG144" s="72">
        <f t="shared" ca="1" si="5252"/>
        <v>0</v>
      </c>
      <c r="BH144" s="63"/>
      <c r="BI144" s="796" t="s">
        <v>1256</v>
      </c>
      <c r="BJ144" s="72">
        <f t="shared" ca="1" si="5253"/>
        <v>0</v>
      </c>
      <c r="BK144" s="63"/>
      <c r="BL144" s="796" t="s">
        <v>1256</v>
      </c>
      <c r="BM144" s="72">
        <f t="shared" ca="1" si="5254"/>
        <v>0</v>
      </c>
      <c r="BN144" s="63"/>
      <c r="BO144" s="816" t="s">
        <v>1256</v>
      </c>
      <c r="BP144" s="72">
        <f t="shared" ca="1" si="5255"/>
        <v>0</v>
      </c>
      <c r="BQ144" s="63"/>
      <c r="BR144" s="796" t="s">
        <v>1256</v>
      </c>
      <c r="BS144" s="72">
        <f t="shared" ca="1" si="5256"/>
        <v>0</v>
      </c>
      <c r="BT144" s="63"/>
      <c r="BU144" s="796" t="s">
        <v>1256</v>
      </c>
      <c r="BV144" s="72">
        <f t="shared" ca="1" si="5257"/>
        <v>0</v>
      </c>
      <c r="BW144" s="63"/>
      <c r="BX144" s="73" t="s">
        <v>1256</v>
      </c>
      <c r="BY144" s="72">
        <f t="shared" ca="1" si="5258"/>
        <v>0</v>
      </c>
      <c r="BZ144" s="63"/>
      <c r="CA144" s="816" t="s">
        <v>1256</v>
      </c>
      <c r="CB144" s="72">
        <f t="shared" ca="1" si="5259"/>
        <v>0</v>
      </c>
      <c r="CC144" s="63"/>
      <c r="CD144" s="825" t="s">
        <v>1256</v>
      </c>
      <c r="CE144" s="72">
        <f t="shared" ca="1" si="5260"/>
        <v>0</v>
      </c>
      <c r="CF144" s="63"/>
      <c r="CG144" s="796" t="s">
        <v>1256</v>
      </c>
      <c r="CH144" s="72">
        <f t="shared" ca="1" si="5261"/>
        <v>0</v>
      </c>
      <c r="CI144" s="63"/>
      <c r="CJ144" s="796" t="s">
        <v>1256</v>
      </c>
      <c r="CK144" s="72">
        <f t="shared" ca="1" si="5262"/>
        <v>0</v>
      </c>
      <c r="CL144" s="63"/>
      <c r="CM144" s="796" t="s">
        <v>1256</v>
      </c>
      <c r="CN144" s="72">
        <f t="shared" ca="1" si="5263"/>
        <v>0</v>
      </c>
      <c r="CO144" s="63"/>
      <c r="CP144" s="796" t="s">
        <v>1256</v>
      </c>
      <c r="CQ144" s="72">
        <f t="shared" ca="1" si="5264"/>
        <v>0</v>
      </c>
      <c r="CR144" s="63"/>
      <c r="CS144" s="796" t="s">
        <v>1256</v>
      </c>
      <c r="CT144" s="72">
        <f t="shared" ca="1" si="5265"/>
        <v>0</v>
      </c>
      <c r="CU144" s="63"/>
      <c r="CV144" s="796" t="s">
        <v>1256</v>
      </c>
      <c r="CW144" s="72">
        <f t="shared" ca="1" si="5266"/>
        <v>0</v>
      </c>
      <c r="CX144" s="63"/>
      <c r="CY144" s="796" t="s">
        <v>1256</v>
      </c>
      <c r="CZ144" s="72">
        <f t="shared" ca="1" si="5267"/>
        <v>0</v>
      </c>
      <c r="DA144" s="63"/>
      <c r="DB144" s="796" t="s">
        <v>1256</v>
      </c>
      <c r="DC144" s="72">
        <f t="shared" ca="1" si="5268"/>
        <v>0</v>
      </c>
      <c r="DD144" s="63"/>
      <c r="DE144" s="796" t="s">
        <v>1256</v>
      </c>
      <c r="DF144" s="72">
        <f t="shared" ca="1" si="5269"/>
        <v>0</v>
      </c>
      <c r="DG144" s="63"/>
      <c r="DH144" s="796" t="s">
        <v>1256</v>
      </c>
      <c r="DI144" s="72">
        <f t="shared" ca="1" si="5270"/>
        <v>0</v>
      </c>
      <c r="DJ144" s="63"/>
      <c r="DK144" s="796" t="s">
        <v>1256</v>
      </c>
      <c r="DL144" s="72">
        <f t="shared" ca="1" si="5271"/>
        <v>0</v>
      </c>
      <c r="DM144" s="63"/>
      <c r="DN144" s="73"/>
      <c r="DO144" s="72">
        <f t="shared" ca="1" si="5272"/>
        <v>0</v>
      </c>
      <c r="DP144" s="63"/>
      <c r="DQ144" s="796" t="s">
        <v>1256</v>
      </c>
      <c r="DR144" s="72">
        <f t="shared" ca="1" si="5273"/>
        <v>0</v>
      </c>
      <c r="DS144" s="63"/>
      <c r="DT144" s="73" t="s">
        <v>1256</v>
      </c>
      <c r="DU144" s="72">
        <f t="shared" ca="1" si="5274"/>
        <v>0</v>
      </c>
      <c r="DV144" s="63"/>
      <c r="DW144" s="73"/>
      <c r="DX144" s="72">
        <f t="shared" ca="1" si="5275"/>
        <v>0</v>
      </c>
      <c r="DY144" s="63"/>
      <c r="DZ144" s="73"/>
      <c r="EA144" s="72">
        <f t="shared" ca="1" si="5276"/>
        <v>0</v>
      </c>
      <c r="EB144" s="63"/>
      <c r="EC144" s="73"/>
      <c r="ED144" s="72">
        <f t="shared" ca="1" si="5277"/>
        <v>0</v>
      </c>
      <c r="EE144" s="63"/>
      <c r="EF144" s="73"/>
      <c r="EG144" s="72">
        <f t="shared" ca="1" si="5278"/>
        <v>0</v>
      </c>
      <c r="EH144" s="63"/>
      <c r="EI144" s="73"/>
      <c r="EJ144" s="72">
        <f t="shared" ca="1" si="5279"/>
        <v>0</v>
      </c>
      <c r="EK144" s="63"/>
      <c r="EL144" s="73"/>
      <c r="EM144" s="72">
        <f t="shared" ca="1" si="5280"/>
        <v>0</v>
      </c>
      <c r="EN144" s="63"/>
      <c r="EO144" s="73"/>
      <c r="EP144" s="72">
        <f t="shared" ca="1" si="5281"/>
        <v>0</v>
      </c>
      <c r="EQ144" s="63"/>
      <c r="ER144" s="73"/>
      <c r="ES144" s="72">
        <f t="shared" ca="1" si="5282"/>
        <v>0</v>
      </c>
      <c r="ET144" s="63"/>
      <c r="EU144" s="73"/>
      <c r="EV144" s="72">
        <f t="shared" ca="1" si="5283"/>
        <v>0</v>
      </c>
      <c r="EW144" s="63"/>
      <c r="EX144" s="73"/>
      <c r="EY144" s="72">
        <f t="shared" ca="1" si="5284"/>
        <v>0</v>
      </c>
      <c r="EZ144" s="63"/>
      <c r="FA144" s="73"/>
      <c r="FB144" s="72">
        <f t="shared" ca="1" si="5285"/>
        <v>0</v>
      </c>
      <c r="FC144" s="63"/>
      <c r="FD144" s="73"/>
      <c r="FE144" s="72">
        <f t="shared" ca="1" si="5286"/>
        <v>0</v>
      </c>
      <c r="FF144" s="63"/>
      <c r="FG144" s="73"/>
      <c r="FH144" s="72">
        <f t="shared" ca="1" si="5287"/>
        <v>0</v>
      </c>
      <c r="FI144" s="63"/>
      <c r="FJ144" s="73"/>
      <c r="FK144" s="72">
        <f t="shared" ca="1" si="5288"/>
        <v>0</v>
      </c>
      <c r="FL144" s="63"/>
      <c r="FM144" s="73"/>
      <c r="FN144" s="72">
        <f t="shared" ca="1" si="5289"/>
        <v>0</v>
      </c>
      <c r="FO144" s="63"/>
      <c r="FP144" s="73"/>
      <c r="FQ144" s="72">
        <f t="shared" ca="1" si="5290"/>
        <v>0</v>
      </c>
      <c r="FR144" s="63"/>
      <c r="FS144" s="73"/>
      <c r="FT144" s="72">
        <f t="shared" ca="1" si="5291"/>
        <v>0</v>
      </c>
      <c r="FU144" s="63"/>
      <c r="FV144" s="73"/>
      <c r="FW144" s="72">
        <f t="shared" ca="1" si="5292"/>
        <v>0</v>
      </c>
      <c r="FX144" s="63"/>
      <c r="FY144" s="73"/>
      <c r="FZ144" s="72">
        <f t="shared" ca="1" si="5293"/>
        <v>0</v>
      </c>
      <c r="GA144" s="63"/>
      <c r="GB144" s="73"/>
      <c r="GC144" s="72">
        <f t="shared" ca="1" si="5294"/>
        <v>0</v>
      </c>
      <c r="GD144" s="63"/>
      <c r="GE144" s="73"/>
      <c r="GF144" s="72">
        <f t="shared" ca="1" si="5295"/>
        <v>0</v>
      </c>
      <c r="GG144" s="63"/>
      <c r="GH144" s="73"/>
      <c r="GI144" s="72">
        <f t="shared" ca="1" si="5296"/>
        <v>0</v>
      </c>
      <c r="GJ144" s="63"/>
      <c r="GK144" s="73"/>
      <c r="GL144" s="72">
        <f t="shared" ca="1" si="5297"/>
        <v>0</v>
      </c>
      <c r="GM144" s="63"/>
      <c r="GN144" s="73"/>
      <c r="GO144" s="72">
        <f t="shared" ca="1" si="5298"/>
        <v>0</v>
      </c>
      <c r="GP144" s="63"/>
      <c r="GQ144" s="73"/>
      <c r="GR144" s="72">
        <f t="shared" ca="1" si="5299"/>
        <v>0</v>
      </c>
      <c r="GS144" s="63"/>
      <c r="GT144" s="73"/>
      <c r="GU144" s="72">
        <f t="shared" ca="1" si="5300"/>
        <v>0</v>
      </c>
      <c r="GV144" s="63"/>
      <c r="GW144" s="73"/>
      <c r="GX144" s="72">
        <f t="shared" ca="1" si="5301"/>
        <v>0</v>
      </c>
      <c r="GY144" s="63"/>
      <c r="GZ144" s="73"/>
      <c r="HA144" s="72">
        <f t="shared" ca="1" si="5302"/>
        <v>0</v>
      </c>
      <c r="HB144" s="63"/>
      <c r="HC144" s="73"/>
      <c r="HD144" s="72">
        <f t="shared" ca="1" si="5303"/>
        <v>0</v>
      </c>
      <c r="HE144" s="63"/>
      <c r="HF144" s="73"/>
      <c r="HG144" s="72">
        <f t="shared" ca="1" si="5304"/>
        <v>0</v>
      </c>
      <c r="HH144" s="63"/>
      <c r="HI144" s="73"/>
      <c r="HJ144" s="72">
        <f t="shared" ca="1" si="5305"/>
        <v>0</v>
      </c>
      <c r="HK144" s="63"/>
      <c r="HL144" s="73"/>
      <c r="HM144" s="72">
        <f t="shared" ca="1" si="5306"/>
        <v>0</v>
      </c>
      <c r="HN144" s="63"/>
      <c r="HO144" s="73"/>
      <c r="HP144" s="72">
        <f t="shared" ca="1" si="5307"/>
        <v>0</v>
      </c>
      <c r="HQ144" s="63"/>
      <c r="HR144" s="73"/>
      <c r="HS144" s="72">
        <f t="shared" ca="1" si="5308"/>
        <v>0</v>
      </c>
      <c r="HT144" s="63"/>
      <c r="HU144" s="73"/>
      <c r="HV144" s="72">
        <f t="shared" ca="1" si="5309"/>
        <v>0</v>
      </c>
      <c r="HW144" s="63"/>
      <c r="HX144" s="73"/>
      <c r="HY144" s="72">
        <f t="shared" ca="1" si="5310"/>
        <v>0</v>
      </c>
      <c r="HZ144" s="63"/>
      <c r="IA144" s="73"/>
      <c r="IB144" s="72">
        <f t="shared" ca="1" si="5311"/>
        <v>0</v>
      </c>
      <c r="IC144" s="63"/>
      <c r="ID144" s="73"/>
      <c r="IE144" s="72">
        <f t="shared" ca="1" si="5312"/>
        <v>0</v>
      </c>
      <c r="IF144" s="63"/>
      <c r="IG144" s="73"/>
      <c r="IH144" s="72">
        <f t="shared" ca="1" si="5313"/>
        <v>0</v>
      </c>
      <c r="II144" s="63"/>
      <c r="IJ144" s="73"/>
      <c r="IK144" s="72">
        <f t="shared" ca="1" si="5314"/>
        <v>0</v>
      </c>
      <c r="IL144" s="63"/>
      <c r="IM144" s="73"/>
      <c r="IN144" s="72">
        <f t="shared" ca="1" si="5315"/>
        <v>0</v>
      </c>
      <c r="IO144" s="63"/>
      <c r="IP144" s="73"/>
      <c r="IQ144" s="72">
        <f t="shared" ca="1" si="5316"/>
        <v>0</v>
      </c>
      <c r="IR144" s="63"/>
      <c r="IS144" s="73"/>
      <c r="IT144" s="72">
        <f t="shared" ca="1" si="5317"/>
        <v>0</v>
      </c>
      <c r="IU144" s="63"/>
      <c r="IV144" s="73"/>
      <c r="IW144" s="72">
        <f t="shared" ca="1" si="5318"/>
        <v>0</v>
      </c>
      <c r="IX144" s="63"/>
      <c r="IY144" s="73"/>
      <c r="IZ144" s="72">
        <f t="shared" ca="1" si="5319"/>
        <v>0</v>
      </c>
      <c r="JA144" s="63"/>
      <c r="JB144" s="73"/>
      <c r="JC144" s="72">
        <f t="shared" ca="1" si="5320"/>
        <v>0</v>
      </c>
      <c r="JD144" s="63"/>
      <c r="JE144" s="73"/>
      <c r="JF144" s="72">
        <f t="shared" ca="1" si="5321"/>
        <v>0</v>
      </c>
      <c r="JG144" s="63"/>
      <c r="JH144" s="73"/>
      <c r="JI144" s="72">
        <f t="shared" ca="1" si="5322"/>
        <v>0</v>
      </c>
      <c r="JJ144" s="63"/>
      <c r="JK144" s="73"/>
      <c r="JL144" s="72">
        <f t="shared" ca="1" si="5323"/>
        <v>0</v>
      </c>
      <c r="JM144" s="63"/>
      <c r="JN144" s="73"/>
      <c r="JO144" s="72">
        <f t="shared" ca="1" si="5324"/>
        <v>0</v>
      </c>
      <c r="JP144" s="63"/>
      <c r="JQ144" s="73"/>
      <c r="JR144" s="72">
        <f t="shared" ca="1" si="5325"/>
        <v>0</v>
      </c>
      <c r="JS144" s="63"/>
      <c r="JT144" s="73"/>
      <c r="JU144" s="72">
        <f t="shared" ca="1" si="5326"/>
        <v>0</v>
      </c>
      <c r="JV144" s="63"/>
      <c r="JW144" s="73"/>
      <c r="JX144" s="72">
        <f t="shared" ca="1" si="5327"/>
        <v>0</v>
      </c>
      <c r="JY144" s="63"/>
      <c r="JZ144" s="73"/>
      <c r="KA144" s="72">
        <f t="shared" ca="1" si="5328"/>
        <v>0</v>
      </c>
      <c r="KB144" s="63"/>
      <c r="KC144" s="73"/>
      <c r="KD144" s="72">
        <f t="shared" ca="1" si="5329"/>
        <v>0</v>
      </c>
      <c r="KE144" s="63"/>
      <c r="KF144" s="73"/>
      <c r="KG144" s="72">
        <f t="shared" ca="1" si="5330"/>
        <v>0</v>
      </c>
      <c r="KH144" s="63"/>
      <c r="KI144" s="73"/>
      <c r="KJ144" s="72">
        <f t="shared" ca="1" si="5331"/>
        <v>0</v>
      </c>
      <c r="KK144" s="63"/>
      <c r="KL144" s="73"/>
      <c r="KM144" s="72">
        <f t="shared" ca="1" si="5332"/>
        <v>0</v>
      </c>
      <c r="KN144" s="63"/>
      <c r="KO144" s="73"/>
      <c r="KP144" s="72">
        <f t="shared" ca="1" si="5333"/>
        <v>0</v>
      </c>
      <c r="KQ144" s="63"/>
      <c r="KR144" s="73"/>
      <c r="KS144" s="72">
        <f t="shared" ca="1" si="5334"/>
        <v>0</v>
      </c>
      <c r="KT144" s="63"/>
      <c r="KU144" s="73"/>
      <c r="KV144" s="72">
        <f t="shared" ca="1" si="5335"/>
        <v>0</v>
      </c>
      <c r="KW144" s="63"/>
      <c r="KX144" s="73"/>
      <c r="KY144" s="72">
        <f t="shared" ca="1" si="5336"/>
        <v>0</v>
      </c>
      <c r="KZ144" s="63"/>
      <c r="LA144" s="73"/>
      <c r="LB144" s="72">
        <f t="shared" ca="1" si="5337"/>
        <v>0</v>
      </c>
      <c r="LC144" s="63"/>
      <c r="LD144" s="73"/>
      <c r="LE144" s="72">
        <f t="shared" ca="1" si="5338"/>
        <v>0</v>
      </c>
      <c r="LF144" s="63"/>
    </row>
    <row r="145" spans="1:318" s="784" customFormat="1">
      <c r="A145" s="49"/>
      <c r="B145" s="49"/>
      <c r="C145" s="49"/>
      <c r="D145" s="49"/>
      <c r="E145" s="64"/>
      <c r="F145" s="125">
        <f t="shared" si="5339"/>
        <v>15</v>
      </c>
      <c r="G145" s="443">
        <f ca="1">VLOOKUP(H145,Equipos!$Q$1:$R$25,2,0)</f>
        <v>19</v>
      </c>
      <c r="H145" s="445" t="str">
        <f>Idiomas!$D$137</f>
        <v>CLASIFICADOS PARA DIECISEISAVOS</v>
      </c>
      <c r="I145" s="50"/>
      <c r="J145" s="843"/>
      <c r="K145" s="56" t="str">
        <f>Idiomas!$D$198&amp;"-"&amp;ROWS($L$130:L145)</f>
        <v>Dieciseisavofinalista-16</v>
      </c>
      <c r="L145" s="53"/>
      <c r="M145" s="55" t="str">
        <f ca="1">WORLDCUP!AA116</f>
        <v>1K</v>
      </c>
      <c r="N145" s="25"/>
      <c r="O145" s="25"/>
      <c r="P145" s="25"/>
      <c r="Q145" s="25"/>
      <c r="R145" s="108"/>
      <c r="S145" s="796" t="s">
        <v>79</v>
      </c>
      <c r="T145" s="72">
        <f t="shared" ca="1" si="5239"/>
        <v>0</v>
      </c>
      <c r="U145" s="63"/>
      <c r="V145" s="73" t="s">
        <v>79</v>
      </c>
      <c r="W145" s="72">
        <f t="shared" ca="1" si="5240"/>
        <v>0</v>
      </c>
      <c r="X145" s="63"/>
      <c r="Y145" s="796" t="s">
        <v>79</v>
      </c>
      <c r="Z145" s="72">
        <f t="shared" ca="1" si="5241"/>
        <v>0</v>
      </c>
      <c r="AA145" s="63"/>
      <c r="AB145" s="796" t="s">
        <v>79</v>
      </c>
      <c r="AC145" s="72">
        <f t="shared" ca="1" si="5242"/>
        <v>0</v>
      </c>
      <c r="AD145" s="63"/>
      <c r="AE145" s="796" t="s">
        <v>79</v>
      </c>
      <c r="AF145" s="72">
        <f t="shared" ca="1" si="5243"/>
        <v>0</v>
      </c>
      <c r="AG145" s="63"/>
      <c r="AH145" s="796" t="s">
        <v>79</v>
      </c>
      <c r="AI145" s="72">
        <f t="shared" ca="1" si="5244"/>
        <v>0</v>
      </c>
      <c r="AJ145" s="63"/>
      <c r="AK145" s="806" t="s">
        <v>79</v>
      </c>
      <c r="AL145" s="72">
        <f t="shared" ca="1" si="5245"/>
        <v>0</v>
      </c>
      <c r="AM145" s="63"/>
      <c r="AN145" s="796" t="s">
        <v>79</v>
      </c>
      <c r="AO145" s="72">
        <f t="shared" ca="1" si="5246"/>
        <v>0</v>
      </c>
      <c r="AP145" s="63"/>
      <c r="AQ145" s="806" t="s">
        <v>79</v>
      </c>
      <c r="AR145" s="72">
        <f t="shared" ca="1" si="5247"/>
        <v>0</v>
      </c>
      <c r="AS145" s="63"/>
      <c r="AT145" s="796" t="s">
        <v>79</v>
      </c>
      <c r="AU145" s="72">
        <f t="shared" ca="1" si="5248"/>
        <v>0</v>
      </c>
      <c r="AV145" s="63"/>
      <c r="AW145" s="796" t="s">
        <v>79</v>
      </c>
      <c r="AX145" s="72">
        <f t="shared" ca="1" si="5249"/>
        <v>0</v>
      </c>
      <c r="AY145" s="63"/>
      <c r="AZ145" s="796" t="s">
        <v>1267</v>
      </c>
      <c r="BA145" s="72">
        <f t="shared" ca="1" si="5250"/>
        <v>0</v>
      </c>
      <c r="BB145" s="63"/>
      <c r="BC145" s="796" t="s">
        <v>79</v>
      </c>
      <c r="BD145" s="72">
        <f t="shared" ca="1" si="5251"/>
        <v>0</v>
      </c>
      <c r="BE145" s="63"/>
      <c r="BF145" s="796" t="s">
        <v>79</v>
      </c>
      <c r="BG145" s="72">
        <f t="shared" ca="1" si="5252"/>
        <v>0</v>
      </c>
      <c r="BH145" s="63"/>
      <c r="BI145" s="796" t="s">
        <v>79</v>
      </c>
      <c r="BJ145" s="72">
        <f t="shared" ca="1" si="5253"/>
        <v>0</v>
      </c>
      <c r="BK145" s="63"/>
      <c r="BL145" s="796" t="s">
        <v>79</v>
      </c>
      <c r="BM145" s="72">
        <f t="shared" ca="1" si="5254"/>
        <v>0</v>
      </c>
      <c r="BN145" s="63"/>
      <c r="BO145" s="816" t="s">
        <v>79</v>
      </c>
      <c r="BP145" s="72">
        <f t="shared" ca="1" si="5255"/>
        <v>0</v>
      </c>
      <c r="BQ145" s="63"/>
      <c r="BR145" s="796" t="s">
        <v>79</v>
      </c>
      <c r="BS145" s="72">
        <f t="shared" ca="1" si="5256"/>
        <v>0</v>
      </c>
      <c r="BT145" s="63"/>
      <c r="BU145" s="796" t="s">
        <v>79</v>
      </c>
      <c r="BV145" s="72">
        <f t="shared" ca="1" si="5257"/>
        <v>0</v>
      </c>
      <c r="BW145" s="63"/>
      <c r="BX145" s="73" t="s">
        <v>79</v>
      </c>
      <c r="BY145" s="72">
        <f t="shared" ca="1" si="5258"/>
        <v>0</v>
      </c>
      <c r="BZ145" s="63"/>
      <c r="CA145" s="816" t="s">
        <v>79</v>
      </c>
      <c r="CB145" s="72">
        <f t="shared" ca="1" si="5259"/>
        <v>0</v>
      </c>
      <c r="CC145" s="63"/>
      <c r="CD145" s="825" t="s">
        <v>79</v>
      </c>
      <c r="CE145" s="72">
        <f t="shared" ca="1" si="5260"/>
        <v>0</v>
      </c>
      <c r="CF145" s="63"/>
      <c r="CG145" s="796" t="s">
        <v>79</v>
      </c>
      <c r="CH145" s="72">
        <f t="shared" ca="1" si="5261"/>
        <v>0</v>
      </c>
      <c r="CI145" s="63"/>
      <c r="CJ145" s="796" t="s">
        <v>79</v>
      </c>
      <c r="CK145" s="72">
        <f t="shared" ca="1" si="5262"/>
        <v>0</v>
      </c>
      <c r="CL145" s="63"/>
      <c r="CM145" s="796" t="s">
        <v>1320</v>
      </c>
      <c r="CN145" s="72">
        <f t="shared" ca="1" si="5263"/>
        <v>0</v>
      </c>
      <c r="CO145" s="63"/>
      <c r="CP145" s="796" t="s">
        <v>79</v>
      </c>
      <c r="CQ145" s="72">
        <f t="shared" ca="1" si="5264"/>
        <v>0</v>
      </c>
      <c r="CR145" s="63"/>
      <c r="CS145" s="796" t="s">
        <v>79</v>
      </c>
      <c r="CT145" s="72">
        <f t="shared" ca="1" si="5265"/>
        <v>0</v>
      </c>
      <c r="CU145" s="63"/>
      <c r="CV145" s="796" t="s">
        <v>79</v>
      </c>
      <c r="CW145" s="72">
        <f t="shared" ca="1" si="5266"/>
        <v>0</v>
      </c>
      <c r="CX145" s="63"/>
      <c r="CY145" s="796" t="s">
        <v>79</v>
      </c>
      <c r="CZ145" s="72">
        <f t="shared" ca="1" si="5267"/>
        <v>0</v>
      </c>
      <c r="DA145" s="63"/>
      <c r="DB145" s="796" t="s">
        <v>1320</v>
      </c>
      <c r="DC145" s="72">
        <f t="shared" ca="1" si="5268"/>
        <v>0</v>
      </c>
      <c r="DD145" s="63"/>
      <c r="DE145" s="796" t="s">
        <v>79</v>
      </c>
      <c r="DF145" s="72">
        <f t="shared" ca="1" si="5269"/>
        <v>0</v>
      </c>
      <c r="DG145" s="63"/>
      <c r="DH145" s="796" t="s">
        <v>79</v>
      </c>
      <c r="DI145" s="72">
        <f t="shared" ca="1" si="5270"/>
        <v>0</v>
      </c>
      <c r="DJ145" s="63"/>
      <c r="DK145" s="796" t="s">
        <v>79</v>
      </c>
      <c r="DL145" s="72">
        <f t="shared" ca="1" si="5271"/>
        <v>0</v>
      </c>
      <c r="DM145" s="63"/>
      <c r="DN145" s="73"/>
      <c r="DO145" s="72">
        <f t="shared" ca="1" si="5272"/>
        <v>0</v>
      </c>
      <c r="DP145" s="63"/>
      <c r="DQ145" s="796" t="s">
        <v>79</v>
      </c>
      <c r="DR145" s="72">
        <f t="shared" ca="1" si="5273"/>
        <v>0</v>
      </c>
      <c r="DS145" s="63"/>
      <c r="DT145" s="73" t="s">
        <v>79</v>
      </c>
      <c r="DU145" s="72">
        <f t="shared" ca="1" si="5274"/>
        <v>0</v>
      </c>
      <c r="DV145" s="63"/>
      <c r="DW145" s="73"/>
      <c r="DX145" s="72">
        <f t="shared" ca="1" si="5275"/>
        <v>0</v>
      </c>
      <c r="DY145" s="63"/>
      <c r="DZ145" s="73"/>
      <c r="EA145" s="72">
        <f t="shared" ca="1" si="5276"/>
        <v>0</v>
      </c>
      <c r="EB145" s="63"/>
      <c r="EC145" s="73"/>
      <c r="ED145" s="72">
        <f t="shared" ca="1" si="5277"/>
        <v>0</v>
      </c>
      <c r="EE145" s="63"/>
      <c r="EF145" s="73"/>
      <c r="EG145" s="72">
        <f t="shared" ca="1" si="5278"/>
        <v>0</v>
      </c>
      <c r="EH145" s="63"/>
      <c r="EI145" s="73"/>
      <c r="EJ145" s="72">
        <f t="shared" ca="1" si="5279"/>
        <v>0</v>
      </c>
      <c r="EK145" s="63"/>
      <c r="EL145" s="73"/>
      <c r="EM145" s="72">
        <f t="shared" ca="1" si="5280"/>
        <v>0</v>
      </c>
      <c r="EN145" s="63"/>
      <c r="EO145" s="73"/>
      <c r="EP145" s="72">
        <f t="shared" ca="1" si="5281"/>
        <v>0</v>
      </c>
      <c r="EQ145" s="63"/>
      <c r="ER145" s="73"/>
      <c r="ES145" s="72">
        <f t="shared" ca="1" si="5282"/>
        <v>0</v>
      </c>
      <c r="ET145" s="63"/>
      <c r="EU145" s="73"/>
      <c r="EV145" s="72">
        <f t="shared" ca="1" si="5283"/>
        <v>0</v>
      </c>
      <c r="EW145" s="63"/>
      <c r="EX145" s="73"/>
      <c r="EY145" s="72">
        <f t="shared" ca="1" si="5284"/>
        <v>0</v>
      </c>
      <c r="EZ145" s="63"/>
      <c r="FA145" s="73"/>
      <c r="FB145" s="72">
        <f t="shared" ca="1" si="5285"/>
        <v>0</v>
      </c>
      <c r="FC145" s="63"/>
      <c r="FD145" s="73"/>
      <c r="FE145" s="72">
        <f t="shared" ca="1" si="5286"/>
        <v>0</v>
      </c>
      <c r="FF145" s="63"/>
      <c r="FG145" s="73"/>
      <c r="FH145" s="72">
        <f t="shared" ca="1" si="5287"/>
        <v>0</v>
      </c>
      <c r="FI145" s="63"/>
      <c r="FJ145" s="73"/>
      <c r="FK145" s="72">
        <f t="shared" ca="1" si="5288"/>
        <v>0</v>
      </c>
      <c r="FL145" s="63"/>
      <c r="FM145" s="73"/>
      <c r="FN145" s="72">
        <f t="shared" ca="1" si="5289"/>
        <v>0</v>
      </c>
      <c r="FO145" s="63"/>
      <c r="FP145" s="73"/>
      <c r="FQ145" s="72">
        <f t="shared" ca="1" si="5290"/>
        <v>0</v>
      </c>
      <c r="FR145" s="63"/>
      <c r="FS145" s="73"/>
      <c r="FT145" s="72">
        <f t="shared" ca="1" si="5291"/>
        <v>0</v>
      </c>
      <c r="FU145" s="63"/>
      <c r="FV145" s="73"/>
      <c r="FW145" s="72">
        <f t="shared" ca="1" si="5292"/>
        <v>0</v>
      </c>
      <c r="FX145" s="63"/>
      <c r="FY145" s="73"/>
      <c r="FZ145" s="72">
        <f t="shared" ca="1" si="5293"/>
        <v>0</v>
      </c>
      <c r="GA145" s="63"/>
      <c r="GB145" s="73"/>
      <c r="GC145" s="72">
        <f t="shared" ca="1" si="5294"/>
        <v>0</v>
      </c>
      <c r="GD145" s="63"/>
      <c r="GE145" s="73"/>
      <c r="GF145" s="72">
        <f t="shared" ca="1" si="5295"/>
        <v>0</v>
      </c>
      <c r="GG145" s="63"/>
      <c r="GH145" s="73"/>
      <c r="GI145" s="72">
        <f t="shared" ca="1" si="5296"/>
        <v>0</v>
      </c>
      <c r="GJ145" s="63"/>
      <c r="GK145" s="73"/>
      <c r="GL145" s="72">
        <f t="shared" ca="1" si="5297"/>
        <v>0</v>
      </c>
      <c r="GM145" s="63"/>
      <c r="GN145" s="73"/>
      <c r="GO145" s="72">
        <f t="shared" ca="1" si="5298"/>
        <v>0</v>
      </c>
      <c r="GP145" s="63"/>
      <c r="GQ145" s="73"/>
      <c r="GR145" s="72">
        <f t="shared" ca="1" si="5299"/>
        <v>0</v>
      </c>
      <c r="GS145" s="63"/>
      <c r="GT145" s="73"/>
      <c r="GU145" s="72">
        <f t="shared" ca="1" si="5300"/>
        <v>0</v>
      </c>
      <c r="GV145" s="63"/>
      <c r="GW145" s="73"/>
      <c r="GX145" s="72">
        <f t="shared" ca="1" si="5301"/>
        <v>0</v>
      </c>
      <c r="GY145" s="63"/>
      <c r="GZ145" s="73"/>
      <c r="HA145" s="72">
        <f t="shared" ca="1" si="5302"/>
        <v>0</v>
      </c>
      <c r="HB145" s="63"/>
      <c r="HC145" s="73"/>
      <c r="HD145" s="72">
        <f t="shared" ca="1" si="5303"/>
        <v>0</v>
      </c>
      <c r="HE145" s="63"/>
      <c r="HF145" s="73"/>
      <c r="HG145" s="72">
        <f t="shared" ca="1" si="5304"/>
        <v>0</v>
      </c>
      <c r="HH145" s="63"/>
      <c r="HI145" s="73"/>
      <c r="HJ145" s="72">
        <f t="shared" ca="1" si="5305"/>
        <v>0</v>
      </c>
      <c r="HK145" s="63"/>
      <c r="HL145" s="73"/>
      <c r="HM145" s="72">
        <f t="shared" ca="1" si="5306"/>
        <v>0</v>
      </c>
      <c r="HN145" s="63"/>
      <c r="HO145" s="73"/>
      <c r="HP145" s="72">
        <f t="shared" ca="1" si="5307"/>
        <v>0</v>
      </c>
      <c r="HQ145" s="63"/>
      <c r="HR145" s="73"/>
      <c r="HS145" s="72">
        <f t="shared" ca="1" si="5308"/>
        <v>0</v>
      </c>
      <c r="HT145" s="63"/>
      <c r="HU145" s="73"/>
      <c r="HV145" s="72">
        <f t="shared" ca="1" si="5309"/>
        <v>0</v>
      </c>
      <c r="HW145" s="63"/>
      <c r="HX145" s="73"/>
      <c r="HY145" s="72">
        <f t="shared" ca="1" si="5310"/>
        <v>0</v>
      </c>
      <c r="HZ145" s="63"/>
      <c r="IA145" s="73"/>
      <c r="IB145" s="72">
        <f t="shared" ca="1" si="5311"/>
        <v>0</v>
      </c>
      <c r="IC145" s="63"/>
      <c r="ID145" s="73"/>
      <c r="IE145" s="72">
        <f t="shared" ca="1" si="5312"/>
        <v>0</v>
      </c>
      <c r="IF145" s="63"/>
      <c r="IG145" s="73"/>
      <c r="IH145" s="72">
        <f t="shared" ca="1" si="5313"/>
        <v>0</v>
      </c>
      <c r="II145" s="63"/>
      <c r="IJ145" s="73"/>
      <c r="IK145" s="72">
        <f t="shared" ca="1" si="5314"/>
        <v>0</v>
      </c>
      <c r="IL145" s="63"/>
      <c r="IM145" s="73"/>
      <c r="IN145" s="72">
        <f t="shared" ca="1" si="5315"/>
        <v>0</v>
      </c>
      <c r="IO145" s="63"/>
      <c r="IP145" s="73"/>
      <c r="IQ145" s="72">
        <f t="shared" ca="1" si="5316"/>
        <v>0</v>
      </c>
      <c r="IR145" s="63"/>
      <c r="IS145" s="73"/>
      <c r="IT145" s="72">
        <f t="shared" ca="1" si="5317"/>
        <v>0</v>
      </c>
      <c r="IU145" s="63"/>
      <c r="IV145" s="73"/>
      <c r="IW145" s="72">
        <f t="shared" ca="1" si="5318"/>
        <v>0</v>
      </c>
      <c r="IX145" s="63"/>
      <c r="IY145" s="73"/>
      <c r="IZ145" s="72">
        <f t="shared" ca="1" si="5319"/>
        <v>0</v>
      </c>
      <c r="JA145" s="63"/>
      <c r="JB145" s="73"/>
      <c r="JC145" s="72">
        <f t="shared" ca="1" si="5320"/>
        <v>0</v>
      </c>
      <c r="JD145" s="63"/>
      <c r="JE145" s="73"/>
      <c r="JF145" s="72">
        <f t="shared" ca="1" si="5321"/>
        <v>0</v>
      </c>
      <c r="JG145" s="63"/>
      <c r="JH145" s="73"/>
      <c r="JI145" s="72">
        <f t="shared" ca="1" si="5322"/>
        <v>0</v>
      </c>
      <c r="JJ145" s="63"/>
      <c r="JK145" s="73"/>
      <c r="JL145" s="72">
        <f t="shared" ca="1" si="5323"/>
        <v>0</v>
      </c>
      <c r="JM145" s="63"/>
      <c r="JN145" s="73"/>
      <c r="JO145" s="72">
        <f t="shared" ca="1" si="5324"/>
        <v>0</v>
      </c>
      <c r="JP145" s="63"/>
      <c r="JQ145" s="73"/>
      <c r="JR145" s="72">
        <f t="shared" ca="1" si="5325"/>
        <v>0</v>
      </c>
      <c r="JS145" s="63"/>
      <c r="JT145" s="73"/>
      <c r="JU145" s="72">
        <f t="shared" ca="1" si="5326"/>
        <v>0</v>
      </c>
      <c r="JV145" s="63"/>
      <c r="JW145" s="73"/>
      <c r="JX145" s="72">
        <f t="shared" ca="1" si="5327"/>
        <v>0</v>
      </c>
      <c r="JY145" s="63"/>
      <c r="JZ145" s="73"/>
      <c r="KA145" s="72">
        <f t="shared" ca="1" si="5328"/>
        <v>0</v>
      </c>
      <c r="KB145" s="63"/>
      <c r="KC145" s="73"/>
      <c r="KD145" s="72">
        <f t="shared" ca="1" si="5329"/>
        <v>0</v>
      </c>
      <c r="KE145" s="63"/>
      <c r="KF145" s="73"/>
      <c r="KG145" s="72">
        <f t="shared" ca="1" si="5330"/>
        <v>0</v>
      </c>
      <c r="KH145" s="63"/>
      <c r="KI145" s="73"/>
      <c r="KJ145" s="72">
        <f t="shared" ca="1" si="5331"/>
        <v>0</v>
      </c>
      <c r="KK145" s="63"/>
      <c r="KL145" s="73"/>
      <c r="KM145" s="72">
        <f t="shared" ca="1" si="5332"/>
        <v>0</v>
      </c>
      <c r="KN145" s="63"/>
      <c r="KO145" s="73"/>
      <c r="KP145" s="72">
        <f t="shared" ca="1" si="5333"/>
        <v>0</v>
      </c>
      <c r="KQ145" s="63"/>
      <c r="KR145" s="73"/>
      <c r="KS145" s="72">
        <f t="shared" ca="1" si="5334"/>
        <v>0</v>
      </c>
      <c r="KT145" s="63"/>
      <c r="KU145" s="73"/>
      <c r="KV145" s="72">
        <f t="shared" ca="1" si="5335"/>
        <v>0</v>
      </c>
      <c r="KW145" s="63"/>
      <c r="KX145" s="73"/>
      <c r="KY145" s="72">
        <f t="shared" ca="1" si="5336"/>
        <v>0</v>
      </c>
      <c r="KZ145" s="63"/>
      <c r="LA145" s="73"/>
      <c r="LB145" s="72">
        <f t="shared" ca="1" si="5337"/>
        <v>0</v>
      </c>
      <c r="LC145" s="63"/>
      <c r="LD145" s="73"/>
      <c r="LE145" s="72">
        <f t="shared" ca="1" si="5338"/>
        <v>0</v>
      </c>
      <c r="LF145" s="63"/>
    </row>
    <row r="146" spans="1:318" s="784" customFormat="1">
      <c r="A146" s="49"/>
      <c r="B146" s="49"/>
      <c r="C146" s="49"/>
      <c r="D146" s="49"/>
      <c r="E146" s="64"/>
      <c r="F146" s="125">
        <f t="shared" si="5339"/>
        <v>15</v>
      </c>
      <c r="G146" s="443">
        <f ca="1">VLOOKUP(H146,Equipos!$Q$1:$R$25,2,0)</f>
        <v>19</v>
      </c>
      <c r="H146" s="445" t="str">
        <f>Idiomas!$D$137</f>
        <v>CLASIFICADOS PARA DIECISEISAVOS</v>
      </c>
      <c r="I146" s="50"/>
      <c r="J146" s="843"/>
      <c r="K146" s="56" t="str">
        <f>Idiomas!$D$198&amp;"-"&amp;ROWS($L$130:L146)</f>
        <v>Dieciseisavofinalista-17</v>
      </c>
      <c r="L146" s="53"/>
      <c r="M146" s="55" t="str">
        <f ca="1">WORLDCUP!AF101</f>
        <v>2B</v>
      </c>
      <c r="N146" s="25"/>
      <c r="O146" s="25"/>
      <c r="P146" s="25"/>
      <c r="Q146" s="25"/>
      <c r="R146" s="108"/>
      <c r="S146" s="796" t="s">
        <v>1259</v>
      </c>
      <c r="T146" s="72">
        <f t="shared" ca="1" si="5239"/>
        <v>0</v>
      </c>
      <c r="U146" s="63"/>
      <c r="V146" s="73" t="s">
        <v>1259</v>
      </c>
      <c r="W146" s="72">
        <f t="shared" ca="1" si="5240"/>
        <v>0</v>
      </c>
      <c r="X146" s="63"/>
      <c r="Y146" s="796" t="s">
        <v>1259</v>
      </c>
      <c r="Z146" s="72">
        <f t="shared" ca="1" si="5241"/>
        <v>0</v>
      </c>
      <c r="AA146" s="63"/>
      <c r="AB146" s="796" t="s">
        <v>1841</v>
      </c>
      <c r="AC146" s="72">
        <f t="shared" ca="1" si="5242"/>
        <v>0</v>
      </c>
      <c r="AD146" s="63"/>
      <c r="AE146" s="796" t="s">
        <v>1841</v>
      </c>
      <c r="AF146" s="72">
        <f t="shared" ca="1" si="5243"/>
        <v>0</v>
      </c>
      <c r="AG146" s="63"/>
      <c r="AH146" s="796" t="s">
        <v>1841</v>
      </c>
      <c r="AI146" s="72">
        <f t="shared" ca="1" si="5244"/>
        <v>0</v>
      </c>
      <c r="AJ146" s="63"/>
      <c r="AK146" s="806" t="s">
        <v>1259</v>
      </c>
      <c r="AL146" s="72">
        <f t="shared" ca="1" si="5245"/>
        <v>0</v>
      </c>
      <c r="AM146" s="63"/>
      <c r="AN146" s="796" t="s">
        <v>1259</v>
      </c>
      <c r="AO146" s="72">
        <f t="shared" ca="1" si="5246"/>
        <v>0</v>
      </c>
      <c r="AP146" s="63"/>
      <c r="AQ146" s="806" t="s">
        <v>1259</v>
      </c>
      <c r="AR146" s="72">
        <f t="shared" ca="1" si="5247"/>
        <v>0</v>
      </c>
      <c r="AS146" s="63"/>
      <c r="AT146" s="796" t="s">
        <v>1259</v>
      </c>
      <c r="AU146" s="72">
        <f t="shared" ca="1" si="5248"/>
        <v>0</v>
      </c>
      <c r="AV146" s="63"/>
      <c r="AW146" s="796" t="s">
        <v>1841</v>
      </c>
      <c r="AX146" s="72">
        <f t="shared" ca="1" si="5249"/>
        <v>0</v>
      </c>
      <c r="AY146" s="63"/>
      <c r="AZ146" s="796" t="s">
        <v>1841</v>
      </c>
      <c r="BA146" s="72">
        <f t="shared" ca="1" si="5250"/>
        <v>0</v>
      </c>
      <c r="BB146" s="63"/>
      <c r="BC146" s="796" t="s">
        <v>75</v>
      </c>
      <c r="BD146" s="72">
        <f t="shared" ca="1" si="5251"/>
        <v>0</v>
      </c>
      <c r="BE146" s="63"/>
      <c r="BF146" s="796" t="s">
        <v>1259</v>
      </c>
      <c r="BG146" s="72">
        <f t="shared" ca="1" si="5252"/>
        <v>0</v>
      </c>
      <c r="BH146" s="63"/>
      <c r="BI146" s="796" t="s">
        <v>1259</v>
      </c>
      <c r="BJ146" s="72">
        <f t="shared" ca="1" si="5253"/>
        <v>0</v>
      </c>
      <c r="BK146" s="63"/>
      <c r="BL146" s="796" t="s">
        <v>1259</v>
      </c>
      <c r="BM146" s="72">
        <f t="shared" ca="1" si="5254"/>
        <v>0</v>
      </c>
      <c r="BN146" s="63"/>
      <c r="BO146" s="816" t="s">
        <v>1259</v>
      </c>
      <c r="BP146" s="72">
        <f t="shared" ca="1" si="5255"/>
        <v>0</v>
      </c>
      <c r="BQ146" s="63"/>
      <c r="BR146" s="796" t="s">
        <v>1259</v>
      </c>
      <c r="BS146" s="72">
        <f t="shared" ca="1" si="5256"/>
        <v>0</v>
      </c>
      <c r="BT146" s="63"/>
      <c r="BU146" s="796" t="s">
        <v>1259</v>
      </c>
      <c r="BV146" s="72">
        <f t="shared" ca="1" si="5257"/>
        <v>0</v>
      </c>
      <c r="BW146" s="63"/>
      <c r="BX146" s="73" t="s">
        <v>1259</v>
      </c>
      <c r="BY146" s="72">
        <f t="shared" ca="1" si="5258"/>
        <v>0</v>
      </c>
      <c r="BZ146" s="63"/>
      <c r="CA146" s="816" t="s">
        <v>1841</v>
      </c>
      <c r="CB146" s="72">
        <f t="shared" ca="1" si="5259"/>
        <v>0</v>
      </c>
      <c r="CC146" s="63"/>
      <c r="CD146" s="825" t="s">
        <v>1259</v>
      </c>
      <c r="CE146" s="72">
        <f t="shared" ca="1" si="5260"/>
        <v>0</v>
      </c>
      <c r="CF146" s="63"/>
      <c r="CG146" s="796" t="s">
        <v>1841</v>
      </c>
      <c r="CH146" s="72">
        <f t="shared" ca="1" si="5261"/>
        <v>0</v>
      </c>
      <c r="CI146" s="63"/>
      <c r="CJ146" s="796" t="s">
        <v>75</v>
      </c>
      <c r="CK146" s="72">
        <f t="shared" ca="1" si="5262"/>
        <v>0</v>
      </c>
      <c r="CL146" s="63"/>
      <c r="CM146" s="796" t="s">
        <v>1259</v>
      </c>
      <c r="CN146" s="72">
        <f t="shared" ca="1" si="5263"/>
        <v>0</v>
      </c>
      <c r="CO146" s="63"/>
      <c r="CP146" s="796" t="s">
        <v>75</v>
      </c>
      <c r="CQ146" s="72">
        <f t="shared" ca="1" si="5264"/>
        <v>0</v>
      </c>
      <c r="CR146" s="63"/>
      <c r="CS146" s="796" t="s">
        <v>1259</v>
      </c>
      <c r="CT146" s="72">
        <f t="shared" ca="1" si="5265"/>
        <v>0</v>
      </c>
      <c r="CU146" s="63"/>
      <c r="CV146" s="796" t="s">
        <v>75</v>
      </c>
      <c r="CW146" s="72">
        <f t="shared" ca="1" si="5266"/>
        <v>0</v>
      </c>
      <c r="CX146" s="63"/>
      <c r="CY146" s="796" t="s">
        <v>75</v>
      </c>
      <c r="CZ146" s="72">
        <f t="shared" ca="1" si="5267"/>
        <v>0</v>
      </c>
      <c r="DA146" s="63"/>
      <c r="DB146" s="796" t="s">
        <v>1259</v>
      </c>
      <c r="DC146" s="72">
        <f t="shared" ca="1" si="5268"/>
        <v>0</v>
      </c>
      <c r="DD146" s="63"/>
      <c r="DE146" s="796" t="s">
        <v>75</v>
      </c>
      <c r="DF146" s="72">
        <f t="shared" ca="1" si="5269"/>
        <v>0</v>
      </c>
      <c r="DG146" s="63"/>
      <c r="DH146" s="796" t="s">
        <v>1259</v>
      </c>
      <c r="DI146" s="72">
        <f t="shared" ca="1" si="5270"/>
        <v>0</v>
      </c>
      <c r="DJ146" s="63"/>
      <c r="DK146" s="796" t="s">
        <v>1259</v>
      </c>
      <c r="DL146" s="72">
        <f t="shared" ca="1" si="5271"/>
        <v>0</v>
      </c>
      <c r="DM146" s="63"/>
      <c r="DN146" s="73"/>
      <c r="DO146" s="72">
        <f t="shared" ca="1" si="5272"/>
        <v>0</v>
      </c>
      <c r="DP146" s="63"/>
      <c r="DQ146" s="796" t="s">
        <v>75</v>
      </c>
      <c r="DR146" s="72">
        <f t="shared" ca="1" si="5273"/>
        <v>0</v>
      </c>
      <c r="DS146" s="63"/>
      <c r="DT146" s="73" t="s">
        <v>1259</v>
      </c>
      <c r="DU146" s="72">
        <f t="shared" ca="1" si="5274"/>
        <v>0</v>
      </c>
      <c r="DV146" s="63"/>
      <c r="DW146" s="73"/>
      <c r="DX146" s="72">
        <f t="shared" ca="1" si="5275"/>
        <v>0</v>
      </c>
      <c r="DY146" s="63"/>
      <c r="DZ146" s="73"/>
      <c r="EA146" s="72">
        <f t="shared" ca="1" si="5276"/>
        <v>0</v>
      </c>
      <c r="EB146" s="63"/>
      <c r="EC146" s="73"/>
      <c r="ED146" s="72">
        <f t="shared" ca="1" si="5277"/>
        <v>0</v>
      </c>
      <c r="EE146" s="63"/>
      <c r="EF146" s="73"/>
      <c r="EG146" s="72">
        <f t="shared" ca="1" si="5278"/>
        <v>0</v>
      </c>
      <c r="EH146" s="63"/>
      <c r="EI146" s="73"/>
      <c r="EJ146" s="72">
        <f t="shared" ca="1" si="5279"/>
        <v>0</v>
      </c>
      <c r="EK146" s="63"/>
      <c r="EL146" s="73"/>
      <c r="EM146" s="72">
        <f t="shared" ca="1" si="5280"/>
        <v>0</v>
      </c>
      <c r="EN146" s="63"/>
      <c r="EO146" s="73"/>
      <c r="EP146" s="72">
        <f t="shared" ca="1" si="5281"/>
        <v>0</v>
      </c>
      <c r="EQ146" s="63"/>
      <c r="ER146" s="73"/>
      <c r="ES146" s="72">
        <f t="shared" ca="1" si="5282"/>
        <v>0</v>
      </c>
      <c r="ET146" s="63"/>
      <c r="EU146" s="73"/>
      <c r="EV146" s="72">
        <f t="shared" ca="1" si="5283"/>
        <v>0</v>
      </c>
      <c r="EW146" s="63"/>
      <c r="EX146" s="73"/>
      <c r="EY146" s="72">
        <f t="shared" ca="1" si="5284"/>
        <v>0</v>
      </c>
      <c r="EZ146" s="63"/>
      <c r="FA146" s="73"/>
      <c r="FB146" s="72">
        <f t="shared" ca="1" si="5285"/>
        <v>0</v>
      </c>
      <c r="FC146" s="63"/>
      <c r="FD146" s="73"/>
      <c r="FE146" s="72">
        <f t="shared" ca="1" si="5286"/>
        <v>0</v>
      </c>
      <c r="FF146" s="63"/>
      <c r="FG146" s="73"/>
      <c r="FH146" s="72">
        <f t="shared" ca="1" si="5287"/>
        <v>0</v>
      </c>
      <c r="FI146" s="63"/>
      <c r="FJ146" s="73"/>
      <c r="FK146" s="72">
        <f t="shared" ca="1" si="5288"/>
        <v>0</v>
      </c>
      <c r="FL146" s="63"/>
      <c r="FM146" s="73"/>
      <c r="FN146" s="72">
        <f t="shared" ca="1" si="5289"/>
        <v>0</v>
      </c>
      <c r="FO146" s="63"/>
      <c r="FP146" s="73"/>
      <c r="FQ146" s="72">
        <f t="shared" ca="1" si="5290"/>
        <v>0</v>
      </c>
      <c r="FR146" s="63"/>
      <c r="FS146" s="73"/>
      <c r="FT146" s="72">
        <f t="shared" ca="1" si="5291"/>
        <v>0</v>
      </c>
      <c r="FU146" s="63"/>
      <c r="FV146" s="73"/>
      <c r="FW146" s="72">
        <f t="shared" ca="1" si="5292"/>
        <v>0</v>
      </c>
      <c r="FX146" s="63"/>
      <c r="FY146" s="73"/>
      <c r="FZ146" s="72">
        <f t="shared" ca="1" si="5293"/>
        <v>0</v>
      </c>
      <c r="GA146" s="63"/>
      <c r="GB146" s="73"/>
      <c r="GC146" s="72">
        <f t="shared" ca="1" si="5294"/>
        <v>0</v>
      </c>
      <c r="GD146" s="63"/>
      <c r="GE146" s="73"/>
      <c r="GF146" s="72">
        <f t="shared" ca="1" si="5295"/>
        <v>0</v>
      </c>
      <c r="GG146" s="63"/>
      <c r="GH146" s="73"/>
      <c r="GI146" s="72">
        <f t="shared" ca="1" si="5296"/>
        <v>0</v>
      </c>
      <c r="GJ146" s="63"/>
      <c r="GK146" s="73"/>
      <c r="GL146" s="72">
        <f t="shared" ca="1" si="5297"/>
        <v>0</v>
      </c>
      <c r="GM146" s="63"/>
      <c r="GN146" s="73"/>
      <c r="GO146" s="72">
        <f t="shared" ca="1" si="5298"/>
        <v>0</v>
      </c>
      <c r="GP146" s="63"/>
      <c r="GQ146" s="73"/>
      <c r="GR146" s="72">
        <f t="shared" ca="1" si="5299"/>
        <v>0</v>
      </c>
      <c r="GS146" s="63"/>
      <c r="GT146" s="73"/>
      <c r="GU146" s="72">
        <f t="shared" ca="1" si="5300"/>
        <v>0</v>
      </c>
      <c r="GV146" s="63"/>
      <c r="GW146" s="73"/>
      <c r="GX146" s="72">
        <f t="shared" ca="1" si="5301"/>
        <v>0</v>
      </c>
      <c r="GY146" s="63"/>
      <c r="GZ146" s="73"/>
      <c r="HA146" s="72">
        <f t="shared" ca="1" si="5302"/>
        <v>0</v>
      </c>
      <c r="HB146" s="63"/>
      <c r="HC146" s="73"/>
      <c r="HD146" s="72">
        <f t="shared" ca="1" si="5303"/>
        <v>0</v>
      </c>
      <c r="HE146" s="63"/>
      <c r="HF146" s="73"/>
      <c r="HG146" s="72">
        <f t="shared" ca="1" si="5304"/>
        <v>0</v>
      </c>
      <c r="HH146" s="63"/>
      <c r="HI146" s="73"/>
      <c r="HJ146" s="72">
        <f t="shared" ca="1" si="5305"/>
        <v>0</v>
      </c>
      <c r="HK146" s="63"/>
      <c r="HL146" s="73"/>
      <c r="HM146" s="72">
        <f t="shared" ca="1" si="5306"/>
        <v>0</v>
      </c>
      <c r="HN146" s="63"/>
      <c r="HO146" s="73"/>
      <c r="HP146" s="72">
        <f t="shared" ca="1" si="5307"/>
        <v>0</v>
      </c>
      <c r="HQ146" s="63"/>
      <c r="HR146" s="73"/>
      <c r="HS146" s="72">
        <f t="shared" ca="1" si="5308"/>
        <v>0</v>
      </c>
      <c r="HT146" s="63"/>
      <c r="HU146" s="73"/>
      <c r="HV146" s="72">
        <f t="shared" ca="1" si="5309"/>
        <v>0</v>
      </c>
      <c r="HW146" s="63"/>
      <c r="HX146" s="73"/>
      <c r="HY146" s="72">
        <f t="shared" ca="1" si="5310"/>
        <v>0</v>
      </c>
      <c r="HZ146" s="63"/>
      <c r="IA146" s="73"/>
      <c r="IB146" s="72">
        <f t="shared" ca="1" si="5311"/>
        <v>0</v>
      </c>
      <c r="IC146" s="63"/>
      <c r="ID146" s="73"/>
      <c r="IE146" s="72">
        <f t="shared" ca="1" si="5312"/>
        <v>0</v>
      </c>
      <c r="IF146" s="63"/>
      <c r="IG146" s="73"/>
      <c r="IH146" s="72">
        <f t="shared" ca="1" si="5313"/>
        <v>0</v>
      </c>
      <c r="II146" s="63"/>
      <c r="IJ146" s="73"/>
      <c r="IK146" s="72">
        <f t="shared" ca="1" si="5314"/>
        <v>0</v>
      </c>
      <c r="IL146" s="63"/>
      <c r="IM146" s="73"/>
      <c r="IN146" s="72">
        <f t="shared" ca="1" si="5315"/>
        <v>0</v>
      </c>
      <c r="IO146" s="63"/>
      <c r="IP146" s="73"/>
      <c r="IQ146" s="72">
        <f t="shared" ca="1" si="5316"/>
        <v>0</v>
      </c>
      <c r="IR146" s="63"/>
      <c r="IS146" s="73"/>
      <c r="IT146" s="72">
        <f t="shared" ca="1" si="5317"/>
        <v>0</v>
      </c>
      <c r="IU146" s="63"/>
      <c r="IV146" s="73"/>
      <c r="IW146" s="72">
        <f t="shared" ca="1" si="5318"/>
        <v>0</v>
      </c>
      <c r="IX146" s="63"/>
      <c r="IY146" s="73"/>
      <c r="IZ146" s="72">
        <f t="shared" ca="1" si="5319"/>
        <v>0</v>
      </c>
      <c r="JA146" s="63"/>
      <c r="JB146" s="73"/>
      <c r="JC146" s="72">
        <f t="shared" ca="1" si="5320"/>
        <v>0</v>
      </c>
      <c r="JD146" s="63"/>
      <c r="JE146" s="73"/>
      <c r="JF146" s="72">
        <f t="shared" ca="1" si="5321"/>
        <v>0</v>
      </c>
      <c r="JG146" s="63"/>
      <c r="JH146" s="73"/>
      <c r="JI146" s="72">
        <f t="shared" ca="1" si="5322"/>
        <v>0</v>
      </c>
      <c r="JJ146" s="63"/>
      <c r="JK146" s="73"/>
      <c r="JL146" s="72">
        <f t="shared" ca="1" si="5323"/>
        <v>0</v>
      </c>
      <c r="JM146" s="63"/>
      <c r="JN146" s="73"/>
      <c r="JO146" s="72">
        <f t="shared" ca="1" si="5324"/>
        <v>0</v>
      </c>
      <c r="JP146" s="63"/>
      <c r="JQ146" s="73"/>
      <c r="JR146" s="72">
        <f t="shared" ca="1" si="5325"/>
        <v>0</v>
      </c>
      <c r="JS146" s="63"/>
      <c r="JT146" s="73"/>
      <c r="JU146" s="72">
        <f t="shared" ca="1" si="5326"/>
        <v>0</v>
      </c>
      <c r="JV146" s="63"/>
      <c r="JW146" s="73"/>
      <c r="JX146" s="72">
        <f t="shared" ca="1" si="5327"/>
        <v>0</v>
      </c>
      <c r="JY146" s="63"/>
      <c r="JZ146" s="73"/>
      <c r="KA146" s="72">
        <f t="shared" ca="1" si="5328"/>
        <v>0</v>
      </c>
      <c r="KB146" s="63"/>
      <c r="KC146" s="73"/>
      <c r="KD146" s="72">
        <f t="shared" ca="1" si="5329"/>
        <v>0</v>
      </c>
      <c r="KE146" s="63"/>
      <c r="KF146" s="73"/>
      <c r="KG146" s="72">
        <f t="shared" ca="1" si="5330"/>
        <v>0</v>
      </c>
      <c r="KH146" s="63"/>
      <c r="KI146" s="73"/>
      <c r="KJ146" s="72">
        <f t="shared" ca="1" si="5331"/>
        <v>0</v>
      </c>
      <c r="KK146" s="63"/>
      <c r="KL146" s="73"/>
      <c r="KM146" s="72">
        <f t="shared" ca="1" si="5332"/>
        <v>0</v>
      </c>
      <c r="KN146" s="63"/>
      <c r="KO146" s="73"/>
      <c r="KP146" s="72">
        <f t="shared" ca="1" si="5333"/>
        <v>0</v>
      </c>
      <c r="KQ146" s="63"/>
      <c r="KR146" s="73"/>
      <c r="KS146" s="72">
        <f t="shared" ca="1" si="5334"/>
        <v>0</v>
      </c>
      <c r="KT146" s="63"/>
      <c r="KU146" s="73"/>
      <c r="KV146" s="72">
        <f t="shared" ca="1" si="5335"/>
        <v>0</v>
      </c>
      <c r="KW146" s="63"/>
      <c r="KX146" s="73"/>
      <c r="KY146" s="72">
        <f t="shared" ca="1" si="5336"/>
        <v>0</v>
      </c>
      <c r="KZ146" s="63"/>
      <c r="LA146" s="73"/>
      <c r="LB146" s="72">
        <f t="shared" ca="1" si="5337"/>
        <v>0</v>
      </c>
      <c r="LC146" s="63"/>
      <c r="LD146" s="73"/>
      <c r="LE146" s="72">
        <f t="shared" ca="1" si="5338"/>
        <v>0</v>
      </c>
      <c r="LF146" s="63"/>
    </row>
    <row r="147" spans="1:318" s="784" customFormat="1">
      <c r="A147" s="49"/>
      <c r="B147" s="49"/>
      <c r="C147" s="49"/>
      <c r="D147" s="49"/>
      <c r="E147" s="64"/>
      <c r="F147" s="125">
        <f t="shared" si="5339"/>
        <v>15</v>
      </c>
      <c r="G147" s="443">
        <f ca="1">VLOOKUP(H147,Equipos!$Q$1:$R$25,2,0)</f>
        <v>19</v>
      </c>
      <c r="H147" s="445" t="str">
        <f>Idiomas!$D$137</f>
        <v>CLASIFICADOS PARA DIECISEISAVOS</v>
      </c>
      <c r="I147" s="50"/>
      <c r="J147" s="843"/>
      <c r="K147" s="56" t="str">
        <f>Idiomas!$D$198&amp;"-"&amp;ROWS($L$130:L147)</f>
        <v>Dieciseisavofinalista-18</v>
      </c>
      <c r="L147" s="53"/>
      <c r="M147" s="55" t="str">
        <f ca="1">WORLDCUP!AF102</f>
        <v>2F</v>
      </c>
      <c r="N147" s="25"/>
      <c r="O147" s="25"/>
      <c r="P147" s="25"/>
      <c r="Q147" s="25"/>
      <c r="R147" s="108"/>
      <c r="S147" s="796" t="s">
        <v>1263</v>
      </c>
      <c r="T147" s="72">
        <f t="shared" ca="1" si="5239"/>
        <v>0</v>
      </c>
      <c r="U147" s="63"/>
      <c r="V147" s="73" t="s">
        <v>1833</v>
      </c>
      <c r="W147" s="72">
        <f t="shared" ca="1" si="5240"/>
        <v>0</v>
      </c>
      <c r="X147" s="63"/>
      <c r="Y147" s="796" t="s">
        <v>1833</v>
      </c>
      <c r="Z147" s="72">
        <f t="shared" ca="1" si="5241"/>
        <v>0</v>
      </c>
      <c r="AA147" s="63"/>
      <c r="AB147" s="796" t="s">
        <v>1833</v>
      </c>
      <c r="AC147" s="72">
        <f t="shared" ca="1" si="5242"/>
        <v>0</v>
      </c>
      <c r="AD147" s="63"/>
      <c r="AE147" s="796" t="s">
        <v>1263</v>
      </c>
      <c r="AF147" s="72">
        <f t="shared" ca="1" si="5243"/>
        <v>0</v>
      </c>
      <c r="AG147" s="63"/>
      <c r="AH147" s="796" t="s">
        <v>1263</v>
      </c>
      <c r="AI147" s="72">
        <f t="shared" ca="1" si="5244"/>
        <v>0</v>
      </c>
      <c r="AJ147" s="63"/>
      <c r="AK147" s="806" t="s">
        <v>1263</v>
      </c>
      <c r="AL147" s="72">
        <f t="shared" ca="1" si="5245"/>
        <v>0</v>
      </c>
      <c r="AM147" s="63"/>
      <c r="AN147" s="796" t="s">
        <v>1833</v>
      </c>
      <c r="AO147" s="72">
        <f t="shared" ca="1" si="5246"/>
        <v>0</v>
      </c>
      <c r="AP147" s="63"/>
      <c r="AQ147" s="806" t="s">
        <v>1833</v>
      </c>
      <c r="AR147" s="72">
        <f t="shared" ca="1" si="5247"/>
        <v>0</v>
      </c>
      <c r="AS147" s="63"/>
      <c r="AT147" s="796" t="s">
        <v>1263</v>
      </c>
      <c r="AU147" s="72">
        <f t="shared" ca="1" si="5248"/>
        <v>0</v>
      </c>
      <c r="AV147" s="63"/>
      <c r="AW147" s="796" t="s">
        <v>1833</v>
      </c>
      <c r="AX147" s="72">
        <f t="shared" ca="1" si="5249"/>
        <v>0</v>
      </c>
      <c r="AY147" s="63"/>
      <c r="AZ147" s="796" t="s">
        <v>1833</v>
      </c>
      <c r="BA147" s="72">
        <f t="shared" ca="1" si="5250"/>
        <v>0</v>
      </c>
      <c r="BB147" s="63"/>
      <c r="BC147" s="796" t="s">
        <v>1263</v>
      </c>
      <c r="BD147" s="72">
        <f t="shared" ca="1" si="5251"/>
        <v>0</v>
      </c>
      <c r="BE147" s="63"/>
      <c r="BF147" s="796" t="s">
        <v>1833</v>
      </c>
      <c r="BG147" s="72">
        <f t="shared" ca="1" si="5252"/>
        <v>0</v>
      </c>
      <c r="BH147" s="63"/>
      <c r="BI147" s="796" t="s">
        <v>111</v>
      </c>
      <c r="BJ147" s="72">
        <f t="shared" ca="1" si="5253"/>
        <v>0</v>
      </c>
      <c r="BK147" s="63"/>
      <c r="BL147" s="796" t="s">
        <v>1263</v>
      </c>
      <c r="BM147" s="72">
        <f t="shared" ca="1" si="5254"/>
        <v>0</v>
      </c>
      <c r="BN147" s="63"/>
      <c r="BO147" s="816" t="s">
        <v>1263</v>
      </c>
      <c r="BP147" s="72">
        <f t="shared" ca="1" si="5255"/>
        <v>0</v>
      </c>
      <c r="BQ147" s="63"/>
      <c r="BR147" s="796" t="s">
        <v>1263</v>
      </c>
      <c r="BS147" s="72">
        <f t="shared" ca="1" si="5256"/>
        <v>0</v>
      </c>
      <c r="BT147" s="63"/>
      <c r="BU147" s="796" t="s">
        <v>111</v>
      </c>
      <c r="BV147" s="72">
        <f t="shared" ca="1" si="5257"/>
        <v>0</v>
      </c>
      <c r="BW147" s="63"/>
      <c r="BX147" s="73" t="s">
        <v>1263</v>
      </c>
      <c r="BY147" s="72">
        <f t="shared" ca="1" si="5258"/>
        <v>0</v>
      </c>
      <c r="BZ147" s="63"/>
      <c r="CA147" s="816" t="s">
        <v>1263</v>
      </c>
      <c r="CB147" s="72">
        <f t="shared" ca="1" si="5259"/>
        <v>0</v>
      </c>
      <c r="CC147" s="63"/>
      <c r="CD147" s="825" t="s">
        <v>1833</v>
      </c>
      <c r="CE147" s="72">
        <f t="shared" ca="1" si="5260"/>
        <v>0</v>
      </c>
      <c r="CF147" s="63"/>
      <c r="CG147" s="796" t="s">
        <v>1263</v>
      </c>
      <c r="CH147" s="72">
        <f t="shared" ca="1" si="5261"/>
        <v>0</v>
      </c>
      <c r="CI147" s="63"/>
      <c r="CJ147" s="796" t="s">
        <v>1263</v>
      </c>
      <c r="CK147" s="72">
        <f t="shared" ca="1" si="5262"/>
        <v>0</v>
      </c>
      <c r="CL147" s="63"/>
      <c r="CM147" s="796" t="s">
        <v>1263</v>
      </c>
      <c r="CN147" s="72">
        <f t="shared" ca="1" si="5263"/>
        <v>0</v>
      </c>
      <c r="CO147" s="63"/>
      <c r="CP147" s="796" t="s">
        <v>1833</v>
      </c>
      <c r="CQ147" s="72">
        <f t="shared" ca="1" si="5264"/>
        <v>0</v>
      </c>
      <c r="CR147" s="63"/>
      <c r="CS147" s="796" t="s">
        <v>111</v>
      </c>
      <c r="CT147" s="72">
        <f t="shared" ca="1" si="5265"/>
        <v>0</v>
      </c>
      <c r="CU147" s="63"/>
      <c r="CV147" s="796" t="s">
        <v>111</v>
      </c>
      <c r="CW147" s="72">
        <f t="shared" ca="1" si="5266"/>
        <v>0</v>
      </c>
      <c r="CX147" s="63"/>
      <c r="CY147" s="796" t="s">
        <v>1263</v>
      </c>
      <c r="CZ147" s="72">
        <f t="shared" ca="1" si="5267"/>
        <v>0</v>
      </c>
      <c r="DA147" s="63"/>
      <c r="DB147" s="796" t="s">
        <v>111</v>
      </c>
      <c r="DC147" s="72">
        <f t="shared" ca="1" si="5268"/>
        <v>0</v>
      </c>
      <c r="DD147" s="63"/>
      <c r="DE147" s="796" t="s">
        <v>111</v>
      </c>
      <c r="DF147" s="72">
        <f t="shared" ca="1" si="5269"/>
        <v>0</v>
      </c>
      <c r="DG147" s="63"/>
      <c r="DH147" s="796" t="s">
        <v>1263</v>
      </c>
      <c r="DI147" s="72">
        <f t="shared" ca="1" si="5270"/>
        <v>0</v>
      </c>
      <c r="DJ147" s="63"/>
      <c r="DK147" s="796" t="s">
        <v>1263</v>
      </c>
      <c r="DL147" s="72">
        <f t="shared" ca="1" si="5271"/>
        <v>0</v>
      </c>
      <c r="DM147" s="63"/>
      <c r="DN147" s="73"/>
      <c r="DO147" s="72">
        <f t="shared" ca="1" si="5272"/>
        <v>0</v>
      </c>
      <c r="DP147" s="63"/>
      <c r="DQ147" s="796" t="s">
        <v>1263</v>
      </c>
      <c r="DR147" s="72">
        <f t="shared" ca="1" si="5273"/>
        <v>0</v>
      </c>
      <c r="DS147" s="63"/>
      <c r="DT147" s="73" t="s">
        <v>1263</v>
      </c>
      <c r="DU147" s="72">
        <f t="shared" ca="1" si="5274"/>
        <v>0</v>
      </c>
      <c r="DV147" s="63"/>
      <c r="DW147" s="73"/>
      <c r="DX147" s="72">
        <f t="shared" ca="1" si="5275"/>
        <v>0</v>
      </c>
      <c r="DY147" s="63"/>
      <c r="DZ147" s="73"/>
      <c r="EA147" s="72">
        <f t="shared" ca="1" si="5276"/>
        <v>0</v>
      </c>
      <c r="EB147" s="63"/>
      <c r="EC147" s="73"/>
      <c r="ED147" s="72">
        <f t="shared" ca="1" si="5277"/>
        <v>0</v>
      </c>
      <c r="EE147" s="63"/>
      <c r="EF147" s="73"/>
      <c r="EG147" s="72">
        <f t="shared" ca="1" si="5278"/>
        <v>0</v>
      </c>
      <c r="EH147" s="63"/>
      <c r="EI147" s="73"/>
      <c r="EJ147" s="72">
        <f t="shared" ca="1" si="5279"/>
        <v>0</v>
      </c>
      <c r="EK147" s="63"/>
      <c r="EL147" s="73"/>
      <c r="EM147" s="72">
        <f t="shared" ca="1" si="5280"/>
        <v>0</v>
      </c>
      <c r="EN147" s="63"/>
      <c r="EO147" s="73"/>
      <c r="EP147" s="72">
        <f t="shared" ca="1" si="5281"/>
        <v>0</v>
      </c>
      <c r="EQ147" s="63"/>
      <c r="ER147" s="73"/>
      <c r="ES147" s="72">
        <f t="shared" ca="1" si="5282"/>
        <v>0</v>
      </c>
      <c r="ET147" s="63"/>
      <c r="EU147" s="73"/>
      <c r="EV147" s="72">
        <f t="shared" ca="1" si="5283"/>
        <v>0</v>
      </c>
      <c r="EW147" s="63"/>
      <c r="EX147" s="73"/>
      <c r="EY147" s="72">
        <f t="shared" ca="1" si="5284"/>
        <v>0</v>
      </c>
      <c r="EZ147" s="63"/>
      <c r="FA147" s="73"/>
      <c r="FB147" s="72">
        <f t="shared" ca="1" si="5285"/>
        <v>0</v>
      </c>
      <c r="FC147" s="63"/>
      <c r="FD147" s="73"/>
      <c r="FE147" s="72">
        <f t="shared" ca="1" si="5286"/>
        <v>0</v>
      </c>
      <c r="FF147" s="63"/>
      <c r="FG147" s="73"/>
      <c r="FH147" s="72">
        <f t="shared" ca="1" si="5287"/>
        <v>0</v>
      </c>
      <c r="FI147" s="63"/>
      <c r="FJ147" s="73"/>
      <c r="FK147" s="72">
        <f t="shared" ca="1" si="5288"/>
        <v>0</v>
      </c>
      <c r="FL147" s="63"/>
      <c r="FM147" s="73"/>
      <c r="FN147" s="72">
        <f t="shared" ca="1" si="5289"/>
        <v>0</v>
      </c>
      <c r="FO147" s="63"/>
      <c r="FP147" s="73"/>
      <c r="FQ147" s="72">
        <f t="shared" ca="1" si="5290"/>
        <v>0</v>
      </c>
      <c r="FR147" s="63"/>
      <c r="FS147" s="73"/>
      <c r="FT147" s="72">
        <f t="shared" ca="1" si="5291"/>
        <v>0</v>
      </c>
      <c r="FU147" s="63"/>
      <c r="FV147" s="73"/>
      <c r="FW147" s="72">
        <f t="shared" ca="1" si="5292"/>
        <v>0</v>
      </c>
      <c r="FX147" s="63"/>
      <c r="FY147" s="73"/>
      <c r="FZ147" s="72">
        <f t="shared" ca="1" si="5293"/>
        <v>0</v>
      </c>
      <c r="GA147" s="63"/>
      <c r="GB147" s="73"/>
      <c r="GC147" s="72">
        <f t="shared" ca="1" si="5294"/>
        <v>0</v>
      </c>
      <c r="GD147" s="63"/>
      <c r="GE147" s="73"/>
      <c r="GF147" s="72">
        <f t="shared" ca="1" si="5295"/>
        <v>0</v>
      </c>
      <c r="GG147" s="63"/>
      <c r="GH147" s="73"/>
      <c r="GI147" s="72">
        <f t="shared" ca="1" si="5296"/>
        <v>0</v>
      </c>
      <c r="GJ147" s="63"/>
      <c r="GK147" s="73"/>
      <c r="GL147" s="72">
        <f t="shared" ca="1" si="5297"/>
        <v>0</v>
      </c>
      <c r="GM147" s="63"/>
      <c r="GN147" s="73"/>
      <c r="GO147" s="72">
        <f t="shared" ca="1" si="5298"/>
        <v>0</v>
      </c>
      <c r="GP147" s="63"/>
      <c r="GQ147" s="73"/>
      <c r="GR147" s="72">
        <f t="shared" ca="1" si="5299"/>
        <v>0</v>
      </c>
      <c r="GS147" s="63"/>
      <c r="GT147" s="73"/>
      <c r="GU147" s="72">
        <f t="shared" ca="1" si="5300"/>
        <v>0</v>
      </c>
      <c r="GV147" s="63"/>
      <c r="GW147" s="73"/>
      <c r="GX147" s="72">
        <f t="shared" ca="1" si="5301"/>
        <v>0</v>
      </c>
      <c r="GY147" s="63"/>
      <c r="GZ147" s="73"/>
      <c r="HA147" s="72">
        <f t="shared" ca="1" si="5302"/>
        <v>0</v>
      </c>
      <c r="HB147" s="63"/>
      <c r="HC147" s="73"/>
      <c r="HD147" s="72">
        <f t="shared" ca="1" si="5303"/>
        <v>0</v>
      </c>
      <c r="HE147" s="63"/>
      <c r="HF147" s="73"/>
      <c r="HG147" s="72">
        <f t="shared" ca="1" si="5304"/>
        <v>0</v>
      </c>
      <c r="HH147" s="63"/>
      <c r="HI147" s="73"/>
      <c r="HJ147" s="72">
        <f t="shared" ca="1" si="5305"/>
        <v>0</v>
      </c>
      <c r="HK147" s="63"/>
      <c r="HL147" s="73"/>
      <c r="HM147" s="72">
        <f t="shared" ca="1" si="5306"/>
        <v>0</v>
      </c>
      <c r="HN147" s="63"/>
      <c r="HO147" s="73"/>
      <c r="HP147" s="72">
        <f t="shared" ca="1" si="5307"/>
        <v>0</v>
      </c>
      <c r="HQ147" s="63"/>
      <c r="HR147" s="73"/>
      <c r="HS147" s="72">
        <f t="shared" ca="1" si="5308"/>
        <v>0</v>
      </c>
      <c r="HT147" s="63"/>
      <c r="HU147" s="73"/>
      <c r="HV147" s="72">
        <f t="shared" ca="1" si="5309"/>
        <v>0</v>
      </c>
      <c r="HW147" s="63"/>
      <c r="HX147" s="73"/>
      <c r="HY147" s="72">
        <f t="shared" ca="1" si="5310"/>
        <v>0</v>
      </c>
      <c r="HZ147" s="63"/>
      <c r="IA147" s="73"/>
      <c r="IB147" s="72">
        <f t="shared" ca="1" si="5311"/>
        <v>0</v>
      </c>
      <c r="IC147" s="63"/>
      <c r="ID147" s="73"/>
      <c r="IE147" s="72">
        <f t="shared" ca="1" si="5312"/>
        <v>0</v>
      </c>
      <c r="IF147" s="63"/>
      <c r="IG147" s="73"/>
      <c r="IH147" s="72">
        <f t="shared" ca="1" si="5313"/>
        <v>0</v>
      </c>
      <c r="II147" s="63"/>
      <c r="IJ147" s="73"/>
      <c r="IK147" s="72">
        <f t="shared" ca="1" si="5314"/>
        <v>0</v>
      </c>
      <c r="IL147" s="63"/>
      <c r="IM147" s="73"/>
      <c r="IN147" s="72">
        <f t="shared" ca="1" si="5315"/>
        <v>0</v>
      </c>
      <c r="IO147" s="63"/>
      <c r="IP147" s="73"/>
      <c r="IQ147" s="72">
        <f t="shared" ca="1" si="5316"/>
        <v>0</v>
      </c>
      <c r="IR147" s="63"/>
      <c r="IS147" s="73"/>
      <c r="IT147" s="72">
        <f t="shared" ca="1" si="5317"/>
        <v>0</v>
      </c>
      <c r="IU147" s="63"/>
      <c r="IV147" s="73"/>
      <c r="IW147" s="72">
        <f t="shared" ca="1" si="5318"/>
        <v>0</v>
      </c>
      <c r="IX147" s="63"/>
      <c r="IY147" s="73"/>
      <c r="IZ147" s="72">
        <f t="shared" ca="1" si="5319"/>
        <v>0</v>
      </c>
      <c r="JA147" s="63"/>
      <c r="JB147" s="73"/>
      <c r="JC147" s="72">
        <f t="shared" ca="1" si="5320"/>
        <v>0</v>
      </c>
      <c r="JD147" s="63"/>
      <c r="JE147" s="73"/>
      <c r="JF147" s="72">
        <f t="shared" ca="1" si="5321"/>
        <v>0</v>
      </c>
      <c r="JG147" s="63"/>
      <c r="JH147" s="73"/>
      <c r="JI147" s="72">
        <f t="shared" ca="1" si="5322"/>
        <v>0</v>
      </c>
      <c r="JJ147" s="63"/>
      <c r="JK147" s="73"/>
      <c r="JL147" s="72">
        <f t="shared" ca="1" si="5323"/>
        <v>0</v>
      </c>
      <c r="JM147" s="63"/>
      <c r="JN147" s="73"/>
      <c r="JO147" s="72">
        <f t="shared" ca="1" si="5324"/>
        <v>0</v>
      </c>
      <c r="JP147" s="63"/>
      <c r="JQ147" s="73"/>
      <c r="JR147" s="72">
        <f t="shared" ca="1" si="5325"/>
        <v>0</v>
      </c>
      <c r="JS147" s="63"/>
      <c r="JT147" s="73"/>
      <c r="JU147" s="72">
        <f t="shared" ca="1" si="5326"/>
        <v>0</v>
      </c>
      <c r="JV147" s="63"/>
      <c r="JW147" s="73"/>
      <c r="JX147" s="72">
        <f t="shared" ca="1" si="5327"/>
        <v>0</v>
      </c>
      <c r="JY147" s="63"/>
      <c r="JZ147" s="73"/>
      <c r="KA147" s="72">
        <f t="shared" ca="1" si="5328"/>
        <v>0</v>
      </c>
      <c r="KB147" s="63"/>
      <c r="KC147" s="73"/>
      <c r="KD147" s="72">
        <f t="shared" ca="1" si="5329"/>
        <v>0</v>
      </c>
      <c r="KE147" s="63"/>
      <c r="KF147" s="73"/>
      <c r="KG147" s="72">
        <f t="shared" ca="1" si="5330"/>
        <v>0</v>
      </c>
      <c r="KH147" s="63"/>
      <c r="KI147" s="73"/>
      <c r="KJ147" s="72">
        <f t="shared" ca="1" si="5331"/>
        <v>0</v>
      </c>
      <c r="KK147" s="63"/>
      <c r="KL147" s="73"/>
      <c r="KM147" s="72">
        <f t="shared" ca="1" si="5332"/>
        <v>0</v>
      </c>
      <c r="KN147" s="63"/>
      <c r="KO147" s="73"/>
      <c r="KP147" s="72">
        <f t="shared" ca="1" si="5333"/>
        <v>0</v>
      </c>
      <c r="KQ147" s="63"/>
      <c r="KR147" s="73"/>
      <c r="KS147" s="72">
        <f t="shared" ca="1" si="5334"/>
        <v>0</v>
      </c>
      <c r="KT147" s="63"/>
      <c r="KU147" s="73"/>
      <c r="KV147" s="72">
        <f t="shared" ca="1" si="5335"/>
        <v>0</v>
      </c>
      <c r="KW147" s="63"/>
      <c r="KX147" s="73"/>
      <c r="KY147" s="72">
        <f t="shared" ca="1" si="5336"/>
        <v>0</v>
      </c>
      <c r="KZ147" s="63"/>
      <c r="LA147" s="73"/>
      <c r="LB147" s="72">
        <f t="shared" ca="1" si="5337"/>
        <v>0</v>
      </c>
      <c r="LC147" s="63"/>
      <c r="LD147" s="73"/>
      <c r="LE147" s="72">
        <f t="shared" ca="1" si="5338"/>
        <v>0</v>
      </c>
      <c r="LF147" s="63"/>
    </row>
    <row r="148" spans="1:318" s="784" customFormat="1">
      <c r="A148" s="49"/>
      <c r="B148" s="49"/>
      <c r="C148" s="49"/>
      <c r="D148" s="49"/>
      <c r="E148" s="64"/>
      <c r="F148" s="125">
        <f t="shared" si="5339"/>
        <v>15</v>
      </c>
      <c r="G148" s="443">
        <f ca="1">VLOOKUP(H148,Equipos!$Q$1:$R$25,2,0)</f>
        <v>19</v>
      </c>
      <c r="H148" s="445" t="str">
        <f>Idiomas!$D$137</f>
        <v>CLASIFICADOS PARA DIECISEISAVOS</v>
      </c>
      <c r="I148" s="50"/>
      <c r="J148" s="843"/>
      <c r="K148" s="56" t="str">
        <f>Idiomas!$D$198&amp;"-"&amp;ROWS($L$130:L148)</f>
        <v>Dieciseisavofinalista-19</v>
      </c>
      <c r="L148" s="53"/>
      <c r="M148" s="55" t="str">
        <f ca="1">WORLDCUP!AF103</f>
        <v>3ABCDF</v>
      </c>
      <c r="N148" s="25"/>
      <c r="O148" s="25"/>
      <c r="P148" s="25"/>
      <c r="Q148" s="25"/>
      <c r="R148" s="108"/>
      <c r="S148" s="796" t="s">
        <v>1319</v>
      </c>
      <c r="T148" s="72">
        <f t="shared" ca="1" si="5239"/>
        <v>0</v>
      </c>
      <c r="U148" s="63"/>
      <c r="V148" s="73" t="s">
        <v>1319</v>
      </c>
      <c r="W148" s="72">
        <f t="shared" ca="1" si="5240"/>
        <v>0</v>
      </c>
      <c r="X148" s="63"/>
      <c r="Y148" s="796" t="s">
        <v>134</v>
      </c>
      <c r="Z148" s="72">
        <f t="shared" ca="1" si="5241"/>
        <v>0</v>
      </c>
      <c r="AA148" s="63"/>
      <c r="AB148" s="796" t="s">
        <v>134</v>
      </c>
      <c r="AC148" s="72">
        <f t="shared" ca="1" si="5242"/>
        <v>0</v>
      </c>
      <c r="AD148" s="63"/>
      <c r="AE148" s="796" t="s">
        <v>134</v>
      </c>
      <c r="AF148" s="72">
        <f t="shared" ca="1" si="5243"/>
        <v>0</v>
      </c>
      <c r="AG148" s="63"/>
      <c r="AH148" s="796" t="s">
        <v>134</v>
      </c>
      <c r="AI148" s="72">
        <f t="shared" ca="1" si="5244"/>
        <v>0</v>
      </c>
      <c r="AJ148" s="63"/>
      <c r="AK148" s="806" t="s">
        <v>134</v>
      </c>
      <c r="AL148" s="72">
        <f t="shared" ca="1" si="5245"/>
        <v>0</v>
      </c>
      <c r="AM148" s="63"/>
      <c r="AN148" s="796" t="s">
        <v>497</v>
      </c>
      <c r="AO148" s="72">
        <f t="shared" ca="1" si="5246"/>
        <v>0</v>
      </c>
      <c r="AP148" s="63"/>
      <c r="AQ148" s="806" t="s">
        <v>134</v>
      </c>
      <c r="AR148" s="72">
        <f t="shared" ca="1" si="5247"/>
        <v>0</v>
      </c>
      <c r="AS148" s="63"/>
      <c r="AT148" s="796" t="s">
        <v>1835</v>
      </c>
      <c r="AU148" s="72">
        <f t="shared" ca="1" si="5248"/>
        <v>0</v>
      </c>
      <c r="AV148" s="63"/>
      <c r="AW148" s="796" t="s">
        <v>134</v>
      </c>
      <c r="AX148" s="72">
        <f t="shared" ca="1" si="5249"/>
        <v>0</v>
      </c>
      <c r="AY148" s="63"/>
      <c r="AZ148" s="796" t="s">
        <v>497</v>
      </c>
      <c r="BA148" s="72">
        <f t="shared" ca="1" si="5250"/>
        <v>0</v>
      </c>
      <c r="BB148" s="63"/>
      <c r="BC148" s="796" t="s">
        <v>134</v>
      </c>
      <c r="BD148" s="72">
        <f t="shared" ca="1" si="5251"/>
        <v>0</v>
      </c>
      <c r="BE148" s="63"/>
      <c r="BF148" s="796" t="s">
        <v>1835</v>
      </c>
      <c r="BG148" s="72">
        <f t="shared" ca="1" si="5252"/>
        <v>0</v>
      </c>
      <c r="BH148" s="63"/>
      <c r="BI148" s="796" t="s">
        <v>1319</v>
      </c>
      <c r="BJ148" s="72">
        <f t="shared" ca="1" si="5253"/>
        <v>0</v>
      </c>
      <c r="BK148" s="63"/>
      <c r="BL148" s="796" t="s">
        <v>1319</v>
      </c>
      <c r="BM148" s="72">
        <f t="shared" ca="1" si="5254"/>
        <v>0</v>
      </c>
      <c r="BN148" s="63"/>
      <c r="BO148" s="816" t="s">
        <v>497</v>
      </c>
      <c r="BP148" s="72">
        <f t="shared" ca="1" si="5255"/>
        <v>0</v>
      </c>
      <c r="BQ148" s="63"/>
      <c r="BR148" s="796" t="s">
        <v>134</v>
      </c>
      <c r="BS148" s="72">
        <f t="shared" ca="1" si="5256"/>
        <v>0</v>
      </c>
      <c r="BT148" s="63"/>
      <c r="BU148" s="796" t="s">
        <v>1319</v>
      </c>
      <c r="BV148" s="72">
        <f t="shared" ca="1" si="5257"/>
        <v>0</v>
      </c>
      <c r="BW148" s="63"/>
      <c r="BX148" s="73" t="s">
        <v>497</v>
      </c>
      <c r="BY148" s="72">
        <f t="shared" ca="1" si="5258"/>
        <v>0</v>
      </c>
      <c r="BZ148" s="63"/>
      <c r="CA148" s="816" t="s">
        <v>134</v>
      </c>
      <c r="CB148" s="72">
        <f t="shared" ca="1" si="5259"/>
        <v>0</v>
      </c>
      <c r="CC148" s="63"/>
      <c r="CD148" s="825" t="s">
        <v>134</v>
      </c>
      <c r="CE148" s="72">
        <f t="shared" ca="1" si="5260"/>
        <v>0</v>
      </c>
      <c r="CF148" s="63"/>
      <c r="CG148" s="796" t="s">
        <v>497</v>
      </c>
      <c r="CH148" s="72">
        <f t="shared" ca="1" si="5261"/>
        <v>0</v>
      </c>
      <c r="CI148" s="63"/>
      <c r="CJ148" s="796" t="s">
        <v>134</v>
      </c>
      <c r="CK148" s="72">
        <f t="shared" ca="1" si="5262"/>
        <v>0</v>
      </c>
      <c r="CL148" s="63"/>
      <c r="CM148" s="796" t="s">
        <v>134</v>
      </c>
      <c r="CN148" s="72">
        <f t="shared" ca="1" si="5263"/>
        <v>0</v>
      </c>
      <c r="CO148" s="63"/>
      <c r="CP148" s="796" t="s">
        <v>1835</v>
      </c>
      <c r="CQ148" s="72">
        <f t="shared" ca="1" si="5264"/>
        <v>0</v>
      </c>
      <c r="CR148" s="63"/>
      <c r="CS148" s="796" t="s">
        <v>1835</v>
      </c>
      <c r="CT148" s="72">
        <f t="shared" ca="1" si="5265"/>
        <v>0</v>
      </c>
      <c r="CU148" s="63"/>
      <c r="CV148" s="796" t="s">
        <v>1843</v>
      </c>
      <c r="CW148" s="72">
        <f t="shared" ca="1" si="5266"/>
        <v>0</v>
      </c>
      <c r="CX148" s="63"/>
      <c r="CY148" s="796" t="s">
        <v>1257</v>
      </c>
      <c r="CZ148" s="72">
        <f t="shared" ca="1" si="5267"/>
        <v>0</v>
      </c>
      <c r="DA148" s="63"/>
      <c r="DB148" s="796" t="s">
        <v>1843</v>
      </c>
      <c r="DC148" s="72">
        <f t="shared" ca="1" si="5268"/>
        <v>0</v>
      </c>
      <c r="DD148" s="63"/>
      <c r="DE148" s="796" t="s">
        <v>134</v>
      </c>
      <c r="DF148" s="72">
        <f t="shared" ca="1" si="5269"/>
        <v>0</v>
      </c>
      <c r="DG148" s="63"/>
      <c r="DH148" s="796" t="s">
        <v>134</v>
      </c>
      <c r="DI148" s="72">
        <f t="shared" ca="1" si="5270"/>
        <v>0</v>
      </c>
      <c r="DJ148" s="63"/>
      <c r="DK148" s="796" t="s">
        <v>1319</v>
      </c>
      <c r="DL148" s="72">
        <f t="shared" ca="1" si="5271"/>
        <v>0</v>
      </c>
      <c r="DM148" s="63"/>
      <c r="DN148" s="73"/>
      <c r="DO148" s="72">
        <f t="shared" ca="1" si="5272"/>
        <v>0</v>
      </c>
      <c r="DP148" s="63"/>
      <c r="DQ148" s="796" t="s">
        <v>134</v>
      </c>
      <c r="DR148" s="72">
        <f t="shared" ca="1" si="5273"/>
        <v>0</v>
      </c>
      <c r="DS148" s="63"/>
      <c r="DT148" s="73" t="s">
        <v>134</v>
      </c>
      <c r="DU148" s="72">
        <f t="shared" ca="1" si="5274"/>
        <v>0</v>
      </c>
      <c r="DV148" s="63"/>
      <c r="DW148" s="73"/>
      <c r="DX148" s="72">
        <f t="shared" ca="1" si="5275"/>
        <v>0</v>
      </c>
      <c r="DY148" s="63"/>
      <c r="DZ148" s="73"/>
      <c r="EA148" s="72">
        <f t="shared" ca="1" si="5276"/>
        <v>0</v>
      </c>
      <c r="EB148" s="63"/>
      <c r="EC148" s="73"/>
      <c r="ED148" s="72">
        <f t="shared" ca="1" si="5277"/>
        <v>0</v>
      </c>
      <c r="EE148" s="63"/>
      <c r="EF148" s="73"/>
      <c r="EG148" s="72">
        <f t="shared" ca="1" si="5278"/>
        <v>0</v>
      </c>
      <c r="EH148" s="63"/>
      <c r="EI148" s="73"/>
      <c r="EJ148" s="72">
        <f t="shared" ca="1" si="5279"/>
        <v>0</v>
      </c>
      <c r="EK148" s="63"/>
      <c r="EL148" s="73"/>
      <c r="EM148" s="72">
        <f t="shared" ca="1" si="5280"/>
        <v>0</v>
      </c>
      <c r="EN148" s="63"/>
      <c r="EO148" s="73"/>
      <c r="EP148" s="72">
        <f t="shared" ca="1" si="5281"/>
        <v>0</v>
      </c>
      <c r="EQ148" s="63"/>
      <c r="ER148" s="73"/>
      <c r="ES148" s="72">
        <f t="shared" ca="1" si="5282"/>
        <v>0</v>
      </c>
      <c r="ET148" s="63"/>
      <c r="EU148" s="73"/>
      <c r="EV148" s="72">
        <f t="shared" ca="1" si="5283"/>
        <v>0</v>
      </c>
      <c r="EW148" s="63"/>
      <c r="EX148" s="73"/>
      <c r="EY148" s="72">
        <f t="shared" ca="1" si="5284"/>
        <v>0</v>
      </c>
      <c r="EZ148" s="63"/>
      <c r="FA148" s="73"/>
      <c r="FB148" s="72">
        <f t="shared" ca="1" si="5285"/>
        <v>0</v>
      </c>
      <c r="FC148" s="63"/>
      <c r="FD148" s="73"/>
      <c r="FE148" s="72">
        <f t="shared" ca="1" si="5286"/>
        <v>0</v>
      </c>
      <c r="FF148" s="63"/>
      <c r="FG148" s="73"/>
      <c r="FH148" s="72">
        <f t="shared" ca="1" si="5287"/>
        <v>0</v>
      </c>
      <c r="FI148" s="63"/>
      <c r="FJ148" s="73"/>
      <c r="FK148" s="72">
        <f t="shared" ca="1" si="5288"/>
        <v>0</v>
      </c>
      <c r="FL148" s="63"/>
      <c r="FM148" s="73"/>
      <c r="FN148" s="72">
        <f t="shared" ca="1" si="5289"/>
        <v>0</v>
      </c>
      <c r="FO148" s="63"/>
      <c r="FP148" s="73"/>
      <c r="FQ148" s="72">
        <f t="shared" ca="1" si="5290"/>
        <v>0</v>
      </c>
      <c r="FR148" s="63"/>
      <c r="FS148" s="73"/>
      <c r="FT148" s="72">
        <f t="shared" ca="1" si="5291"/>
        <v>0</v>
      </c>
      <c r="FU148" s="63"/>
      <c r="FV148" s="73"/>
      <c r="FW148" s="72">
        <f t="shared" ca="1" si="5292"/>
        <v>0</v>
      </c>
      <c r="FX148" s="63"/>
      <c r="FY148" s="73"/>
      <c r="FZ148" s="72">
        <f t="shared" ca="1" si="5293"/>
        <v>0</v>
      </c>
      <c r="GA148" s="63"/>
      <c r="GB148" s="73"/>
      <c r="GC148" s="72">
        <f t="shared" ca="1" si="5294"/>
        <v>0</v>
      </c>
      <c r="GD148" s="63"/>
      <c r="GE148" s="73"/>
      <c r="GF148" s="72">
        <f t="shared" ca="1" si="5295"/>
        <v>0</v>
      </c>
      <c r="GG148" s="63"/>
      <c r="GH148" s="73"/>
      <c r="GI148" s="72">
        <f t="shared" ca="1" si="5296"/>
        <v>0</v>
      </c>
      <c r="GJ148" s="63"/>
      <c r="GK148" s="73"/>
      <c r="GL148" s="72">
        <f t="shared" ca="1" si="5297"/>
        <v>0</v>
      </c>
      <c r="GM148" s="63"/>
      <c r="GN148" s="73"/>
      <c r="GO148" s="72">
        <f t="shared" ca="1" si="5298"/>
        <v>0</v>
      </c>
      <c r="GP148" s="63"/>
      <c r="GQ148" s="73"/>
      <c r="GR148" s="72">
        <f t="shared" ca="1" si="5299"/>
        <v>0</v>
      </c>
      <c r="GS148" s="63"/>
      <c r="GT148" s="73"/>
      <c r="GU148" s="72">
        <f t="shared" ca="1" si="5300"/>
        <v>0</v>
      </c>
      <c r="GV148" s="63"/>
      <c r="GW148" s="73"/>
      <c r="GX148" s="72">
        <f t="shared" ca="1" si="5301"/>
        <v>0</v>
      </c>
      <c r="GY148" s="63"/>
      <c r="GZ148" s="73"/>
      <c r="HA148" s="72">
        <f t="shared" ca="1" si="5302"/>
        <v>0</v>
      </c>
      <c r="HB148" s="63"/>
      <c r="HC148" s="73"/>
      <c r="HD148" s="72">
        <f t="shared" ca="1" si="5303"/>
        <v>0</v>
      </c>
      <c r="HE148" s="63"/>
      <c r="HF148" s="73"/>
      <c r="HG148" s="72">
        <f t="shared" ca="1" si="5304"/>
        <v>0</v>
      </c>
      <c r="HH148" s="63"/>
      <c r="HI148" s="73"/>
      <c r="HJ148" s="72">
        <f t="shared" ca="1" si="5305"/>
        <v>0</v>
      </c>
      <c r="HK148" s="63"/>
      <c r="HL148" s="73"/>
      <c r="HM148" s="72">
        <f t="shared" ca="1" si="5306"/>
        <v>0</v>
      </c>
      <c r="HN148" s="63"/>
      <c r="HO148" s="73"/>
      <c r="HP148" s="72">
        <f t="shared" ca="1" si="5307"/>
        <v>0</v>
      </c>
      <c r="HQ148" s="63"/>
      <c r="HR148" s="73"/>
      <c r="HS148" s="72">
        <f t="shared" ca="1" si="5308"/>
        <v>0</v>
      </c>
      <c r="HT148" s="63"/>
      <c r="HU148" s="73"/>
      <c r="HV148" s="72">
        <f t="shared" ca="1" si="5309"/>
        <v>0</v>
      </c>
      <c r="HW148" s="63"/>
      <c r="HX148" s="73"/>
      <c r="HY148" s="72">
        <f t="shared" ca="1" si="5310"/>
        <v>0</v>
      </c>
      <c r="HZ148" s="63"/>
      <c r="IA148" s="73"/>
      <c r="IB148" s="72">
        <f t="shared" ca="1" si="5311"/>
        <v>0</v>
      </c>
      <c r="IC148" s="63"/>
      <c r="ID148" s="73"/>
      <c r="IE148" s="72">
        <f t="shared" ca="1" si="5312"/>
        <v>0</v>
      </c>
      <c r="IF148" s="63"/>
      <c r="IG148" s="73"/>
      <c r="IH148" s="72">
        <f t="shared" ca="1" si="5313"/>
        <v>0</v>
      </c>
      <c r="II148" s="63"/>
      <c r="IJ148" s="73"/>
      <c r="IK148" s="72">
        <f t="shared" ca="1" si="5314"/>
        <v>0</v>
      </c>
      <c r="IL148" s="63"/>
      <c r="IM148" s="73"/>
      <c r="IN148" s="72">
        <f t="shared" ca="1" si="5315"/>
        <v>0</v>
      </c>
      <c r="IO148" s="63"/>
      <c r="IP148" s="73"/>
      <c r="IQ148" s="72">
        <f t="shared" ca="1" si="5316"/>
        <v>0</v>
      </c>
      <c r="IR148" s="63"/>
      <c r="IS148" s="73"/>
      <c r="IT148" s="72">
        <f t="shared" ca="1" si="5317"/>
        <v>0</v>
      </c>
      <c r="IU148" s="63"/>
      <c r="IV148" s="73"/>
      <c r="IW148" s="72">
        <f t="shared" ca="1" si="5318"/>
        <v>0</v>
      </c>
      <c r="IX148" s="63"/>
      <c r="IY148" s="73"/>
      <c r="IZ148" s="72">
        <f t="shared" ca="1" si="5319"/>
        <v>0</v>
      </c>
      <c r="JA148" s="63"/>
      <c r="JB148" s="73"/>
      <c r="JC148" s="72">
        <f t="shared" ca="1" si="5320"/>
        <v>0</v>
      </c>
      <c r="JD148" s="63"/>
      <c r="JE148" s="73"/>
      <c r="JF148" s="72">
        <f t="shared" ca="1" si="5321"/>
        <v>0</v>
      </c>
      <c r="JG148" s="63"/>
      <c r="JH148" s="73"/>
      <c r="JI148" s="72">
        <f t="shared" ca="1" si="5322"/>
        <v>0</v>
      </c>
      <c r="JJ148" s="63"/>
      <c r="JK148" s="73"/>
      <c r="JL148" s="72">
        <f t="shared" ca="1" si="5323"/>
        <v>0</v>
      </c>
      <c r="JM148" s="63"/>
      <c r="JN148" s="73"/>
      <c r="JO148" s="72">
        <f t="shared" ca="1" si="5324"/>
        <v>0</v>
      </c>
      <c r="JP148" s="63"/>
      <c r="JQ148" s="73"/>
      <c r="JR148" s="72">
        <f t="shared" ca="1" si="5325"/>
        <v>0</v>
      </c>
      <c r="JS148" s="63"/>
      <c r="JT148" s="73"/>
      <c r="JU148" s="72">
        <f t="shared" ca="1" si="5326"/>
        <v>0</v>
      </c>
      <c r="JV148" s="63"/>
      <c r="JW148" s="73"/>
      <c r="JX148" s="72">
        <f t="shared" ca="1" si="5327"/>
        <v>0</v>
      </c>
      <c r="JY148" s="63"/>
      <c r="JZ148" s="73"/>
      <c r="KA148" s="72">
        <f t="shared" ca="1" si="5328"/>
        <v>0</v>
      </c>
      <c r="KB148" s="63"/>
      <c r="KC148" s="73"/>
      <c r="KD148" s="72">
        <f t="shared" ca="1" si="5329"/>
        <v>0</v>
      </c>
      <c r="KE148" s="63"/>
      <c r="KF148" s="73"/>
      <c r="KG148" s="72">
        <f t="shared" ca="1" si="5330"/>
        <v>0</v>
      </c>
      <c r="KH148" s="63"/>
      <c r="KI148" s="73"/>
      <c r="KJ148" s="72">
        <f t="shared" ca="1" si="5331"/>
        <v>0</v>
      </c>
      <c r="KK148" s="63"/>
      <c r="KL148" s="73"/>
      <c r="KM148" s="72">
        <f t="shared" ca="1" si="5332"/>
        <v>0</v>
      </c>
      <c r="KN148" s="63"/>
      <c r="KO148" s="73"/>
      <c r="KP148" s="72">
        <f t="shared" ca="1" si="5333"/>
        <v>0</v>
      </c>
      <c r="KQ148" s="63"/>
      <c r="KR148" s="73"/>
      <c r="KS148" s="72">
        <f t="shared" ca="1" si="5334"/>
        <v>0</v>
      </c>
      <c r="KT148" s="63"/>
      <c r="KU148" s="73"/>
      <c r="KV148" s="72">
        <f t="shared" ca="1" si="5335"/>
        <v>0</v>
      </c>
      <c r="KW148" s="63"/>
      <c r="KX148" s="73"/>
      <c r="KY148" s="72">
        <f t="shared" ca="1" si="5336"/>
        <v>0</v>
      </c>
      <c r="KZ148" s="63"/>
      <c r="LA148" s="73"/>
      <c r="LB148" s="72">
        <f t="shared" ca="1" si="5337"/>
        <v>0</v>
      </c>
      <c r="LC148" s="63"/>
      <c r="LD148" s="73"/>
      <c r="LE148" s="72">
        <f t="shared" ca="1" si="5338"/>
        <v>0</v>
      </c>
      <c r="LF148" s="63"/>
    </row>
    <row r="149" spans="1:318" s="784" customFormat="1">
      <c r="A149" s="49"/>
      <c r="B149" s="49"/>
      <c r="C149" s="49"/>
      <c r="D149" s="49"/>
      <c r="E149" s="64"/>
      <c r="F149" s="125">
        <f t="shared" si="5339"/>
        <v>15</v>
      </c>
      <c r="G149" s="443">
        <f ca="1">VLOOKUP(H149,Equipos!$Q$1:$R$25,2,0)</f>
        <v>19</v>
      </c>
      <c r="H149" s="445" t="str">
        <f>Idiomas!$D$137</f>
        <v>CLASIFICADOS PARA DIECISEISAVOS</v>
      </c>
      <c r="I149" s="50"/>
      <c r="J149" s="843"/>
      <c r="K149" s="56" t="str">
        <f>Idiomas!$D$198&amp;"-"&amp;ROWS($L$130:L149)</f>
        <v>Dieciseisavofinalista-20</v>
      </c>
      <c r="L149" s="53"/>
      <c r="M149" s="55" t="str">
        <f ca="1">WORLDCUP!AF104</f>
        <v>2C</v>
      </c>
      <c r="N149" s="25"/>
      <c r="O149" s="25"/>
      <c r="P149" s="25"/>
      <c r="Q149" s="25"/>
      <c r="R149" s="108"/>
      <c r="S149" s="796" t="s">
        <v>1321</v>
      </c>
      <c r="T149" s="72">
        <f t="shared" ca="1" si="5239"/>
        <v>0</v>
      </c>
      <c r="U149" s="63"/>
      <c r="V149" s="73" t="s">
        <v>1321</v>
      </c>
      <c r="W149" s="72">
        <f t="shared" ca="1" si="5240"/>
        <v>0</v>
      </c>
      <c r="X149" s="63"/>
      <c r="Y149" s="796" t="s">
        <v>1258</v>
      </c>
      <c r="Z149" s="72">
        <f t="shared" ca="1" si="5241"/>
        <v>0</v>
      </c>
      <c r="AA149" s="63"/>
      <c r="AB149" s="796" t="s">
        <v>1321</v>
      </c>
      <c r="AC149" s="72">
        <f t="shared" ca="1" si="5242"/>
        <v>0</v>
      </c>
      <c r="AD149" s="63"/>
      <c r="AE149" s="796" t="s">
        <v>1321</v>
      </c>
      <c r="AF149" s="72">
        <f t="shared" ca="1" si="5243"/>
        <v>0</v>
      </c>
      <c r="AG149" s="63"/>
      <c r="AH149" s="796" t="s">
        <v>1258</v>
      </c>
      <c r="AI149" s="72">
        <f t="shared" ca="1" si="5244"/>
        <v>0</v>
      </c>
      <c r="AJ149" s="63"/>
      <c r="AK149" s="806" t="s">
        <v>1321</v>
      </c>
      <c r="AL149" s="72">
        <f t="shared" ca="1" si="5245"/>
        <v>0</v>
      </c>
      <c r="AM149" s="63"/>
      <c r="AN149" s="796" t="s">
        <v>1258</v>
      </c>
      <c r="AO149" s="72">
        <f t="shared" ca="1" si="5246"/>
        <v>0</v>
      </c>
      <c r="AP149" s="63"/>
      <c r="AQ149" s="806" t="s">
        <v>1321</v>
      </c>
      <c r="AR149" s="72">
        <f t="shared" ca="1" si="5247"/>
        <v>0</v>
      </c>
      <c r="AS149" s="63"/>
      <c r="AT149" s="796" t="s">
        <v>1321</v>
      </c>
      <c r="AU149" s="72">
        <f t="shared" ca="1" si="5248"/>
        <v>0</v>
      </c>
      <c r="AV149" s="63"/>
      <c r="AW149" s="796" t="s">
        <v>1321</v>
      </c>
      <c r="AX149" s="72">
        <f t="shared" ca="1" si="5249"/>
        <v>0</v>
      </c>
      <c r="AY149" s="63"/>
      <c r="AZ149" s="796" t="s">
        <v>134</v>
      </c>
      <c r="BA149" s="72">
        <f t="shared" ca="1" si="5250"/>
        <v>0</v>
      </c>
      <c r="BB149" s="63"/>
      <c r="BC149" s="796" t="s">
        <v>1321</v>
      </c>
      <c r="BD149" s="72">
        <f t="shared" ca="1" si="5251"/>
        <v>0</v>
      </c>
      <c r="BE149" s="63"/>
      <c r="BF149" s="796" t="s">
        <v>1321</v>
      </c>
      <c r="BG149" s="72">
        <f t="shared" ca="1" si="5252"/>
        <v>0</v>
      </c>
      <c r="BH149" s="63"/>
      <c r="BI149" s="796" t="s">
        <v>1321</v>
      </c>
      <c r="BJ149" s="72">
        <f t="shared" ca="1" si="5253"/>
        <v>0</v>
      </c>
      <c r="BK149" s="63"/>
      <c r="BL149" s="796" t="s">
        <v>1321</v>
      </c>
      <c r="BM149" s="72">
        <f t="shared" ca="1" si="5254"/>
        <v>0</v>
      </c>
      <c r="BN149" s="63"/>
      <c r="BO149" s="816" t="s">
        <v>1321</v>
      </c>
      <c r="BP149" s="72">
        <f t="shared" ca="1" si="5255"/>
        <v>0</v>
      </c>
      <c r="BQ149" s="63"/>
      <c r="BR149" s="796" t="s">
        <v>1321</v>
      </c>
      <c r="BS149" s="72">
        <f t="shared" ca="1" si="5256"/>
        <v>0</v>
      </c>
      <c r="BT149" s="63"/>
      <c r="BU149" s="796" t="s">
        <v>1321</v>
      </c>
      <c r="BV149" s="72">
        <f t="shared" ca="1" si="5257"/>
        <v>0</v>
      </c>
      <c r="BW149" s="63"/>
      <c r="BX149" s="73" t="s">
        <v>1321</v>
      </c>
      <c r="BY149" s="72">
        <f t="shared" ca="1" si="5258"/>
        <v>0</v>
      </c>
      <c r="BZ149" s="63"/>
      <c r="CA149" s="816" t="s">
        <v>1321</v>
      </c>
      <c r="CB149" s="72">
        <f t="shared" ca="1" si="5259"/>
        <v>0</v>
      </c>
      <c r="CC149" s="63"/>
      <c r="CD149" s="825" t="s">
        <v>1321</v>
      </c>
      <c r="CE149" s="72">
        <f t="shared" ca="1" si="5260"/>
        <v>0</v>
      </c>
      <c r="CF149" s="63"/>
      <c r="CG149" s="796" t="s">
        <v>1321</v>
      </c>
      <c r="CH149" s="72">
        <f t="shared" ca="1" si="5261"/>
        <v>0</v>
      </c>
      <c r="CI149" s="63"/>
      <c r="CJ149" s="796" t="s">
        <v>1321</v>
      </c>
      <c r="CK149" s="72">
        <f t="shared" ca="1" si="5262"/>
        <v>0</v>
      </c>
      <c r="CL149" s="63"/>
      <c r="CM149" s="796" t="s">
        <v>1258</v>
      </c>
      <c r="CN149" s="72">
        <f t="shared" ca="1" si="5263"/>
        <v>0</v>
      </c>
      <c r="CO149" s="63"/>
      <c r="CP149" s="796" t="s">
        <v>1321</v>
      </c>
      <c r="CQ149" s="72">
        <f t="shared" ca="1" si="5264"/>
        <v>0</v>
      </c>
      <c r="CR149" s="63"/>
      <c r="CS149" s="796" t="s">
        <v>134</v>
      </c>
      <c r="CT149" s="72">
        <f t="shared" ca="1" si="5265"/>
        <v>0</v>
      </c>
      <c r="CU149" s="63"/>
      <c r="CV149" s="796" t="s">
        <v>1258</v>
      </c>
      <c r="CW149" s="72">
        <f t="shared" ca="1" si="5266"/>
        <v>0</v>
      </c>
      <c r="CX149" s="63"/>
      <c r="CY149" s="796" t="s">
        <v>1321</v>
      </c>
      <c r="CZ149" s="72">
        <f t="shared" ca="1" si="5267"/>
        <v>0</v>
      </c>
      <c r="DA149" s="63"/>
      <c r="DB149" s="796" t="s">
        <v>1321</v>
      </c>
      <c r="DC149" s="72">
        <f t="shared" ca="1" si="5268"/>
        <v>0</v>
      </c>
      <c r="DD149" s="63"/>
      <c r="DE149" s="796" t="s">
        <v>1321</v>
      </c>
      <c r="DF149" s="72">
        <f t="shared" ca="1" si="5269"/>
        <v>0</v>
      </c>
      <c r="DG149" s="63"/>
      <c r="DH149" s="796" t="s">
        <v>1258</v>
      </c>
      <c r="DI149" s="72">
        <f t="shared" ca="1" si="5270"/>
        <v>0</v>
      </c>
      <c r="DJ149" s="63"/>
      <c r="DK149" s="796" t="s">
        <v>1321</v>
      </c>
      <c r="DL149" s="72">
        <f t="shared" ca="1" si="5271"/>
        <v>0</v>
      </c>
      <c r="DM149" s="63"/>
      <c r="DN149" s="73"/>
      <c r="DO149" s="72">
        <f t="shared" ca="1" si="5272"/>
        <v>0</v>
      </c>
      <c r="DP149" s="63"/>
      <c r="DQ149" s="796" t="s">
        <v>1321</v>
      </c>
      <c r="DR149" s="72">
        <f t="shared" ca="1" si="5273"/>
        <v>0</v>
      </c>
      <c r="DS149" s="63"/>
      <c r="DT149" s="73" t="s">
        <v>1321</v>
      </c>
      <c r="DU149" s="72">
        <f t="shared" ca="1" si="5274"/>
        <v>0</v>
      </c>
      <c r="DV149" s="63"/>
      <c r="DW149" s="73"/>
      <c r="DX149" s="72">
        <f t="shared" ca="1" si="5275"/>
        <v>0</v>
      </c>
      <c r="DY149" s="63"/>
      <c r="DZ149" s="73"/>
      <c r="EA149" s="72">
        <f t="shared" ca="1" si="5276"/>
        <v>0</v>
      </c>
      <c r="EB149" s="63"/>
      <c r="EC149" s="73"/>
      <c r="ED149" s="72">
        <f t="shared" ca="1" si="5277"/>
        <v>0</v>
      </c>
      <c r="EE149" s="63"/>
      <c r="EF149" s="73"/>
      <c r="EG149" s="72">
        <f t="shared" ca="1" si="5278"/>
        <v>0</v>
      </c>
      <c r="EH149" s="63"/>
      <c r="EI149" s="73"/>
      <c r="EJ149" s="72">
        <f t="shared" ca="1" si="5279"/>
        <v>0</v>
      </c>
      <c r="EK149" s="63"/>
      <c r="EL149" s="73"/>
      <c r="EM149" s="72">
        <f t="shared" ca="1" si="5280"/>
        <v>0</v>
      </c>
      <c r="EN149" s="63"/>
      <c r="EO149" s="73"/>
      <c r="EP149" s="72">
        <f t="shared" ca="1" si="5281"/>
        <v>0</v>
      </c>
      <c r="EQ149" s="63"/>
      <c r="ER149" s="73"/>
      <c r="ES149" s="72">
        <f t="shared" ca="1" si="5282"/>
        <v>0</v>
      </c>
      <c r="ET149" s="63"/>
      <c r="EU149" s="73"/>
      <c r="EV149" s="72">
        <f t="shared" ca="1" si="5283"/>
        <v>0</v>
      </c>
      <c r="EW149" s="63"/>
      <c r="EX149" s="73"/>
      <c r="EY149" s="72">
        <f t="shared" ca="1" si="5284"/>
        <v>0</v>
      </c>
      <c r="EZ149" s="63"/>
      <c r="FA149" s="73"/>
      <c r="FB149" s="72">
        <f t="shared" ca="1" si="5285"/>
        <v>0</v>
      </c>
      <c r="FC149" s="63"/>
      <c r="FD149" s="73"/>
      <c r="FE149" s="72">
        <f t="shared" ca="1" si="5286"/>
        <v>0</v>
      </c>
      <c r="FF149" s="63"/>
      <c r="FG149" s="73"/>
      <c r="FH149" s="72">
        <f t="shared" ca="1" si="5287"/>
        <v>0</v>
      </c>
      <c r="FI149" s="63"/>
      <c r="FJ149" s="73"/>
      <c r="FK149" s="72">
        <f t="shared" ca="1" si="5288"/>
        <v>0</v>
      </c>
      <c r="FL149" s="63"/>
      <c r="FM149" s="73"/>
      <c r="FN149" s="72">
        <f t="shared" ca="1" si="5289"/>
        <v>0</v>
      </c>
      <c r="FO149" s="63"/>
      <c r="FP149" s="73"/>
      <c r="FQ149" s="72">
        <f t="shared" ca="1" si="5290"/>
        <v>0</v>
      </c>
      <c r="FR149" s="63"/>
      <c r="FS149" s="73"/>
      <c r="FT149" s="72">
        <f t="shared" ca="1" si="5291"/>
        <v>0</v>
      </c>
      <c r="FU149" s="63"/>
      <c r="FV149" s="73"/>
      <c r="FW149" s="72">
        <f t="shared" ca="1" si="5292"/>
        <v>0</v>
      </c>
      <c r="FX149" s="63"/>
      <c r="FY149" s="73"/>
      <c r="FZ149" s="72">
        <f t="shared" ca="1" si="5293"/>
        <v>0</v>
      </c>
      <c r="GA149" s="63"/>
      <c r="GB149" s="73"/>
      <c r="GC149" s="72">
        <f t="shared" ca="1" si="5294"/>
        <v>0</v>
      </c>
      <c r="GD149" s="63"/>
      <c r="GE149" s="73"/>
      <c r="GF149" s="72">
        <f t="shared" ca="1" si="5295"/>
        <v>0</v>
      </c>
      <c r="GG149" s="63"/>
      <c r="GH149" s="73"/>
      <c r="GI149" s="72">
        <f t="shared" ca="1" si="5296"/>
        <v>0</v>
      </c>
      <c r="GJ149" s="63"/>
      <c r="GK149" s="73"/>
      <c r="GL149" s="72">
        <f t="shared" ca="1" si="5297"/>
        <v>0</v>
      </c>
      <c r="GM149" s="63"/>
      <c r="GN149" s="73"/>
      <c r="GO149" s="72">
        <f t="shared" ca="1" si="5298"/>
        <v>0</v>
      </c>
      <c r="GP149" s="63"/>
      <c r="GQ149" s="73"/>
      <c r="GR149" s="72">
        <f t="shared" ca="1" si="5299"/>
        <v>0</v>
      </c>
      <c r="GS149" s="63"/>
      <c r="GT149" s="73"/>
      <c r="GU149" s="72">
        <f t="shared" ca="1" si="5300"/>
        <v>0</v>
      </c>
      <c r="GV149" s="63"/>
      <c r="GW149" s="73"/>
      <c r="GX149" s="72">
        <f t="shared" ca="1" si="5301"/>
        <v>0</v>
      </c>
      <c r="GY149" s="63"/>
      <c r="GZ149" s="73"/>
      <c r="HA149" s="72">
        <f t="shared" ca="1" si="5302"/>
        <v>0</v>
      </c>
      <c r="HB149" s="63"/>
      <c r="HC149" s="73"/>
      <c r="HD149" s="72">
        <f t="shared" ca="1" si="5303"/>
        <v>0</v>
      </c>
      <c r="HE149" s="63"/>
      <c r="HF149" s="73"/>
      <c r="HG149" s="72">
        <f t="shared" ca="1" si="5304"/>
        <v>0</v>
      </c>
      <c r="HH149" s="63"/>
      <c r="HI149" s="73"/>
      <c r="HJ149" s="72">
        <f t="shared" ca="1" si="5305"/>
        <v>0</v>
      </c>
      <c r="HK149" s="63"/>
      <c r="HL149" s="73"/>
      <c r="HM149" s="72">
        <f t="shared" ca="1" si="5306"/>
        <v>0</v>
      </c>
      <c r="HN149" s="63"/>
      <c r="HO149" s="73"/>
      <c r="HP149" s="72">
        <f t="shared" ca="1" si="5307"/>
        <v>0</v>
      </c>
      <c r="HQ149" s="63"/>
      <c r="HR149" s="73"/>
      <c r="HS149" s="72">
        <f t="shared" ca="1" si="5308"/>
        <v>0</v>
      </c>
      <c r="HT149" s="63"/>
      <c r="HU149" s="73"/>
      <c r="HV149" s="72">
        <f t="shared" ca="1" si="5309"/>
        <v>0</v>
      </c>
      <c r="HW149" s="63"/>
      <c r="HX149" s="73"/>
      <c r="HY149" s="72">
        <f t="shared" ca="1" si="5310"/>
        <v>0</v>
      </c>
      <c r="HZ149" s="63"/>
      <c r="IA149" s="73"/>
      <c r="IB149" s="72">
        <f t="shared" ca="1" si="5311"/>
        <v>0</v>
      </c>
      <c r="IC149" s="63"/>
      <c r="ID149" s="73"/>
      <c r="IE149" s="72">
        <f t="shared" ca="1" si="5312"/>
        <v>0</v>
      </c>
      <c r="IF149" s="63"/>
      <c r="IG149" s="73"/>
      <c r="IH149" s="72">
        <f t="shared" ca="1" si="5313"/>
        <v>0</v>
      </c>
      <c r="II149" s="63"/>
      <c r="IJ149" s="73"/>
      <c r="IK149" s="72">
        <f t="shared" ca="1" si="5314"/>
        <v>0</v>
      </c>
      <c r="IL149" s="63"/>
      <c r="IM149" s="73"/>
      <c r="IN149" s="72">
        <f t="shared" ca="1" si="5315"/>
        <v>0</v>
      </c>
      <c r="IO149" s="63"/>
      <c r="IP149" s="73"/>
      <c r="IQ149" s="72">
        <f t="shared" ca="1" si="5316"/>
        <v>0</v>
      </c>
      <c r="IR149" s="63"/>
      <c r="IS149" s="73"/>
      <c r="IT149" s="72">
        <f t="shared" ca="1" si="5317"/>
        <v>0</v>
      </c>
      <c r="IU149" s="63"/>
      <c r="IV149" s="73"/>
      <c r="IW149" s="72">
        <f t="shared" ca="1" si="5318"/>
        <v>0</v>
      </c>
      <c r="IX149" s="63"/>
      <c r="IY149" s="73"/>
      <c r="IZ149" s="72">
        <f t="shared" ca="1" si="5319"/>
        <v>0</v>
      </c>
      <c r="JA149" s="63"/>
      <c r="JB149" s="73"/>
      <c r="JC149" s="72">
        <f t="shared" ca="1" si="5320"/>
        <v>0</v>
      </c>
      <c r="JD149" s="63"/>
      <c r="JE149" s="73"/>
      <c r="JF149" s="72">
        <f t="shared" ca="1" si="5321"/>
        <v>0</v>
      </c>
      <c r="JG149" s="63"/>
      <c r="JH149" s="73"/>
      <c r="JI149" s="72">
        <f t="shared" ca="1" si="5322"/>
        <v>0</v>
      </c>
      <c r="JJ149" s="63"/>
      <c r="JK149" s="73"/>
      <c r="JL149" s="72">
        <f t="shared" ca="1" si="5323"/>
        <v>0</v>
      </c>
      <c r="JM149" s="63"/>
      <c r="JN149" s="73"/>
      <c r="JO149" s="72">
        <f t="shared" ca="1" si="5324"/>
        <v>0</v>
      </c>
      <c r="JP149" s="63"/>
      <c r="JQ149" s="73"/>
      <c r="JR149" s="72">
        <f t="shared" ca="1" si="5325"/>
        <v>0</v>
      </c>
      <c r="JS149" s="63"/>
      <c r="JT149" s="73"/>
      <c r="JU149" s="72">
        <f t="shared" ca="1" si="5326"/>
        <v>0</v>
      </c>
      <c r="JV149" s="63"/>
      <c r="JW149" s="73"/>
      <c r="JX149" s="72">
        <f t="shared" ca="1" si="5327"/>
        <v>0</v>
      </c>
      <c r="JY149" s="63"/>
      <c r="JZ149" s="73"/>
      <c r="KA149" s="72">
        <f t="shared" ca="1" si="5328"/>
        <v>0</v>
      </c>
      <c r="KB149" s="63"/>
      <c r="KC149" s="73"/>
      <c r="KD149" s="72">
        <f t="shared" ca="1" si="5329"/>
        <v>0</v>
      </c>
      <c r="KE149" s="63"/>
      <c r="KF149" s="73"/>
      <c r="KG149" s="72">
        <f t="shared" ca="1" si="5330"/>
        <v>0</v>
      </c>
      <c r="KH149" s="63"/>
      <c r="KI149" s="73"/>
      <c r="KJ149" s="72">
        <f t="shared" ca="1" si="5331"/>
        <v>0</v>
      </c>
      <c r="KK149" s="63"/>
      <c r="KL149" s="73"/>
      <c r="KM149" s="72">
        <f t="shared" ca="1" si="5332"/>
        <v>0</v>
      </c>
      <c r="KN149" s="63"/>
      <c r="KO149" s="73"/>
      <c r="KP149" s="72">
        <f t="shared" ca="1" si="5333"/>
        <v>0</v>
      </c>
      <c r="KQ149" s="63"/>
      <c r="KR149" s="73"/>
      <c r="KS149" s="72">
        <f t="shared" ca="1" si="5334"/>
        <v>0</v>
      </c>
      <c r="KT149" s="63"/>
      <c r="KU149" s="73"/>
      <c r="KV149" s="72">
        <f t="shared" ca="1" si="5335"/>
        <v>0</v>
      </c>
      <c r="KW149" s="63"/>
      <c r="KX149" s="73"/>
      <c r="KY149" s="72">
        <f t="shared" ca="1" si="5336"/>
        <v>0</v>
      </c>
      <c r="KZ149" s="63"/>
      <c r="LA149" s="73"/>
      <c r="LB149" s="72">
        <f t="shared" ca="1" si="5337"/>
        <v>0</v>
      </c>
      <c r="LC149" s="63"/>
      <c r="LD149" s="73"/>
      <c r="LE149" s="72">
        <f t="shared" ca="1" si="5338"/>
        <v>0</v>
      </c>
      <c r="LF149" s="63"/>
    </row>
    <row r="150" spans="1:318" s="784" customFormat="1">
      <c r="A150" s="49"/>
      <c r="B150" s="49"/>
      <c r="C150" s="49"/>
      <c r="D150" s="49"/>
      <c r="E150" s="64"/>
      <c r="F150" s="125">
        <f t="shared" si="5339"/>
        <v>15</v>
      </c>
      <c r="G150" s="443">
        <f ca="1">VLOOKUP(H150,Equipos!$Q$1:$R$25,2,0)</f>
        <v>19</v>
      </c>
      <c r="H150" s="445" t="str">
        <f>Idiomas!$D$137</f>
        <v>CLASIFICADOS PARA DIECISEISAVOS</v>
      </c>
      <c r="I150" s="50"/>
      <c r="J150" s="843"/>
      <c r="K150" s="56" t="str">
        <f>Idiomas!$D$198&amp;"-"&amp;ROWS($L$130:L150)</f>
        <v>Dieciseisavofinalista-21</v>
      </c>
      <c r="L150" s="53"/>
      <c r="M150" s="55" t="str">
        <f ca="1">WORLDCUP!AF105</f>
        <v>2I</v>
      </c>
      <c r="N150" s="25"/>
      <c r="O150" s="25"/>
      <c r="P150" s="25"/>
      <c r="Q150" s="25"/>
      <c r="R150" s="108"/>
      <c r="S150" s="796" t="s">
        <v>135</v>
      </c>
      <c r="T150" s="72">
        <f t="shared" ca="1" si="5239"/>
        <v>0</v>
      </c>
      <c r="U150" s="63"/>
      <c r="V150" s="73" t="s">
        <v>135</v>
      </c>
      <c r="W150" s="72">
        <f t="shared" ca="1" si="5240"/>
        <v>0</v>
      </c>
      <c r="X150" s="63"/>
      <c r="Y150" s="796" t="s">
        <v>135</v>
      </c>
      <c r="Z150" s="72">
        <f t="shared" ca="1" si="5241"/>
        <v>0</v>
      </c>
      <c r="AA150" s="63"/>
      <c r="AB150" s="796" t="s">
        <v>135</v>
      </c>
      <c r="AC150" s="72">
        <f t="shared" ca="1" si="5242"/>
        <v>0</v>
      </c>
      <c r="AD150" s="63"/>
      <c r="AE150" s="796" t="s">
        <v>135</v>
      </c>
      <c r="AF150" s="72">
        <f t="shared" ca="1" si="5243"/>
        <v>0</v>
      </c>
      <c r="AG150" s="63"/>
      <c r="AH150" s="796" t="s">
        <v>74</v>
      </c>
      <c r="AI150" s="72">
        <f t="shared" ca="1" si="5244"/>
        <v>0</v>
      </c>
      <c r="AJ150" s="63"/>
      <c r="AK150" s="806" t="s">
        <v>135</v>
      </c>
      <c r="AL150" s="72">
        <f t="shared" ca="1" si="5245"/>
        <v>0</v>
      </c>
      <c r="AM150" s="63"/>
      <c r="AN150" s="796" t="s">
        <v>135</v>
      </c>
      <c r="AO150" s="72">
        <f t="shared" ca="1" si="5246"/>
        <v>0</v>
      </c>
      <c r="AP150" s="63"/>
      <c r="AQ150" s="806" t="s">
        <v>135</v>
      </c>
      <c r="AR150" s="72">
        <f t="shared" ca="1" si="5247"/>
        <v>0</v>
      </c>
      <c r="AS150" s="63"/>
      <c r="AT150" s="796" t="s">
        <v>74</v>
      </c>
      <c r="AU150" s="72">
        <f t="shared" ca="1" si="5248"/>
        <v>0</v>
      </c>
      <c r="AV150" s="63"/>
      <c r="AW150" s="796" t="s">
        <v>135</v>
      </c>
      <c r="AX150" s="72">
        <f t="shared" ca="1" si="5249"/>
        <v>0</v>
      </c>
      <c r="AY150" s="63"/>
      <c r="AZ150" s="796" t="s">
        <v>1634</v>
      </c>
      <c r="BA150" s="72">
        <f t="shared" ca="1" si="5250"/>
        <v>0</v>
      </c>
      <c r="BB150" s="63"/>
      <c r="BC150" s="796" t="s">
        <v>1634</v>
      </c>
      <c r="BD150" s="72">
        <f t="shared" ca="1" si="5251"/>
        <v>0</v>
      </c>
      <c r="BE150" s="63"/>
      <c r="BF150" s="796" t="s">
        <v>74</v>
      </c>
      <c r="BG150" s="72">
        <f t="shared" ca="1" si="5252"/>
        <v>0</v>
      </c>
      <c r="BH150" s="63"/>
      <c r="BI150" s="796" t="s">
        <v>135</v>
      </c>
      <c r="BJ150" s="72">
        <f t="shared" ca="1" si="5253"/>
        <v>0</v>
      </c>
      <c r="BK150" s="63"/>
      <c r="BL150" s="796" t="s">
        <v>74</v>
      </c>
      <c r="BM150" s="72">
        <f t="shared" ca="1" si="5254"/>
        <v>0</v>
      </c>
      <c r="BN150" s="63"/>
      <c r="BO150" s="816" t="s">
        <v>1634</v>
      </c>
      <c r="BP150" s="72">
        <f t="shared" ca="1" si="5255"/>
        <v>0</v>
      </c>
      <c r="BQ150" s="63"/>
      <c r="BR150" s="796" t="s">
        <v>74</v>
      </c>
      <c r="BS150" s="72">
        <f t="shared" ca="1" si="5256"/>
        <v>0</v>
      </c>
      <c r="BT150" s="63"/>
      <c r="BU150" s="796" t="s">
        <v>135</v>
      </c>
      <c r="BV150" s="72">
        <f t="shared" ca="1" si="5257"/>
        <v>0</v>
      </c>
      <c r="BW150" s="63"/>
      <c r="BX150" s="73" t="s">
        <v>135</v>
      </c>
      <c r="BY150" s="72">
        <f t="shared" ca="1" si="5258"/>
        <v>0</v>
      </c>
      <c r="BZ150" s="63"/>
      <c r="CA150" s="816" t="s">
        <v>1634</v>
      </c>
      <c r="CB150" s="72">
        <f t="shared" ca="1" si="5259"/>
        <v>0</v>
      </c>
      <c r="CC150" s="63"/>
      <c r="CD150" s="825" t="s">
        <v>135</v>
      </c>
      <c r="CE150" s="72">
        <f t="shared" ca="1" si="5260"/>
        <v>0</v>
      </c>
      <c r="CF150" s="63"/>
      <c r="CG150" s="796" t="s">
        <v>74</v>
      </c>
      <c r="CH150" s="72">
        <f t="shared" ca="1" si="5261"/>
        <v>0</v>
      </c>
      <c r="CI150" s="63"/>
      <c r="CJ150" s="796" t="s">
        <v>135</v>
      </c>
      <c r="CK150" s="72">
        <f t="shared" ca="1" si="5262"/>
        <v>0</v>
      </c>
      <c r="CL150" s="63"/>
      <c r="CM150" s="796" t="s">
        <v>135</v>
      </c>
      <c r="CN150" s="72">
        <f t="shared" ca="1" si="5263"/>
        <v>0</v>
      </c>
      <c r="CO150" s="63"/>
      <c r="CP150" s="796" t="s">
        <v>135</v>
      </c>
      <c r="CQ150" s="72">
        <f t="shared" ca="1" si="5264"/>
        <v>0</v>
      </c>
      <c r="CR150" s="63"/>
      <c r="CS150" s="796" t="s">
        <v>135</v>
      </c>
      <c r="CT150" s="72">
        <f t="shared" ca="1" si="5265"/>
        <v>0</v>
      </c>
      <c r="CU150" s="63"/>
      <c r="CV150" s="796" t="s">
        <v>135</v>
      </c>
      <c r="CW150" s="72">
        <f t="shared" ca="1" si="5266"/>
        <v>0</v>
      </c>
      <c r="CX150" s="63"/>
      <c r="CY150" s="796" t="s">
        <v>1634</v>
      </c>
      <c r="CZ150" s="72">
        <f t="shared" ca="1" si="5267"/>
        <v>0</v>
      </c>
      <c r="DA150" s="63"/>
      <c r="DB150" s="796" t="s">
        <v>135</v>
      </c>
      <c r="DC150" s="72">
        <f t="shared" ca="1" si="5268"/>
        <v>0</v>
      </c>
      <c r="DD150" s="63"/>
      <c r="DE150" s="796" t="s">
        <v>135</v>
      </c>
      <c r="DF150" s="72">
        <f t="shared" ca="1" si="5269"/>
        <v>0</v>
      </c>
      <c r="DG150" s="63"/>
      <c r="DH150" s="796" t="s">
        <v>135</v>
      </c>
      <c r="DI150" s="72">
        <f t="shared" ca="1" si="5270"/>
        <v>0</v>
      </c>
      <c r="DJ150" s="63"/>
      <c r="DK150" s="796" t="s">
        <v>135</v>
      </c>
      <c r="DL150" s="72">
        <f t="shared" ca="1" si="5271"/>
        <v>0</v>
      </c>
      <c r="DM150" s="63"/>
      <c r="DN150" s="73"/>
      <c r="DO150" s="72">
        <f t="shared" ca="1" si="5272"/>
        <v>0</v>
      </c>
      <c r="DP150" s="63"/>
      <c r="DQ150" s="796" t="s">
        <v>135</v>
      </c>
      <c r="DR150" s="72">
        <f t="shared" ca="1" si="5273"/>
        <v>0</v>
      </c>
      <c r="DS150" s="63"/>
      <c r="DT150" s="73" t="s">
        <v>135</v>
      </c>
      <c r="DU150" s="72">
        <f t="shared" ca="1" si="5274"/>
        <v>0</v>
      </c>
      <c r="DV150" s="63"/>
      <c r="DW150" s="73"/>
      <c r="DX150" s="72">
        <f t="shared" ca="1" si="5275"/>
        <v>0</v>
      </c>
      <c r="DY150" s="63"/>
      <c r="DZ150" s="73"/>
      <c r="EA150" s="72">
        <f t="shared" ca="1" si="5276"/>
        <v>0</v>
      </c>
      <c r="EB150" s="63"/>
      <c r="EC150" s="73"/>
      <c r="ED150" s="72">
        <f t="shared" ca="1" si="5277"/>
        <v>0</v>
      </c>
      <c r="EE150" s="63"/>
      <c r="EF150" s="73"/>
      <c r="EG150" s="72">
        <f t="shared" ca="1" si="5278"/>
        <v>0</v>
      </c>
      <c r="EH150" s="63"/>
      <c r="EI150" s="73"/>
      <c r="EJ150" s="72">
        <f t="shared" ca="1" si="5279"/>
        <v>0</v>
      </c>
      <c r="EK150" s="63"/>
      <c r="EL150" s="73"/>
      <c r="EM150" s="72">
        <f t="shared" ca="1" si="5280"/>
        <v>0</v>
      </c>
      <c r="EN150" s="63"/>
      <c r="EO150" s="73"/>
      <c r="EP150" s="72">
        <f t="shared" ca="1" si="5281"/>
        <v>0</v>
      </c>
      <c r="EQ150" s="63"/>
      <c r="ER150" s="73"/>
      <c r="ES150" s="72">
        <f t="shared" ca="1" si="5282"/>
        <v>0</v>
      </c>
      <c r="ET150" s="63"/>
      <c r="EU150" s="73"/>
      <c r="EV150" s="72">
        <f t="shared" ca="1" si="5283"/>
        <v>0</v>
      </c>
      <c r="EW150" s="63"/>
      <c r="EX150" s="73"/>
      <c r="EY150" s="72">
        <f t="shared" ca="1" si="5284"/>
        <v>0</v>
      </c>
      <c r="EZ150" s="63"/>
      <c r="FA150" s="73"/>
      <c r="FB150" s="72">
        <f t="shared" ca="1" si="5285"/>
        <v>0</v>
      </c>
      <c r="FC150" s="63"/>
      <c r="FD150" s="73"/>
      <c r="FE150" s="72">
        <f t="shared" ca="1" si="5286"/>
        <v>0</v>
      </c>
      <c r="FF150" s="63"/>
      <c r="FG150" s="73"/>
      <c r="FH150" s="72">
        <f t="shared" ca="1" si="5287"/>
        <v>0</v>
      </c>
      <c r="FI150" s="63"/>
      <c r="FJ150" s="73"/>
      <c r="FK150" s="72">
        <f t="shared" ca="1" si="5288"/>
        <v>0</v>
      </c>
      <c r="FL150" s="63"/>
      <c r="FM150" s="73"/>
      <c r="FN150" s="72">
        <f t="shared" ca="1" si="5289"/>
        <v>0</v>
      </c>
      <c r="FO150" s="63"/>
      <c r="FP150" s="73"/>
      <c r="FQ150" s="72">
        <f t="shared" ca="1" si="5290"/>
        <v>0</v>
      </c>
      <c r="FR150" s="63"/>
      <c r="FS150" s="73"/>
      <c r="FT150" s="72">
        <f t="shared" ca="1" si="5291"/>
        <v>0</v>
      </c>
      <c r="FU150" s="63"/>
      <c r="FV150" s="73"/>
      <c r="FW150" s="72">
        <f t="shared" ca="1" si="5292"/>
        <v>0</v>
      </c>
      <c r="FX150" s="63"/>
      <c r="FY150" s="73"/>
      <c r="FZ150" s="72">
        <f t="shared" ca="1" si="5293"/>
        <v>0</v>
      </c>
      <c r="GA150" s="63"/>
      <c r="GB150" s="73"/>
      <c r="GC150" s="72">
        <f t="shared" ca="1" si="5294"/>
        <v>0</v>
      </c>
      <c r="GD150" s="63"/>
      <c r="GE150" s="73"/>
      <c r="GF150" s="72">
        <f t="shared" ca="1" si="5295"/>
        <v>0</v>
      </c>
      <c r="GG150" s="63"/>
      <c r="GH150" s="73"/>
      <c r="GI150" s="72">
        <f t="shared" ca="1" si="5296"/>
        <v>0</v>
      </c>
      <c r="GJ150" s="63"/>
      <c r="GK150" s="73"/>
      <c r="GL150" s="72">
        <f t="shared" ca="1" si="5297"/>
        <v>0</v>
      </c>
      <c r="GM150" s="63"/>
      <c r="GN150" s="73"/>
      <c r="GO150" s="72">
        <f t="shared" ca="1" si="5298"/>
        <v>0</v>
      </c>
      <c r="GP150" s="63"/>
      <c r="GQ150" s="73"/>
      <c r="GR150" s="72">
        <f t="shared" ca="1" si="5299"/>
        <v>0</v>
      </c>
      <c r="GS150" s="63"/>
      <c r="GT150" s="73"/>
      <c r="GU150" s="72">
        <f t="shared" ca="1" si="5300"/>
        <v>0</v>
      </c>
      <c r="GV150" s="63"/>
      <c r="GW150" s="73"/>
      <c r="GX150" s="72">
        <f t="shared" ca="1" si="5301"/>
        <v>0</v>
      </c>
      <c r="GY150" s="63"/>
      <c r="GZ150" s="73"/>
      <c r="HA150" s="72">
        <f t="shared" ca="1" si="5302"/>
        <v>0</v>
      </c>
      <c r="HB150" s="63"/>
      <c r="HC150" s="73"/>
      <c r="HD150" s="72">
        <f t="shared" ca="1" si="5303"/>
        <v>0</v>
      </c>
      <c r="HE150" s="63"/>
      <c r="HF150" s="73"/>
      <c r="HG150" s="72">
        <f t="shared" ca="1" si="5304"/>
        <v>0</v>
      </c>
      <c r="HH150" s="63"/>
      <c r="HI150" s="73"/>
      <c r="HJ150" s="72">
        <f t="shared" ca="1" si="5305"/>
        <v>0</v>
      </c>
      <c r="HK150" s="63"/>
      <c r="HL150" s="73"/>
      <c r="HM150" s="72">
        <f t="shared" ca="1" si="5306"/>
        <v>0</v>
      </c>
      <c r="HN150" s="63"/>
      <c r="HO150" s="73"/>
      <c r="HP150" s="72">
        <f t="shared" ca="1" si="5307"/>
        <v>0</v>
      </c>
      <c r="HQ150" s="63"/>
      <c r="HR150" s="73"/>
      <c r="HS150" s="72">
        <f t="shared" ca="1" si="5308"/>
        <v>0</v>
      </c>
      <c r="HT150" s="63"/>
      <c r="HU150" s="73"/>
      <c r="HV150" s="72">
        <f t="shared" ca="1" si="5309"/>
        <v>0</v>
      </c>
      <c r="HW150" s="63"/>
      <c r="HX150" s="73"/>
      <c r="HY150" s="72">
        <f t="shared" ca="1" si="5310"/>
        <v>0</v>
      </c>
      <c r="HZ150" s="63"/>
      <c r="IA150" s="73"/>
      <c r="IB150" s="72">
        <f t="shared" ca="1" si="5311"/>
        <v>0</v>
      </c>
      <c r="IC150" s="63"/>
      <c r="ID150" s="73"/>
      <c r="IE150" s="72">
        <f t="shared" ca="1" si="5312"/>
        <v>0</v>
      </c>
      <c r="IF150" s="63"/>
      <c r="IG150" s="73"/>
      <c r="IH150" s="72">
        <f t="shared" ca="1" si="5313"/>
        <v>0</v>
      </c>
      <c r="II150" s="63"/>
      <c r="IJ150" s="73"/>
      <c r="IK150" s="72">
        <f t="shared" ca="1" si="5314"/>
        <v>0</v>
      </c>
      <c r="IL150" s="63"/>
      <c r="IM150" s="73"/>
      <c r="IN150" s="72">
        <f t="shared" ca="1" si="5315"/>
        <v>0</v>
      </c>
      <c r="IO150" s="63"/>
      <c r="IP150" s="73"/>
      <c r="IQ150" s="72">
        <f t="shared" ca="1" si="5316"/>
        <v>0</v>
      </c>
      <c r="IR150" s="63"/>
      <c r="IS150" s="73"/>
      <c r="IT150" s="72">
        <f t="shared" ca="1" si="5317"/>
        <v>0</v>
      </c>
      <c r="IU150" s="63"/>
      <c r="IV150" s="73"/>
      <c r="IW150" s="72">
        <f t="shared" ca="1" si="5318"/>
        <v>0</v>
      </c>
      <c r="IX150" s="63"/>
      <c r="IY150" s="73"/>
      <c r="IZ150" s="72">
        <f t="shared" ca="1" si="5319"/>
        <v>0</v>
      </c>
      <c r="JA150" s="63"/>
      <c r="JB150" s="73"/>
      <c r="JC150" s="72">
        <f t="shared" ca="1" si="5320"/>
        <v>0</v>
      </c>
      <c r="JD150" s="63"/>
      <c r="JE150" s="73"/>
      <c r="JF150" s="72">
        <f t="shared" ca="1" si="5321"/>
        <v>0</v>
      </c>
      <c r="JG150" s="63"/>
      <c r="JH150" s="73"/>
      <c r="JI150" s="72">
        <f t="shared" ca="1" si="5322"/>
        <v>0</v>
      </c>
      <c r="JJ150" s="63"/>
      <c r="JK150" s="73"/>
      <c r="JL150" s="72">
        <f t="shared" ca="1" si="5323"/>
        <v>0</v>
      </c>
      <c r="JM150" s="63"/>
      <c r="JN150" s="73"/>
      <c r="JO150" s="72">
        <f t="shared" ca="1" si="5324"/>
        <v>0</v>
      </c>
      <c r="JP150" s="63"/>
      <c r="JQ150" s="73"/>
      <c r="JR150" s="72">
        <f t="shared" ca="1" si="5325"/>
        <v>0</v>
      </c>
      <c r="JS150" s="63"/>
      <c r="JT150" s="73"/>
      <c r="JU150" s="72">
        <f t="shared" ca="1" si="5326"/>
        <v>0</v>
      </c>
      <c r="JV150" s="63"/>
      <c r="JW150" s="73"/>
      <c r="JX150" s="72">
        <f t="shared" ca="1" si="5327"/>
        <v>0</v>
      </c>
      <c r="JY150" s="63"/>
      <c r="JZ150" s="73"/>
      <c r="KA150" s="72">
        <f t="shared" ca="1" si="5328"/>
        <v>0</v>
      </c>
      <c r="KB150" s="63"/>
      <c r="KC150" s="73"/>
      <c r="KD150" s="72">
        <f t="shared" ca="1" si="5329"/>
        <v>0</v>
      </c>
      <c r="KE150" s="63"/>
      <c r="KF150" s="73"/>
      <c r="KG150" s="72">
        <f t="shared" ca="1" si="5330"/>
        <v>0</v>
      </c>
      <c r="KH150" s="63"/>
      <c r="KI150" s="73"/>
      <c r="KJ150" s="72">
        <f t="shared" ca="1" si="5331"/>
        <v>0</v>
      </c>
      <c r="KK150" s="63"/>
      <c r="KL150" s="73"/>
      <c r="KM150" s="72">
        <f t="shared" ca="1" si="5332"/>
        <v>0</v>
      </c>
      <c r="KN150" s="63"/>
      <c r="KO150" s="73"/>
      <c r="KP150" s="72">
        <f t="shared" ca="1" si="5333"/>
        <v>0</v>
      </c>
      <c r="KQ150" s="63"/>
      <c r="KR150" s="73"/>
      <c r="KS150" s="72">
        <f t="shared" ca="1" si="5334"/>
        <v>0</v>
      </c>
      <c r="KT150" s="63"/>
      <c r="KU150" s="73"/>
      <c r="KV150" s="72">
        <f t="shared" ca="1" si="5335"/>
        <v>0</v>
      </c>
      <c r="KW150" s="63"/>
      <c r="KX150" s="73"/>
      <c r="KY150" s="72">
        <f t="shared" ca="1" si="5336"/>
        <v>0</v>
      </c>
      <c r="KZ150" s="63"/>
      <c r="LA150" s="73"/>
      <c r="LB150" s="72">
        <f t="shared" ca="1" si="5337"/>
        <v>0</v>
      </c>
      <c r="LC150" s="63"/>
      <c r="LD150" s="73"/>
      <c r="LE150" s="72">
        <f t="shared" ca="1" si="5338"/>
        <v>0</v>
      </c>
      <c r="LF150" s="63"/>
    </row>
    <row r="151" spans="1:318" s="784" customFormat="1">
      <c r="A151" s="49"/>
      <c r="B151" s="49"/>
      <c r="C151" s="49"/>
      <c r="D151" s="49"/>
      <c r="E151" s="64"/>
      <c r="F151" s="125">
        <f t="shared" si="5339"/>
        <v>15</v>
      </c>
      <c r="G151" s="443">
        <f ca="1">VLOOKUP(H151,Equipos!$Q$1:$R$25,2,0)</f>
        <v>19</v>
      </c>
      <c r="H151" s="445" t="str">
        <f>Idiomas!$D$137</f>
        <v>CLASIFICADOS PARA DIECISEISAVOS</v>
      </c>
      <c r="I151" s="50"/>
      <c r="J151" s="843"/>
      <c r="K151" s="56" t="str">
        <f>Idiomas!$D$198&amp;"-"&amp;ROWS($L$130:L151)</f>
        <v>Dieciseisavofinalista-22</v>
      </c>
      <c r="L151" s="53"/>
      <c r="M151" s="55" t="str">
        <f ca="1">WORLDCUP!AF106</f>
        <v>3CDFGH</v>
      </c>
      <c r="N151" s="25"/>
      <c r="O151" s="25"/>
      <c r="P151" s="25"/>
      <c r="Q151" s="25"/>
      <c r="R151" s="108"/>
      <c r="S151" s="796" t="s">
        <v>1833</v>
      </c>
      <c r="T151" s="72">
        <f t="shared" ca="1" si="5239"/>
        <v>0</v>
      </c>
      <c r="U151" s="63"/>
      <c r="V151" s="73" t="s">
        <v>1262</v>
      </c>
      <c r="W151" s="72">
        <f t="shared" ca="1" si="5240"/>
        <v>0</v>
      </c>
      <c r="X151" s="63"/>
      <c r="Y151" s="796" t="s">
        <v>1263</v>
      </c>
      <c r="Z151" s="72">
        <f t="shared" ca="1" si="5241"/>
        <v>0</v>
      </c>
      <c r="AA151" s="63"/>
      <c r="AB151" s="796" t="s">
        <v>497</v>
      </c>
      <c r="AC151" s="72">
        <f t="shared" ca="1" si="5242"/>
        <v>0</v>
      </c>
      <c r="AD151" s="63"/>
      <c r="AE151" s="796" t="s">
        <v>1833</v>
      </c>
      <c r="AF151" s="72">
        <f t="shared" ca="1" si="5243"/>
        <v>0</v>
      </c>
      <c r="AG151" s="63"/>
      <c r="AH151" s="796" t="s">
        <v>1833</v>
      </c>
      <c r="AI151" s="72">
        <f t="shared" ca="1" si="5244"/>
        <v>0</v>
      </c>
      <c r="AJ151" s="63"/>
      <c r="AK151" s="806" t="s">
        <v>1833</v>
      </c>
      <c r="AL151" s="72">
        <f t="shared" ca="1" si="5245"/>
        <v>0</v>
      </c>
      <c r="AM151" s="63"/>
      <c r="AN151" s="796" t="s">
        <v>1263</v>
      </c>
      <c r="AO151" s="72">
        <f t="shared" ca="1" si="5246"/>
        <v>0</v>
      </c>
      <c r="AP151" s="63"/>
      <c r="AQ151" s="806" t="s">
        <v>1632</v>
      </c>
      <c r="AR151" s="72">
        <f t="shared" ca="1" si="5247"/>
        <v>0</v>
      </c>
      <c r="AS151" s="63"/>
      <c r="AT151" s="796" t="s">
        <v>1833</v>
      </c>
      <c r="AU151" s="72">
        <f t="shared" ca="1" si="5248"/>
        <v>0</v>
      </c>
      <c r="AV151" s="63"/>
      <c r="AW151" s="796" t="s">
        <v>1319</v>
      </c>
      <c r="AX151" s="72">
        <f t="shared" ca="1" si="5249"/>
        <v>0</v>
      </c>
      <c r="AY151" s="63"/>
      <c r="AZ151" s="796" t="s">
        <v>1266</v>
      </c>
      <c r="BA151" s="72">
        <f t="shared" ca="1" si="5250"/>
        <v>0</v>
      </c>
      <c r="BB151" s="63"/>
      <c r="BC151" s="796" t="s">
        <v>1632</v>
      </c>
      <c r="BD151" s="72">
        <f t="shared" ca="1" si="5251"/>
        <v>0</v>
      </c>
      <c r="BE151" s="63"/>
      <c r="BF151" s="796" t="s">
        <v>1263</v>
      </c>
      <c r="BG151" s="72">
        <f t="shared" ca="1" si="5252"/>
        <v>0</v>
      </c>
      <c r="BH151" s="63"/>
      <c r="BI151" s="796" t="s">
        <v>1833</v>
      </c>
      <c r="BJ151" s="72">
        <f t="shared" ca="1" si="5253"/>
        <v>0</v>
      </c>
      <c r="BK151" s="63"/>
      <c r="BL151" s="796" t="s">
        <v>1550</v>
      </c>
      <c r="BM151" s="72">
        <f t="shared" ca="1" si="5254"/>
        <v>0</v>
      </c>
      <c r="BN151" s="63"/>
      <c r="BO151" s="816" t="s">
        <v>1833</v>
      </c>
      <c r="BP151" s="72">
        <f t="shared" ca="1" si="5255"/>
        <v>0</v>
      </c>
      <c r="BQ151" s="63"/>
      <c r="BR151" s="796" t="s">
        <v>497</v>
      </c>
      <c r="BS151" s="72">
        <f t="shared" ca="1" si="5256"/>
        <v>0</v>
      </c>
      <c r="BT151" s="63"/>
      <c r="BU151" s="796" t="s">
        <v>1833</v>
      </c>
      <c r="BV151" s="72">
        <f t="shared" ca="1" si="5257"/>
        <v>0</v>
      </c>
      <c r="BW151" s="63"/>
      <c r="BX151" s="73" t="s">
        <v>1833</v>
      </c>
      <c r="BY151" s="72">
        <f t="shared" ca="1" si="5258"/>
        <v>0</v>
      </c>
      <c r="BZ151" s="63"/>
      <c r="CA151" s="816" t="s">
        <v>1322</v>
      </c>
      <c r="CB151" s="72">
        <f t="shared" ca="1" si="5259"/>
        <v>0</v>
      </c>
      <c r="CC151" s="63"/>
      <c r="CD151" s="825" t="s">
        <v>1263</v>
      </c>
      <c r="CE151" s="72">
        <f t="shared" ca="1" si="5260"/>
        <v>0</v>
      </c>
      <c r="CF151" s="63"/>
      <c r="CG151" s="796" t="s">
        <v>1833</v>
      </c>
      <c r="CH151" s="72">
        <f t="shared" ca="1" si="5261"/>
        <v>0</v>
      </c>
      <c r="CI151" s="63"/>
      <c r="CJ151" s="796" t="s">
        <v>1833</v>
      </c>
      <c r="CK151" s="72">
        <f t="shared" ca="1" si="5262"/>
        <v>0</v>
      </c>
      <c r="CL151" s="63"/>
      <c r="CM151" s="796" t="s">
        <v>1835</v>
      </c>
      <c r="CN151" s="72">
        <f t="shared" ca="1" si="5263"/>
        <v>0</v>
      </c>
      <c r="CO151" s="63"/>
      <c r="CP151" s="796" t="s">
        <v>111</v>
      </c>
      <c r="CQ151" s="72">
        <f t="shared" ca="1" si="5264"/>
        <v>0</v>
      </c>
      <c r="CR151" s="63"/>
      <c r="CS151" s="796" t="s">
        <v>1833</v>
      </c>
      <c r="CT151" s="72">
        <f t="shared" ca="1" si="5265"/>
        <v>0</v>
      </c>
      <c r="CU151" s="63"/>
      <c r="CV151" s="796" t="s">
        <v>1262</v>
      </c>
      <c r="CW151" s="72">
        <f t="shared" ca="1" si="5266"/>
        <v>0</v>
      </c>
      <c r="CX151" s="63"/>
      <c r="CY151" s="796" t="s">
        <v>1833</v>
      </c>
      <c r="CZ151" s="72">
        <f t="shared" ca="1" si="5267"/>
        <v>0</v>
      </c>
      <c r="DA151" s="63"/>
      <c r="DB151" s="796" t="s">
        <v>1833</v>
      </c>
      <c r="DC151" s="72">
        <f t="shared" ca="1" si="5268"/>
        <v>0</v>
      </c>
      <c r="DD151" s="63"/>
      <c r="DE151" s="796" t="s">
        <v>1833</v>
      </c>
      <c r="DF151" s="72">
        <f t="shared" ca="1" si="5269"/>
        <v>0</v>
      </c>
      <c r="DG151" s="63"/>
      <c r="DH151" s="796" t="s">
        <v>1835</v>
      </c>
      <c r="DI151" s="72">
        <f t="shared" ca="1" si="5270"/>
        <v>0</v>
      </c>
      <c r="DJ151" s="63"/>
      <c r="DK151" s="796" t="s">
        <v>1833</v>
      </c>
      <c r="DL151" s="72">
        <f t="shared" ca="1" si="5271"/>
        <v>0</v>
      </c>
      <c r="DM151" s="63"/>
      <c r="DN151" s="73"/>
      <c r="DO151" s="72">
        <f t="shared" ca="1" si="5272"/>
        <v>0</v>
      </c>
      <c r="DP151" s="63"/>
      <c r="DQ151" s="796" t="s">
        <v>1833</v>
      </c>
      <c r="DR151" s="72">
        <f t="shared" ca="1" si="5273"/>
        <v>0</v>
      </c>
      <c r="DS151" s="63"/>
      <c r="DT151" s="73" t="s">
        <v>1833</v>
      </c>
      <c r="DU151" s="72">
        <f t="shared" ca="1" si="5274"/>
        <v>0</v>
      </c>
      <c r="DV151" s="63"/>
      <c r="DW151" s="73"/>
      <c r="DX151" s="72">
        <f t="shared" ca="1" si="5275"/>
        <v>0</v>
      </c>
      <c r="DY151" s="63"/>
      <c r="DZ151" s="73"/>
      <c r="EA151" s="72">
        <f t="shared" ca="1" si="5276"/>
        <v>0</v>
      </c>
      <c r="EB151" s="63"/>
      <c r="EC151" s="73"/>
      <c r="ED151" s="72">
        <f t="shared" ca="1" si="5277"/>
        <v>0</v>
      </c>
      <c r="EE151" s="63"/>
      <c r="EF151" s="73"/>
      <c r="EG151" s="72">
        <f t="shared" ca="1" si="5278"/>
        <v>0</v>
      </c>
      <c r="EH151" s="63"/>
      <c r="EI151" s="73"/>
      <c r="EJ151" s="72">
        <f t="shared" ca="1" si="5279"/>
        <v>0</v>
      </c>
      <c r="EK151" s="63"/>
      <c r="EL151" s="73"/>
      <c r="EM151" s="72">
        <f t="shared" ca="1" si="5280"/>
        <v>0</v>
      </c>
      <c r="EN151" s="63"/>
      <c r="EO151" s="73"/>
      <c r="EP151" s="72">
        <f t="shared" ca="1" si="5281"/>
        <v>0</v>
      </c>
      <c r="EQ151" s="63"/>
      <c r="ER151" s="73"/>
      <c r="ES151" s="72">
        <f t="shared" ca="1" si="5282"/>
        <v>0</v>
      </c>
      <c r="ET151" s="63"/>
      <c r="EU151" s="73"/>
      <c r="EV151" s="72">
        <f t="shared" ca="1" si="5283"/>
        <v>0</v>
      </c>
      <c r="EW151" s="63"/>
      <c r="EX151" s="73"/>
      <c r="EY151" s="72">
        <f t="shared" ca="1" si="5284"/>
        <v>0</v>
      </c>
      <c r="EZ151" s="63"/>
      <c r="FA151" s="73"/>
      <c r="FB151" s="72">
        <f t="shared" ca="1" si="5285"/>
        <v>0</v>
      </c>
      <c r="FC151" s="63"/>
      <c r="FD151" s="73"/>
      <c r="FE151" s="72">
        <f t="shared" ca="1" si="5286"/>
        <v>0</v>
      </c>
      <c r="FF151" s="63"/>
      <c r="FG151" s="73"/>
      <c r="FH151" s="72">
        <f t="shared" ca="1" si="5287"/>
        <v>0</v>
      </c>
      <c r="FI151" s="63"/>
      <c r="FJ151" s="73"/>
      <c r="FK151" s="72">
        <f t="shared" ca="1" si="5288"/>
        <v>0</v>
      </c>
      <c r="FL151" s="63"/>
      <c r="FM151" s="73"/>
      <c r="FN151" s="72">
        <f t="shared" ca="1" si="5289"/>
        <v>0</v>
      </c>
      <c r="FO151" s="63"/>
      <c r="FP151" s="73"/>
      <c r="FQ151" s="72">
        <f t="shared" ca="1" si="5290"/>
        <v>0</v>
      </c>
      <c r="FR151" s="63"/>
      <c r="FS151" s="73"/>
      <c r="FT151" s="72">
        <f t="shared" ca="1" si="5291"/>
        <v>0</v>
      </c>
      <c r="FU151" s="63"/>
      <c r="FV151" s="73"/>
      <c r="FW151" s="72">
        <f t="shared" ca="1" si="5292"/>
        <v>0</v>
      </c>
      <c r="FX151" s="63"/>
      <c r="FY151" s="73"/>
      <c r="FZ151" s="72">
        <f t="shared" ca="1" si="5293"/>
        <v>0</v>
      </c>
      <c r="GA151" s="63"/>
      <c r="GB151" s="73"/>
      <c r="GC151" s="72">
        <f t="shared" ca="1" si="5294"/>
        <v>0</v>
      </c>
      <c r="GD151" s="63"/>
      <c r="GE151" s="73"/>
      <c r="GF151" s="72">
        <f t="shared" ca="1" si="5295"/>
        <v>0</v>
      </c>
      <c r="GG151" s="63"/>
      <c r="GH151" s="73"/>
      <c r="GI151" s="72">
        <f t="shared" ca="1" si="5296"/>
        <v>0</v>
      </c>
      <c r="GJ151" s="63"/>
      <c r="GK151" s="73"/>
      <c r="GL151" s="72">
        <f t="shared" ca="1" si="5297"/>
        <v>0</v>
      </c>
      <c r="GM151" s="63"/>
      <c r="GN151" s="73"/>
      <c r="GO151" s="72">
        <f t="shared" ca="1" si="5298"/>
        <v>0</v>
      </c>
      <c r="GP151" s="63"/>
      <c r="GQ151" s="73"/>
      <c r="GR151" s="72">
        <f t="shared" ca="1" si="5299"/>
        <v>0</v>
      </c>
      <c r="GS151" s="63"/>
      <c r="GT151" s="73"/>
      <c r="GU151" s="72">
        <f t="shared" ca="1" si="5300"/>
        <v>0</v>
      </c>
      <c r="GV151" s="63"/>
      <c r="GW151" s="73"/>
      <c r="GX151" s="72">
        <f t="shared" ca="1" si="5301"/>
        <v>0</v>
      </c>
      <c r="GY151" s="63"/>
      <c r="GZ151" s="73"/>
      <c r="HA151" s="72">
        <f t="shared" ca="1" si="5302"/>
        <v>0</v>
      </c>
      <c r="HB151" s="63"/>
      <c r="HC151" s="73"/>
      <c r="HD151" s="72">
        <f t="shared" ca="1" si="5303"/>
        <v>0</v>
      </c>
      <c r="HE151" s="63"/>
      <c r="HF151" s="73"/>
      <c r="HG151" s="72">
        <f t="shared" ca="1" si="5304"/>
        <v>0</v>
      </c>
      <c r="HH151" s="63"/>
      <c r="HI151" s="73"/>
      <c r="HJ151" s="72">
        <f t="shared" ca="1" si="5305"/>
        <v>0</v>
      </c>
      <c r="HK151" s="63"/>
      <c r="HL151" s="73"/>
      <c r="HM151" s="72">
        <f t="shared" ca="1" si="5306"/>
        <v>0</v>
      </c>
      <c r="HN151" s="63"/>
      <c r="HO151" s="73"/>
      <c r="HP151" s="72">
        <f t="shared" ca="1" si="5307"/>
        <v>0</v>
      </c>
      <c r="HQ151" s="63"/>
      <c r="HR151" s="73"/>
      <c r="HS151" s="72">
        <f t="shared" ca="1" si="5308"/>
        <v>0</v>
      </c>
      <c r="HT151" s="63"/>
      <c r="HU151" s="73"/>
      <c r="HV151" s="72">
        <f t="shared" ca="1" si="5309"/>
        <v>0</v>
      </c>
      <c r="HW151" s="63"/>
      <c r="HX151" s="73"/>
      <c r="HY151" s="72">
        <f t="shared" ca="1" si="5310"/>
        <v>0</v>
      </c>
      <c r="HZ151" s="63"/>
      <c r="IA151" s="73"/>
      <c r="IB151" s="72">
        <f t="shared" ca="1" si="5311"/>
        <v>0</v>
      </c>
      <c r="IC151" s="63"/>
      <c r="ID151" s="73"/>
      <c r="IE151" s="72">
        <f t="shared" ca="1" si="5312"/>
        <v>0</v>
      </c>
      <c r="IF151" s="63"/>
      <c r="IG151" s="73"/>
      <c r="IH151" s="72">
        <f t="shared" ca="1" si="5313"/>
        <v>0</v>
      </c>
      <c r="II151" s="63"/>
      <c r="IJ151" s="73"/>
      <c r="IK151" s="72">
        <f t="shared" ca="1" si="5314"/>
        <v>0</v>
      </c>
      <c r="IL151" s="63"/>
      <c r="IM151" s="73"/>
      <c r="IN151" s="72">
        <f t="shared" ca="1" si="5315"/>
        <v>0</v>
      </c>
      <c r="IO151" s="63"/>
      <c r="IP151" s="73"/>
      <c r="IQ151" s="72">
        <f t="shared" ca="1" si="5316"/>
        <v>0</v>
      </c>
      <c r="IR151" s="63"/>
      <c r="IS151" s="73"/>
      <c r="IT151" s="72">
        <f t="shared" ca="1" si="5317"/>
        <v>0</v>
      </c>
      <c r="IU151" s="63"/>
      <c r="IV151" s="73"/>
      <c r="IW151" s="72">
        <f t="shared" ca="1" si="5318"/>
        <v>0</v>
      </c>
      <c r="IX151" s="63"/>
      <c r="IY151" s="73"/>
      <c r="IZ151" s="72">
        <f t="shared" ca="1" si="5319"/>
        <v>0</v>
      </c>
      <c r="JA151" s="63"/>
      <c r="JB151" s="73"/>
      <c r="JC151" s="72">
        <f t="shared" ca="1" si="5320"/>
        <v>0</v>
      </c>
      <c r="JD151" s="63"/>
      <c r="JE151" s="73"/>
      <c r="JF151" s="72">
        <f t="shared" ca="1" si="5321"/>
        <v>0</v>
      </c>
      <c r="JG151" s="63"/>
      <c r="JH151" s="73"/>
      <c r="JI151" s="72">
        <f t="shared" ca="1" si="5322"/>
        <v>0</v>
      </c>
      <c r="JJ151" s="63"/>
      <c r="JK151" s="73"/>
      <c r="JL151" s="72">
        <f t="shared" ca="1" si="5323"/>
        <v>0</v>
      </c>
      <c r="JM151" s="63"/>
      <c r="JN151" s="73"/>
      <c r="JO151" s="72">
        <f t="shared" ca="1" si="5324"/>
        <v>0</v>
      </c>
      <c r="JP151" s="63"/>
      <c r="JQ151" s="73"/>
      <c r="JR151" s="72">
        <f t="shared" ca="1" si="5325"/>
        <v>0</v>
      </c>
      <c r="JS151" s="63"/>
      <c r="JT151" s="73"/>
      <c r="JU151" s="72">
        <f t="shared" ca="1" si="5326"/>
        <v>0</v>
      </c>
      <c r="JV151" s="63"/>
      <c r="JW151" s="73"/>
      <c r="JX151" s="72">
        <f t="shared" ca="1" si="5327"/>
        <v>0</v>
      </c>
      <c r="JY151" s="63"/>
      <c r="JZ151" s="73"/>
      <c r="KA151" s="72">
        <f t="shared" ca="1" si="5328"/>
        <v>0</v>
      </c>
      <c r="KB151" s="63"/>
      <c r="KC151" s="73"/>
      <c r="KD151" s="72">
        <f t="shared" ca="1" si="5329"/>
        <v>0</v>
      </c>
      <c r="KE151" s="63"/>
      <c r="KF151" s="73"/>
      <c r="KG151" s="72">
        <f t="shared" ca="1" si="5330"/>
        <v>0</v>
      </c>
      <c r="KH151" s="63"/>
      <c r="KI151" s="73"/>
      <c r="KJ151" s="72">
        <f t="shared" ca="1" si="5331"/>
        <v>0</v>
      </c>
      <c r="KK151" s="63"/>
      <c r="KL151" s="73"/>
      <c r="KM151" s="72">
        <f t="shared" ca="1" si="5332"/>
        <v>0</v>
      </c>
      <c r="KN151" s="63"/>
      <c r="KO151" s="73"/>
      <c r="KP151" s="72">
        <f t="shared" ca="1" si="5333"/>
        <v>0</v>
      </c>
      <c r="KQ151" s="63"/>
      <c r="KR151" s="73"/>
      <c r="KS151" s="72">
        <f t="shared" ca="1" si="5334"/>
        <v>0</v>
      </c>
      <c r="KT151" s="63"/>
      <c r="KU151" s="73"/>
      <c r="KV151" s="72">
        <f t="shared" ca="1" si="5335"/>
        <v>0</v>
      </c>
      <c r="KW151" s="63"/>
      <c r="KX151" s="73"/>
      <c r="KY151" s="72">
        <f t="shared" ca="1" si="5336"/>
        <v>0</v>
      </c>
      <c r="KZ151" s="63"/>
      <c r="LA151" s="73"/>
      <c r="LB151" s="72">
        <f t="shared" ca="1" si="5337"/>
        <v>0</v>
      </c>
      <c r="LC151" s="63"/>
      <c r="LD151" s="73"/>
      <c r="LE151" s="72">
        <f t="shared" ca="1" si="5338"/>
        <v>0</v>
      </c>
      <c r="LF151" s="63"/>
    </row>
    <row r="152" spans="1:318" s="784" customFormat="1">
      <c r="A152" s="49"/>
      <c r="B152" s="49"/>
      <c r="C152" s="49"/>
      <c r="D152" s="49"/>
      <c r="E152" s="64"/>
      <c r="F152" s="125">
        <f t="shared" si="5339"/>
        <v>15</v>
      </c>
      <c r="G152" s="443">
        <f ca="1">VLOOKUP(H152,Equipos!$Q$1:$R$25,2,0)</f>
        <v>19</v>
      </c>
      <c r="H152" s="445" t="str">
        <f>Idiomas!$D$137</f>
        <v>CLASIFICADOS PARA DIECISEISAVOS</v>
      </c>
      <c r="I152" s="50"/>
      <c r="J152" s="843"/>
      <c r="K152" s="56" t="str">
        <f>Idiomas!$D$198&amp;"-"&amp;ROWS($L$130:L152)</f>
        <v>Dieciseisavofinalista-23</v>
      </c>
      <c r="L152" s="53"/>
      <c r="M152" s="55" t="str">
        <f ca="1">WORLDCUP!AF107</f>
        <v>3CEFHI</v>
      </c>
      <c r="N152" s="25"/>
      <c r="O152" s="25"/>
      <c r="P152" s="25"/>
      <c r="Q152" s="25"/>
      <c r="R152" s="108"/>
      <c r="S152" s="796" t="s">
        <v>134</v>
      </c>
      <c r="T152" s="72">
        <f t="shared" ca="1" si="5239"/>
        <v>0</v>
      </c>
      <c r="U152" s="63"/>
      <c r="V152" s="73" t="s">
        <v>1263</v>
      </c>
      <c r="W152" s="72">
        <f t="shared" ca="1" si="5240"/>
        <v>0</v>
      </c>
      <c r="X152" s="63"/>
      <c r="Y152" s="796" t="s">
        <v>1632</v>
      </c>
      <c r="Z152" s="72">
        <f t="shared" ca="1" si="5241"/>
        <v>0</v>
      </c>
      <c r="AA152" s="63"/>
      <c r="AB152" s="796" t="s">
        <v>1632</v>
      </c>
      <c r="AC152" s="72">
        <f t="shared" ca="1" si="5242"/>
        <v>0</v>
      </c>
      <c r="AD152" s="63"/>
      <c r="AE152" s="796" t="s">
        <v>1633</v>
      </c>
      <c r="AF152" s="72">
        <f t="shared" ca="1" si="5243"/>
        <v>0</v>
      </c>
      <c r="AG152" s="63"/>
      <c r="AH152" s="796" t="s">
        <v>1632</v>
      </c>
      <c r="AI152" s="72">
        <f t="shared" ca="1" si="5244"/>
        <v>0</v>
      </c>
      <c r="AJ152" s="63"/>
      <c r="AK152" s="806" t="s">
        <v>1632</v>
      </c>
      <c r="AL152" s="72">
        <f t="shared" ca="1" si="5245"/>
        <v>0</v>
      </c>
      <c r="AM152" s="63"/>
      <c r="AN152" s="796" t="s">
        <v>134</v>
      </c>
      <c r="AO152" s="72">
        <f t="shared" ca="1" si="5246"/>
        <v>0</v>
      </c>
      <c r="AP152" s="63"/>
      <c r="AQ152" s="806" t="s">
        <v>1633</v>
      </c>
      <c r="AR152" s="72">
        <f t="shared" ca="1" si="5247"/>
        <v>0</v>
      </c>
      <c r="AS152" s="63"/>
      <c r="AT152" s="796" t="s">
        <v>134</v>
      </c>
      <c r="AU152" s="72">
        <f t="shared" ca="1" si="5248"/>
        <v>0</v>
      </c>
      <c r="AV152" s="63"/>
      <c r="AW152" s="796" t="s">
        <v>1632</v>
      </c>
      <c r="AX152" s="72">
        <f t="shared" ca="1" si="5249"/>
        <v>0</v>
      </c>
      <c r="AY152" s="63"/>
      <c r="AZ152" s="796" t="s">
        <v>1261</v>
      </c>
      <c r="BA152" s="72">
        <f t="shared" ca="1" si="5250"/>
        <v>0</v>
      </c>
      <c r="BB152" s="63"/>
      <c r="BC152" s="796" t="s">
        <v>1633</v>
      </c>
      <c r="BD152" s="72">
        <f t="shared" ca="1" si="5251"/>
        <v>0</v>
      </c>
      <c r="BE152" s="63"/>
      <c r="BF152" s="796" t="s">
        <v>134</v>
      </c>
      <c r="BG152" s="72">
        <f t="shared" ca="1" si="5252"/>
        <v>0</v>
      </c>
      <c r="BH152" s="63"/>
      <c r="BI152" s="796" t="s">
        <v>1261</v>
      </c>
      <c r="BJ152" s="72">
        <f t="shared" ca="1" si="5253"/>
        <v>0</v>
      </c>
      <c r="BK152" s="63"/>
      <c r="BL152" s="796" t="s">
        <v>1261</v>
      </c>
      <c r="BM152" s="72">
        <f t="shared" ca="1" si="5254"/>
        <v>0</v>
      </c>
      <c r="BN152" s="63"/>
      <c r="BO152" s="816" t="s">
        <v>134</v>
      </c>
      <c r="BP152" s="72">
        <f t="shared" ca="1" si="5255"/>
        <v>0</v>
      </c>
      <c r="BQ152" s="63"/>
      <c r="BR152" s="796" t="s">
        <v>1633</v>
      </c>
      <c r="BS152" s="72">
        <f t="shared" ca="1" si="5256"/>
        <v>0</v>
      </c>
      <c r="BT152" s="63"/>
      <c r="BU152" s="796" t="s">
        <v>134</v>
      </c>
      <c r="BV152" s="72">
        <f t="shared" ca="1" si="5257"/>
        <v>0</v>
      </c>
      <c r="BW152" s="63"/>
      <c r="BX152" s="73" t="s">
        <v>134</v>
      </c>
      <c r="BY152" s="72">
        <f t="shared" ca="1" si="5258"/>
        <v>0</v>
      </c>
      <c r="BZ152" s="63"/>
      <c r="CA152" s="816" t="s">
        <v>1632</v>
      </c>
      <c r="CB152" s="72">
        <f t="shared" ca="1" si="5259"/>
        <v>0</v>
      </c>
      <c r="CC152" s="63"/>
      <c r="CD152" s="825" t="s">
        <v>1632</v>
      </c>
      <c r="CE152" s="72">
        <f t="shared" ca="1" si="5260"/>
        <v>0</v>
      </c>
      <c r="CF152" s="63"/>
      <c r="CG152" s="796" t="s">
        <v>134</v>
      </c>
      <c r="CH152" s="72">
        <f t="shared" ca="1" si="5261"/>
        <v>0</v>
      </c>
      <c r="CI152" s="63"/>
      <c r="CJ152" s="796" t="s">
        <v>1633</v>
      </c>
      <c r="CK152" s="72">
        <f t="shared" ca="1" si="5262"/>
        <v>0</v>
      </c>
      <c r="CL152" s="63"/>
      <c r="CM152" s="796" t="s">
        <v>1632</v>
      </c>
      <c r="CN152" s="72">
        <f t="shared" ca="1" si="5263"/>
        <v>0</v>
      </c>
      <c r="CO152" s="63"/>
      <c r="CP152" s="796" t="s">
        <v>134</v>
      </c>
      <c r="CQ152" s="72">
        <f t="shared" ca="1" si="5264"/>
        <v>0</v>
      </c>
      <c r="CR152" s="63"/>
      <c r="CS152" s="796" t="s">
        <v>1321</v>
      </c>
      <c r="CT152" s="72">
        <f t="shared" ca="1" si="5265"/>
        <v>0</v>
      </c>
      <c r="CU152" s="63"/>
      <c r="CV152" s="796" t="s">
        <v>1633</v>
      </c>
      <c r="CW152" s="72">
        <f t="shared" ca="1" si="5266"/>
        <v>0</v>
      </c>
      <c r="CX152" s="63"/>
      <c r="CY152" s="796" t="s">
        <v>134</v>
      </c>
      <c r="CZ152" s="72">
        <f t="shared" ca="1" si="5267"/>
        <v>0</v>
      </c>
      <c r="DA152" s="63"/>
      <c r="DB152" s="796" t="s">
        <v>1633</v>
      </c>
      <c r="DC152" s="72">
        <f t="shared" ca="1" si="5268"/>
        <v>0</v>
      </c>
      <c r="DD152" s="63"/>
      <c r="DE152" s="796" t="s">
        <v>1552</v>
      </c>
      <c r="DF152" s="72">
        <f t="shared" ca="1" si="5269"/>
        <v>0</v>
      </c>
      <c r="DG152" s="63"/>
      <c r="DH152" s="796" t="s">
        <v>1632</v>
      </c>
      <c r="DI152" s="72">
        <f t="shared" ca="1" si="5270"/>
        <v>0</v>
      </c>
      <c r="DJ152" s="63"/>
      <c r="DK152" s="796" t="s">
        <v>134</v>
      </c>
      <c r="DL152" s="72">
        <f t="shared" ca="1" si="5271"/>
        <v>0</v>
      </c>
      <c r="DM152" s="63"/>
      <c r="DN152" s="73"/>
      <c r="DO152" s="72">
        <f t="shared" ca="1" si="5272"/>
        <v>0</v>
      </c>
      <c r="DP152" s="63"/>
      <c r="DQ152" s="796" t="s">
        <v>1632</v>
      </c>
      <c r="DR152" s="72">
        <f t="shared" ca="1" si="5273"/>
        <v>0</v>
      </c>
      <c r="DS152" s="63"/>
      <c r="DT152" s="73" t="s">
        <v>1633</v>
      </c>
      <c r="DU152" s="72">
        <f t="shared" ca="1" si="5274"/>
        <v>0</v>
      </c>
      <c r="DV152" s="63"/>
      <c r="DW152" s="73"/>
      <c r="DX152" s="72">
        <f t="shared" ca="1" si="5275"/>
        <v>0</v>
      </c>
      <c r="DY152" s="63"/>
      <c r="DZ152" s="73"/>
      <c r="EA152" s="72">
        <f t="shared" ca="1" si="5276"/>
        <v>0</v>
      </c>
      <c r="EB152" s="63"/>
      <c r="EC152" s="73"/>
      <c r="ED152" s="72">
        <f t="shared" ca="1" si="5277"/>
        <v>0</v>
      </c>
      <c r="EE152" s="63"/>
      <c r="EF152" s="73"/>
      <c r="EG152" s="72">
        <f t="shared" ca="1" si="5278"/>
        <v>0</v>
      </c>
      <c r="EH152" s="63"/>
      <c r="EI152" s="73"/>
      <c r="EJ152" s="72">
        <f t="shared" ca="1" si="5279"/>
        <v>0</v>
      </c>
      <c r="EK152" s="63"/>
      <c r="EL152" s="73"/>
      <c r="EM152" s="72">
        <f t="shared" ca="1" si="5280"/>
        <v>0</v>
      </c>
      <c r="EN152" s="63"/>
      <c r="EO152" s="73"/>
      <c r="EP152" s="72">
        <f t="shared" ca="1" si="5281"/>
        <v>0</v>
      </c>
      <c r="EQ152" s="63"/>
      <c r="ER152" s="73"/>
      <c r="ES152" s="72">
        <f t="shared" ca="1" si="5282"/>
        <v>0</v>
      </c>
      <c r="ET152" s="63"/>
      <c r="EU152" s="73"/>
      <c r="EV152" s="72">
        <f t="shared" ca="1" si="5283"/>
        <v>0</v>
      </c>
      <c r="EW152" s="63"/>
      <c r="EX152" s="73"/>
      <c r="EY152" s="72">
        <f t="shared" ca="1" si="5284"/>
        <v>0</v>
      </c>
      <c r="EZ152" s="63"/>
      <c r="FA152" s="73"/>
      <c r="FB152" s="72">
        <f t="shared" ca="1" si="5285"/>
        <v>0</v>
      </c>
      <c r="FC152" s="63"/>
      <c r="FD152" s="73"/>
      <c r="FE152" s="72">
        <f t="shared" ca="1" si="5286"/>
        <v>0</v>
      </c>
      <c r="FF152" s="63"/>
      <c r="FG152" s="73"/>
      <c r="FH152" s="72">
        <f t="shared" ca="1" si="5287"/>
        <v>0</v>
      </c>
      <c r="FI152" s="63"/>
      <c r="FJ152" s="73"/>
      <c r="FK152" s="72">
        <f t="shared" ca="1" si="5288"/>
        <v>0</v>
      </c>
      <c r="FL152" s="63"/>
      <c r="FM152" s="73"/>
      <c r="FN152" s="72">
        <f t="shared" ca="1" si="5289"/>
        <v>0</v>
      </c>
      <c r="FO152" s="63"/>
      <c r="FP152" s="73"/>
      <c r="FQ152" s="72">
        <f t="shared" ca="1" si="5290"/>
        <v>0</v>
      </c>
      <c r="FR152" s="63"/>
      <c r="FS152" s="73"/>
      <c r="FT152" s="72">
        <f t="shared" ca="1" si="5291"/>
        <v>0</v>
      </c>
      <c r="FU152" s="63"/>
      <c r="FV152" s="73"/>
      <c r="FW152" s="72">
        <f t="shared" ca="1" si="5292"/>
        <v>0</v>
      </c>
      <c r="FX152" s="63"/>
      <c r="FY152" s="73"/>
      <c r="FZ152" s="72">
        <f t="shared" ca="1" si="5293"/>
        <v>0</v>
      </c>
      <c r="GA152" s="63"/>
      <c r="GB152" s="73"/>
      <c r="GC152" s="72">
        <f t="shared" ca="1" si="5294"/>
        <v>0</v>
      </c>
      <c r="GD152" s="63"/>
      <c r="GE152" s="73"/>
      <c r="GF152" s="72">
        <f t="shared" ca="1" si="5295"/>
        <v>0</v>
      </c>
      <c r="GG152" s="63"/>
      <c r="GH152" s="73"/>
      <c r="GI152" s="72">
        <f t="shared" ca="1" si="5296"/>
        <v>0</v>
      </c>
      <c r="GJ152" s="63"/>
      <c r="GK152" s="73"/>
      <c r="GL152" s="72">
        <f t="shared" ca="1" si="5297"/>
        <v>0</v>
      </c>
      <c r="GM152" s="63"/>
      <c r="GN152" s="73"/>
      <c r="GO152" s="72">
        <f t="shared" ca="1" si="5298"/>
        <v>0</v>
      </c>
      <c r="GP152" s="63"/>
      <c r="GQ152" s="73"/>
      <c r="GR152" s="72">
        <f t="shared" ca="1" si="5299"/>
        <v>0</v>
      </c>
      <c r="GS152" s="63"/>
      <c r="GT152" s="73"/>
      <c r="GU152" s="72">
        <f t="shared" ca="1" si="5300"/>
        <v>0</v>
      </c>
      <c r="GV152" s="63"/>
      <c r="GW152" s="73"/>
      <c r="GX152" s="72">
        <f t="shared" ca="1" si="5301"/>
        <v>0</v>
      </c>
      <c r="GY152" s="63"/>
      <c r="GZ152" s="73"/>
      <c r="HA152" s="72">
        <f t="shared" ca="1" si="5302"/>
        <v>0</v>
      </c>
      <c r="HB152" s="63"/>
      <c r="HC152" s="73"/>
      <c r="HD152" s="72">
        <f t="shared" ca="1" si="5303"/>
        <v>0</v>
      </c>
      <c r="HE152" s="63"/>
      <c r="HF152" s="73"/>
      <c r="HG152" s="72">
        <f t="shared" ca="1" si="5304"/>
        <v>0</v>
      </c>
      <c r="HH152" s="63"/>
      <c r="HI152" s="73"/>
      <c r="HJ152" s="72">
        <f t="shared" ca="1" si="5305"/>
        <v>0</v>
      </c>
      <c r="HK152" s="63"/>
      <c r="HL152" s="73"/>
      <c r="HM152" s="72">
        <f t="shared" ca="1" si="5306"/>
        <v>0</v>
      </c>
      <c r="HN152" s="63"/>
      <c r="HO152" s="73"/>
      <c r="HP152" s="72">
        <f t="shared" ca="1" si="5307"/>
        <v>0</v>
      </c>
      <c r="HQ152" s="63"/>
      <c r="HR152" s="73"/>
      <c r="HS152" s="72">
        <f t="shared" ca="1" si="5308"/>
        <v>0</v>
      </c>
      <c r="HT152" s="63"/>
      <c r="HU152" s="73"/>
      <c r="HV152" s="72">
        <f t="shared" ca="1" si="5309"/>
        <v>0</v>
      </c>
      <c r="HW152" s="63"/>
      <c r="HX152" s="73"/>
      <c r="HY152" s="72">
        <f t="shared" ca="1" si="5310"/>
        <v>0</v>
      </c>
      <c r="HZ152" s="63"/>
      <c r="IA152" s="73"/>
      <c r="IB152" s="72">
        <f t="shared" ca="1" si="5311"/>
        <v>0</v>
      </c>
      <c r="IC152" s="63"/>
      <c r="ID152" s="73"/>
      <c r="IE152" s="72">
        <f t="shared" ca="1" si="5312"/>
        <v>0</v>
      </c>
      <c r="IF152" s="63"/>
      <c r="IG152" s="73"/>
      <c r="IH152" s="72">
        <f t="shared" ca="1" si="5313"/>
        <v>0</v>
      </c>
      <c r="II152" s="63"/>
      <c r="IJ152" s="73"/>
      <c r="IK152" s="72">
        <f t="shared" ca="1" si="5314"/>
        <v>0</v>
      </c>
      <c r="IL152" s="63"/>
      <c r="IM152" s="73"/>
      <c r="IN152" s="72">
        <f t="shared" ca="1" si="5315"/>
        <v>0</v>
      </c>
      <c r="IO152" s="63"/>
      <c r="IP152" s="73"/>
      <c r="IQ152" s="72">
        <f t="shared" ca="1" si="5316"/>
        <v>0</v>
      </c>
      <c r="IR152" s="63"/>
      <c r="IS152" s="73"/>
      <c r="IT152" s="72">
        <f t="shared" ca="1" si="5317"/>
        <v>0</v>
      </c>
      <c r="IU152" s="63"/>
      <c r="IV152" s="73"/>
      <c r="IW152" s="72">
        <f t="shared" ca="1" si="5318"/>
        <v>0</v>
      </c>
      <c r="IX152" s="63"/>
      <c r="IY152" s="73"/>
      <c r="IZ152" s="72">
        <f t="shared" ca="1" si="5319"/>
        <v>0</v>
      </c>
      <c r="JA152" s="63"/>
      <c r="JB152" s="73"/>
      <c r="JC152" s="72">
        <f t="shared" ca="1" si="5320"/>
        <v>0</v>
      </c>
      <c r="JD152" s="63"/>
      <c r="JE152" s="73"/>
      <c r="JF152" s="72">
        <f t="shared" ca="1" si="5321"/>
        <v>0</v>
      </c>
      <c r="JG152" s="63"/>
      <c r="JH152" s="73"/>
      <c r="JI152" s="72">
        <f t="shared" ca="1" si="5322"/>
        <v>0</v>
      </c>
      <c r="JJ152" s="63"/>
      <c r="JK152" s="73"/>
      <c r="JL152" s="72">
        <f t="shared" ca="1" si="5323"/>
        <v>0</v>
      </c>
      <c r="JM152" s="63"/>
      <c r="JN152" s="73"/>
      <c r="JO152" s="72">
        <f t="shared" ca="1" si="5324"/>
        <v>0</v>
      </c>
      <c r="JP152" s="63"/>
      <c r="JQ152" s="73"/>
      <c r="JR152" s="72">
        <f t="shared" ca="1" si="5325"/>
        <v>0</v>
      </c>
      <c r="JS152" s="63"/>
      <c r="JT152" s="73"/>
      <c r="JU152" s="72">
        <f t="shared" ca="1" si="5326"/>
        <v>0</v>
      </c>
      <c r="JV152" s="63"/>
      <c r="JW152" s="73"/>
      <c r="JX152" s="72">
        <f t="shared" ca="1" si="5327"/>
        <v>0</v>
      </c>
      <c r="JY152" s="63"/>
      <c r="JZ152" s="73"/>
      <c r="KA152" s="72">
        <f t="shared" ca="1" si="5328"/>
        <v>0</v>
      </c>
      <c r="KB152" s="63"/>
      <c r="KC152" s="73"/>
      <c r="KD152" s="72">
        <f t="shared" ca="1" si="5329"/>
        <v>0</v>
      </c>
      <c r="KE152" s="63"/>
      <c r="KF152" s="73"/>
      <c r="KG152" s="72">
        <f t="shared" ca="1" si="5330"/>
        <v>0</v>
      </c>
      <c r="KH152" s="63"/>
      <c r="KI152" s="73"/>
      <c r="KJ152" s="72">
        <f t="shared" ca="1" si="5331"/>
        <v>0</v>
      </c>
      <c r="KK152" s="63"/>
      <c r="KL152" s="73"/>
      <c r="KM152" s="72">
        <f t="shared" ca="1" si="5332"/>
        <v>0</v>
      </c>
      <c r="KN152" s="63"/>
      <c r="KO152" s="73"/>
      <c r="KP152" s="72">
        <f t="shared" ca="1" si="5333"/>
        <v>0</v>
      </c>
      <c r="KQ152" s="63"/>
      <c r="KR152" s="73"/>
      <c r="KS152" s="72">
        <f t="shared" ca="1" si="5334"/>
        <v>0</v>
      </c>
      <c r="KT152" s="63"/>
      <c r="KU152" s="73"/>
      <c r="KV152" s="72">
        <f t="shared" ca="1" si="5335"/>
        <v>0</v>
      </c>
      <c r="KW152" s="63"/>
      <c r="KX152" s="73"/>
      <c r="KY152" s="72">
        <f t="shared" ca="1" si="5336"/>
        <v>0</v>
      </c>
      <c r="KZ152" s="63"/>
      <c r="LA152" s="73"/>
      <c r="LB152" s="72">
        <f t="shared" ca="1" si="5337"/>
        <v>0</v>
      </c>
      <c r="LC152" s="63"/>
      <c r="LD152" s="73"/>
      <c r="LE152" s="72">
        <f t="shared" ca="1" si="5338"/>
        <v>0</v>
      </c>
      <c r="LF152" s="63"/>
    </row>
    <row r="153" spans="1:318" s="784" customFormat="1">
      <c r="A153" s="49"/>
      <c r="B153" s="49"/>
      <c r="C153" s="49"/>
      <c r="D153" s="49"/>
      <c r="E153" s="64"/>
      <c r="F153" s="125">
        <f t="shared" si="5339"/>
        <v>15</v>
      </c>
      <c r="G153" s="443">
        <f ca="1">VLOOKUP(H153,Equipos!$Q$1:$R$25,2,0)</f>
        <v>19</v>
      </c>
      <c r="H153" s="445" t="str">
        <f>Idiomas!$D$137</f>
        <v>CLASIFICADOS PARA DIECISEISAVOS</v>
      </c>
      <c r="I153" s="50"/>
      <c r="J153" s="843"/>
      <c r="K153" s="56" t="str">
        <f>Idiomas!$D$198&amp;"-"&amp;ROWS($L$130:L153)</f>
        <v>Dieciseisavofinalista-24</v>
      </c>
      <c r="L153" s="53"/>
      <c r="M153" s="55" t="str">
        <f ca="1">WORLDCUP!AF108</f>
        <v>3EHIJK</v>
      </c>
      <c r="N153" s="25"/>
      <c r="O153" s="25"/>
      <c r="P153" s="25"/>
      <c r="Q153" s="25"/>
      <c r="R153" s="108"/>
      <c r="S153" s="796" t="s">
        <v>1634</v>
      </c>
      <c r="T153" s="72">
        <f t="shared" ca="1" si="5239"/>
        <v>0</v>
      </c>
      <c r="U153" s="63"/>
      <c r="V153" s="73" t="s">
        <v>1634</v>
      </c>
      <c r="W153" s="72">
        <f t="shared" ca="1" si="5240"/>
        <v>0</v>
      </c>
      <c r="X153" s="63"/>
      <c r="Y153" s="796" t="s">
        <v>1267</v>
      </c>
      <c r="Z153" s="72">
        <f t="shared" ca="1" si="5241"/>
        <v>0</v>
      </c>
      <c r="AA153" s="63"/>
      <c r="AB153" s="796" t="s">
        <v>1634</v>
      </c>
      <c r="AC153" s="72">
        <f t="shared" ca="1" si="5242"/>
        <v>0</v>
      </c>
      <c r="AD153" s="63"/>
      <c r="AE153" s="796" t="s">
        <v>1634</v>
      </c>
      <c r="AF153" s="72">
        <f t="shared" ca="1" si="5243"/>
        <v>0</v>
      </c>
      <c r="AG153" s="63"/>
      <c r="AH153" s="796" t="s">
        <v>1267</v>
      </c>
      <c r="AI153" s="72">
        <f t="shared" ca="1" si="5244"/>
        <v>0</v>
      </c>
      <c r="AJ153" s="63"/>
      <c r="AK153" s="806" t="s">
        <v>1634</v>
      </c>
      <c r="AL153" s="72">
        <f t="shared" ca="1" si="5245"/>
        <v>0</v>
      </c>
      <c r="AM153" s="63"/>
      <c r="AN153" s="796" t="s">
        <v>1634</v>
      </c>
      <c r="AO153" s="72">
        <f t="shared" ca="1" si="5246"/>
        <v>0</v>
      </c>
      <c r="AP153" s="63"/>
      <c r="AQ153" s="806" t="s">
        <v>1634</v>
      </c>
      <c r="AR153" s="72">
        <f t="shared" ca="1" si="5247"/>
        <v>0</v>
      </c>
      <c r="AS153" s="63"/>
      <c r="AT153" s="796" t="s">
        <v>135</v>
      </c>
      <c r="AU153" s="72">
        <f t="shared" ca="1" si="5248"/>
        <v>0</v>
      </c>
      <c r="AV153" s="63"/>
      <c r="AW153" s="796" t="s">
        <v>1634</v>
      </c>
      <c r="AX153" s="72">
        <f t="shared" ca="1" si="5249"/>
        <v>0</v>
      </c>
      <c r="AY153" s="63"/>
      <c r="AZ153" s="796" t="s">
        <v>135</v>
      </c>
      <c r="BA153" s="72">
        <f t="shared" ca="1" si="5250"/>
        <v>0</v>
      </c>
      <c r="BB153" s="63"/>
      <c r="BC153" s="796" t="s">
        <v>135</v>
      </c>
      <c r="BD153" s="72">
        <f t="shared" ca="1" si="5251"/>
        <v>0</v>
      </c>
      <c r="BE153" s="63"/>
      <c r="BF153" s="796" t="s">
        <v>1634</v>
      </c>
      <c r="BG153" s="72">
        <f t="shared" ca="1" si="5252"/>
        <v>0</v>
      </c>
      <c r="BH153" s="63"/>
      <c r="BI153" s="796" t="s">
        <v>1558</v>
      </c>
      <c r="BJ153" s="72">
        <f t="shared" ca="1" si="5253"/>
        <v>0</v>
      </c>
      <c r="BK153" s="63"/>
      <c r="BL153" s="796" t="s">
        <v>1267</v>
      </c>
      <c r="BM153" s="72">
        <f t="shared" ca="1" si="5254"/>
        <v>0</v>
      </c>
      <c r="BN153" s="63"/>
      <c r="BO153" s="816" t="s">
        <v>135</v>
      </c>
      <c r="BP153" s="72">
        <f t="shared" ca="1" si="5255"/>
        <v>0</v>
      </c>
      <c r="BQ153" s="63"/>
      <c r="BR153" s="796" t="s">
        <v>1634</v>
      </c>
      <c r="BS153" s="72">
        <f t="shared" ca="1" si="5256"/>
        <v>0</v>
      </c>
      <c r="BT153" s="63"/>
      <c r="BU153" s="796" t="s">
        <v>1634</v>
      </c>
      <c r="BV153" s="72">
        <f t="shared" ca="1" si="5257"/>
        <v>0</v>
      </c>
      <c r="BW153" s="63"/>
      <c r="BX153" s="73" t="s">
        <v>1634</v>
      </c>
      <c r="BY153" s="72">
        <f t="shared" ca="1" si="5258"/>
        <v>0</v>
      </c>
      <c r="BZ153" s="63"/>
      <c r="CA153" s="816" t="s">
        <v>135</v>
      </c>
      <c r="CB153" s="72">
        <f t="shared" ca="1" si="5259"/>
        <v>0</v>
      </c>
      <c r="CC153" s="63"/>
      <c r="CD153" s="825" t="s">
        <v>1558</v>
      </c>
      <c r="CE153" s="72">
        <f t="shared" ca="1" si="5260"/>
        <v>0</v>
      </c>
      <c r="CF153" s="63"/>
      <c r="CG153" s="796" t="s">
        <v>1634</v>
      </c>
      <c r="CH153" s="72">
        <f t="shared" ca="1" si="5261"/>
        <v>0</v>
      </c>
      <c r="CI153" s="63"/>
      <c r="CJ153" s="796" t="s">
        <v>80</v>
      </c>
      <c r="CK153" s="72">
        <f t="shared" ca="1" si="5262"/>
        <v>0</v>
      </c>
      <c r="CL153" s="63"/>
      <c r="CM153" s="796" t="s">
        <v>1633</v>
      </c>
      <c r="CN153" s="72">
        <f t="shared" ca="1" si="5263"/>
        <v>0</v>
      </c>
      <c r="CO153" s="63"/>
      <c r="CP153" s="796" t="s">
        <v>1634</v>
      </c>
      <c r="CQ153" s="72">
        <f t="shared" ca="1" si="5264"/>
        <v>0</v>
      </c>
      <c r="CR153" s="63"/>
      <c r="CS153" s="796" t="s">
        <v>1634</v>
      </c>
      <c r="CT153" s="72">
        <f t="shared" ca="1" si="5265"/>
        <v>0</v>
      </c>
      <c r="CU153" s="63"/>
      <c r="CV153" s="796" t="s">
        <v>1634</v>
      </c>
      <c r="CW153" s="72">
        <f t="shared" ca="1" si="5266"/>
        <v>0</v>
      </c>
      <c r="CX153" s="63"/>
      <c r="CY153" s="796" t="s">
        <v>135</v>
      </c>
      <c r="CZ153" s="72">
        <f t="shared" ca="1" si="5267"/>
        <v>0</v>
      </c>
      <c r="DA153" s="63"/>
      <c r="DB153" s="796" t="s">
        <v>1839</v>
      </c>
      <c r="DC153" s="72">
        <f t="shared" ca="1" si="5268"/>
        <v>0</v>
      </c>
      <c r="DD153" s="63"/>
      <c r="DE153" s="796" t="s">
        <v>1634</v>
      </c>
      <c r="DF153" s="72">
        <f t="shared" ca="1" si="5269"/>
        <v>0</v>
      </c>
      <c r="DG153" s="63"/>
      <c r="DH153" s="796" t="s">
        <v>1634</v>
      </c>
      <c r="DI153" s="72">
        <f t="shared" ca="1" si="5270"/>
        <v>0</v>
      </c>
      <c r="DJ153" s="63"/>
      <c r="DK153" s="796" t="s">
        <v>1634</v>
      </c>
      <c r="DL153" s="72">
        <f t="shared" ca="1" si="5271"/>
        <v>0</v>
      </c>
      <c r="DM153" s="63"/>
      <c r="DN153" s="73"/>
      <c r="DO153" s="72">
        <f t="shared" ca="1" si="5272"/>
        <v>0</v>
      </c>
      <c r="DP153" s="63"/>
      <c r="DQ153" s="796" t="s">
        <v>80</v>
      </c>
      <c r="DR153" s="72">
        <f t="shared" ca="1" si="5273"/>
        <v>0</v>
      </c>
      <c r="DS153" s="63"/>
      <c r="DT153" s="73" t="s">
        <v>1558</v>
      </c>
      <c r="DU153" s="72">
        <f t="shared" ca="1" si="5274"/>
        <v>0</v>
      </c>
      <c r="DV153" s="63"/>
      <c r="DW153" s="73"/>
      <c r="DX153" s="72">
        <f t="shared" ca="1" si="5275"/>
        <v>0</v>
      </c>
      <c r="DY153" s="63"/>
      <c r="DZ153" s="73"/>
      <c r="EA153" s="72">
        <f t="shared" ca="1" si="5276"/>
        <v>0</v>
      </c>
      <c r="EB153" s="63"/>
      <c r="EC153" s="73"/>
      <c r="ED153" s="72">
        <f t="shared" ca="1" si="5277"/>
        <v>0</v>
      </c>
      <c r="EE153" s="63"/>
      <c r="EF153" s="73"/>
      <c r="EG153" s="72">
        <f t="shared" ca="1" si="5278"/>
        <v>0</v>
      </c>
      <c r="EH153" s="63"/>
      <c r="EI153" s="73"/>
      <c r="EJ153" s="72">
        <f t="shared" ca="1" si="5279"/>
        <v>0</v>
      </c>
      <c r="EK153" s="63"/>
      <c r="EL153" s="73"/>
      <c r="EM153" s="72">
        <f t="shared" ca="1" si="5280"/>
        <v>0</v>
      </c>
      <c r="EN153" s="63"/>
      <c r="EO153" s="73"/>
      <c r="EP153" s="72">
        <f t="shared" ca="1" si="5281"/>
        <v>0</v>
      </c>
      <c r="EQ153" s="63"/>
      <c r="ER153" s="73"/>
      <c r="ES153" s="72">
        <f t="shared" ca="1" si="5282"/>
        <v>0</v>
      </c>
      <c r="ET153" s="63"/>
      <c r="EU153" s="73"/>
      <c r="EV153" s="72">
        <f t="shared" ca="1" si="5283"/>
        <v>0</v>
      </c>
      <c r="EW153" s="63"/>
      <c r="EX153" s="73"/>
      <c r="EY153" s="72">
        <f t="shared" ca="1" si="5284"/>
        <v>0</v>
      </c>
      <c r="EZ153" s="63"/>
      <c r="FA153" s="73"/>
      <c r="FB153" s="72">
        <f t="shared" ca="1" si="5285"/>
        <v>0</v>
      </c>
      <c r="FC153" s="63"/>
      <c r="FD153" s="73"/>
      <c r="FE153" s="72">
        <f t="shared" ca="1" si="5286"/>
        <v>0</v>
      </c>
      <c r="FF153" s="63"/>
      <c r="FG153" s="73"/>
      <c r="FH153" s="72">
        <f t="shared" ca="1" si="5287"/>
        <v>0</v>
      </c>
      <c r="FI153" s="63"/>
      <c r="FJ153" s="73"/>
      <c r="FK153" s="72">
        <f t="shared" ca="1" si="5288"/>
        <v>0</v>
      </c>
      <c r="FL153" s="63"/>
      <c r="FM153" s="73"/>
      <c r="FN153" s="72">
        <f t="shared" ca="1" si="5289"/>
        <v>0</v>
      </c>
      <c r="FO153" s="63"/>
      <c r="FP153" s="73"/>
      <c r="FQ153" s="72">
        <f t="shared" ca="1" si="5290"/>
        <v>0</v>
      </c>
      <c r="FR153" s="63"/>
      <c r="FS153" s="73"/>
      <c r="FT153" s="72">
        <f t="shared" ca="1" si="5291"/>
        <v>0</v>
      </c>
      <c r="FU153" s="63"/>
      <c r="FV153" s="73"/>
      <c r="FW153" s="72">
        <f t="shared" ca="1" si="5292"/>
        <v>0</v>
      </c>
      <c r="FX153" s="63"/>
      <c r="FY153" s="73"/>
      <c r="FZ153" s="72">
        <f t="shared" ca="1" si="5293"/>
        <v>0</v>
      </c>
      <c r="GA153" s="63"/>
      <c r="GB153" s="73"/>
      <c r="GC153" s="72">
        <f t="shared" ca="1" si="5294"/>
        <v>0</v>
      </c>
      <c r="GD153" s="63"/>
      <c r="GE153" s="73"/>
      <c r="GF153" s="72">
        <f t="shared" ca="1" si="5295"/>
        <v>0</v>
      </c>
      <c r="GG153" s="63"/>
      <c r="GH153" s="73"/>
      <c r="GI153" s="72">
        <f t="shared" ca="1" si="5296"/>
        <v>0</v>
      </c>
      <c r="GJ153" s="63"/>
      <c r="GK153" s="73"/>
      <c r="GL153" s="72">
        <f t="shared" ca="1" si="5297"/>
        <v>0</v>
      </c>
      <c r="GM153" s="63"/>
      <c r="GN153" s="73"/>
      <c r="GO153" s="72">
        <f t="shared" ca="1" si="5298"/>
        <v>0</v>
      </c>
      <c r="GP153" s="63"/>
      <c r="GQ153" s="73"/>
      <c r="GR153" s="72">
        <f t="shared" ca="1" si="5299"/>
        <v>0</v>
      </c>
      <c r="GS153" s="63"/>
      <c r="GT153" s="73"/>
      <c r="GU153" s="72">
        <f t="shared" ca="1" si="5300"/>
        <v>0</v>
      </c>
      <c r="GV153" s="63"/>
      <c r="GW153" s="73"/>
      <c r="GX153" s="72">
        <f t="shared" ca="1" si="5301"/>
        <v>0</v>
      </c>
      <c r="GY153" s="63"/>
      <c r="GZ153" s="73"/>
      <c r="HA153" s="72">
        <f t="shared" ca="1" si="5302"/>
        <v>0</v>
      </c>
      <c r="HB153" s="63"/>
      <c r="HC153" s="73"/>
      <c r="HD153" s="72">
        <f t="shared" ca="1" si="5303"/>
        <v>0</v>
      </c>
      <c r="HE153" s="63"/>
      <c r="HF153" s="73"/>
      <c r="HG153" s="72">
        <f t="shared" ca="1" si="5304"/>
        <v>0</v>
      </c>
      <c r="HH153" s="63"/>
      <c r="HI153" s="73"/>
      <c r="HJ153" s="72">
        <f t="shared" ca="1" si="5305"/>
        <v>0</v>
      </c>
      <c r="HK153" s="63"/>
      <c r="HL153" s="73"/>
      <c r="HM153" s="72">
        <f t="shared" ca="1" si="5306"/>
        <v>0</v>
      </c>
      <c r="HN153" s="63"/>
      <c r="HO153" s="73"/>
      <c r="HP153" s="72">
        <f t="shared" ca="1" si="5307"/>
        <v>0</v>
      </c>
      <c r="HQ153" s="63"/>
      <c r="HR153" s="73"/>
      <c r="HS153" s="72">
        <f t="shared" ca="1" si="5308"/>
        <v>0</v>
      </c>
      <c r="HT153" s="63"/>
      <c r="HU153" s="73"/>
      <c r="HV153" s="72">
        <f t="shared" ca="1" si="5309"/>
        <v>0</v>
      </c>
      <c r="HW153" s="63"/>
      <c r="HX153" s="73"/>
      <c r="HY153" s="72">
        <f t="shared" ca="1" si="5310"/>
        <v>0</v>
      </c>
      <c r="HZ153" s="63"/>
      <c r="IA153" s="73"/>
      <c r="IB153" s="72">
        <f t="shared" ca="1" si="5311"/>
        <v>0</v>
      </c>
      <c r="IC153" s="63"/>
      <c r="ID153" s="73"/>
      <c r="IE153" s="72">
        <f t="shared" ca="1" si="5312"/>
        <v>0</v>
      </c>
      <c r="IF153" s="63"/>
      <c r="IG153" s="73"/>
      <c r="IH153" s="72">
        <f t="shared" ca="1" si="5313"/>
        <v>0</v>
      </c>
      <c r="II153" s="63"/>
      <c r="IJ153" s="73"/>
      <c r="IK153" s="72">
        <f t="shared" ca="1" si="5314"/>
        <v>0</v>
      </c>
      <c r="IL153" s="63"/>
      <c r="IM153" s="73"/>
      <c r="IN153" s="72">
        <f t="shared" ca="1" si="5315"/>
        <v>0</v>
      </c>
      <c r="IO153" s="63"/>
      <c r="IP153" s="73"/>
      <c r="IQ153" s="72">
        <f t="shared" ca="1" si="5316"/>
        <v>0</v>
      </c>
      <c r="IR153" s="63"/>
      <c r="IS153" s="73"/>
      <c r="IT153" s="72">
        <f t="shared" ca="1" si="5317"/>
        <v>0</v>
      </c>
      <c r="IU153" s="63"/>
      <c r="IV153" s="73"/>
      <c r="IW153" s="72">
        <f t="shared" ca="1" si="5318"/>
        <v>0</v>
      </c>
      <c r="IX153" s="63"/>
      <c r="IY153" s="73"/>
      <c r="IZ153" s="72">
        <f t="shared" ca="1" si="5319"/>
        <v>0</v>
      </c>
      <c r="JA153" s="63"/>
      <c r="JB153" s="73"/>
      <c r="JC153" s="72">
        <f t="shared" ca="1" si="5320"/>
        <v>0</v>
      </c>
      <c r="JD153" s="63"/>
      <c r="JE153" s="73"/>
      <c r="JF153" s="72">
        <f t="shared" ca="1" si="5321"/>
        <v>0</v>
      </c>
      <c r="JG153" s="63"/>
      <c r="JH153" s="73"/>
      <c r="JI153" s="72">
        <f t="shared" ca="1" si="5322"/>
        <v>0</v>
      </c>
      <c r="JJ153" s="63"/>
      <c r="JK153" s="73"/>
      <c r="JL153" s="72">
        <f t="shared" ca="1" si="5323"/>
        <v>0</v>
      </c>
      <c r="JM153" s="63"/>
      <c r="JN153" s="73"/>
      <c r="JO153" s="72">
        <f t="shared" ca="1" si="5324"/>
        <v>0</v>
      </c>
      <c r="JP153" s="63"/>
      <c r="JQ153" s="73"/>
      <c r="JR153" s="72">
        <f t="shared" ca="1" si="5325"/>
        <v>0</v>
      </c>
      <c r="JS153" s="63"/>
      <c r="JT153" s="73"/>
      <c r="JU153" s="72">
        <f t="shared" ca="1" si="5326"/>
        <v>0</v>
      </c>
      <c r="JV153" s="63"/>
      <c r="JW153" s="73"/>
      <c r="JX153" s="72">
        <f t="shared" ca="1" si="5327"/>
        <v>0</v>
      </c>
      <c r="JY153" s="63"/>
      <c r="JZ153" s="73"/>
      <c r="KA153" s="72">
        <f t="shared" ca="1" si="5328"/>
        <v>0</v>
      </c>
      <c r="KB153" s="63"/>
      <c r="KC153" s="73"/>
      <c r="KD153" s="72">
        <f t="shared" ca="1" si="5329"/>
        <v>0</v>
      </c>
      <c r="KE153" s="63"/>
      <c r="KF153" s="73"/>
      <c r="KG153" s="72">
        <f t="shared" ca="1" si="5330"/>
        <v>0</v>
      </c>
      <c r="KH153" s="63"/>
      <c r="KI153" s="73"/>
      <c r="KJ153" s="72">
        <f t="shared" ca="1" si="5331"/>
        <v>0</v>
      </c>
      <c r="KK153" s="63"/>
      <c r="KL153" s="73"/>
      <c r="KM153" s="72">
        <f t="shared" ca="1" si="5332"/>
        <v>0</v>
      </c>
      <c r="KN153" s="63"/>
      <c r="KO153" s="73"/>
      <c r="KP153" s="72">
        <f t="shared" ca="1" si="5333"/>
        <v>0</v>
      </c>
      <c r="KQ153" s="63"/>
      <c r="KR153" s="73"/>
      <c r="KS153" s="72">
        <f t="shared" ca="1" si="5334"/>
        <v>0</v>
      </c>
      <c r="KT153" s="63"/>
      <c r="KU153" s="73"/>
      <c r="KV153" s="72">
        <f t="shared" ca="1" si="5335"/>
        <v>0</v>
      </c>
      <c r="KW153" s="63"/>
      <c r="KX153" s="73"/>
      <c r="KY153" s="72">
        <f t="shared" ca="1" si="5336"/>
        <v>0</v>
      </c>
      <c r="KZ153" s="63"/>
      <c r="LA153" s="73"/>
      <c r="LB153" s="72">
        <f t="shared" ca="1" si="5337"/>
        <v>0</v>
      </c>
      <c r="LC153" s="63"/>
      <c r="LD153" s="73"/>
      <c r="LE153" s="72">
        <f t="shared" ca="1" si="5338"/>
        <v>0</v>
      </c>
      <c r="LF153" s="63"/>
    </row>
    <row r="154" spans="1:318" s="784" customFormat="1">
      <c r="A154" s="49"/>
      <c r="B154" s="49"/>
      <c r="C154" s="49"/>
      <c r="D154" s="49"/>
      <c r="E154" s="64"/>
      <c r="F154" s="125">
        <f t="shared" si="5339"/>
        <v>15</v>
      </c>
      <c r="G154" s="443">
        <f ca="1">VLOOKUP(H154,Equipos!$Q$1:$R$25,2,0)</f>
        <v>19</v>
      </c>
      <c r="H154" s="445" t="str">
        <f>Idiomas!$D$137</f>
        <v>CLASIFICADOS PARA DIECISEISAVOS</v>
      </c>
      <c r="I154" s="50"/>
      <c r="J154" s="843"/>
      <c r="K154" s="56" t="str">
        <f>Idiomas!$D$198&amp;"-"&amp;ROWS($L$130:L154)</f>
        <v>Dieciseisavofinalista-25</v>
      </c>
      <c r="L154" s="53"/>
      <c r="M154" s="55" t="str">
        <f ca="1">WORLDCUP!AF109</f>
        <v>3AEHIJ</v>
      </c>
      <c r="N154" s="25"/>
      <c r="O154" s="25"/>
      <c r="P154" s="25"/>
      <c r="Q154" s="25"/>
      <c r="R154" s="108"/>
      <c r="S154" s="796" t="s">
        <v>1318</v>
      </c>
      <c r="T154" s="72">
        <f t="shared" ca="1" si="5239"/>
        <v>0</v>
      </c>
      <c r="U154" s="63"/>
      <c r="V154" s="73" t="s">
        <v>1843</v>
      </c>
      <c r="W154" s="72">
        <f t="shared" ca="1" si="5240"/>
        <v>0</v>
      </c>
      <c r="X154" s="63"/>
      <c r="Y154" s="796" t="s">
        <v>1630</v>
      </c>
      <c r="Z154" s="72">
        <f t="shared" ca="1" si="5241"/>
        <v>0</v>
      </c>
      <c r="AA154" s="63"/>
      <c r="AB154" s="796" t="s">
        <v>1260</v>
      </c>
      <c r="AC154" s="72">
        <f t="shared" ca="1" si="5242"/>
        <v>0</v>
      </c>
      <c r="AD154" s="63"/>
      <c r="AE154" s="796" t="s">
        <v>1843</v>
      </c>
      <c r="AF154" s="72">
        <f t="shared" ca="1" si="5243"/>
        <v>0</v>
      </c>
      <c r="AG154" s="63"/>
      <c r="AH154" s="796" t="s">
        <v>1265</v>
      </c>
      <c r="AI154" s="72">
        <f t="shared" ca="1" si="5244"/>
        <v>0</v>
      </c>
      <c r="AJ154" s="63"/>
      <c r="AK154" s="806" t="s">
        <v>1843</v>
      </c>
      <c r="AL154" s="72">
        <f t="shared" ca="1" si="5245"/>
        <v>0</v>
      </c>
      <c r="AM154" s="63"/>
      <c r="AN154" s="796" t="s">
        <v>1630</v>
      </c>
      <c r="AO154" s="72">
        <f t="shared" ca="1" si="5246"/>
        <v>0</v>
      </c>
      <c r="AP154" s="63"/>
      <c r="AQ154" s="806" t="s">
        <v>1260</v>
      </c>
      <c r="AR154" s="72">
        <f t="shared" ca="1" si="5247"/>
        <v>0</v>
      </c>
      <c r="AS154" s="63"/>
      <c r="AT154" s="796" t="s">
        <v>1843</v>
      </c>
      <c r="AU154" s="72">
        <f t="shared" ca="1" si="5248"/>
        <v>0</v>
      </c>
      <c r="AV154" s="63"/>
      <c r="AW154" s="796" t="s">
        <v>1260</v>
      </c>
      <c r="AX154" s="72">
        <f t="shared" ca="1" si="5249"/>
        <v>0</v>
      </c>
      <c r="AY154" s="63"/>
      <c r="AZ154" s="796" t="s">
        <v>1843</v>
      </c>
      <c r="BA154" s="72">
        <f t="shared" ca="1" si="5250"/>
        <v>0</v>
      </c>
      <c r="BB154" s="63"/>
      <c r="BC154" s="796" t="s">
        <v>1843</v>
      </c>
      <c r="BD154" s="72">
        <f t="shared" ca="1" si="5251"/>
        <v>0</v>
      </c>
      <c r="BE154" s="63"/>
      <c r="BF154" s="796" t="s">
        <v>1630</v>
      </c>
      <c r="BG154" s="72">
        <f t="shared" ca="1" si="5252"/>
        <v>0</v>
      </c>
      <c r="BH154" s="63"/>
      <c r="BI154" s="796" t="s">
        <v>1260</v>
      </c>
      <c r="BJ154" s="72">
        <f t="shared" ca="1" si="5253"/>
        <v>0</v>
      </c>
      <c r="BK154" s="63"/>
      <c r="BL154" s="796" t="s">
        <v>1260</v>
      </c>
      <c r="BM154" s="72">
        <f t="shared" ca="1" si="5254"/>
        <v>0</v>
      </c>
      <c r="BN154" s="63"/>
      <c r="BO154" s="816" t="s">
        <v>1260</v>
      </c>
      <c r="BP154" s="72">
        <f t="shared" ca="1" si="5255"/>
        <v>0</v>
      </c>
      <c r="BQ154" s="63"/>
      <c r="BR154" s="796" t="s">
        <v>1843</v>
      </c>
      <c r="BS154" s="72">
        <f t="shared" ca="1" si="5256"/>
        <v>0</v>
      </c>
      <c r="BT154" s="63"/>
      <c r="BU154" s="796" t="s">
        <v>1558</v>
      </c>
      <c r="BV154" s="72">
        <f t="shared" ca="1" si="5257"/>
        <v>0</v>
      </c>
      <c r="BW154" s="63"/>
      <c r="BX154" s="73" t="s">
        <v>1632</v>
      </c>
      <c r="BY154" s="72">
        <f t="shared" ca="1" si="5258"/>
        <v>0</v>
      </c>
      <c r="BZ154" s="63"/>
      <c r="CA154" s="816" t="s">
        <v>1630</v>
      </c>
      <c r="CB154" s="72">
        <f t="shared" ca="1" si="5259"/>
        <v>0</v>
      </c>
      <c r="CC154" s="63"/>
      <c r="CD154" s="825" t="s">
        <v>1265</v>
      </c>
      <c r="CE154" s="72">
        <f t="shared" ca="1" si="5260"/>
        <v>0</v>
      </c>
      <c r="CF154" s="63"/>
      <c r="CG154" s="796" t="s">
        <v>1843</v>
      </c>
      <c r="CH154" s="72">
        <f t="shared" ca="1" si="5261"/>
        <v>0</v>
      </c>
      <c r="CI154" s="63"/>
      <c r="CJ154" s="796" t="s">
        <v>1260</v>
      </c>
      <c r="CK154" s="72">
        <f t="shared" ca="1" si="5262"/>
        <v>0</v>
      </c>
      <c r="CL154" s="63"/>
      <c r="CM154" s="796" t="s">
        <v>1260</v>
      </c>
      <c r="CN154" s="72">
        <f t="shared" ca="1" si="5263"/>
        <v>0</v>
      </c>
      <c r="CO154" s="63"/>
      <c r="CP154" s="796" t="s">
        <v>1632</v>
      </c>
      <c r="CQ154" s="72">
        <f t="shared" ca="1" si="5264"/>
        <v>0</v>
      </c>
      <c r="CR154" s="63"/>
      <c r="CS154" s="796" t="s">
        <v>1843</v>
      </c>
      <c r="CT154" s="72">
        <f t="shared" ca="1" si="5265"/>
        <v>0</v>
      </c>
      <c r="CU154" s="63"/>
      <c r="CV154" s="796" t="s">
        <v>1632</v>
      </c>
      <c r="CW154" s="72">
        <f t="shared" ca="1" si="5266"/>
        <v>0</v>
      </c>
      <c r="CX154" s="63"/>
      <c r="CY154" s="796" t="s">
        <v>80</v>
      </c>
      <c r="CZ154" s="72">
        <f t="shared" ca="1" si="5267"/>
        <v>0</v>
      </c>
      <c r="DA154" s="63"/>
      <c r="DB154" s="796" t="s">
        <v>1634</v>
      </c>
      <c r="DC154" s="72">
        <f t="shared" ca="1" si="5268"/>
        <v>0</v>
      </c>
      <c r="DD154" s="63"/>
      <c r="DE154" s="796" t="s">
        <v>1843</v>
      </c>
      <c r="DF154" s="72">
        <f t="shared" ca="1" si="5269"/>
        <v>0</v>
      </c>
      <c r="DG154" s="63"/>
      <c r="DH154" s="796" t="s">
        <v>1260</v>
      </c>
      <c r="DI154" s="72">
        <f t="shared" ca="1" si="5270"/>
        <v>0</v>
      </c>
      <c r="DJ154" s="63"/>
      <c r="DK154" s="796" t="s">
        <v>1843</v>
      </c>
      <c r="DL154" s="72">
        <f t="shared" ca="1" si="5271"/>
        <v>0</v>
      </c>
      <c r="DM154" s="63"/>
      <c r="DN154" s="73"/>
      <c r="DO154" s="72">
        <f t="shared" ca="1" si="5272"/>
        <v>0</v>
      </c>
      <c r="DP154" s="63"/>
      <c r="DQ154" s="796" t="s">
        <v>1265</v>
      </c>
      <c r="DR154" s="72">
        <f t="shared" ca="1" si="5273"/>
        <v>0</v>
      </c>
      <c r="DS154" s="63"/>
      <c r="DT154" s="73" t="s">
        <v>1843</v>
      </c>
      <c r="DU154" s="72">
        <f t="shared" ca="1" si="5274"/>
        <v>0</v>
      </c>
      <c r="DV154" s="63"/>
      <c r="DW154" s="73"/>
      <c r="DX154" s="72">
        <f t="shared" ca="1" si="5275"/>
        <v>0</v>
      </c>
      <c r="DY154" s="63"/>
      <c r="DZ154" s="73"/>
      <c r="EA154" s="72">
        <f t="shared" ca="1" si="5276"/>
        <v>0</v>
      </c>
      <c r="EB154" s="63"/>
      <c r="EC154" s="73"/>
      <c r="ED154" s="72">
        <f t="shared" ca="1" si="5277"/>
        <v>0</v>
      </c>
      <c r="EE154" s="63"/>
      <c r="EF154" s="73"/>
      <c r="EG154" s="72">
        <f t="shared" ca="1" si="5278"/>
        <v>0</v>
      </c>
      <c r="EH154" s="63"/>
      <c r="EI154" s="73"/>
      <c r="EJ154" s="72">
        <f t="shared" ca="1" si="5279"/>
        <v>0</v>
      </c>
      <c r="EK154" s="63"/>
      <c r="EL154" s="73"/>
      <c r="EM154" s="72">
        <f t="shared" ca="1" si="5280"/>
        <v>0</v>
      </c>
      <c r="EN154" s="63"/>
      <c r="EO154" s="73"/>
      <c r="EP154" s="72">
        <f t="shared" ca="1" si="5281"/>
        <v>0</v>
      </c>
      <c r="EQ154" s="63"/>
      <c r="ER154" s="73"/>
      <c r="ES154" s="72">
        <f t="shared" ca="1" si="5282"/>
        <v>0</v>
      </c>
      <c r="ET154" s="63"/>
      <c r="EU154" s="73"/>
      <c r="EV154" s="72">
        <f t="shared" ca="1" si="5283"/>
        <v>0</v>
      </c>
      <c r="EW154" s="63"/>
      <c r="EX154" s="73"/>
      <c r="EY154" s="72">
        <f t="shared" ca="1" si="5284"/>
        <v>0</v>
      </c>
      <c r="EZ154" s="63"/>
      <c r="FA154" s="73"/>
      <c r="FB154" s="72">
        <f t="shared" ca="1" si="5285"/>
        <v>0</v>
      </c>
      <c r="FC154" s="63"/>
      <c r="FD154" s="73"/>
      <c r="FE154" s="72">
        <f t="shared" ca="1" si="5286"/>
        <v>0</v>
      </c>
      <c r="FF154" s="63"/>
      <c r="FG154" s="73"/>
      <c r="FH154" s="72">
        <f t="shared" ca="1" si="5287"/>
        <v>0</v>
      </c>
      <c r="FI154" s="63"/>
      <c r="FJ154" s="73"/>
      <c r="FK154" s="72">
        <f t="shared" ca="1" si="5288"/>
        <v>0</v>
      </c>
      <c r="FL154" s="63"/>
      <c r="FM154" s="73"/>
      <c r="FN154" s="72">
        <f t="shared" ca="1" si="5289"/>
        <v>0</v>
      </c>
      <c r="FO154" s="63"/>
      <c r="FP154" s="73"/>
      <c r="FQ154" s="72">
        <f t="shared" ca="1" si="5290"/>
        <v>0</v>
      </c>
      <c r="FR154" s="63"/>
      <c r="FS154" s="73"/>
      <c r="FT154" s="72">
        <f t="shared" ca="1" si="5291"/>
        <v>0</v>
      </c>
      <c r="FU154" s="63"/>
      <c r="FV154" s="73"/>
      <c r="FW154" s="72">
        <f t="shared" ca="1" si="5292"/>
        <v>0</v>
      </c>
      <c r="FX154" s="63"/>
      <c r="FY154" s="73"/>
      <c r="FZ154" s="72">
        <f t="shared" ca="1" si="5293"/>
        <v>0</v>
      </c>
      <c r="GA154" s="63"/>
      <c r="GB154" s="73"/>
      <c r="GC154" s="72">
        <f t="shared" ca="1" si="5294"/>
        <v>0</v>
      </c>
      <c r="GD154" s="63"/>
      <c r="GE154" s="73"/>
      <c r="GF154" s="72">
        <f t="shared" ca="1" si="5295"/>
        <v>0</v>
      </c>
      <c r="GG154" s="63"/>
      <c r="GH154" s="73"/>
      <c r="GI154" s="72">
        <f t="shared" ca="1" si="5296"/>
        <v>0</v>
      </c>
      <c r="GJ154" s="63"/>
      <c r="GK154" s="73"/>
      <c r="GL154" s="72">
        <f t="shared" ca="1" si="5297"/>
        <v>0</v>
      </c>
      <c r="GM154" s="63"/>
      <c r="GN154" s="73"/>
      <c r="GO154" s="72">
        <f t="shared" ca="1" si="5298"/>
        <v>0</v>
      </c>
      <c r="GP154" s="63"/>
      <c r="GQ154" s="73"/>
      <c r="GR154" s="72">
        <f t="shared" ca="1" si="5299"/>
        <v>0</v>
      </c>
      <c r="GS154" s="63"/>
      <c r="GT154" s="73"/>
      <c r="GU154" s="72">
        <f t="shared" ca="1" si="5300"/>
        <v>0</v>
      </c>
      <c r="GV154" s="63"/>
      <c r="GW154" s="73"/>
      <c r="GX154" s="72">
        <f t="shared" ca="1" si="5301"/>
        <v>0</v>
      </c>
      <c r="GY154" s="63"/>
      <c r="GZ154" s="73"/>
      <c r="HA154" s="72">
        <f t="shared" ca="1" si="5302"/>
        <v>0</v>
      </c>
      <c r="HB154" s="63"/>
      <c r="HC154" s="73"/>
      <c r="HD154" s="72">
        <f t="shared" ca="1" si="5303"/>
        <v>0</v>
      </c>
      <c r="HE154" s="63"/>
      <c r="HF154" s="73"/>
      <c r="HG154" s="72">
        <f t="shared" ca="1" si="5304"/>
        <v>0</v>
      </c>
      <c r="HH154" s="63"/>
      <c r="HI154" s="73"/>
      <c r="HJ154" s="72">
        <f t="shared" ca="1" si="5305"/>
        <v>0</v>
      </c>
      <c r="HK154" s="63"/>
      <c r="HL154" s="73"/>
      <c r="HM154" s="72">
        <f t="shared" ca="1" si="5306"/>
        <v>0</v>
      </c>
      <c r="HN154" s="63"/>
      <c r="HO154" s="73"/>
      <c r="HP154" s="72">
        <f t="shared" ca="1" si="5307"/>
        <v>0</v>
      </c>
      <c r="HQ154" s="63"/>
      <c r="HR154" s="73"/>
      <c r="HS154" s="72">
        <f t="shared" ca="1" si="5308"/>
        <v>0</v>
      </c>
      <c r="HT154" s="63"/>
      <c r="HU154" s="73"/>
      <c r="HV154" s="72">
        <f t="shared" ca="1" si="5309"/>
        <v>0</v>
      </c>
      <c r="HW154" s="63"/>
      <c r="HX154" s="73"/>
      <c r="HY154" s="72">
        <f t="shared" ca="1" si="5310"/>
        <v>0</v>
      </c>
      <c r="HZ154" s="63"/>
      <c r="IA154" s="73"/>
      <c r="IB154" s="72">
        <f t="shared" ca="1" si="5311"/>
        <v>0</v>
      </c>
      <c r="IC154" s="63"/>
      <c r="ID154" s="73"/>
      <c r="IE154" s="72">
        <f t="shared" ca="1" si="5312"/>
        <v>0</v>
      </c>
      <c r="IF154" s="63"/>
      <c r="IG154" s="73"/>
      <c r="IH154" s="72">
        <f t="shared" ca="1" si="5313"/>
        <v>0</v>
      </c>
      <c r="II154" s="63"/>
      <c r="IJ154" s="73"/>
      <c r="IK154" s="72">
        <f t="shared" ca="1" si="5314"/>
        <v>0</v>
      </c>
      <c r="IL154" s="63"/>
      <c r="IM154" s="73"/>
      <c r="IN154" s="72">
        <f t="shared" ca="1" si="5315"/>
        <v>0</v>
      </c>
      <c r="IO154" s="63"/>
      <c r="IP154" s="73"/>
      <c r="IQ154" s="72">
        <f t="shared" ca="1" si="5316"/>
        <v>0</v>
      </c>
      <c r="IR154" s="63"/>
      <c r="IS154" s="73"/>
      <c r="IT154" s="72">
        <f t="shared" ca="1" si="5317"/>
        <v>0</v>
      </c>
      <c r="IU154" s="63"/>
      <c r="IV154" s="73"/>
      <c r="IW154" s="72">
        <f t="shared" ca="1" si="5318"/>
        <v>0</v>
      </c>
      <c r="IX154" s="63"/>
      <c r="IY154" s="73"/>
      <c r="IZ154" s="72">
        <f t="shared" ca="1" si="5319"/>
        <v>0</v>
      </c>
      <c r="JA154" s="63"/>
      <c r="JB154" s="73"/>
      <c r="JC154" s="72">
        <f t="shared" ca="1" si="5320"/>
        <v>0</v>
      </c>
      <c r="JD154" s="63"/>
      <c r="JE154" s="73"/>
      <c r="JF154" s="72">
        <f t="shared" ca="1" si="5321"/>
        <v>0</v>
      </c>
      <c r="JG154" s="63"/>
      <c r="JH154" s="73"/>
      <c r="JI154" s="72">
        <f t="shared" ca="1" si="5322"/>
        <v>0</v>
      </c>
      <c r="JJ154" s="63"/>
      <c r="JK154" s="73"/>
      <c r="JL154" s="72">
        <f t="shared" ca="1" si="5323"/>
        <v>0</v>
      </c>
      <c r="JM154" s="63"/>
      <c r="JN154" s="73"/>
      <c r="JO154" s="72">
        <f t="shared" ca="1" si="5324"/>
        <v>0</v>
      </c>
      <c r="JP154" s="63"/>
      <c r="JQ154" s="73"/>
      <c r="JR154" s="72">
        <f t="shared" ca="1" si="5325"/>
        <v>0</v>
      </c>
      <c r="JS154" s="63"/>
      <c r="JT154" s="73"/>
      <c r="JU154" s="72">
        <f t="shared" ca="1" si="5326"/>
        <v>0</v>
      </c>
      <c r="JV154" s="63"/>
      <c r="JW154" s="73"/>
      <c r="JX154" s="72">
        <f t="shared" ca="1" si="5327"/>
        <v>0</v>
      </c>
      <c r="JY154" s="63"/>
      <c r="JZ154" s="73"/>
      <c r="KA154" s="72">
        <f t="shared" ca="1" si="5328"/>
        <v>0</v>
      </c>
      <c r="KB154" s="63"/>
      <c r="KC154" s="73"/>
      <c r="KD154" s="72">
        <f t="shared" ca="1" si="5329"/>
        <v>0</v>
      </c>
      <c r="KE154" s="63"/>
      <c r="KF154" s="73"/>
      <c r="KG154" s="72">
        <f t="shared" ca="1" si="5330"/>
        <v>0</v>
      </c>
      <c r="KH154" s="63"/>
      <c r="KI154" s="73"/>
      <c r="KJ154" s="72">
        <f t="shared" ca="1" si="5331"/>
        <v>0</v>
      </c>
      <c r="KK154" s="63"/>
      <c r="KL154" s="73"/>
      <c r="KM154" s="72">
        <f t="shared" ca="1" si="5332"/>
        <v>0</v>
      </c>
      <c r="KN154" s="63"/>
      <c r="KO154" s="73"/>
      <c r="KP154" s="72">
        <f t="shared" ca="1" si="5333"/>
        <v>0</v>
      </c>
      <c r="KQ154" s="63"/>
      <c r="KR154" s="73"/>
      <c r="KS154" s="72">
        <f t="shared" ca="1" si="5334"/>
        <v>0</v>
      </c>
      <c r="KT154" s="63"/>
      <c r="KU154" s="73"/>
      <c r="KV154" s="72">
        <f t="shared" ca="1" si="5335"/>
        <v>0</v>
      </c>
      <c r="KW154" s="63"/>
      <c r="KX154" s="73"/>
      <c r="KY154" s="72">
        <f t="shared" ca="1" si="5336"/>
        <v>0</v>
      </c>
      <c r="KZ154" s="63"/>
      <c r="LA154" s="73"/>
      <c r="LB154" s="72">
        <f t="shared" ca="1" si="5337"/>
        <v>0</v>
      </c>
      <c r="LC154" s="63"/>
      <c r="LD154" s="73"/>
      <c r="LE154" s="72">
        <f t="shared" ca="1" si="5338"/>
        <v>0</v>
      </c>
      <c r="LF154" s="63"/>
    </row>
    <row r="155" spans="1:318" s="784" customFormat="1">
      <c r="A155" s="49"/>
      <c r="B155" s="49"/>
      <c r="C155" s="49"/>
      <c r="D155" s="49"/>
      <c r="E155" s="64"/>
      <c r="F155" s="125">
        <f t="shared" si="5339"/>
        <v>15</v>
      </c>
      <c r="G155" s="443">
        <f ca="1">VLOOKUP(H155,Equipos!$Q$1:$R$25,2,0)</f>
        <v>19</v>
      </c>
      <c r="H155" s="445" t="str">
        <f>Idiomas!$D$137</f>
        <v>CLASIFICADOS PARA DIECISEISAVOS</v>
      </c>
      <c r="I155" s="50"/>
      <c r="J155" s="843"/>
      <c r="K155" s="56" t="str">
        <f>Idiomas!$D$198&amp;"-"&amp;ROWS($L$130:L155)</f>
        <v>Dieciseisavofinalista-26</v>
      </c>
      <c r="L155" s="53"/>
      <c r="M155" s="55" t="str">
        <f ca="1">WORLDCUP!AF110</f>
        <v>3BEFIJ</v>
      </c>
      <c r="N155" s="25"/>
      <c r="O155" s="25"/>
      <c r="P155" s="25"/>
      <c r="Q155" s="25"/>
      <c r="R155" s="108"/>
      <c r="S155" s="796" t="s">
        <v>1631</v>
      </c>
      <c r="T155" s="72">
        <f t="shared" ca="1" si="5239"/>
        <v>0</v>
      </c>
      <c r="U155" s="63"/>
      <c r="V155" s="73" t="s">
        <v>1841</v>
      </c>
      <c r="W155" s="72">
        <f t="shared" ca="1" si="5240"/>
        <v>0</v>
      </c>
      <c r="X155" s="63"/>
      <c r="Y155" s="796" t="s">
        <v>1633</v>
      </c>
      <c r="Z155" s="72">
        <f t="shared" ca="1" si="5241"/>
        <v>0</v>
      </c>
      <c r="AA155" s="63"/>
      <c r="AB155" s="796" t="s">
        <v>1633</v>
      </c>
      <c r="AC155" s="72">
        <f t="shared" ca="1" si="5242"/>
        <v>0</v>
      </c>
      <c r="AD155" s="63"/>
      <c r="AE155" s="796" t="s">
        <v>1558</v>
      </c>
      <c r="AF155" s="72">
        <f t="shared" ca="1" si="5243"/>
        <v>0</v>
      </c>
      <c r="AG155" s="63"/>
      <c r="AH155" s="796" t="s">
        <v>1634</v>
      </c>
      <c r="AI155" s="72">
        <f t="shared" ca="1" si="5244"/>
        <v>0</v>
      </c>
      <c r="AJ155" s="63"/>
      <c r="AK155" s="806" t="s">
        <v>1633</v>
      </c>
      <c r="AL155" s="72">
        <f t="shared" ca="1" si="5245"/>
        <v>0</v>
      </c>
      <c r="AM155" s="63"/>
      <c r="AN155" s="796" t="s">
        <v>1841</v>
      </c>
      <c r="AO155" s="72">
        <f t="shared" ca="1" si="5246"/>
        <v>0</v>
      </c>
      <c r="AP155" s="63"/>
      <c r="AQ155" s="806" t="s">
        <v>1841</v>
      </c>
      <c r="AR155" s="72">
        <f t="shared" ca="1" si="5247"/>
        <v>0</v>
      </c>
      <c r="AS155" s="63"/>
      <c r="AT155" s="796" t="s">
        <v>1633</v>
      </c>
      <c r="AU155" s="72">
        <f t="shared" ca="1" si="5248"/>
        <v>0</v>
      </c>
      <c r="AV155" s="63"/>
      <c r="AW155" s="796" t="s">
        <v>1633</v>
      </c>
      <c r="AX155" s="72">
        <f t="shared" ca="1" si="5249"/>
        <v>0</v>
      </c>
      <c r="AY155" s="63"/>
      <c r="AZ155" s="796" t="s">
        <v>1259</v>
      </c>
      <c r="BA155" s="72">
        <f t="shared" ca="1" si="5250"/>
        <v>0</v>
      </c>
      <c r="BB155" s="63"/>
      <c r="BC155" s="796" t="s">
        <v>1631</v>
      </c>
      <c r="BD155" s="72">
        <f t="shared" ca="1" si="5251"/>
        <v>0</v>
      </c>
      <c r="BE155" s="63"/>
      <c r="BF155" s="796" t="s">
        <v>1841</v>
      </c>
      <c r="BG155" s="72">
        <f t="shared" ca="1" si="5252"/>
        <v>0</v>
      </c>
      <c r="BH155" s="63"/>
      <c r="BI155" s="796" t="s">
        <v>1841</v>
      </c>
      <c r="BJ155" s="72">
        <f t="shared" ca="1" si="5253"/>
        <v>0</v>
      </c>
      <c r="BK155" s="63"/>
      <c r="BL155" s="796" t="s">
        <v>1634</v>
      </c>
      <c r="BM155" s="72">
        <f t="shared" ca="1" si="5254"/>
        <v>0</v>
      </c>
      <c r="BN155" s="63"/>
      <c r="BO155" s="816" t="s">
        <v>1841</v>
      </c>
      <c r="BP155" s="72">
        <f t="shared" ca="1" si="5255"/>
        <v>0</v>
      </c>
      <c r="BQ155" s="63"/>
      <c r="BR155" s="796" t="s">
        <v>1841</v>
      </c>
      <c r="BS155" s="72">
        <f t="shared" ca="1" si="5256"/>
        <v>0</v>
      </c>
      <c r="BT155" s="63"/>
      <c r="BU155" s="796" t="s">
        <v>1631</v>
      </c>
      <c r="BV155" s="72">
        <f t="shared" ca="1" si="5257"/>
        <v>0</v>
      </c>
      <c r="BW155" s="63"/>
      <c r="BX155" s="73" t="s">
        <v>1633</v>
      </c>
      <c r="BY155" s="72">
        <f t="shared" ca="1" si="5258"/>
        <v>0</v>
      </c>
      <c r="BZ155" s="63"/>
      <c r="CA155" s="816" t="s">
        <v>75</v>
      </c>
      <c r="CB155" s="72">
        <f t="shared" ca="1" si="5259"/>
        <v>0</v>
      </c>
      <c r="CC155" s="63"/>
      <c r="CD155" s="825" t="s">
        <v>1841</v>
      </c>
      <c r="CE155" s="72">
        <f t="shared" ca="1" si="5260"/>
        <v>0</v>
      </c>
      <c r="CF155" s="63"/>
      <c r="CG155" s="796" t="s">
        <v>1259</v>
      </c>
      <c r="CH155" s="72">
        <f t="shared" ca="1" si="5261"/>
        <v>0</v>
      </c>
      <c r="CI155" s="63"/>
      <c r="CJ155" s="796" t="s">
        <v>1259</v>
      </c>
      <c r="CK155" s="72">
        <f t="shared" ca="1" si="5262"/>
        <v>0</v>
      </c>
      <c r="CL155" s="63"/>
      <c r="CM155" s="796" t="s">
        <v>1841</v>
      </c>
      <c r="CN155" s="72">
        <f t="shared" ca="1" si="5263"/>
        <v>0</v>
      </c>
      <c r="CO155" s="63"/>
      <c r="CP155" s="796" t="s">
        <v>1841</v>
      </c>
      <c r="CQ155" s="72">
        <f t="shared" ca="1" si="5264"/>
        <v>0</v>
      </c>
      <c r="CR155" s="63"/>
      <c r="CS155" s="796" t="s">
        <v>1633</v>
      </c>
      <c r="CT155" s="72">
        <f t="shared" ca="1" si="5265"/>
        <v>0</v>
      </c>
      <c r="CU155" s="63"/>
      <c r="CV155" s="796" t="s">
        <v>1841</v>
      </c>
      <c r="CW155" s="72">
        <f t="shared" ca="1" si="5266"/>
        <v>0</v>
      </c>
      <c r="CX155" s="63"/>
      <c r="CY155" s="796" t="s">
        <v>1841</v>
      </c>
      <c r="CZ155" s="72">
        <f t="shared" ca="1" si="5267"/>
        <v>0</v>
      </c>
      <c r="DA155" s="63"/>
      <c r="DB155" s="796" t="s">
        <v>1841</v>
      </c>
      <c r="DC155" s="72">
        <f t="shared" ca="1" si="5268"/>
        <v>0</v>
      </c>
      <c r="DD155" s="63"/>
      <c r="DE155" s="796" t="s">
        <v>1259</v>
      </c>
      <c r="DF155" s="72">
        <f t="shared" ca="1" si="5269"/>
        <v>0</v>
      </c>
      <c r="DG155" s="63"/>
      <c r="DH155" s="796" t="s">
        <v>1833</v>
      </c>
      <c r="DI155" s="72">
        <f t="shared" ca="1" si="5270"/>
        <v>0</v>
      </c>
      <c r="DJ155" s="63"/>
      <c r="DK155" s="796" t="s">
        <v>1633</v>
      </c>
      <c r="DL155" s="72">
        <f t="shared" ca="1" si="5271"/>
        <v>0</v>
      </c>
      <c r="DM155" s="63"/>
      <c r="DN155" s="73"/>
      <c r="DO155" s="72">
        <f t="shared" ca="1" si="5272"/>
        <v>0</v>
      </c>
      <c r="DP155" s="63"/>
      <c r="DQ155" s="796" t="s">
        <v>1631</v>
      </c>
      <c r="DR155" s="72">
        <f t="shared" ca="1" si="5273"/>
        <v>0</v>
      </c>
      <c r="DS155" s="63"/>
      <c r="DT155" s="73" t="s">
        <v>1841</v>
      </c>
      <c r="DU155" s="72">
        <f t="shared" ca="1" si="5274"/>
        <v>0</v>
      </c>
      <c r="DV155" s="63"/>
      <c r="DW155" s="73"/>
      <c r="DX155" s="72">
        <f t="shared" ca="1" si="5275"/>
        <v>0</v>
      </c>
      <c r="DY155" s="63"/>
      <c r="DZ155" s="73"/>
      <c r="EA155" s="72">
        <f t="shared" ca="1" si="5276"/>
        <v>0</v>
      </c>
      <c r="EB155" s="63"/>
      <c r="EC155" s="73"/>
      <c r="ED155" s="72">
        <f t="shared" ca="1" si="5277"/>
        <v>0</v>
      </c>
      <c r="EE155" s="63"/>
      <c r="EF155" s="73"/>
      <c r="EG155" s="72">
        <f t="shared" ca="1" si="5278"/>
        <v>0</v>
      </c>
      <c r="EH155" s="63"/>
      <c r="EI155" s="73"/>
      <c r="EJ155" s="72">
        <f t="shared" ca="1" si="5279"/>
        <v>0</v>
      </c>
      <c r="EK155" s="63"/>
      <c r="EL155" s="73"/>
      <c r="EM155" s="72">
        <f t="shared" ca="1" si="5280"/>
        <v>0</v>
      </c>
      <c r="EN155" s="63"/>
      <c r="EO155" s="73"/>
      <c r="EP155" s="72">
        <f t="shared" ca="1" si="5281"/>
        <v>0</v>
      </c>
      <c r="EQ155" s="63"/>
      <c r="ER155" s="73"/>
      <c r="ES155" s="72">
        <f t="shared" ca="1" si="5282"/>
        <v>0</v>
      </c>
      <c r="ET155" s="63"/>
      <c r="EU155" s="73"/>
      <c r="EV155" s="72">
        <f t="shared" ca="1" si="5283"/>
        <v>0</v>
      </c>
      <c r="EW155" s="63"/>
      <c r="EX155" s="73"/>
      <c r="EY155" s="72">
        <f t="shared" ca="1" si="5284"/>
        <v>0</v>
      </c>
      <c r="EZ155" s="63"/>
      <c r="FA155" s="73"/>
      <c r="FB155" s="72">
        <f t="shared" ca="1" si="5285"/>
        <v>0</v>
      </c>
      <c r="FC155" s="63"/>
      <c r="FD155" s="73"/>
      <c r="FE155" s="72">
        <f t="shared" ca="1" si="5286"/>
        <v>0</v>
      </c>
      <c r="FF155" s="63"/>
      <c r="FG155" s="73"/>
      <c r="FH155" s="72">
        <f t="shared" ca="1" si="5287"/>
        <v>0</v>
      </c>
      <c r="FI155" s="63"/>
      <c r="FJ155" s="73"/>
      <c r="FK155" s="72">
        <f t="shared" ca="1" si="5288"/>
        <v>0</v>
      </c>
      <c r="FL155" s="63"/>
      <c r="FM155" s="73"/>
      <c r="FN155" s="72">
        <f t="shared" ca="1" si="5289"/>
        <v>0</v>
      </c>
      <c r="FO155" s="63"/>
      <c r="FP155" s="73"/>
      <c r="FQ155" s="72">
        <f t="shared" ca="1" si="5290"/>
        <v>0</v>
      </c>
      <c r="FR155" s="63"/>
      <c r="FS155" s="73"/>
      <c r="FT155" s="72">
        <f t="shared" ca="1" si="5291"/>
        <v>0</v>
      </c>
      <c r="FU155" s="63"/>
      <c r="FV155" s="73"/>
      <c r="FW155" s="72">
        <f t="shared" ca="1" si="5292"/>
        <v>0</v>
      </c>
      <c r="FX155" s="63"/>
      <c r="FY155" s="73"/>
      <c r="FZ155" s="72">
        <f t="shared" ca="1" si="5293"/>
        <v>0</v>
      </c>
      <c r="GA155" s="63"/>
      <c r="GB155" s="73"/>
      <c r="GC155" s="72">
        <f t="shared" ca="1" si="5294"/>
        <v>0</v>
      </c>
      <c r="GD155" s="63"/>
      <c r="GE155" s="73"/>
      <c r="GF155" s="72">
        <f t="shared" ca="1" si="5295"/>
        <v>0</v>
      </c>
      <c r="GG155" s="63"/>
      <c r="GH155" s="73"/>
      <c r="GI155" s="72">
        <f t="shared" ca="1" si="5296"/>
        <v>0</v>
      </c>
      <c r="GJ155" s="63"/>
      <c r="GK155" s="73"/>
      <c r="GL155" s="72">
        <f t="shared" ca="1" si="5297"/>
        <v>0</v>
      </c>
      <c r="GM155" s="63"/>
      <c r="GN155" s="73"/>
      <c r="GO155" s="72">
        <f t="shared" ca="1" si="5298"/>
        <v>0</v>
      </c>
      <c r="GP155" s="63"/>
      <c r="GQ155" s="73"/>
      <c r="GR155" s="72">
        <f t="shared" ca="1" si="5299"/>
        <v>0</v>
      </c>
      <c r="GS155" s="63"/>
      <c r="GT155" s="73"/>
      <c r="GU155" s="72">
        <f t="shared" ca="1" si="5300"/>
        <v>0</v>
      </c>
      <c r="GV155" s="63"/>
      <c r="GW155" s="73"/>
      <c r="GX155" s="72">
        <f t="shared" ca="1" si="5301"/>
        <v>0</v>
      </c>
      <c r="GY155" s="63"/>
      <c r="GZ155" s="73"/>
      <c r="HA155" s="72">
        <f t="shared" ca="1" si="5302"/>
        <v>0</v>
      </c>
      <c r="HB155" s="63"/>
      <c r="HC155" s="73"/>
      <c r="HD155" s="72">
        <f t="shared" ca="1" si="5303"/>
        <v>0</v>
      </c>
      <c r="HE155" s="63"/>
      <c r="HF155" s="73"/>
      <c r="HG155" s="72">
        <f t="shared" ca="1" si="5304"/>
        <v>0</v>
      </c>
      <c r="HH155" s="63"/>
      <c r="HI155" s="73"/>
      <c r="HJ155" s="72">
        <f t="shared" ca="1" si="5305"/>
        <v>0</v>
      </c>
      <c r="HK155" s="63"/>
      <c r="HL155" s="73"/>
      <c r="HM155" s="72">
        <f t="shared" ca="1" si="5306"/>
        <v>0</v>
      </c>
      <c r="HN155" s="63"/>
      <c r="HO155" s="73"/>
      <c r="HP155" s="72">
        <f t="shared" ca="1" si="5307"/>
        <v>0</v>
      </c>
      <c r="HQ155" s="63"/>
      <c r="HR155" s="73"/>
      <c r="HS155" s="72">
        <f t="shared" ca="1" si="5308"/>
        <v>0</v>
      </c>
      <c r="HT155" s="63"/>
      <c r="HU155" s="73"/>
      <c r="HV155" s="72">
        <f t="shared" ca="1" si="5309"/>
        <v>0</v>
      </c>
      <c r="HW155" s="63"/>
      <c r="HX155" s="73"/>
      <c r="HY155" s="72">
        <f t="shared" ca="1" si="5310"/>
        <v>0</v>
      </c>
      <c r="HZ155" s="63"/>
      <c r="IA155" s="73"/>
      <c r="IB155" s="72">
        <f t="shared" ca="1" si="5311"/>
        <v>0</v>
      </c>
      <c r="IC155" s="63"/>
      <c r="ID155" s="73"/>
      <c r="IE155" s="72">
        <f t="shared" ca="1" si="5312"/>
        <v>0</v>
      </c>
      <c r="IF155" s="63"/>
      <c r="IG155" s="73"/>
      <c r="IH155" s="72">
        <f t="shared" ca="1" si="5313"/>
        <v>0</v>
      </c>
      <c r="II155" s="63"/>
      <c r="IJ155" s="73"/>
      <c r="IK155" s="72">
        <f t="shared" ca="1" si="5314"/>
        <v>0</v>
      </c>
      <c r="IL155" s="63"/>
      <c r="IM155" s="73"/>
      <c r="IN155" s="72">
        <f t="shared" ca="1" si="5315"/>
        <v>0</v>
      </c>
      <c r="IO155" s="63"/>
      <c r="IP155" s="73"/>
      <c r="IQ155" s="72">
        <f t="shared" ca="1" si="5316"/>
        <v>0</v>
      </c>
      <c r="IR155" s="63"/>
      <c r="IS155" s="73"/>
      <c r="IT155" s="72">
        <f t="shared" ca="1" si="5317"/>
        <v>0</v>
      </c>
      <c r="IU155" s="63"/>
      <c r="IV155" s="73"/>
      <c r="IW155" s="72">
        <f t="shared" ca="1" si="5318"/>
        <v>0</v>
      </c>
      <c r="IX155" s="63"/>
      <c r="IY155" s="73"/>
      <c r="IZ155" s="72">
        <f t="shared" ca="1" si="5319"/>
        <v>0</v>
      </c>
      <c r="JA155" s="63"/>
      <c r="JB155" s="73"/>
      <c r="JC155" s="72">
        <f t="shared" ca="1" si="5320"/>
        <v>0</v>
      </c>
      <c r="JD155" s="63"/>
      <c r="JE155" s="73"/>
      <c r="JF155" s="72">
        <f t="shared" ca="1" si="5321"/>
        <v>0</v>
      </c>
      <c r="JG155" s="63"/>
      <c r="JH155" s="73"/>
      <c r="JI155" s="72">
        <f t="shared" ca="1" si="5322"/>
        <v>0</v>
      </c>
      <c r="JJ155" s="63"/>
      <c r="JK155" s="73"/>
      <c r="JL155" s="72">
        <f t="shared" ca="1" si="5323"/>
        <v>0</v>
      </c>
      <c r="JM155" s="63"/>
      <c r="JN155" s="73"/>
      <c r="JO155" s="72">
        <f t="shared" ca="1" si="5324"/>
        <v>0</v>
      </c>
      <c r="JP155" s="63"/>
      <c r="JQ155" s="73"/>
      <c r="JR155" s="72">
        <f t="shared" ca="1" si="5325"/>
        <v>0</v>
      </c>
      <c r="JS155" s="63"/>
      <c r="JT155" s="73"/>
      <c r="JU155" s="72">
        <f t="shared" ca="1" si="5326"/>
        <v>0</v>
      </c>
      <c r="JV155" s="63"/>
      <c r="JW155" s="73"/>
      <c r="JX155" s="72">
        <f t="shared" ca="1" si="5327"/>
        <v>0</v>
      </c>
      <c r="JY155" s="63"/>
      <c r="JZ155" s="73"/>
      <c r="KA155" s="72">
        <f t="shared" ca="1" si="5328"/>
        <v>0</v>
      </c>
      <c r="KB155" s="63"/>
      <c r="KC155" s="73"/>
      <c r="KD155" s="72">
        <f t="shared" ca="1" si="5329"/>
        <v>0</v>
      </c>
      <c r="KE155" s="63"/>
      <c r="KF155" s="73"/>
      <c r="KG155" s="72">
        <f t="shared" ca="1" si="5330"/>
        <v>0</v>
      </c>
      <c r="KH155" s="63"/>
      <c r="KI155" s="73"/>
      <c r="KJ155" s="72">
        <f t="shared" ca="1" si="5331"/>
        <v>0</v>
      </c>
      <c r="KK155" s="63"/>
      <c r="KL155" s="73"/>
      <c r="KM155" s="72">
        <f t="shared" ca="1" si="5332"/>
        <v>0</v>
      </c>
      <c r="KN155" s="63"/>
      <c r="KO155" s="73"/>
      <c r="KP155" s="72">
        <f t="shared" ca="1" si="5333"/>
        <v>0</v>
      </c>
      <c r="KQ155" s="63"/>
      <c r="KR155" s="73"/>
      <c r="KS155" s="72">
        <f t="shared" ca="1" si="5334"/>
        <v>0</v>
      </c>
      <c r="KT155" s="63"/>
      <c r="KU155" s="73"/>
      <c r="KV155" s="72">
        <f t="shared" ca="1" si="5335"/>
        <v>0</v>
      </c>
      <c r="KW155" s="63"/>
      <c r="KX155" s="73"/>
      <c r="KY155" s="72">
        <f t="shared" ca="1" si="5336"/>
        <v>0</v>
      </c>
      <c r="KZ155" s="63"/>
      <c r="LA155" s="73"/>
      <c r="LB155" s="72">
        <f t="shared" ca="1" si="5337"/>
        <v>0</v>
      </c>
      <c r="LC155" s="63"/>
      <c r="LD155" s="73"/>
      <c r="LE155" s="72">
        <f t="shared" ca="1" si="5338"/>
        <v>0</v>
      </c>
      <c r="LF155" s="63"/>
    </row>
    <row r="156" spans="1:318" s="784" customFormat="1">
      <c r="A156" s="49"/>
      <c r="B156" s="49"/>
      <c r="C156" s="49"/>
      <c r="D156" s="49"/>
      <c r="E156" s="64"/>
      <c r="F156" s="125">
        <f t="shared" si="5339"/>
        <v>15</v>
      </c>
      <c r="G156" s="443">
        <f ca="1">VLOOKUP(H156,Equipos!$Q$1:$R$25,2,0)</f>
        <v>19</v>
      </c>
      <c r="H156" s="445" t="str">
        <f>Idiomas!$D$137</f>
        <v>CLASIFICADOS PARA DIECISEISAVOS</v>
      </c>
      <c r="I156" s="50"/>
      <c r="J156" s="843"/>
      <c r="K156" s="56" t="str">
        <f>Idiomas!$D$198&amp;"-"&amp;ROWS($L$130:L156)</f>
        <v>Dieciseisavofinalista-27</v>
      </c>
      <c r="L156" s="53"/>
      <c r="M156" s="55" t="str">
        <f ca="1">WORLDCUP!AF111</f>
        <v>2J</v>
      </c>
      <c r="N156" s="25"/>
      <c r="O156" s="25"/>
      <c r="P156" s="25"/>
      <c r="Q156" s="25"/>
      <c r="R156" s="108"/>
      <c r="S156" s="796" t="s">
        <v>80</v>
      </c>
      <c r="T156" s="72">
        <f t="shared" ca="1" si="5239"/>
        <v>0</v>
      </c>
      <c r="U156" s="63"/>
      <c r="V156" s="73" t="s">
        <v>80</v>
      </c>
      <c r="W156" s="72">
        <f t="shared" ca="1" si="5240"/>
        <v>0</v>
      </c>
      <c r="X156" s="63"/>
      <c r="Y156" s="796" t="s">
        <v>1558</v>
      </c>
      <c r="Z156" s="72">
        <f t="shared" ca="1" si="5241"/>
        <v>0</v>
      </c>
      <c r="AA156" s="63"/>
      <c r="AB156" s="796" t="s">
        <v>80</v>
      </c>
      <c r="AC156" s="72">
        <f t="shared" ca="1" si="5242"/>
        <v>0</v>
      </c>
      <c r="AD156" s="63"/>
      <c r="AE156" s="796" t="s">
        <v>1264</v>
      </c>
      <c r="AF156" s="72">
        <f t="shared" ca="1" si="5243"/>
        <v>0</v>
      </c>
      <c r="AG156" s="63"/>
      <c r="AH156" s="796" t="s">
        <v>80</v>
      </c>
      <c r="AI156" s="72">
        <f t="shared" ca="1" si="5244"/>
        <v>0</v>
      </c>
      <c r="AJ156" s="63"/>
      <c r="AK156" s="806" t="s">
        <v>1558</v>
      </c>
      <c r="AL156" s="72">
        <f t="shared" ca="1" si="5245"/>
        <v>0</v>
      </c>
      <c r="AM156" s="63"/>
      <c r="AN156" s="796" t="s">
        <v>80</v>
      </c>
      <c r="AO156" s="72">
        <f t="shared" ca="1" si="5246"/>
        <v>0</v>
      </c>
      <c r="AP156" s="63"/>
      <c r="AQ156" s="806" t="s">
        <v>80</v>
      </c>
      <c r="AR156" s="72">
        <f t="shared" ca="1" si="5247"/>
        <v>0</v>
      </c>
      <c r="AS156" s="63"/>
      <c r="AT156" s="796" t="s">
        <v>1558</v>
      </c>
      <c r="AU156" s="72">
        <f t="shared" ca="1" si="5248"/>
        <v>0</v>
      </c>
      <c r="AV156" s="63"/>
      <c r="AW156" s="796" t="s">
        <v>1558</v>
      </c>
      <c r="AX156" s="72">
        <f t="shared" ca="1" si="5249"/>
        <v>0</v>
      </c>
      <c r="AY156" s="63"/>
      <c r="AZ156" s="796" t="s">
        <v>1558</v>
      </c>
      <c r="BA156" s="72">
        <f t="shared" ca="1" si="5250"/>
        <v>0</v>
      </c>
      <c r="BB156" s="63"/>
      <c r="BC156" s="796" t="s">
        <v>80</v>
      </c>
      <c r="BD156" s="72">
        <f t="shared" ca="1" si="5251"/>
        <v>0</v>
      </c>
      <c r="BE156" s="63"/>
      <c r="BF156" s="796" t="s">
        <v>80</v>
      </c>
      <c r="BG156" s="72">
        <f t="shared" ca="1" si="5252"/>
        <v>0</v>
      </c>
      <c r="BH156" s="63"/>
      <c r="BI156" s="796" t="s">
        <v>80</v>
      </c>
      <c r="BJ156" s="72">
        <f t="shared" ca="1" si="5253"/>
        <v>0</v>
      </c>
      <c r="BK156" s="63"/>
      <c r="BL156" s="796" t="s">
        <v>80</v>
      </c>
      <c r="BM156" s="72">
        <f t="shared" ca="1" si="5254"/>
        <v>0</v>
      </c>
      <c r="BN156" s="63"/>
      <c r="BO156" s="816" t="s">
        <v>80</v>
      </c>
      <c r="BP156" s="72">
        <f t="shared" ca="1" si="5255"/>
        <v>0</v>
      </c>
      <c r="BQ156" s="63"/>
      <c r="BR156" s="796" t="s">
        <v>1558</v>
      </c>
      <c r="BS156" s="72">
        <f t="shared" ca="1" si="5256"/>
        <v>0</v>
      </c>
      <c r="BT156" s="63"/>
      <c r="BU156" s="796" t="s">
        <v>80</v>
      </c>
      <c r="BV156" s="72">
        <f t="shared" ca="1" si="5257"/>
        <v>0</v>
      </c>
      <c r="BW156" s="63"/>
      <c r="BX156" s="73" t="s">
        <v>1558</v>
      </c>
      <c r="BY156" s="72">
        <f t="shared" ca="1" si="5258"/>
        <v>0</v>
      </c>
      <c r="BZ156" s="63"/>
      <c r="CA156" s="816" t="s">
        <v>80</v>
      </c>
      <c r="CB156" s="72">
        <f t="shared" ca="1" si="5259"/>
        <v>0</v>
      </c>
      <c r="CC156" s="63"/>
      <c r="CD156" s="825" t="s">
        <v>80</v>
      </c>
      <c r="CE156" s="72">
        <f t="shared" ca="1" si="5260"/>
        <v>0</v>
      </c>
      <c r="CF156" s="63"/>
      <c r="CG156" s="796" t="s">
        <v>80</v>
      </c>
      <c r="CH156" s="72">
        <f t="shared" ca="1" si="5261"/>
        <v>0</v>
      </c>
      <c r="CI156" s="63"/>
      <c r="CJ156" s="796" t="s">
        <v>1558</v>
      </c>
      <c r="CK156" s="72">
        <f t="shared" ca="1" si="5262"/>
        <v>0</v>
      </c>
      <c r="CL156" s="63"/>
      <c r="CM156" s="796" t="s">
        <v>1558</v>
      </c>
      <c r="CN156" s="72">
        <f t="shared" ca="1" si="5263"/>
        <v>0</v>
      </c>
      <c r="CO156" s="63"/>
      <c r="CP156" s="796" t="s">
        <v>1558</v>
      </c>
      <c r="CQ156" s="72">
        <f t="shared" ca="1" si="5264"/>
        <v>0</v>
      </c>
      <c r="CR156" s="63"/>
      <c r="CS156" s="796" t="s">
        <v>80</v>
      </c>
      <c r="CT156" s="72">
        <f t="shared" ca="1" si="5265"/>
        <v>0</v>
      </c>
      <c r="CU156" s="63"/>
      <c r="CV156" s="796" t="s">
        <v>1558</v>
      </c>
      <c r="CW156" s="72">
        <f t="shared" ca="1" si="5266"/>
        <v>0</v>
      </c>
      <c r="CX156" s="63"/>
      <c r="CY156" s="796" t="s">
        <v>1558</v>
      </c>
      <c r="CZ156" s="72">
        <f t="shared" ca="1" si="5267"/>
        <v>0</v>
      </c>
      <c r="DA156" s="63"/>
      <c r="DB156" s="796" t="s">
        <v>80</v>
      </c>
      <c r="DC156" s="72">
        <f t="shared" ca="1" si="5268"/>
        <v>0</v>
      </c>
      <c r="DD156" s="63"/>
      <c r="DE156" s="796" t="s">
        <v>80</v>
      </c>
      <c r="DF156" s="72">
        <f t="shared" ca="1" si="5269"/>
        <v>0</v>
      </c>
      <c r="DG156" s="63"/>
      <c r="DH156" s="796" t="s">
        <v>80</v>
      </c>
      <c r="DI156" s="72">
        <f t="shared" ca="1" si="5270"/>
        <v>0</v>
      </c>
      <c r="DJ156" s="63"/>
      <c r="DK156" s="796" t="s">
        <v>1558</v>
      </c>
      <c r="DL156" s="72">
        <f t="shared" ca="1" si="5271"/>
        <v>0</v>
      </c>
      <c r="DM156" s="63"/>
      <c r="DN156" s="73"/>
      <c r="DO156" s="72">
        <f t="shared" ca="1" si="5272"/>
        <v>0</v>
      </c>
      <c r="DP156" s="63"/>
      <c r="DQ156" s="796" t="s">
        <v>1558</v>
      </c>
      <c r="DR156" s="72">
        <f t="shared" ca="1" si="5273"/>
        <v>0</v>
      </c>
      <c r="DS156" s="63"/>
      <c r="DT156" s="73" t="s">
        <v>80</v>
      </c>
      <c r="DU156" s="72">
        <f t="shared" ca="1" si="5274"/>
        <v>0</v>
      </c>
      <c r="DV156" s="63"/>
      <c r="DW156" s="73"/>
      <c r="DX156" s="72">
        <f t="shared" ca="1" si="5275"/>
        <v>0</v>
      </c>
      <c r="DY156" s="63"/>
      <c r="DZ156" s="73"/>
      <c r="EA156" s="72">
        <f t="shared" ca="1" si="5276"/>
        <v>0</v>
      </c>
      <c r="EB156" s="63"/>
      <c r="EC156" s="73"/>
      <c r="ED156" s="72">
        <f t="shared" ca="1" si="5277"/>
        <v>0</v>
      </c>
      <c r="EE156" s="63"/>
      <c r="EF156" s="73"/>
      <c r="EG156" s="72">
        <f t="shared" ca="1" si="5278"/>
        <v>0</v>
      </c>
      <c r="EH156" s="63"/>
      <c r="EI156" s="73"/>
      <c r="EJ156" s="72">
        <f t="shared" ca="1" si="5279"/>
        <v>0</v>
      </c>
      <c r="EK156" s="63"/>
      <c r="EL156" s="73"/>
      <c r="EM156" s="72">
        <f t="shared" ca="1" si="5280"/>
        <v>0</v>
      </c>
      <c r="EN156" s="63"/>
      <c r="EO156" s="73"/>
      <c r="EP156" s="72">
        <f t="shared" ca="1" si="5281"/>
        <v>0</v>
      </c>
      <c r="EQ156" s="63"/>
      <c r="ER156" s="73"/>
      <c r="ES156" s="72">
        <f t="shared" ca="1" si="5282"/>
        <v>0</v>
      </c>
      <c r="ET156" s="63"/>
      <c r="EU156" s="73"/>
      <c r="EV156" s="72">
        <f t="shared" ca="1" si="5283"/>
        <v>0</v>
      </c>
      <c r="EW156" s="63"/>
      <c r="EX156" s="73"/>
      <c r="EY156" s="72">
        <f t="shared" ca="1" si="5284"/>
        <v>0</v>
      </c>
      <c r="EZ156" s="63"/>
      <c r="FA156" s="73"/>
      <c r="FB156" s="72">
        <f t="shared" ca="1" si="5285"/>
        <v>0</v>
      </c>
      <c r="FC156" s="63"/>
      <c r="FD156" s="73"/>
      <c r="FE156" s="72">
        <f t="shared" ca="1" si="5286"/>
        <v>0</v>
      </c>
      <c r="FF156" s="63"/>
      <c r="FG156" s="73"/>
      <c r="FH156" s="72">
        <f t="shared" ca="1" si="5287"/>
        <v>0</v>
      </c>
      <c r="FI156" s="63"/>
      <c r="FJ156" s="73"/>
      <c r="FK156" s="72">
        <f t="shared" ca="1" si="5288"/>
        <v>0</v>
      </c>
      <c r="FL156" s="63"/>
      <c r="FM156" s="73"/>
      <c r="FN156" s="72">
        <f t="shared" ca="1" si="5289"/>
        <v>0</v>
      </c>
      <c r="FO156" s="63"/>
      <c r="FP156" s="73"/>
      <c r="FQ156" s="72">
        <f t="shared" ca="1" si="5290"/>
        <v>0</v>
      </c>
      <c r="FR156" s="63"/>
      <c r="FS156" s="73"/>
      <c r="FT156" s="72">
        <f t="shared" ca="1" si="5291"/>
        <v>0</v>
      </c>
      <c r="FU156" s="63"/>
      <c r="FV156" s="73"/>
      <c r="FW156" s="72">
        <f t="shared" ca="1" si="5292"/>
        <v>0</v>
      </c>
      <c r="FX156" s="63"/>
      <c r="FY156" s="73"/>
      <c r="FZ156" s="72">
        <f t="shared" ca="1" si="5293"/>
        <v>0</v>
      </c>
      <c r="GA156" s="63"/>
      <c r="GB156" s="73"/>
      <c r="GC156" s="72">
        <f t="shared" ca="1" si="5294"/>
        <v>0</v>
      </c>
      <c r="GD156" s="63"/>
      <c r="GE156" s="73"/>
      <c r="GF156" s="72">
        <f t="shared" ca="1" si="5295"/>
        <v>0</v>
      </c>
      <c r="GG156" s="63"/>
      <c r="GH156" s="73"/>
      <c r="GI156" s="72">
        <f t="shared" ca="1" si="5296"/>
        <v>0</v>
      </c>
      <c r="GJ156" s="63"/>
      <c r="GK156" s="73"/>
      <c r="GL156" s="72">
        <f t="shared" ca="1" si="5297"/>
        <v>0</v>
      </c>
      <c r="GM156" s="63"/>
      <c r="GN156" s="73"/>
      <c r="GO156" s="72">
        <f t="shared" ca="1" si="5298"/>
        <v>0</v>
      </c>
      <c r="GP156" s="63"/>
      <c r="GQ156" s="73"/>
      <c r="GR156" s="72">
        <f t="shared" ca="1" si="5299"/>
        <v>0</v>
      </c>
      <c r="GS156" s="63"/>
      <c r="GT156" s="73"/>
      <c r="GU156" s="72">
        <f t="shared" ca="1" si="5300"/>
        <v>0</v>
      </c>
      <c r="GV156" s="63"/>
      <c r="GW156" s="73"/>
      <c r="GX156" s="72">
        <f t="shared" ca="1" si="5301"/>
        <v>0</v>
      </c>
      <c r="GY156" s="63"/>
      <c r="GZ156" s="73"/>
      <c r="HA156" s="72">
        <f t="shared" ca="1" si="5302"/>
        <v>0</v>
      </c>
      <c r="HB156" s="63"/>
      <c r="HC156" s="73"/>
      <c r="HD156" s="72">
        <f t="shared" ca="1" si="5303"/>
        <v>0</v>
      </c>
      <c r="HE156" s="63"/>
      <c r="HF156" s="73"/>
      <c r="HG156" s="72">
        <f t="shared" ca="1" si="5304"/>
        <v>0</v>
      </c>
      <c r="HH156" s="63"/>
      <c r="HI156" s="73"/>
      <c r="HJ156" s="72">
        <f t="shared" ca="1" si="5305"/>
        <v>0</v>
      </c>
      <c r="HK156" s="63"/>
      <c r="HL156" s="73"/>
      <c r="HM156" s="72">
        <f t="shared" ca="1" si="5306"/>
        <v>0</v>
      </c>
      <c r="HN156" s="63"/>
      <c r="HO156" s="73"/>
      <c r="HP156" s="72">
        <f t="shared" ca="1" si="5307"/>
        <v>0</v>
      </c>
      <c r="HQ156" s="63"/>
      <c r="HR156" s="73"/>
      <c r="HS156" s="72">
        <f t="shared" ca="1" si="5308"/>
        <v>0</v>
      </c>
      <c r="HT156" s="63"/>
      <c r="HU156" s="73"/>
      <c r="HV156" s="72">
        <f t="shared" ca="1" si="5309"/>
        <v>0</v>
      </c>
      <c r="HW156" s="63"/>
      <c r="HX156" s="73"/>
      <c r="HY156" s="72">
        <f t="shared" ca="1" si="5310"/>
        <v>0</v>
      </c>
      <c r="HZ156" s="63"/>
      <c r="IA156" s="73"/>
      <c r="IB156" s="72">
        <f t="shared" ca="1" si="5311"/>
        <v>0</v>
      </c>
      <c r="IC156" s="63"/>
      <c r="ID156" s="73"/>
      <c r="IE156" s="72">
        <f t="shared" ca="1" si="5312"/>
        <v>0</v>
      </c>
      <c r="IF156" s="63"/>
      <c r="IG156" s="73"/>
      <c r="IH156" s="72">
        <f t="shared" ca="1" si="5313"/>
        <v>0</v>
      </c>
      <c r="II156" s="63"/>
      <c r="IJ156" s="73"/>
      <c r="IK156" s="72">
        <f t="shared" ca="1" si="5314"/>
        <v>0</v>
      </c>
      <c r="IL156" s="63"/>
      <c r="IM156" s="73"/>
      <c r="IN156" s="72">
        <f t="shared" ca="1" si="5315"/>
        <v>0</v>
      </c>
      <c r="IO156" s="63"/>
      <c r="IP156" s="73"/>
      <c r="IQ156" s="72">
        <f t="shared" ca="1" si="5316"/>
        <v>0</v>
      </c>
      <c r="IR156" s="63"/>
      <c r="IS156" s="73"/>
      <c r="IT156" s="72">
        <f t="shared" ca="1" si="5317"/>
        <v>0</v>
      </c>
      <c r="IU156" s="63"/>
      <c r="IV156" s="73"/>
      <c r="IW156" s="72">
        <f t="shared" ca="1" si="5318"/>
        <v>0</v>
      </c>
      <c r="IX156" s="63"/>
      <c r="IY156" s="73"/>
      <c r="IZ156" s="72">
        <f t="shared" ca="1" si="5319"/>
        <v>0</v>
      </c>
      <c r="JA156" s="63"/>
      <c r="JB156" s="73"/>
      <c r="JC156" s="72">
        <f t="shared" ca="1" si="5320"/>
        <v>0</v>
      </c>
      <c r="JD156" s="63"/>
      <c r="JE156" s="73"/>
      <c r="JF156" s="72">
        <f t="shared" ca="1" si="5321"/>
        <v>0</v>
      </c>
      <c r="JG156" s="63"/>
      <c r="JH156" s="73"/>
      <c r="JI156" s="72">
        <f t="shared" ca="1" si="5322"/>
        <v>0</v>
      </c>
      <c r="JJ156" s="63"/>
      <c r="JK156" s="73"/>
      <c r="JL156" s="72">
        <f t="shared" ca="1" si="5323"/>
        <v>0</v>
      </c>
      <c r="JM156" s="63"/>
      <c r="JN156" s="73"/>
      <c r="JO156" s="72">
        <f t="shared" ca="1" si="5324"/>
        <v>0</v>
      </c>
      <c r="JP156" s="63"/>
      <c r="JQ156" s="73"/>
      <c r="JR156" s="72">
        <f t="shared" ca="1" si="5325"/>
        <v>0</v>
      </c>
      <c r="JS156" s="63"/>
      <c r="JT156" s="73"/>
      <c r="JU156" s="72">
        <f t="shared" ca="1" si="5326"/>
        <v>0</v>
      </c>
      <c r="JV156" s="63"/>
      <c r="JW156" s="73"/>
      <c r="JX156" s="72">
        <f t="shared" ca="1" si="5327"/>
        <v>0</v>
      </c>
      <c r="JY156" s="63"/>
      <c r="JZ156" s="73"/>
      <c r="KA156" s="72">
        <f t="shared" ca="1" si="5328"/>
        <v>0</v>
      </c>
      <c r="KB156" s="63"/>
      <c r="KC156" s="73"/>
      <c r="KD156" s="72">
        <f t="shared" ca="1" si="5329"/>
        <v>0</v>
      </c>
      <c r="KE156" s="63"/>
      <c r="KF156" s="73"/>
      <c r="KG156" s="72">
        <f t="shared" ca="1" si="5330"/>
        <v>0</v>
      </c>
      <c r="KH156" s="63"/>
      <c r="KI156" s="73"/>
      <c r="KJ156" s="72">
        <f t="shared" ca="1" si="5331"/>
        <v>0</v>
      </c>
      <c r="KK156" s="63"/>
      <c r="KL156" s="73"/>
      <c r="KM156" s="72">
        <f t="shared" ca="1" si="5332"/>
        <v>0</v>
      </c>
      <c r="KN156" s="63"/>
      <c r="KO156" s="73"/>
      <c r="KP156" s="72">
        <f t="shared" ca="1" si="5333"/>
        <v>0</v>
      </c>
      <c r="KQ156" s="63"/>
      <c r="KR156" s="73"/>
      <c r="KS156" s="72">
        <f t="shared" ca="1" si="5334"/>
        <v>0</v>
      </c>
      <c r="KT156" s="63"/>
      <c r="KU156" s="73"/>
      <c r="KV156" s="72">
        <f t="shared" ca="1" si="5335"/>
        <v>0</v>
      </c>
      <c r="KW156" s="63"/>
      <c r="KX156" s="73"/>
      <c r="KY156" s="72">
        <f t="shared" ca="1" si="5336"/>
        <v>0</v>
      </c>
      <c r="KZ156" s="63"/>
      <c r="LA156" s="73"/>
      <c r="LB156" s="72">
        <f t="shared" ca="1" si="5337"/>
        <v>0</v>
      </c>
      <c r="LC156" s="63"/>
      <c r="LD156" s="73"/>
      <c r="LE156" s="72">
        <f t="shared" ca="1" si="5338"/>
        <v>0</v>
      </c>
      <c r="LF156" s="63"/>
    </row>
    <row r="157" spans="1:318" s="784" customFormat="1">
      <c r="A157" s="49"/>
      <c r="B157" s="49"/>
      <c r="C157" s="49"/>
      <c r="D157" s="49"/>
      <c r="E157" s="64"/>
      <c r="F157" s="125">
        <f t="shared" si="5339"/>
        <v>15</v>
      </c>
      <c r="G157" s="443">
        <f ca="1">VLOOKUP(H157,Equipos!$Q$1:$R$25,2,0)</f>
        <v>19</v>
      </c>
      <c r="H157" s="445" t="str">
        <f>Idiomas!$D$137</f>
        <v>CLASIFICADOS PARA DIECISEISAVOS</v>
      </c>
      <c r="I157" s="50"/>
      <c r="J157" s="843"/>
      <c r="K157" s="56" t="str">
        <f>Idiomas!$D$198&amp;"-"&amp;ROWS($L$130:L157)</f>
        <v>Dieciseisavofinalista-28</v>
      </c>
      <c r="L157" s="53"/>
      <c r="M157" s="55" t="str">
        <f ca="1">WORLDCUP!AF112</f>
        <v>2L</v>
      </c>
      <c r="N157" s="25"/>
      <c r="O157" s="25"/>
      <c r="P157" s="25"/>
      <c r="Q157" s="25"/>
      <c r="R157" s="108"/>
      <c r="S157" s="796" t="s">
        <v>78</v>
      </c>
      <c r="T157" s="72">
        <f t="shared" ca="1" si="5239"/>
        <v>0</v>
      </c>
      <c r="U157" s="63"/>
      <c r="V157" s="73" t="s">
        <v>78</v>
      </c>
      <c r="W157" s="72">
        <f t="shared" ca="1" si="5240"/>
        <v>0</v>
      </c>
      <c r="X157" s="63"/>
      <c r="Y157" s="796" t="s">
        <v>76</v>
      </c>
      <c r="Z157" s="72">
        <f t="shared" ca="1" si="5241"/>
        <v>0</v>
      </c>
      <c r="AA157" s="63"/>
      <c r="AB157" s="796" t="s">
        <v>78</v>
      </c>
      <c r="AC157" s="72">
        <f t="shared" ca="1" si="5242"/>
        <v>0</v>
      </c>
      <c r="AD157" s="63"/>
      <c r="AE157" s="796" t="s">
        <v>78</v>
      </c>
      <c r="AF157" s="72">
        <f t="shared" ca="1" si="5243"/>
        <v>0</v>
      </c>
      <c r="AG157" s="63"/>
      <c r="AH157" s="796" t="s">
        <v>78</v>
      </c>
      <c r="AI157" s="72">
        <f t="shared" ca="1" si="5244"/>
        <v>0</v>
      </c>
      <c r="AJ157" s="63"/>
      <c r="AK157" s="806" t="s">
        <v>78</v>
      </c>
      <c r="AL157" s="72">
        <f t="shared" ca="1" si="5245"/>
        <v>0</v>
      </c>
      <c r="AM157" s="63"/>
      <c r="AN157" s="796" t="s">
        <v>78</v>
      </c>
      <c r="AO157" s="72">
        <f t="shared" ca="1" si="5246"/>
        <v>0</v>
      </c>
      <c r="AP157" s="63"/>
      <c r="AQ157" s="806" t="s">
        <v>76</v>
      </c>
      <c r="AR157" s="72">
        <f t="shared" ca="1" si="5247"/>
        <v>0</v>
      </c>
      <c r="AS157" s="63"/>
      <c r="AT157" s="796" t="s">
        <v>76</v>
      </c>
      <c r="AU157" s="72">
        <f t="shared" ca="1" si="5248"/>
        <v>0</v>
      </c>
      <c r="AV157" s="63"/>
      <c r="AW157" s="796" t="s">
        <v>78</v>
      </c>
      <c r="AX157" s="72">
        <f t="shared" ca="1" si="5249"/>
        <v>0</v>
      </c>
      <c r="AY157" s="63"/>
      <c r="AZ157" s="796" t="s">
        <v>1551</v>
      </c>
      <c r="BA157" s="72">
        <f t="shared" ca="1" si="5250"/>
        <v>0</v>
      </c>
      <c r="BB157" s="63"/>
      <c r="BC157" s="796" t="s">
        <v>78</v>
      </c>
      <c r="BD157" s="72">
        <f t="shared" ca="1" si="5251"/>
        <v>0</v>
      </c>
      <c r="BE157" s="63"/>
      <c r="BF157" s="796" t="s">
        <v>76</v>
      </c>
      <c r="BG157" s="72">
        <f t="shared" ca="1" si="5252"/>
        <v>0</v>
      </c>
      <c r="BH157" s="63"/>
      <c r="BI157" s="796" t="s">
        <v>78</v>
      </c>
      <c r="BJ157" s="72">
        <f t="shared" ca="1" si="5253"/>
        <v>0</v>
      </c>
      <c r="BK157" s="63"/>
      <c r="BL157" s="796" t="s">
        <v>76</v>
      </c>
      <c r="BM157" s="72">
        <f t="shared" ca="1" si="5254"/>
        <v>0</v>
      </c>
      <c r="BN157" s="63"/>
      <c r="BO157" s="816" t="s">
        <v>78</v>
      </c>
      <c r="BP157" s="72">
        <f t="shared" ca="1" si="5255"/>
        <v>0</v>
      </c>
      <c r="BQ157" s="63"/>
      <c r="BR157" s="796" t="s">
        <v>76</v>
      </c>
      <c r="BS157" s="72">
        <f t="shared" ca="1" si="5256"/>
        <v>0</v>
      </c>
      <c r="BT157" s="63"/>
      <c r="BU157" s="796" t="s">
        <v>78</v>
      </c>
      <c r="BV157" s="72">
        <f t="shared" ca="1" si="5257"/>
        <v>0</v>
      </c>
      <c r="BW157" s="63"/>
      <c r="BX157" s="73" t="s">
        <v>78</v>
      </c>
      <c r="BY157" s="72">
        <f t="shared" ca="1" si="5258"/>
        <v>0</v>
      </c>
      <c r="BZ157" s="63"/>
      <c r="CA157" s="816" t="s">
        <v>78</v>
      </c>
      <c r="CB157" s="72">
        <f t="shared" ca="1" si="5259"/>
        <v>0</v>
      </c>
      <c r="CC157" s="63"/>
      <c r="CD157" s="825" t="s">
        <v>78</v>
      </c>
      <c r="CE157" s="72">
        <f t="shared" ca="1" si="5260"/>
        <v>0</v>
      </c>
      <c r="CF157" s="63"/>
      <c r="CG157" s="796" t="s">
        <v>78</v>
      </c>
      <c r="CH157" s="72">
        <f t="shared" ca="1" si="5261"/>
        <v>0</v>
      </c>
      <c r="CI157" s="63"/>
      <c r="CJ157" s="796" t="s">
        <v>78</v>
      </c>
      <c r="CK157" s="72">
        <f t="shared" ca="1" si="5262"/>
        <v>0</v>
      </c>
      <c r="CL157" s="63"/>
      <c r="CM157" s="796" t="s">
        <v>1730</v>
      </c>
      <c r="CN157" s="72">
        <f t="shared" ca="1" si="5263"/>
        <v>0</v>
      </c>
      <c r="CO157" s="63"/>
      <c r="CP157" s="796" t="s">
        <v>78</v>
      </c>
      <c r="CQ157" s="72">
        <f t="shared" ca="1" si="5264"/>
        <v>0</v>
      </c>
      <c r="CR157" s="63"/>
      <c r="CS157" s="796" t="s">
        <v>78</v>
      </c>
      <c r="CT157" s="72">
        <f t="shared" ca="1" si="5265"/>
        <v>0</v>
      </c>
      <c r="CU157" s="63"/>
      <c r="CV157" s="796" t="s">
        <v>78</v>
      </c>
      <c r="CW157" s="72">
        <f t="shared" ca="1" si="5266"/>
        <v>0</v>
      </c>
      <c r="CX157" s="63"/>
      <c r="CY157" s="796" t="s">
        <v>1551</v>
      </c>
      <c r="CZ157" s="72">
        <f t="shared" ca="1" si="5267"/>
        <v>0</v>
      </c>
      <c r="DA157" s="63"/>
      <c r="DB157" s="796" t="s">
        <v>76</v>
      </c>
      <c r="DC157" s="72">
        <f t="shared" ca="1" si="5268"/>
        <v>0</v>
      </c>
      <c r="DD157" s="63"/>
      <c r="DE157" s="796" t="s">
        <v>78</v>
      </c>
      <c r="DF157" s="72">
        <f t="shared" ca="1" si="5269"/>
        <v>0</v>
      </c>
      <c r="DG157" s="63"/>
      <c r="DH157" s="796" t="s">
        <v>78</v>
      </c>
      <c r="DI157" s="72">
        <f t="shared" ca="1" si="5270"/>
        <v>0</v>
      </c>
      <c r="DJ157" s="63"/>
      <c r="DK157" s="796" t="s">
        <v>78</v>
      </c>
      <c r="DL157" s="72">
        <f t="shared" ca="1" si="5271"/>
        <v>0</v>
      </c>
      <c r="DM157" s="63"/>
      <c r="DN157" s="73"/>
      <c r="DO157" s="72">
        <f t="shared" ca="1" si="5272"/>
        <v>0</v>
      </c>
      <c r="DP157" s="63"/>
      <c r="DQ157" s="796" t="s">
        <v>78</v>
      </c>
      <c r="DR157" s="72">
        <f t="shared" ca="1" si="5273"/>
        <v>0</v>
      </c>
      <c r="DS157" s="63"/>
      <c r="DT157" s="73" t="s">
        <v>78</v>
      </c>
      <c r="DU157" s="72">
        <f t="shared" ca="1" si="5274"/>
        <v>0</v>
      </c>
      <c r="DV157" s="63"/>
      <c r="DW157" s="73"/>
      <c r="DX157" s="72">
        <f t="shared" ca="1" si="5275"/>
        <v>0</v>
      </c>
      <c r="DY157" s="63"/>
      <c r="DZ157" s="73"/>
      <c r="EA157" s="72">
        <f t="shared" ca="1" si="5276"/>
        <v>0</v>
      </c>
      <c r="EB157" s="63"/>
      <c r="EC157" s="73"/>
      <c r="ED157" s="72">
        <f t="shared" ca="1" si="5277"/>
        <v>0</v>
      </c>
      <c r="EE157" s="63"/>
      <c r="EF157" s="73"/>
      <c r="EG157" s="72">
        <f t="shared" ca="1" si="5278"/>
        <v>0</v>
      </c>
      <c r="EH157" s="63"/>
      <c r="EI157" s="73"/>
      <c r="EJ157" s="72">
        <f t="shared" ca="1" si="5279"/>
        <v>0</v>
      </c>
      <c r="EK157" s="63"/>
      <c r="EL157" s="73"/>
      <c r="EM157" s="72">
        <f t="shared" ca="1" si="5280"/>
        <v>0</v>
      </c>
      <c r="EN157" s="63"/>
      <c r="EO157" s="73"/>
      <c r="EP157" s="72">
        <f t="shared" ca="1" si="5281"/>
        <v>0</v>
      </c>
      <c r="EQ157" s="63"/>
      <c r="ER157" s="73"/>
      <c r="ES157" s="72">
        <f t="shared" ca="1" si="5282"/>
        <v>0</v>
      </c>
      <c r="ET157" s="63"/>
      <c r="EU157" s="73"/>
      <c r="EV157" s="72">
        <f t="shared" ca="1" si="5283"/>
        <v>0</v>
      </c>
      <c r="EW157" s="63"/>
      <c r="EX157" s="73"/>
      <c r="EY157" s="72">
        <f t="shared" ca="1" si="5284"/>
        <v>0</v>
      </c>
      <c r="EZ157" s="63"/>
      <c r="FA157" s="73"/>
      <c r="FB157" s="72">
        <f t="shared" ca="1" si="5285"/>
        <v>0</v>
      </c>
      <c r="FC157" s="63"/>
      <c r="FD157" s="73"/>
      <c r="FE157" s="72">
        <f t="shared" ca="1" si="5286"/>
        <v>0</v>
      </c>
      <c r="FF157" s="63"/>
      <c r="FG157" s="73"/>
      <c r="FH157" s="72">
        <f t="shared" ca="1" si="5287"/>
        <v>0</v>
      </c>
      <c r="FI157" s="63"/>
      <c r="FJ157" s="73"/>
      <c r="FK157" s="72">
        <f t="shared" ca="1" si="5288"/>
        <v>0</v>
      </c>
      <c r="FL157" s="63"/>
      <c r="FM157" s="73"/>
      <c r="FN157" s="72">
        <f t="shared" ca="1" si="5289"/>
        <v>0</v>
      </c>
      <c r="FO157" s="63"/>
      <c r="FP157" s="73"/>
      <c r="FQ157" s="72">
        <f t="shared" ca="1" si="5290"/>
        <v>0</v>
      </c>
      <c r="FR157" s="63"/>
      <c r="FS157" s="73"/>
      <c r="FT157" s="72">
        <f t="shared" ca="1" si="5291"/>
        <v>0</v>
      </c>
      <c r="FU157" s="63"/>
      <c r="FV157" s="73"/>
      <c r="FW157" s="72">
        <f t="shared" ca="1" si="5292"/>
        <v>0</v>
      </c>
      <c r="FX157" s="63"/>
      <c r="FY157" s="73"/>
      <c r="FZ157" s="72">
        <f t="shared" ca="1" si="5293"/>
        <v>0</v>
      </c>
      <c r="GA157" s="63"/>
      <c r="GB157" s="73"/>
      <c r="GC157" s="72">
        <f t="shared" ca="1" si="5294"/>
        <v>0</v>
      </c>
      <c r="GD157" s="63"/>
      <c r="GE157" s="73"/>
      <c r="GF157" s="72">
        <f t="shared" ca="1" si="5295"/>
        <v>0</v>
      </c>
      <c r="GG157" s="63"/>
      <c r="GH157" s="73"/>
      <c r="GI157" s="72">
        <f t="shared" ca="1" si="5296"/>
        <v>0</v>
      </c>
      <c r="GJ157" s="63"/>
      <c r="GK157" s="73"/>
      <c r="GL157" s="72">
        <f t="shared" ca="1" si="5297"/>
        <v>0</v>
      </c>
      <c r="GM157" s="63"/>
      <c r="GN157" s="73"/>
      <c r="GO157" s="72">
        <f t="shared" ca="1" si="5298"/>
        <v>0</v>
      </c>
      <c r="GP157" s="63"/>
      <c r="GQ157" s="73"/>
      <c r="GR157" s="72">
        <f t="shared" ca="1" si="5299"/>
        <v>0</v>
      </c>
      <c r="GS157" s="63"/>
      <c r="GT157" s="73"/>
      <c r="GU157" s="72">
        <f t="shared" ca="1" si="5300"/>
        <v>0</v>
      </c>
      <c r="GV157" s="63"/>
      <c r="GW157" s="73"/>
      <c r="GX157" s="72">
        <f t="shared" ca="1" si="5301"/>
        <v>0</v>
      </c>
      <c r="GY157" s="63"/>
      <c r="GZ157" s="73"/>
      <c r="HA157" s="72">
        <f t="shared" ca="1" si="5302"/>
        <v>0</v>
      </c>
      <c r="HB157" s="63"/>
      <c r="HC157" s="73"/>
      <c r="HD157" s="72">
        <f t="shared" ca="1" si="5303"/>
        <v>0</v>
      </c>
      <c r="HE157" s="63"/>
      <c r="HF157" s="73"/>
      <c r="HG157" s="72">
        <f t="shared" ca="1" si="5304"/>
        <v>0</v>
      </c>
      <c r="HH157" s="63"/>
      <c r="HI157" s="73"/>
      <c r="HJ157" s="72">
        <f t="shared" ca="1" si="5305"/>
        <v>0</v>
      </c>
      <c r="HK157" s="63"/>
      <c r="HL157" s="73"/>
      <c r="HM157" s="72">
        <f t="shared" ca="1" si="5306"/>
        <v>0</v>
      </c>
      <c r="HN157" s="63"/>
      <c r="HO157" s="73"/>
      <c r="HP157" s="72">
        <f t="shared" ca="1" si="5307"/>
        <v>0</v>
      </c>
      <c r="HQ157" s="63"/>
      <c r="HR157" s="73"/>
      <c r="HS157" s="72">
        <f t="shared" ca="1" si="5308"/>
        <v>0</v>
      </c>
      <c r="HT157" s="63"/>
      <c r="HU157" s="73"/>
      <c r="HV157" s="72">
        <f t="shared" ca="1" si="5309"/>
        <v>0</v>
      </c>
      <c r="HW157" s="63"/>
      <c r="HX157" s="73"/>
      <c r="HY157" s="72">
        <f t="shared" ca="1" si="5310"/>
        <v>0</v>
      </c>
      <c r="HZ157" s="63"/>
      <c r="IA157" s="73"/>
      <c r="IB157" s="72">
        <f t="shared" ca="1" si="5311"/>
        <v>0</v>
      </c>
      <c r="IC157" s="63"/>
      <c r="ID157" s="73"/>
      <c r="IE157" s="72">
        <f t="shared" ca="1" si="5312"/>
        <v>0</v>
      </c>
      <c r="IF157" s="63"/>
      <c r="IG157" s="73"/>
      <c r="IH157" s="72">
        <f t="shared" ca="1" si="5313"/>
        <v>0</v>
      </c>
      <c r="II157" s="63"/>
      <c r="IJ157" s="73"/>
      <c r="IK157" s="72">
        <f t="shared" ca="1" si="5314"/>
        <v>0</v>
      </c>
      <c r="IL157" s="63"/>
      <c r="IM157" s="73"/>
      <c r="IN157" s="72">
        <f t="shared" ca="1" si="5315"/>
        <v>0</v>
      </c>
      <c r="IO157" s="63"/>
      <c r="IP157" s="73"/>
      <c r="IQ157" s="72">
        <f t="shared" ca="1" si="5316"/>
        <v>0</v>
      </c>
      <c r="IR157" s="63"/>
      <c r="IS157" s="73"/>
      <c r="IT157" s="72">
        <f t="shared" ca="1" si="5317"/>
        <v>0</v>
      </c>
      <c r="IU157" s="63"/>
      <c r="IV157" s="73"/>
      <c r="IW157" s="72">
        <f t="shared" ca="1" si="5318"/>
        <v>0</v>
      </c>
      <c r="IX157" s="63"/>
      <c r="IY157" s="73"/>
      <c r="IZ157" s="72">
        <f t="shared" ca="1" si="5319"/>
        <v>0</v>
      </c>
      <c r="JA157" s="63"/>
      <c r="JB157" s="73"/>
      <c r="JC157" s="72">
        <f t="shared" ca="1" si="5320"/>
        <v>0</v>
      </c>
      <c r="JD157" s="63"/>
      <c r="JE157" s="73"/>
      <c r="JF157" s="72">
        <f t="shared" ca="1" si="5321"/>
        <v>0</v>
      </c>
      <c r="JG157" s="63"/>
      <c r="JH157" s="73"/>
      <c r="JI157" s="72">
        <f t="shared" ca="1" si="5322"/>
        <v>0</v>
      </c>
      <c r="JJ157" s="63"/>
      <c r="JK157" s="73"/>
      <c r="JL157" s="72">
        <f t="shared" ca="1" si="5323"/>
        <v>0</v>
      </c>
      <c r="JM157" s="63"/>
      <c r="JN157" s="73"/>
      <c r="JO157" s="72">
        <f t="shared" ca="1" si="5324"/>
        <v>0</v>
      </c>
      <c r="JP157" s="63"/>
      <c r="JQ157" s="73"/>
      <c r="JR157" s="72">
        <f t="shared" ca="1" si="5325"/>
        <v>0</v>
      </c>
      <c r="JS157" s="63"/>
      <c r="JT157" s="73"/>
      <c r="JU157" s="72">
        <f t="shared" ca="1" si="5326"/>
        <v>0</v>
      </c>
      <c r="JV157" s="63"/>
      <c r="JW157" s="73"/>
      <c r="JX157" s="72">
        <f t="shared" ca="1" si="5327"/>
        <v>0</v>
      </c>
      <c r="JY157" s="63"/>
      <c r="JZ157" s="73"/>
      <c r="KA157" s="72">
        <f t="shared" ca="1" si="5328"/>
        <v>0</v>
      </c>
      <c r="KB157" s="63"/>
      <c r="KC157" s="73"/>
      <c r="KD157" s="72">
        <f t="shared" ca="1" si="5329"/>
        <v>0</v>
      </c>
      <c r="KE157" s="63"/>
      <c r="KF157" s="73"/>
      <c r="KG157" s="72">
        <f t="shared" ca="1" si="5330"/>
        <v>0</v>
      </c>
      <c r="KH157" s="63"/>
      <c r="KI157" s="73"/>
      <c r="KJ157" s="72">
        <f t="shared" ca="1" si="5331"/>
        <v>0</v>
      </c>
      <c r="KK157" s="63"/>
      <c r="KL157" s="73"/>
      <c r="KM157" s="72">
        <f t="shared" ca="1" si="5332"/>
        <v>0</v>
      </c>
      <c r="KN157" s="63"/>
      <c r="KO157" s="73"/>
      <c r="KP157" s="72">
        <f t="shared" ca="1" si="5333"/>
        <v>0</v>
      </c>
      <c r="KQ157" s="63"/>
      <c r="KR157" s="73"/>
      <c r="KS157" s="72">
        <f t="shared" ca="1" si="5334"/>
        <v>0</v>
      </c>
      <c r="KT157" s="63"/>
      <c r="KU157" s="73"/>
      <c r="KV157" s="72">
        <f t="shared" ca="1" si="5335"/>
        <v>0</v>
      </c>
      <c r="KW157" s="63"/>
      <c r="KX157" s="73"/>
      <c r="KY157" s="72">
        <f t="shared" ca="1" si="5336"/>
        <v>0</v>
      </c>
      <c r="KZ157" s="63"/>
      <c r="LA157" s="73"/>
      <c r="LB157" s="72">
        <f t="shared" ca="1" si="5337"/>
        <v>0</v>
      </c>
      <c r="LC157" s="63"/>
      <c r="LD157" s="73"/>
      <c r="LE157" s="72">
        <f t="shared" ca="1" si="5338"/>
        <v>0</v>
      </c>
      <c r="LF157" s="63"/>
    </row>
    <row r="158" spans="1:318" s="784" customFormat="1">
      <c r="A158" s="49"/>
      <c r="B158" s="49"/>
      <c r="C158" s="49"/>
      <c r="D158" s="49"/>
      <c r="E158" s="64"/>
      <c r="F158" s="125">
        <f t="shared" si="5339"/>
        <v>15</v>
      </c>
      <c r="G158" s="443">
        <f ca="1">VLOOKUP(H158,Equipos!$Q$1:$R$25,2,0)</f>
        <v>19</v>
      </c>
      <c r="H158" s="445" t="str">
        <f>Idiomas!$D$137</f>
        <v>CLASIFICADOS PARA DIECISEISAVOS</v>
      </c>
      <c r="I158" s="50"/>
      <c r="J158" s="843"/>
      <c r="K158" s="56" t="str">
        <f>Idiomas!$D$198&amp;"-"&amp;ROWS($L$130:L158)</f>
        <v>Dieciseisavofinalista-29</v>
      </c>
      <c r="L158" s="53"/>
      <c r="M158" s="55" t="str">
        <f ca="1">WORLDCUP!AF113</f>
        <v>3EFGIJ</v>
      </c>
      <c r="N158" s="25"/>
      <c r="O158" s="25"/>
      <c r="P158" s="25"/>
      <c r="Q158" s="25"/>
      <c r="R158" s="108"/>
      <c r="S158" s="796" t="s">
        <v>1558</v>
      </c>
      <c r="T158" s="72">
        <f t="shared" ca="1" si="5239"/>
        <v>0</v>
      </c>
      <c r="U158" s="63"/>
      <c r="V158" s="73" t="s">
        <v>1558</v>
      </c>
      <c r="W158" s="72">
        <f t="shared" ca="1" si="5240"/>
        <v>0</v>
      </c>
      <c r="X158" s="63"/>
      <c r="Y158" s="796" t="s">
        <v>1550</v>
      </c>
      <c r="Z158" s="72">
        <f t="shared" ca="1" si="5241"/>
        <v>0</v>
      </c>
      <c r="AA158" s="63"/>
      <c r="AB158" s="796" t="s">
        <v>1558</v>
      </c>
      <c r="AC158" s="72">
        <f t="shared" ca="1" si="5242"/>
        <v>0</v>
      </c>
      <c r="AD158" s="63"/>
      <c r="AE158" s="796" t="s">
        <v>1262</v>
      </c>
      <c r="AF158" s="72">
        <f t="shared" ca="1" si="5243"/>
        <v>0</v>
      </c>
      <c r="AG158" s="63"/>
      <c r="AH158" s="796" t="s">
        <v>1558</v>
      </c>
      <c r="AI158" s="72">
        <f t="shared" ca="1" si="5244"/>
        <v>0</v>
      </c>
      <c r="AJ158" s="63"/>
      <c r="AK158" s="806" t="s">
        <v>80</v>
      </c>
      <c r="AL158" s="72">
        <f t="shared" ca="1" si="5245"/>
        <v>0</v>
      </c>
      <c r="AM158" s="63"/>
      <c r="AN158" s="796" t="s">
        <v>1633</v>
      </c>
      <c r="AO158" s="72">
        <f t="shared" ca="1" si="5246"/>
        <v>0</v>
      </c>
      <c r="AP158" s="63"/>
      <c r="AQ158" s="806" t="s">
        <v>1558</v>
      </c>
      <c r="AR158" s="72">
        <f t="shared" ca="1" si="5247"/>
        <v>0</v>
      </c>
      <c r="AS158" s="63"/>
      <c r="AT158" s="796" t="s">
        <v>80</v>
      </c>
      <c r="AU158" s="72">
        <f t="shared" ca="1" si="5248"/>
        <v>0</v>
      </c>
      <c r="AV158" s="63"/>
      <c r="AW158" s="796" t="s">
        <v>80</v>
      </c>
      <c r="AX158" s="72">
        <f t="shared" ca="1" si="5249"/>
        <v>0</v>
      </c>
      <c r="AY158" s="63"/>
      <c r="AZ158" s="796" t="s">
        <v>80</v>
      </c>
      <c r="BA158" s="72">
        <f t="shared" ca="1" si="5250"/>
        <v>0</v>
      </c>
      <c r="BB158" s="63"/>
      <c r="BC158" s="796" t="s">
        <v>1262</v>
      </c>
      <c r="BD158" s="72">
        <f t="shared" ca="1" si="5251"/>
        <v>0</v>
      </c>
      <c r="BE158" s="63"/>
      <c r="BF158" s="796" t="s">
        <v>1633</v>
      </c>
      <c r="BG158" s="72">
        <f t="shared" ca="1" si="5252"/>
        <v>0</v>
      </c>
      <c r="BH158" s="63"/>
      <c r="BI158" s="796" t="s">
        <v>1262</v>
      </c>
      <c r="BJ158" s="72">
        <f t="shared" ca="1" si="5253"/>
        <v>0</v>
      </c>
      <c r="BK158" s="63"/>
      <c r="BL158" s="796" t="s">
        <v>1558</v>
      </c>
      <c r="BM158" s="72">
        <f t="shared" ca="1" si="5254"/>
        <v>0</v>
      </c>
      <c r="BN158" s="63"/>
      <c r="BO158" s="816" t="s">
        <v>1633</v>
      </c>
      <c r="BP158" s="72">
        <f t="shared" ca="1" si="5255"/>
        <v>0</v>
      </c>
      <c r="BQ158" s="63"/>
      <c r="BR158" s="796" t="s">
        <v>80</v>
      </c>
      <c r="BS158" s="72">
        <f t="shared" ca="1" si="5256"/>
        <v>0</v>
      </c>
      <c r="BT158" s="63"/>
      <c r="BU158" s="796" t="s">
        <v>1266</v>
      </c>
      <c r="BV158" s="72">
        <f t="shared" ca="1" si="5257"/>
        <v>0</v>
      </c>
      <c r="BW158" s="63"/>
      <c r="BX158" s="73" t="s">
        <v>80</v>
      </c>
      <c r="BY158" s="72">
        <f t="shared" ca="1" si="5258"/>
        <v>0</v>
      </c>
      <c r="BZ158" s="63"/>
      <c r="CA158" s="816" t="s">
        <v>1633</v>
      </c>
      <c r="CB158" s="72">
        <f t="shared" ca="1" si="5259"/>
        <v>0</v>
      </c>
      <c r="CC158" s="63"/>
      <c r="CD158" s="825" t="s">
        <v>1262</v>
      </c>
      <c r="CE158" s="72">
        <f t="shared" ca="1" si="5260"/>
        <v>0</v>
      </c>
      <c r="CF158" s="63"/>
      <c r="CG158" s="796" t="s">
        <v>1633</v>
      </c>
      <c r="CH158" s="72">
        <f t="shared" ca="1" si="5261"/>
        <v>0</v>
      </c>
      <c r="CI158" s="63"/>
      <c r="CJ158" s="796" t="s">
        <v>1262</v>
      </c>
      <c r="CK158" s="72">
        <f t="shared" ca="1" si="5262"/>
        <v>0</v>
      </c>
      <c r="CL158" s="63"/>
      <c r="CM158" s="796" t="s">
        <v>80</v>
      </c>
      <c r="CN158" s="72">
        <f t="shared" ca="1" si="5263"/>
        <v>0</v>
      </c>
      <c r="CO158" s="63"/>
      <c r="CP158" s="796" t="s">
        <v>80</v>
      </c>
      <c r="CQ158" s="72">
        <f t="shared" ca="1" si="5264"/>
        <v>0</v>
      </c>
      <c r="CR158" s="63"/>
      <c r="CS158" s="796" t="s">
        <v>1262</v>
      </c>
      <c r="CT158" s="72">
        <f t="shared" ca="1" si="5265"/>
        <v>0</v>
      </c>
      <c r="CU158" s="63"/>
      <c r="CV158" s="796" t="s">
        <v>80</v>
      </c>
      <c r="CW158" s="72">
        <f t="shared" ca="1" si="5266"/>
        <v>0</v>
      </c>
      <c r="CX158" s="63"/>
      <c r="CY158" s="796" t="s">
        <v>1262</v>
      </c>
      <c r="CZ158" s="72">
        <f t="shared" ca="1" si="5267"/>
        <v>0</v>
      </c>
      <c r="DA158" s="63"/>
      <c r="DB158" s="796" t="s">
        <v>1262</v>
      </c>
      <c r="DC158" s="72">
        <f t="shared" ca="1" si="5268"/>
        <v>0</v>
      </c>
      <c r="DD158" s="63"/>
      <c r="DE158" s="796" t="s">
        <v>1558</v>
      </c>
      <c r="DF158" s="72">
        <f t="shared" ca="1" si="5269"/>
        <v>0</v>
      </c>
      <c r="DG158" s="63"/>
      <c r="DH158" s="796" t="s">
        <v>1633</v>
      </c>
      <c r="DI158" s="72">
        <f t="shared" ca="1" si="5270"/>
        <v>0</v>
      </c>
      <c r="DJ158" s="63"/>
      <c r="DK158" s="796" t="s">
        <v>1266</v>
      </c>
      <c r="DL158" s="72">
        <f t="shared" ca="1" si="5271"/>
        <v>0</v>
      </c>
      <c r="DM158" s="63"/>
      <c r="DN158" s="73"/>
      <c r="DO158" s="72">
        <f t="shared" ca="1" si="5272"/>
        <v>0</v>
      </c>
      <c r="DP158" s="63"/>
      <c r="DQ158" s="796" t="s">
        <v>1266</v>
      </c>
      <c r="DR158" s="72">
        <f t="shared" ca="1" si="5273"/>
        <v>0</v>
      </c>
      <c r="DS158" s="63"/>
      <c r="DT158" s="73" t="s">
        <v>1262</v>
      </c>
      <c r="DU158" s="72">
        <f t="shared" ca="1" si="5274"/>
        <v>0</v>
      </c>
      <c r="DV158" s="63"/>
      <c r="DW158" s="73"/>
      <c r="DX158" s="72">
        <f t="shared" ca="1" si="5275"/>
        <v>0</v>
      </c>
      <c r="DY158" s="63"/>
      <c r="DZ158" s="73"/>
      <c r="EA158" s="72">
        <f t="shared" ca="1" si="5276"/>
        <v>0</v>
      </c>
      <c r="EB158" s="63"/>
      <c r="EC158" s="73"/>
      <c r="ED158" s="72">
        <f t="shared" ca="1" si="5277"/>
        <v>0</v>
      </c>
      <c r="EE158" s="63"/>
      <c r="EF158" s="73"/>
      <c r="EG158" s="72">
        <f t="shared" ca="1" si="5278"/>
        <v>0</v>
      </c>
      <c r="EH158" s="63"/>
      <c r="EI158" s="73"/>
      <c r="EJ158" s="72">
        <f t="shared" ca="1" si="5279"/>
        <v>0</v>
      </c>
      <c r="EK158" s="63"/>
      <c r="EL158" s="73"/>
      <c r="EM158" s="72">
        <f t="shared" ca="1" si="5280"/>
        <v>0</v>
      </c>
      <c r="EN158" s="63"/>
      <c r="EO158" s="73"/>
      <c r="EP158" s="72">
        <f t="shared" ca="1" si="5281"/>
        <v>0</v>
      </c>
      <c r="EQ158" s="63"/>
      <c r="ER158" s="73"/>
      <c r="ES158" s="72">
        <f t="shared" ca="1" si="5282"/>
        <v>0</v>
      </c>
      <c r="ET158" s="63"/>
      <c r="EU158" s="73"/>
      <c r="EV158" s="72">
        <f t="shared" ca="1" si="5283"/>
        <v>0</v>
      </c>
      <c r="EW158" s="63"/>
      <c r="EX158" s="73"/>
      <c r="EY158" s="72">
        <f t="shared" ca="1" si="5284"/>
        <v>0</v>
      </c>
      <c r="EZ158" s="63"/>
      <c r="FA158" s="73"/>
      <c r="FB158" s="72">
        <f t="shared" ca="1" si="5285"/>
        <v>0</v>
      </c>
      <c r="FC158" s="63"/>
      <c r="FD158" s="73"/>
      <c r="FE158" s="72">
        <f t="shared" ca="1" si="5286"/>
        <v>0</v>
      </c>
      <c r="FF158" s="63"/>
      <c r="FG158" s="73"/>
      <c r="FH158" s="72">
        <f t="shared" ca="1" si="5287"/>
        <v>0</v>
      </c>
      <c r="FI158" s="63"/>
      <c r="FJ158" s="73"/>
      <c r="FK158" s="72">
        <f t="shared" ca="1" si="5288"/>
        <v>0</v>
      </c>
      <c r="FL158" s="63"/>
      <c r="FM158" s="73"/>
      <c r="FN158" s="72">
        <f t="shared" ca="1" si="5289"/>
        <v>0</v>
      </c>
      <c r="FO158" s="63"/>
      <c r="FP158" s="73"/>
      <c r="FQ158" s="72">
        <f t="shared" ca="1" si="5290"/>
        <v>0</v>
      </c>
      <c r="FR158" s="63"/>
      <c r="FS158" s="73"/>
      <c r="FT158" s="72">
        <f t="shared" ca="1" si="5291"/>
        <v>0</v>
      </c>
      <c r="FU158" s="63"/>
      <c r="FV158" s="73"/>
      <c r="FW158" s="72">
        <f t="shared" ca="1" si="5292"/>
        <v>0</v>
      </c>
      <c r="FX158" s="63"/>
      <c r="FY158" s="73"/>
      <c r="FZ158" s="72">
        <f t="shared" ca="1" si="5293"/>
        <v>0</v>
      </c>
      <c r="GA158" s="63"/>
      <c r="GB158" s="73"/>
      <c r="GC158" s="72">
        <f t="shared" ca="1" si="5294"/>
        <v>0</v>
      </c>
      <c r="GD158" s="63"/>
      <c r="GE158" s="73"/>
      <c r="GF158" s="72">
        <f t="shared" ca="1" si="5295"/>
        <v>0</v>
      </c>
      <c r="GG158" s="63"/>
      <c r="GH158" s="73"/>
      <c r="GI158" s="72">
        <f t="shared" ca="1" si="5296"/>
        <v>0</v>
      </c>
      <c r="GJ158" s="63"/>
      <c r="GK158" s="73"/>
      <c r="GL158" s="72">
        <f t="shared" ca="1" si="5297"/>
        <v>0</v>
      </c>
      <c r="GM158" s="63"/>
      <c r="GN158" s="73"/>
      <c r="GO158" s="72">
        <f t="shared" ca="1" si="5298"/>
        <v>0</v>
      </c>
      <c r="GP158" s="63"/>
      <c r="GQ158" s="73"/>
      <c r="GR158" s="72">
        <f t="shared" ca="1" si="5299"/>
        <v>0</v>
      </c>
      <c r="GS158" s="63"/>
      <c r="GT158" s="73"/>
      <c r="GU158" s="72">
        <f t="shared" ca="1" si="5300"/>
        <v>0</v>
      </c>
      <c r="GV158" s="63"/>
      <c r="GW158" s="73"/>
      <c r="GX158" s="72">
        <f t="shared" ca="1" si="5301"/>
        <v>0</v>
      </c>
      <c r="GY158" s="63"/>
      <c r="GZ158" s="73"/>
      <c r="HA158" s="72">
        <f t="shared" ca="1" si="5302"/>
        <v>0</v>
      </c>
      <c r="HB158" s="63"/>
      <c r="HC158" s="73"/>
      <c r="HD158" s="72">
        <f t="shared" ca="1" si="5303"/>
        <v>0</v>
      </c>
      <c r="HE158" s="63"/>
      <c r="HF158" s="73"/>
      <c r="HG158" s="72">
        <f t="shared" ca="1" si="5304"/>
        <v>0</v>
      </c>
      <c r="HH158" s="63"/>
      <c r="HI158" s="73"/>
      <c r="HJ158" s="72">
        <f t="shared" ca="1" si="5305"/>
        <v>0</v>
      </c>
      <c r="HK158" s="63"/>
      <c r="HL158" s="73"/>
      <c r="HM158" s="72">
        <f t="shared" ca="1" si="5306"/>
        <v>0</v>
      </c>
      <c r="HN158" s="63"/>
      <c r="HO158" s="73"/>
      <c r="HP158" s="72">
        <f t="shared" ca="1" si="5307"/>
        <v>0</v>
      </c>
      <c r="HQ158" s="63"/>
      <c r="HR158" s="73"/>
      <c r="HS158" s="72">
        <f t="shared" ca="1" si="5308"/>
        <v>0</v>
      </c>
      <c r="HT158" s="63"/>
      <c r="HU158" s="73"/>
      <c r="HV158" s="72">
        <f t="shared" ca="1" si="5309"/>
        <v>0</v>
      </c>
      <c r="HW158" s="63"/>
      <c r="HX158" s="73"/>
      <c r="HY158" s="72">
        <f t="shared" ca="1" si="5310"/>
        <v>0</v>
      </c>
      <c r="HZ158" s="63"/>
      <c r="IA158" s="73"/>
      <c r="IB158" s="72">
        <f t="shared" ca="1" si="5311"/>
        <v>0</v>
      </c>
      <c r="IC158" s="63"/>
      <c r="ID158" s="73"/>
      <c r="IE158" s="72">
        <f t="shared" ca="1" si="5312"/>
        <v>0</v>
      </c>
      <c r="IF158" s="63"/>
      <c r="IG158" s="73"/>
      <c r="IH158" s="72">
        <f t="shared" ca="1" si="5313"/>
        <v>0</v>
      </c>
      <c r="II158" s="63"/>
      <c r="IJ158" s="73"/>
      <c r="IK158" s="72">
        <f t="shared" ca="1" si="5314"/>
        <v>0</v>
      </c>
      <c r="IL158" s="63"/>
      <c r="IM158" s="73"/>
      <c r="IN158" s="72">
        <f t="shared" ca="1" si="5315"/>
        <v>0</v>
      </c>
      <c r="IO158" s="63"/>
      <c r="IP158" s="73"/>
      <c r="IQ158" s="72">
        <f t="shared" ca="1" si="5316"/>
        <v>0</v>
      </c>
      <c r="IR158" s="63"/>
      <c r="IS158" s="73"/>
      <c r="IT158" s="72">
        <f t="shared" ca="1" si="5317"/>
        <v>0</v>
      </c>
      <c r="IU158" s="63"/>
      <c r="IV158" s="73"/>
      <c r="IW158" s="72">
        <f t="shared" ca="1" si="5318"/>
        <v>0</v>
      </c>
      <c r="IX158" s="63"/>
      <c r="IY158" s="73"/>
      <c r="IZ158" s="72">
        <f t="shared" ca="1" si="5319"/>
        <v>0</v>
      </c>
      <c r="JA158" s="63"/>
      <c r="JB158" s="73"/>
      <c r="JC158" s="72">
        <f t="shared" ca="1" si="5320"/>
        <v>0</v>
      </c>
      <c r="JD158" s="63"/>
      <c r="JE158" s="73"/>
      <c r="JF158" s="72">
        <f t="shared" ca="1" si="5321"/>
        <v>0</v>
      </c>
      <c r="JG158" s="63"/>
      <c r="JH158" s="73"/>
      <c r="JI158" s="72">
        <f t="shared" ca="1" si="5322"/>
        <v>0</v>
      </c>
      <c r="JJ158" s="63"/>
      <c r="JK158" s="73"/>
      <c r="JL158" s="72">
        <f t="shared" ca="1" si="5323"/>
        <v>0</v>
      </c>
      <c r="JM158" s="63"/>
      <c r="JN158" s="73"/>
      <c r="JO158" s="72">
        <f t="shared" ca="1" si="5324"/>
        <v>0</v>
      </c>
      <c r="JP158" s="63"/>
      <c r="JQ158" s="73"/>
      <c r="JR158" s="72">
        <f t="shared" ca="1" si="5325"/>
        <v>0</v>
      </c>
      <c r="JS158" s="63"/>
      <c r="JT158" s="73"/>
      <c r="JU158" s="72">
        <f t="shared" ca="1" si="5326"/>
        <v>0</v>
      </c>
      <c r="JV158" s="63"/>
      <c r="JW158" s="73"/>
      <c r="JX158" s="72">
        <f t="shared" ca="1" si="5327"/>
        <v>0</v>
      </c>
      <c r="JY158" s="63"/>
      <c r="JZ158" s="73"/>
      <c r="KA158" s="72">
        <f t="shared" ca="1" si="5328"/>
        <v>0</v>
      </c>
      <c r="KB158" s="63"/>
      <c r="KC158" s="73"/>
      <c r="KD158" s="72">
        <f t="shared" ca="1" si="5329"/>
        <v>0</v>
      </c>
      <c r="KE158" s="63"/>
      <c r="KF158" s="73"/>
      <c r="KG158" s="72">
        <f t="shared" ca="1" si="5330"/>
        <v>0</v>
      </c>
      <c r="KH158" s="63"/>
      <c r="KI158" s="73"/>
      <c r="KJ158" s="72">
        <f t="shared" ca="1" si="5331"/>
        <v>0</v>
      </c>
      <c r="KK158" s="63"/>
      <c r="KL158" s="73"/>
      <c r="KM158" s="72">
        <f t="shared" ca="1" si="5332"/>
        <v>0</v>
      </c>
      <c r="KN158" s="63"/>
      <c r="KO158" s="73"/>
      <c r="KP158" s="72">
        <f t="shared" ca="1" si="5333"/>
        <v>0</v>
      </c>
      <c r="KQ158" s="63"/>
      <c r="KR158" s="73"/>
      <c r="KS158" s="72">
        <f t="shared" ca="1" si="5334"/>
        <v>0</v>
      </c>
      <c r="KT158" s="63"/>
      <c r="KU158" s="73"/>
      <c r="KV158" s="72">
        <f t="shared" ca="1" si="5335"/>
        <v>0</v>
      </c>
      <c r="KW158" s="63"/>
      <c r="KX158" s="73"/>
      <c r="KY158" s="72">
        <f t="shared" ca="1" si="5336"/>
        <v>0</v>
      </c>
      <c r="KZ158" s="63"/>
      <c r="LA158" s="73"/>
      <c r="LB158" s="72">
        <f t="shared" ca="1" si="5337"/>
        <v>0</v>
      </c>
      <c r="LC158" s="63"/>
      <c r="LD158" s="73"/>
      <c r="LE158" s="72">
        <f t="shared" ca="1" si="5338"/>
        <v>0</v>
      </c>
      <c r="LF158" s="63"/>
    </row>
    <row r="159" spans="1:318" s="784" customFormat="1">
      <c r="A159" s="49"/>
      <c r="B159" s="49"/>
      <c r="C159" s="49"/>
      <c r="D159" s="49"/>
      <c r="E159" s="64"/>
      <c r="F159" s="125">
        <f t="shared" si="5339"/>
        <v>15</v>
      </c>
      <c r="G159" s="443">
        <f ca="1">VLOOKUP(H159,Equipos!$Q$1:$R$25,2,0)</f>
        <v>19</v>
      </c>
      <c r="H159" s="445" t="str">
        <f>Idiomas!$D$137</f>
        <v>CLASIFICADOS PARA DIECISEISAVOS</v>
      </c>
      <c r="I159" s="50"/>
      <c r="J159" s="843"/>
      <c r="K159" s="56" t="str">
        <f>Idiomas!$D$198&amp;"-"&amp;ROWS($L$130:L159)</f>
        <v>Dieciseisavofinalista-30</v>
      </c>
      <c r="L159" s="53"/>
      <c r="M159" s="55" t="str">
        <f ca="1">WORLDCUP!AF114</f>
        <v>2G</v>
      </c>
      <c r="N159" s="25"/>
      <c r="O159" s="25"/>
      <c r="P159" s="25"/>
      <c r="Q159" s="25"/>
      <c r="R159" s="108"/>
      <c r="S159" s="796" t="s">
        <v>1550</v>
      </c>
      <c r="T159" s="72">
        <f t="shared" ca="1" si="5239"/>
        <v>0</v>
      </c>
      <c r="U159" s="63"/>
      <c r="V159" s="73" t="s">
        <v>1550</v>
      </c>
      <c r="W159" s="72">
        <f t="shared" ca="1" si="5240"/>
        <v>0</v>
      </c>
      <c r="X159" s="63"/>
      <c r="Y159" s="796" t="s">
        <v>1266</v>
      </c>
      <c r="Z159" s="72">
        <f t="shared" ca="1" si="5241"/>
        <v>0</v>
      </c>
      <c r="AA159" s="63"/>
      <c r="AB159" s="796" t="s">
        <v>1550</v>
      </c>
      <c r="AC159" s="72">
        <f t="shared" ca="1" si="5242"/>
        <v>0</v>
      </c>
      <c r="AD159" s="63"/>
      <c r="AE159" s="796" t="s">
        <v>1550</v>
      </c>
      <c r="AF159" s="72">
        <f t="shared" ca="1" si="5243"/>
        <v>0</v>
      </c>
      <c r="AG159" s="63"/>
      <c r="AH159" s="796" t="s">
        <v>1550</v>
      </c>
      <c r="AI159" s="72">
        <f t="shared" ca="1" si="5244"/>
        <v>0</v>
      </c>
      <c r="AJ159" s="63"/>
      <c r="AK159" s="806" t="s">
        <v>1550</v>
      </c>
      <c r="AL159" s="72">
        <f t="shared" ca="1" si="5245"/>
        <v>0</v>
      </c>
      <c r="AM159" s="63"/>
      <c r="AN159" s="796" t="s">
        <v>1550</v>
      </c>
      <c r="AO159" s="72">
        <f t="shared" ca="1" si="5246"/>
        <v>0</v>
      </c>
      <c r="AP159" s="63"/>
      <c r="AQ159" s="806" t="s">
        <v>1550</v>
      </c>
      <c r="AR159" s="72">
        <f t="shared" ca="1" si="5247"/>
        <v>0</v>
      </c>
      <c r="AS159" s="63"/>
      <c r="AT159" s="796" t="s">
        <v>1262</v>
      </c>
      <c r="AU159" s="72">
        <f t="shared" ca="1" si="5248"/>
        <v>0</v>
      </c>
      <c r="AV159" s="63"/>
      <c r="AW159" s="796" t="s">
        <v>1262</v>
      </c>
      <c r="AX159" s="72">
        <f t="shared" ca="1" si="5249"/>
        <v>0</v>
      </c>
      <c r="AY159" s="63"/>
      <c r="AZ159" s="796" t="s">
        <v>1550</v>
      </c>
      <c r="BA159" s="72">
        <f t="shared" ca="1" si="5250"/>
        <v>0</v>
      </c>
      <c r="BB159" s="63"/>
      <c r="BC159" s="796" t="s">
        <v>1550</v>
      </c>
      <c r="BD159" s="72">
        <f t="shared" ca="1" si="5251"/>
        <v>0</v>
      </c>
      <c r="BE159" s="63"/>
      <c r="BF159" s="796" t="s">
        <v>1550</v>
      </c>
      <c r="BG159" s="72">
        <f t="shared" ca="1" si="5252"/>
        <v>0</v>
      </c>
      <c r="BH159" s="63"/>
      <c r="BI159" s="796" t="s">
        <v>1550</v>
      </c>
      <c r="BJ159" s="72">
        <f t="shared" ca="1" si="5253"/>
        <v>0</v>
      </c>
      <c r="BK159" s="63"/>
      <c r="BL159" s="796" t="s">
        <v>1266</v>
      </c>
      <c r="BM159" s="72">
        <f t="shared" ca="1" si="5254"/>
        <v>0</v>
      </c>
      <c r="BN159" s="63"/>
      <c r="BO159" s="816" t="s">
        <v>1550</v>
      </c>
      <c r="BP159" s="72">
        <f t="shared" ca="1" si="5255"/>
        <v>0</v>
      </c>
      <c r="BQ159" s="63"/>
      <c r="BR159" s="796" t="s">
        <v>1550</v>
      </c>
      <c r="BS159" s="72">
        <f t="shared" ca="1" si="5256"/>
        <v>0</v>
      </c>
      <c r="BT159" s="63"/>
      <c r="BU159" s="796" t="s">
        <v>1550</v>
      </c>
      <c r="BV159" s="72">
        <f t="shared" ca="1" si="5257"/>
        <v>0</v>
      </c>
      <c r="BW159" s="63"/>
      <c r="BX159" s="73" t="s">
        <v>110</v>
      </c>
      <c r="BY159" s="72">
        <f t="shared" ca="1" si="5258"/>
        <v>0</v>
      </c>
      <c r="BZ159" s="63"/>
      <c r="CA159" s="816" t="s">
        <v>1262</v>
      </c>
      <c r="CB159" s="72">
        <f t="shared" ca="1" si="5259"/>
        <v>0</v>
      </c>
      <c r="CC159" s="63"/>
      <c r="CD159" s="825" t="s">
        <v>1550</v>
      </c>
      <c r="CE159" s="72">
        <f t="shared" ca="1" si="5260"/>
        <v>0</v>
      </c>
      <c r="CF159" s="63"/>
      <c r="CG159" s="796" t="s">
        <v>1550</v>
      </c>
      <c r="CH159" s="72">
        <f t="shared" ca="1" si="5261"/>
        <v>0</v>
      </c>
      <c r="CI159" s="63"/>
      <c r="CJ159" s="796" t="s">
        <v>1550</v>
      </c>
      <c r="CK159" s="72">
        <f t="shared" ca="1" si="5262"/>
        <v>0</v>
      </c>
      <c r="CL159" s="63"/>
      <c r="CM159" s="796" t="s">
        <v>1266</v>
      </c>
      <c r="CN159" s="72">
        <f t="shared" ca="1" si="5263"/>
        <v>0</v>
      </c>
      <c r="CO159" s="63"/>
      <c r="CP159" s="796" t="s">
        <v>1266</v>
      </c>
      <c r="CQ159" s="72">
        <f t="shared" ca="1" si="5264"/>
        <v>0</v>
      </c>
      <c r="CR159" s="63"/>
      <c r="CS159" s="796" t="s">
        <v>1266</v>
      </c>
      <c r="CT159" s="72">
        <f t="shared" ca="1" si="5265"/>
        <v>0</v>
      </c>
      <c r="CU159" s="63"/>
      <c r="CV159" s="796" t="s">
        <v>110</v>
      </c>
      <c r="CW159" s="72">
        <f t="shared" ca="1" si="5266"/>
        <v>0</v>
      </c>
      <c r="CX159" s="63"/>
      <c r="CY159" s="796" t="s">
        <v>1550</v>
      </c>
      <c r="CZ159" s="72">
        <f t="shared" ca="1" si="5267"/>
        <v>0</v>
      </c>
      <c r="DA159" s="63"/>
      <c r="DB159" s="796" t="s">
        <v>1266</v>
      </c>
      <c r="DC159" s="72">
        <f t="shared" ca="1" si="5268"/>
        <v>0</v>
      </c>
      <c r="DD159" s="63"/>
      <c r="DE159" s="796" t="s">
        <v>1550</v>
      </c>
      <c r="DF159" s="72">
        <f t="shared" ca="1" si="5269"/>
        <v>0</v>
      </c>
      <c r="DG159" s="63"/>
      <c r="DH159" s="796" t="s">
        <v>1550</v>
      </c>
      <c r="DI159" s="72">
        <f t="shared" ca="1" si="5270"/>
        <v>0</v>
      </c>
      <c r="DJ159" s="63"/>
      <c r="DK159" s="796" t="s">
        <v>1550</v>
      </c>
      <c r="DL159" s="72">
        <f t="shared" ca="1" si="5271"/>
        <v>0</v>
      </c>
      <c r="DM159" s="63"/>
      <c r="DN159" s="73"/>
      <c r="DO159" s="72">
        <f t="shared" ca="1" si="5272"/>
        <v>0</v>
      </c>
      <c r="DP159" s="63"/>
      <c r="DQ159" s="796" t="s">
        <v>1550</v>
      </c>
      <c r="DR159" s="72">
        <f t="shared" ca="1" si="5273"/>
        <v>0</v>
      </c>
      <c r="DS159" s="63"/>
      <c r="DT159" s="73" t="s">
        <v>1550</v>
      </c>
      <c r="DU159" s="72">
        <f t="shared" ca="1" si="5274"/>
        <v>0</v>
      </c>
      <c r="DV159" s="63"/>
      <c r="DW159" s="73"/>
      <c r="DX159" s="72">
        <f t="shared" ca="1" si="5275"/>
        <v>0</v>
      </c>
      <c r="DY159" s="63"/>
      <c r="DZ159" s="73"/>
      <c r="EA159" s="72">
        <f t="shared" ca="1" si="5276"/>
        <v>0</v>
      </c>
      <c r="EB159" s="63"/>
      <c r="EC159" s="73"/>
      <c r="ED159" s="72">
        <f t="shared" ca="1" si="5277"/>
        <v>0</v>
      </c>
      <c r="EE159" s="63"/>
      <c r="EF159" s="73"/>
      <c r="EG159" s="72">
        <f t="shared" ca="1" si="5278"/>
        <v>0</v>
      </c>
      <c r="EH159" s="63"/>
      <c r="EI159" s="73"/>
      <c r="EJ159" s="72">
        <f t="shared" ca="1" si="5279"/>
        <v>0</v>
      </c>
      <c r="EK159" s="63"/>
      <c r="EL159" s="73"/>
      <c r="EM159" s="72">
        <f t="shared" ca="1" si="5280"/>
        <v>0</v>
      </c>
      <c r="EN159" s="63"/>
      <c r="EO159" s="73"/>
      <c r="EP159" s="72">
        <f t="shared" ca="1" si="5281"/>
        <v>0</v>
      </c>
      <c r="EQ159" s="63"/>
      <c r="ER159" s="73"/>
      <c r="ES159" s="72">
        <f t="shared" ca="1" si="5282"/>
        <v>0</v>
      </c>
      <c r="ET159" s="63"/>
      <c r="EU159" s="73"/>
      <c r="EV159" s="72">
        <f t="shared" ca="1" si="5283"/>
        <v>0</v>
      </c>
      <c r="EW159" s="63"/>
      <c r="EX159" s="73"/>
      <c r="EY159" s="72">
        <f t="shared" ca="1" si="5284"/>
        <v>0</v>
      </c>
      <c r="EZ159" s="63"/>
      <c r="FA159" s="73"/>
      <c r="FB159" s="72">
        <f t="shared" ca="1" si="5285"/>
        <v>0</v>
      </c>
      <c r="FC159" s="63"/>
      <c r="FD159" s="73"/>
      <c r="FE159" s="72">
        <f t="shared" ca="1" si="5286"/>
        <v>0</v>
      </c>
      <c r="FF159" s="63"/>
      <c r="FG159" s="73"/>
      <c r="FH159" s="72">
        <f t="shared" ca="1" si="5287"/>
        <v>0</v>
      </c>
      <c r="FI159" s="63"/>
      <c r="FJ159" s="73"/>
      <c r="FK159" s="72">
        <f t="shared" ca="1" si="5288"/>
        <v>0</v>
      </c>
      <c r="FL159" s="63"/>
      <c r="FM159" s="73"/>
      <c r="FN159" s="72">
        <f t="shared" ca="1" si="5289"/>
        <v>0</v>
      </c>
      <c r="FO159" s="63"/>
      <c r="FP159" s="73"/>
      <c r="FQ159" s="72">
        <f t="shared" ca="1" si="5290"/>
        <v>0</v>
      </c>
      <c r="FR159" s="63"/>
      <c r="FS159" s="73"/>
      <c r="FT159" s="72">
        <f t="shared" ca="1" si="5291"/>
        <v>0</v>
      </c>
      <c r="FU159" s="63"/>
      <c r="FV159" s="73"/>
      <c r="FW159" s="72">
        <f t="shared" ca="1" si="5292"/>
        <v>0</v>
      </c>
      <c r="FX159" s="63"/>
      <c r="FY159" s="73"/>
      <c r="FZ159" s="72">
        <f t="shared" ca="1" si="5293"/>
        <v>0</v>
      </c>
      <c r="GA159" s="63"/>
      <c r="GB159" s="73"/>
      <c r="GC159" s="72">
        <f t="shared" ca="1" si="5294"/>
        <v>0</v>
      </c>
      <c r="GD159" s="63"/>
      <c r="GE159" s="73"/>
      <c r="GF159" s="72">
        <f t="shared" ca="1" si="5295"/>
        <v>0</v>
      </c>
      <c r="GG159" s="63"/>
      <c r="GH159" s="73"/>
      <c r="GI159" s="72">
        <f t="shared" ca="1" si="5296"/>
        <v>0</v>
      </c>
      <c r="GJ159" s="63"/>
      <c r="GK159" s="73"/>
      <c r="GL159" s="72">
        <f t="shared" ca="1" si="5297"/>
        <v>0</v>
      </c>
      <c r="GM159" s="63"/>
      <c r="GN159" s="73"/>
      <c r="GO159" s="72">
        <f t="shared" ca="1" si="5298"/>
        <v>0</v>
      </c>
      <c r="GP159" s="63"/>
      <c r="GQ159" s="73"/>
      <c r="GR159" s="72">
        <f t="shared" ca="1" si="5299"/>
        <v>0</v>
      </c>
      <c r="GS159" s="63"/>
      <c r="GT159" s="73"/>
      <c r="GU159" s="72">
        <f t="shared" ca="1" si="5300"/>
        <v>0</v>
      </c>
      <c r="GV159" s="63"/>
      <c r="GW159" s="73"/>
      <c r="GX159" s="72">
        <f t="shared" ca="1" si="5301"/>
        <v>0</v>
      </c>
      <c r="GY159" s="63"/>
      <c r="GZ159" s="73"/>
      <c r="HA159" s="72">
        <f t="shared" ca="1" si="5302"/>
        <v>0</v>
      </c>
      <c r="HB159" s="63"/>
      <c r="HC159" s="73"/>
      <c r="HD159" s="72">
        <f t="shared" ca="1" si="5303"/>
        <v>0</v>
      </c>
      <c r="HE159" s="63"/>
      <c r="HF159" s="73"/>
      <c r="HG159" s="72">
        <f t="shared" ca="1" si="5304"/>
        <v>0</v>
      </c>
      <c r="HH159" s="63"/>
      <c r="HI159" s="73"/>
      <c r="HJ159" s="72">
        <f t="shared" ca="1" si="5305"/>
        <v>0</v>
      </c>
      <c r="HK159" s="63"/>
      <c r="HL159" s="73"/>
      <c r="HM159" s="72">
        <f t="shared" ca="1" si="5306"/>
        <v>0</v>
      </c>
      <c r="HN159" s="63"/>
      <c r="HO159" s="73"/>
      <c r="HP159" s="72">
        <f t="shared" ca="1" si="5307"/>
        <v>0</v>
      </c>
      <c r="HQ159" s="63"/>
      <c r="HR159" s="73"/>
      <c r="HS159" s="72">
        <f t="shared" ca="1" si="5308"/>
        <v>0</v>
      </c>
      <c r="HT159" s="63"/>
      <c r="HU159" s="73"/>
      <c r="HV159" s="72">
        <f t="shared" ca="1" si="5309"/>
        <v>0</v>
      </c>
      <c r="HW159" s="63"/>
      <c r="HX159" s="73"/>
      <c r="HY159" s="72">
        <f t="shared" ca="1" si="5310"/>
        <v>0</v>
      </c>
      <c r="HZ159" s="63"/>
      <c r="IA159" s="73"/>
      <c r="IB159" s="72">
        <f t="shared" ca="1" si="5311"/>
        <v>0</v>
      </c>
      <c r="IC159" s="63"/>
      <c r="ID159" s="73"/>
      <c r="IE159" s="72">
        <f t="shared" ca="1" si="5312"/>
        <v>0</v>
      </c>
      <c r="IF159" s="63"/>
      <c r="IG159" s="73"/>
      <c r="IH159" s="72">
        <f t="shared" ca="1" si="5313"/>
        <v>0</v>
      </c>
      <c r="II159" s="63"/>
      <c r="IJ159" s="73"/>
      <c r="IK159" s="72">
        <f t="shared" ca="1" si="5314"/>
        <v>0</v>
      </c>
      <c r="IL159" s="63"/>
      <c r="IM159" s="73"/>
      <c r="IN159" s="72">
        <f t="shared" ca="1" si="5315"/>
        <v>0</v>
      </c>
      <c r="IO159" s="63"/>
      <c r="IP159" s="73"/>
      <c r="IQ159" s="72">
        <f t="shared" ca="1" si="5316"/>
        <v>0</v>
      </c>
      <c r="IR159" s="63"/>
      <c r="IS159" s="73"/>
      <c r="IT159" s="72">
        <f t="shared" ca="1" si="5317"/>
        <v>0</v>
      </c>
      <c r="IU159" s="63"/>
      <c r="IV159" s="73"/>
      <c r="IW159" s="72">
        <f t="shared" ca="1" si="5318"/>
        <v>0</v>
      </c>
      <c r="IX159" s="63"/>
      <c r="IY159" s="73"/>
      <c r="IZ159" s="72">
        <f t="shared" ca="1" si="5319"/>
        <v>0</v>
      </c>
      <c r="JA159" s="63"/>
      <c r="JB159" s="73"/>
      <c r="JC159" s="72">
        <f t="shared" ca="1" si="5320"/>
        <v>0</v>
      </c>
      <c r="JD159" s="63"/>
      <c r="JE159" s="73"/>
      <c r="JF159" s="72">
        <f t="shared" ca="1" si="5321"/>
        <v>0</v>
      </c>
      <c r="JG159" s="63"/>
      <c r="JH159" s="73"/>
      <c r="JI159" s="72">
        <f t="shared" ca="1" si="5322"/>
        <v>0</v>
      </c>
      <c r="JJ159" s="63"/>
      <c r="JK159" s="73"/>
      <c r="JL159" s="72">
        <f t="shared" ca="1" si="5323"/>
        <v>0</v>
      </c>
      <c r="JM159" s="63"/>
      <c r="JN159" s="73"/>
      <c r="JO159" s="72">
        <f t="shared" ca="1" si="5324"/>
        <v>0</v>
      </c>
      <c r="JP159" s="63"/>
      <c r="JQ159" s="73"/>
      <c r="JR159" s="72">
        <f t="shared" ca="1" si="5325"/>
        <v>0</v>
      </c>
      <c r="JS159" s="63"/>
      <c r="JT159" s="73"/>
      <c r="JU159" s="72">
        <f t="shared" ca="1" si="5326"/>
        <v>0</v>
      </c>
      <c r="JV159" s="63"/>
      <c r="JW159" s="73"/>
      <c r="JX159" s="72">
        <f t="shared" ca="1" si="5327"/>
        <v>0</v>
      </c>
      <c r="JY159" s="63"/>
      <c r="JZ159" s="73"/>
      <c r="KA159" s="72">
        <f t="shared" ca="1" si="5328"/>
        <v>0</v>
      </c>
      <c r="KB159" s="63"/>
      <c r="KC159" s="73"/>
      <c r="KD159" s="72">
        <f t="shared" ca="1" si="5329"/>
        <v>0</v>
      </c>
      <c r="KE159" s="63"/>
      <c r="KF159" s="73"/>
      <c r="KG159" s="72">
        <f t="shared" ca="1" si="5330"/>
        <v>0</v>
      </c>
      <c r="KH159" s="63"/>
      <c r="KI159" s="73"/>
      <c r="KJ159" s="72">
        <f t="shared" ca="1" si="5331"/>
        <v>0</v>
      </c>
      <c r="KK159" s="63"/>
      <c r="KL159" s="73"/>
      <c r="KM159" s="72">
        <f t="shared" ca="1" si="5332"/>
        <v>0</v>
      </c>
      <c r="KN159" s="63"/>
      <c r="KO159" s="73"/>
      <c r="KP159" s="72">
        <f t="shared" ca="1" si="5333"/>
        <v>0</v>
      </c>
      <c r="KQ159" s="63"/>
      <c r="KR159" s="73"/>
      <c r="KS159" s="72">
        <f t="shared" ca="1" si="5334"/>
        <v>0</v>
      </c>
      <c r="KT159" s="63"/>
      <c r="KU159" s="73"/>
      <c r="KV159" s="72">
        <f t="shared" ca="1" si="5335"/>
        <v>0</v>
      </c>
      <c r="KW159" s="63"/>
      <c r="KX159" s="73"/>
      <c r="KY159" s="72">
        <f t="shared" ca="1" si="5336"/>
        <v>0</v>
      </c>
      <c r="KZ159" s="63"/>
      <c r="LA159" s="73"/>
      <c r="LB159" s="72">
        <f t="shared" ca="1" si="5337"/>
        <v>0</v>
      </c>
      <c r="LC159" s="63"/>
      <c r="LD159" s="73"/>
      <c r="LE159" s="72">
        <f t="shared" ca="1" si="5338"/>
        <v>0</v>
      </c>
      <c r="LF159" s="63"/>
    </row>
    <row r="160" spans="1:318" s="784" customFormat="1">
      <c r="A160" s="49"/>
      <c r="B160" s="49"/>
      <c r="C160" s="49"/>
      <c r="D160" s="49"/>
      <c r="E160" s="64"/>
      <c r="F160" s="125">
        <f t="shared" si="5339"/>
        <v>15</v>
      </c>
      <c r="G160" s="443">
        <f ca="1">VLOOKUP(H160,Equipos!$Q$1:$R$25,2,0)</f>
        <v>19</v>
      </c>
      <c r="H160" s="445" t="str">
        <f>Idiomas!$D$137</f>
        <v>CLASIFICADOS PARA DIECISEISAVOS</v>
      </c>
      <c r="I160" s="50"/>
      <c r="J160" s="843"/>
      <c r="K160" s="56" t="str">
        <f>Idiomas!$D$198&amp;"-"&amp;ROWS($L$130:L160)</f>
        <v>Dieciseisavofinalista-31</v>
      </c>
      <c r="L160" s="53"/>
      <c r="M160" s="55" t="str">
        <f ca="1">WORLDCUP!AF115</f>
        <v>2H</v>
      </c>
      <c r="N160" s="25"/>
      <c r="O160" s="25"/>
      <c r="P160" s="25"/>
      <c r="Q160" s="25"/>
      <c r="R160" s="108"/>
      <c r="S160" s="796" t="s">
        <v>1632</v>
      </c>
      <c r="T160" s="72">
        <f t="shared" ca="1" si="5239"/>
        <v>0</v>
      </c>
      <c r="U160" s="63"/>
      <c r="V160" s="73" t="s">
        <v>1318</v>
      </c>
      <c r="W160" s="72">
        <f t="shared" ca="1" si="5240"/>
        <v>0</v>
      </c>
      <c r="X160" s="63"/>
      <c r="Y160" s="796" t="s">
        <v>1318</v>
      </c>
      <c r="Z160" s="72">
        <f t="shared" ca="1" si="5241"/>
        <v>0</v>
      </c>
      <c r="AA160" s="63"/>
      <c r="AB160" s="796" t="s">
        <v>1318</v>
      </c>
      <c r="AC160" s="72">
        <f t="shared" ca="1" si="5242"/>
        <v>0</v>
      </c>
      <c r="AD160" s="63"/>
      <c r="AE160" s="796" t="s">
        <v>1318</v>
      </c>
      <c r="AF160" s="72">
        <f t="shared" ca="1" si="5243"/>
        <v>0</v>
      </c>
      <c r="AG160" s="63"/>
      <c r="AH160" s="796" t="s">
        <v>1318</v>
      </c>
      <c r="AI160" s="72">
        <f t="shared" ca="1" si="5244"/>
        <v>0</v>
      </c>
      <c r="AJ160" s="63"/>
      <c r="AK160" s="806" t="s">
        <v>1318</v>
      </c>
      <c r="AL160" s="72">
        <f t="shared" ca="1" si="5245"/>
        <v>0</v>
      </c>
      <c r="AM160" s="63"/>
      <c r="AN160" s="796" t="s">
        <v>1318</v>
      </c>
      <c r="AO160" s="72">
        <f t="shared" ca="1" si="5246"/>
        <v>0</v>
      </c>
      <c r="AP160" s="63"/>
      <c r="AQ160" s="806" t="s">
        <v>1318</v>
      </c>
      <c r="AR160" s="72">
        <f t="shared" ca="1" si="5247"/>
        <v>0</v>
      </c>
      <c r="AS160" s="63"/>
      <c r="AT160" s="796" t="s">
        <v>1318</v>
      </c>
      <c r="AU160" s="72">
        <f t="shared" ca="1" si="5248"/>
        <v>0</v>
      </c>
      <c r="AV160" s="63"/>
      <c r="AW160" s="796" t="s">
        <v>1318</v>
      </c>
      <c r="AX160" s="72">
        <f t="shared" ca="1" si="5249"/>
        <v>0</v>
      </c>
      <c r="AY160" s="63"/>
      <c r="AZ160" s="796" t="s">
        <v>1552</v>
      </c>
      <c r="BA160" s="72">
        <f t="shared" ca="1" si="5250"/>
        <v>0</v>
      </c>
      <c r="BB160" s="63"/>
      <c r="BC160" s="796" t="s">
        <v>1318</v>
      </c>
      <c r="BD160" s="72">
        <f t="shared" ca="1" si="5251"/>
        <v>0</v>
      </c>
      <c r="BE160" s="63"/>
      <c r="BF160" s="796" t="s">
        <v>38</v>
      </c>
      <c r="BG160" s="72">
        <f t="shared" ca="1" si="5252"/>
        <v>0</v>
      </c>
      <c r="BH160" s="63"/>
      <c r="BI160" s="796" t="s">
        <v>1318</v>
      </c>
      <c r="BJ160" s="72">
        <f t="shared" ca="1" si="5253"/>
        <v>0</v>
      </c>
      <c r="BK160" s="63"/>
      <c r="BL160" s="796" t="s">
        <v>1318</v>
      </c>
      <c r="BM160" s="72">
        <f t="shared" ca="1" si="5254"/>
        <v>0</v>
      </c>
      <c r="BN160" s="63"/>
      <c r="BO160" s="816" t="s">
        <v>1318</v>
      </c>
      <c r="BP160" s="72">
        <f t="shared" ca="1" si="5255"/>
        <v>0</v>
      </c>
      <c r="BQ160" s="63"/>
      <c r="BR160" s="796" t="s">
        <v>1318</v>
      </c>
      <c r="BS160" s="72">
        <f t="shared" ca="1" si="5256"/>
        <v>0</v>
      </c>
      <c r="BT160" s="63"/>
      <c r="BU160" s="796" t="s">
        <v>1318</v>
      </c>
      <c r="BV160" s="72">
        <f t="shared" ca="1" si="5257"/>
        <v>0</v>
      </c>
      <c r="BW160" s="63"/>
      <c r="BX160" s="73" t="s">
        <v>1318</v>
      </c>
      <c r="BY160" s="72">
        <f t="shared" ca="1" si="5258"/>
        <v>0</v>
      </c>
      <c r="BZ160" s="63"/>
      <c r="CA160" s="816" t="s">
        <v>1318</v>
      </c>
      <c r="CB160" s="72">
        <f t="shared" ca="1" si="5259"/>
        <v>0</v>
      </c>
      <c r="CC160" s="63"/>
      <c r="CD160" s="825" t="s">
        <v>1318</v>
      </c>
      <c r="CE160" s="72">
        <f t="shared" ca="1" si="5260"/>
        <v>0</v>
      </c>
      <c r="CF160" s="63"/>
      <c r="CG160" s="796" t="s">
        <v>1318</v>
      </c>
      <c r="CH160" s="72">
        <f t="shared" ca="1" si="5261"/>
        <v>0</v>
      </c>
      <c r="CI160" s="63"/>
      <c r="CJ160" s="796" t="s">
        <v>1318</v>
      </c>
      <c r="CK160" s="72">
        <f t="shared" ca="1" si="5262"/>
        <v>0</v>
      </c>
      <c r="CL160" s="63"/>
      <c r="CM160" s="796" t="s">
        <v>1318</v>
      </c>
      <c r="CN160" s="72">
        <f t="shared" ca="1" si="5263"/>
        <v>0</v>
      </c>
      <c r="CO160" s="63"/>
      <c r="CP160" s="796" t="s">
        <v>38</v>
      </c>
      <c r="CQ160" s="72">
        <f t="shared" ca="1" si="5264"/>
        <v>0</v>
      </c>
      <c r="CR160" s="63"/>
      <c r="CS160" s="796" t="s">
        <v>1318</v>
      </c>
      <c r="CT160" s="72">
        <f t="shared" ca="1" si="5265"/>
        <v>0</v>
      </c>
      <c r="CU160" s="63"/>
      <c r="CV160" s="796" t="s">
        <v>1318</v>
      </c>
      <c r="CW160" s="72">
        <f t="shared" ca="1" si="5266"/>
        <v>0</v>
      </c>
      <c r="CX160" s="63"/>
      <c r="CY160" s="796" t="s">
        <v>1318</v>
      </c>
      <c r="CZ160" s="72">
        <f t="shared" ca="1" si="5267"/>
        <v>0</v>
      </c>
      <c r="DA160" s="63"/>
      <c r="DB160" s="796" t="s">
        <v>1318</v>
      </c>
      <c r="DC160" s="72">
        <f t="shared" ca="1" si="5268"/>
        <v>0</v>
      </c>
      <c r="DD160" s="63"/>
      <c r="DE160" s="796" t="s">
        <v>1318</v>
      </c>
      <c r="DF160" s="72">
        <f t="shared" ca="1" si="5269"/>
        <v>0</v>
      </c>
      <c r="DG160" s="63"/>
      <c r="DH160" s="796" t="s">
        <v>1318</v>
      </c>
      <c r="DI160" s="72">
        <f t="shared" ca="1" si="5270"/>
        <v>0</v>
      </c>
      <c r="DJ160" s="63"/>
      <c r="DK160" s="796" t="s">
        <v>1318</v>
      </c>
      <c r="DL160" s="72">
        <f t="shared" ca="1" si="5271"/>
        <v>0</v>
      </c>
      <c r="DM160" s="63"/>
      <c r="DN160" s="73"/>
      <c r="DO160" s="72">
        <f t="shared" ca="1" si="5272"/>
        <v>0</v>
      </c>
      <c r="DP160" s="63"/>
      <c r="DQ160" s="796" t="s">
        <v>1318</v>
      </c>
      <c r="DR160" s="72">
        <f t="shared" ca="1" si="5273"/>
        <v>0</v>
      </c>
      <c r="DS160" s="63"/>
      <c r="DT160" s="73" t="s">
        <v>1318</v>
      </c>
      <c r="DU160" s="72">
        <f t="shared" ca="1" si="5274"/>
        <v>0</v>
      </c>
      <c r="DV160" s="63"/>
      <c r="DW160" s="73"/>
      <c r="DX160" s="72">
        <f t="shared" ca="1" si="5275"/>
        <v>0</v>
      </c>
      <c r="DY160" s="63"/>
      <c r="DZ160" s="73"/>
      <c r="EA160" s="72">
        <f t="shared" ca="1" si="5276"/>
        <v>0</v>
      </c>
      <c r="EB160" s="63"/>
      <c r="EC160" s="73"/>
      <c r="ED160" s="72">
        <f t="shared" ca="1" si="5277"/>
        <v>0</v>
      </c>
      <c r="EE160" s="63"/>
      <c r="EF160" s="73"/>
      <c r="EG160" s="72">
        <f t="shared" ca="1" si="5278"/>
        <v>0</v>
      </c>
      <c r="EH160" s="63"/>
      <c r="EI160" s="73"/>
      <c r="EJ160" s="72">
        <f t="shared" ca="1" si="5279"/>
        <v>0</v>
      </c>
      <c r="EK160" s="63"/>
      <c r="EL160" s="73"/>
      <c r="EM160" s="72">
        <f t="shared" ca="1" si="5280"/>
        <v>0</v>
      </c>
      <c r="EN160" s="63"/>
      <c r="EO160" s="73"/>
      <c r="EP160" s="72">
        <f t="shared" ca="1" si="5281"/>
        <v>0</v>
      </c>
      <c r="EQ160" s="63"/>
      <c r="ER160" s="73"/>
      <c r="ES160" s="72">
        <f t="shared" ca="1" si="5282"/>
        <v>0</v>
      </c>
      <c r="ET160" s="63"/>
      <c r="EU160" s="73"/>
      <c r="EV160" s="72">
        <f t="shared" ca="1" si="5283"/>
        <v>0</v>
      </c>
      <c r="EW160" s="63"/>
      <c r="EX160" s="73"/>
      <c r="EY160" s="72">
        <f t="shared" ca="1" si="5284"/>
        <v>0</v>
      </c>
      <c r="EZ160" s="63"/>
      <c r="FA160" s="73"/>
      <c r="FB160" s="72">
        <f t="shared" ca="1" si="5285"/>
        <v>0</v>
      </c>
      <c r="FC160" s="63"/>
      <c r="FD160" s="73"/>
      <c r="FE160" s="72">
        <f t="shared" ca="1" si="5286"/>
        <v>0</v>
      </c>
      <c r="FF160" s="63"/>
      <c r="FG160" s="73"/>
      <c r="FH160" s="72">
        <f t="shared" ca="1" si="5287"/>
        <v>0</v>
      </c>
      <c r="FI160" s="63"/>
      <c r="FJ160" s="73"/>
      <c r="FK160" s="72">
        <f t="shared" ca="1" si="5288"/>
        <v>0</v>
      </c>
      <c r="FL160" s="63"/>
      <c r="FM160" s="73"/>
      <c r="FN160" s="72">
        <f t="shared" ca="1" si="5289"/>
        <v>0</v>
      </c>
      <c r="FO160" s="63"/>
      <c r="FP160" s="73"/>
      <c r="FQ160" s="72">
        <f t="shared" ca="1" si="5290"/>
        <v>0</v>
      </c>
      <c r="FR160" s="63"/>
      <c r="FS160" s="73"/>
      <c r="FT160" s="72">
        <f t="shared" ca="1" si="5291"/>
        <v>0</v>
      </c>
      <c r="FU160" s="63"/>
      <c r="FV160" s="73"/>
      <c r="FW160" s="72">
        <f t="shared" ca="1" si="5292"/>
        <v>0</v>
      </c>
      <c r="FX160" s="63"/>
      <c r="FY160" s="73"/>
      <c r="FZ160" s="72">
        <f t="shared" ca="1" si="5293"/>
        <v>0</v>
      </c>
      <c r="GA160" s="63"/>
      <c r="GB160" s="73"/>
      <c r="GC160" s="72">
        <f t="shared" ca="1" si="5294"/>
        <v>0</v>
      </c>
      <c r="GD160" s="63"/>
      <c r="GE160" s="73"/>
      <c r="GF160" s="72">
        <f t="shared" ca="1" si="5295"/>
        <v>0</v>
      </c>
      <c r="GG160" s="63"/>
      <c r="GH160" s="73"/>
      <c r="GI160" s="72">
        <f t="shared" ca="1" si="5296"/>
        <v>0</v>
      </c>
      <c r="GJ160" s="63"/>
      <c r="GK160" s="73"/>
      <c r="GL160" s="72">
        <f t="shared" ca="1" si="5297"/>
        <v>0</v>
      </c>
      <c r="GM160" s="63"/>
      <c r="GN160" s="73"/>
      <c r="GO160" s="72">
        <f t="shared" ca="1" si="5298"/>
        <v>0</v>
      </c>
      <c r="GP160" s="63"/>
      <c r="GQ160" s="73"/>
      <c r="GR160" s="72">
        <f t="shared" ca="1" si="5299"/>
        <v>0</v>
      </c>
      <c r="GS160" s="63"/>
      <c r="GT160" s="73"/>
      <c r="GU160" s="72">
        <f t="shared" ca="1" si="5300"/>
        <v>0</v>
      </c>
      <c r="GV160" s="63"/>
      <c r="GW160" s="73"/>
      <c r="GX160" s="72">
        <f t="shared" ca="1" si="5301"/>
        <v>0</v>
      </c>
      <c r="GY160" s="63"/>
      <c r="GZ160" s="73"/>
      <c r="HA160" s="72">
        <f t="shared" ca="1" si="5302"/>
        <v>0</v>
      </c>
      <c r="HB160" s="63"/>
      <c r="HC160" s="73"/>
      <c r="HD160" s="72">
        <f t="shared" ca="1" si="5303"/>
        <v>0</v>
      </c>
      <c r="HE160" s="63"/>
      <c r="HF160" s="73"/>
      <c r="HG160" s="72">
        <f t="shared" ca="1" si="5304"/>
        <v>0</v>
      </c>
      <c r="HH160" s="63"/>
      <c r="HI160" s="73"/>
      <c r="HJ160" s="72">
        <f t="shared" ca="1" si="5305"/>
        <v>0</v>
      </c>
      <c r="HK160" s="63"/>
      <c r="HL160" s="73"/>
      <c r="HM160" s="72">
        <f t="shared" ca="1" si="5306"/>
        <v>0</v>
      </c>
      <c r="HN160" s="63"/>
      <c r="HO160" s="73"/>
      <c r="HP160" s="72">
        <f t="shared" ca="1" si="5307"/>
        <v>0</v>
      </c>
      <c r="HQ160" s="63"/>
      <c r="HR160" s="73"/>
      <c r="HS160" s="72">
        <f t="shared" ca="1" si="5308"/>
        <v>0</v>
      </c>
      <c r="HT160" s="63"/>
      <c r="HU160" s="73"/>
      <c r="HV160" s="72">
        <f t="shared" ca="1" si="5309"/>
        <v>0</v>
      </c>
      <c r="HW160" s="63"/>
      <c r="HX160" s="73"/>
      <c r="HY160" s="72">
        <f t="shared" ca="1" si="5310"/>
        <v>0</v>
      </c>
      <c r="HZ160" s="63"/>
      <c r="IA160" s="73"/>
      <c r="IB160" s="72">
        <f t="shared" ca="1" si="5311"/>
        <v>0</v>
      </c>
      <c r="IC160" s="63"/>
      <c r="ID160" s="73"/>
      <c r="IE160" s="72">
        <f t="shared" ca="1" si="5312"/>
        <v>0</v>
      </c>
      <c r="IF160" s="63"/>
      <c r="IG160" s="73"/>
      <c r="IH160" s="72">
        <f t="shared" ca="1" si="5313"/>
        <v>0</v>
      </c>
      <c r="II160" s="63"/>
      <c r="IJ160" s="73"/>
      <c r="IK160" s="72">
        <f t="shared" ca="1" si="5314"/>
        <v>0</v>
      </c>
      <c r="IL160" s="63"/>
      <c r="IM160" s="73"/>
      <c r="IN160" s="72">
        <f t="shared" ca="1" si="5315"/>
        <v>0</v>
      </c>
      <c r="IO160" s="63"/>
      <c r="IP160" s="73"/>
      <c r="IQ160" s="72">
        <f t="shared" ca="1" si="5316"/>
        <v>0</v>
      </c>
      <c r="IR160" s="63"/>
      <c r="IS160" s="73"/>
      <c r="IT160" s="72">
        <f t="shared" ca="1" si="5317"/>
        <v>0</v>
      </c>
      <c r="IU160" s="63"/>
      <c r="IV160" s="73"/>
      <c r="IW160" s="72">
        <f t="shared" ca="1" si="5318"/>
        <v>0</v>
      </c>
      <c r="IX160" s="63"/>
      <c r="IY160" s="73"/>
      <c r="IZ160" s="72">
        <f t="shared" ca="1" si="5319"/>
        <v>0</v>
      </c>
      <c r="JA160" s="63"/>
      <c r="JB160" s="73"/>
      <c r="JC160" s="72">
        <f t="shared" ca="1" si="5320"/>
        <v>0</v>
      </c>
      <c r="JD160" s="63"/>
      <c r="JE160" s="73"/>
      <c r="JF160" s="72">
        <f t="shared" ca="1" si="5321"/>
        <v>0</v>
      </c>
      <c r="JG160" s="63"/>
      <c r="JH160" s="73"/>
      <c r="JI160" s="72">
        <f t="shared" ca="1" si="5322"/>
        <v>0</v>
      </c>
      <c r="JJ160" s="63"/>
      <c r="JK160" s="73"/>
      <c r="JL160" s="72">
        <f t="shared" ca="1" si="5323"/>
        <v>0</v>
      </c>
      <c r="JM160" s="63"/>
      <c r="JN160" s="73"/>
      <c r="JO160" s="72">
        <f t="shared" ca="1" si="5324"/>
        <v>0</v>
      </c>
      <c r="JP160" s="63"/>
      <c r="JQ160" s="73"/>
      <c r="JR160" s="72">
        <f t="shared" ca="1" si="5325"/>
        <v>0</v>
      </c>
      <c r="JS160" s="63"/>
      <c r="JT160" s="73"/>
      <c r="JU160" s="72">
        <f t="shared" ca="1" si="5326"/>
        <v>0</v>
      </c>
      <c r="JV160" s="63"/>
      <c r="JW160" s="73"/>
      <c r="JX160" s="72">
        <f t="shared" ca="1" si="5327"/>
        <v>0</v>
      </c>
      <c r="JY160" s="63"/>
      <c r="JZ160" s="73"/>
      <c r="KA160" s="72">
        <f t="shared" ca="1" si="5328"/>
        <v>0</v>
      </c>
      <c r="KB160" s="63"/>
      <c r="KC160" s="73"/>
      <c r="KD160" s="72">
        <f t="shared" ca="1" si="5329"/>
        <v>0</v>
      </c>
      <c r="KE160" s="63"/>
      <c r="KF160" s="73"/>
      <c r="KG160" s="72">
        <f t="shared" ca="1" si="5330"/>
        <v>0</v>
      </c>
      <c r="KH160" s="63"/>
      <c r="KI160" s="73"/>
      <c r="KJ160" s="72">
        <f t="shared" ca="1" si="5331"/>
        <v>0</v>
      </c>
      <c r="KK160" s="63"/>
      <c r="KL160" s="73"/>
      <c r="KM160" s="72">
        <f t="shared" ca="1" si="5332"/>
        <v>0</v>
      </c>
      <c r="KN160" s="63"/>
      <c r="KO160" s="73"/>
      <c r="KP160" s="72">
        <f t="shared" ca="1" si="5333"/>
        <v>0</v>
      </c>
      <c r="KQ160" s="63"/>
      <c r="KR160" s="73"/>
      <c r="KS160" s="72">
        <f t="shared" ca="1" si="5334"/>
        <v>0</v>
      </c>
      <c r="KT160" s="63"/>
      <c r="KU160" s="73"/>
      <c r="KV160" s="72">
        <f t="shared" ca="1" si="5335"/>
        <v>0</v>
      </c>
      <c r="KW160" s="63"/>
      <c r="KX160" s="73"/>
      <c r="KY160" s="72">
        <f t="shared" ca="1" si="5336"/>
        <v>0</v>
      </c>
      <c r="KZ160" s="63"/>
      <c r="LA160" s="73"/>
      <c r="LB160" s="72">
        <f t="shared" ca="1" si="5337"/>
        <v>0</v>
      </c>
      <c r="LC160" s="63"/>
      <c r="LD160" s="73"/>
      <c r="LE160" s="72">
        <f t="shared" ca="1" si="5338"/>
        <v>0</v>
      </c>
      <c r="LF160" s="63"/>
    </row>
    <row r="161" spans="1:318" s="784" customFormat="1">
      <c r="A161" s="49"/>
      <c r="B161" s="49"/>
      <c r="C161" s="49"/>
      <c r="D161" s="49"/>
      <c r="E161" s="64"/>
      <c r="F161" s="125">
        <f t="shared" si="5339"/>
        <v>15</v>
      </c>
      <c r="G161" s="443">
        <f ca="1">VLOOKUP(H161,Equipos!$Q$1:$R$25,2,0)</f>
        <v>19</v>
      </c>
      <c r="H161" s="445" t="str">
        <f>Idiomas!$D$137</f>
        <v>CLASIFICADOS PARA DIECISEISAVOS</v>
      </c>
      <c r="I161" s="50"/>
      <c r="J161" s="843"/>
      <c r="K161" s="113" t="str">
        <f>Idiomas!$D$198&amp;"-"&amp;ROWS($L$130:L161)</f>
        <v>Dieciseisavofinalista-32</v>
      </c>
      <c r="L161" s="113"/>
      <c r="M161" s="114" t="str">
        <f ca="1">WORLDCUP!AF116</f>
        <v>3DEIJL</v>
      </c>
      <c r="N161" s="25"/>
      <c r="O161" s="25"/>
      <c r="P161" s="25"/>
      <c r="Q161" s="25"/>
      <c r="R161" s="108"/>
      <c r="S161" s="796" t="s">
        <v>1633</v>
      </c>
      <c r="T161" s="80">
        <f t="shared" ca="1" si="5239"/>
        <v>0</v>
      </c>
      <c r="U161" s="63"/>
      <c r="V161" s="79" t="s">
        <v>1551</v>
      </c>
      <c r="W161" s="80">
        <f t="shared" ca="1" si="5240"/>
        <v>0</v>
      </c>
      <c r="X161" s="63"/>
      <c r="Y161" s="796" t="s">
        <v>1634</v>
      </c>
      <c r="Z161" s="80">
        <f t="shared" ca="1" si="5241"/>
        <v>0</v>
      </c>
      <c r="AA161" s="63"/>
      <c r="AB161" s="796" t="s">
        <v>1551</v>
      </c>
      <c r="AC161" s="80">
        <f t="shared" ca="1" si="5242"/>
        <v>0</v>
      </c>
      <c r="AD161" s="63"/>
      <c r="AE161" s="796" t="s">
        <v>1551</v>
      </c>
      <c r="AF161" s="80">
        <f t="shared" ca="1" si="5243"/>
        <v>0</v>
      </c>
      <c r="AG161" s="63"/>
      <c r="AH161" s="796" t="s">
        <v>1551</v>
      </c>
      <c r="AI161" s="80">
        <f t="shared" ca="1" si="5244"/>
        <v>0</v>
      </c>
      <c r="AJ161" s="63"/>
      <c r="AK161" s="806" t="s">
        <v>1835</v>
      </c>
      <c r="AL161" s="80">
        <f t="shared" ca="1" si="5245"/>
        <v>0</v>
      </c>
      <c r="AM161" s="63"/>
      <c r="AN161" s="796" t="s">
        <v>1551</v>
      </c>
      <c r="AO161" s="80">
        <f t="shared" ca="1" si="5246"/>
        <v>0</v>
      </c>
      <c r="AP161" s="63"/>
      <c r="AQ161" s="806" t="s">
        <v>1551</v>
      </c>
      <c r="AR161" s="80">
        <f t="shared" ca="1" si="5247"/>
        <v>0</v>
      </c>
      <c r="AS161" s="63"/>
      <c r="AT161" s="796" t="s">
        <v>1551</v>
      </c>
      <c r="AU161" s="80">
        <f t="shared" ca="1" si="5248"/>
        <v>0</v>
      </c>
      <c r="AV161" s="63"/>
      <c r="AW161" s="796" t="s">
        <v>1551</v>
      </c>
      <c r="AX161" s="80">
        <f t="shared" ca="1" si="5249"/>
        <v>0</v>
      </c>
      <c r="AY161" s="63"/>
      <c r="AZ161" s="796" t="s">
        <v>78</v>
      </c>
      <c r="BA161" s="80">
        <f t="shared" ca="1" si="5250"/>
        <v>0</v>
      </c>
      <c r="BB161" s="63"/>
      <c r="BC161" s="796" t="s">
        <v>1551</v>
      </c>
      <c r="BD161" s="80">
        <f t="shared" ca="1" si="5251"/>
        <v>0</v>
      </c>
      <c r="BE161" s="63"/>
      <c r="BF161" s="796" t="s">
        <v>1551</v>
      </c>
      <c r="BG161" s="80">
        <f t="shared" ca="1" si="5252"/>
        <v>0</v>
      </c>
      <c r="BH161" s="63"/>
      <c r="BI161" s="796" t="s">
        <v>1634</v>
      </c>
      <c r="BJ161" s="80">
        <f t="shared" ca="1" si="5253"/>
        <v>0</v>
      </c>
      <c r="BK161" s="63"/>
      <c r="BL161" s="796" t="s">
        <v>1551</v>
      </c>
      <c r="BM161" s="80">
        <f t="shared" ca="1" si="5254"/>
        <v>0</v>
      </c>
      <c r="BN161" s="63"/>
      <c r="BO161" s="816" t="s">
        <v>1551</v>
      </c>
      <c r="BP161" s="80">
        <f t="shared" ca="1" si="5255"/>
        <v>0</v>
      </c>
      <c r="BQ161" s="63"/>
      <c r="BR161" s="796" t="s">
        <v>1551</v>
      </c>
      <c r="BS161" s="80">
        <f t="shared" ca="1" si="5256"/>
        <v>0</v>
      </c>
      <c r="BT161" s="63"/>
      <c r="BU161" s="796" t="s">
        <v>1730</v>
      </c>
      <c r="BV161" s="80">
        <f t="shared" ca="1" si="5257"/>
        <v>0</v>
      </c>
      <c r="BW161" s="63"/>
      <c r="BX161" s="79" t="s">
        <v>1551</v>
      </c>
      <c r="BY161" s="80">
        <f t="shared" ca="1" si="5258"/>
        <v>0</v>
      </c>
      <c r="BZ161" s="63"/>
      <c r="CA161" s="816" t="s">
        <v>1551</v>
      </c>
      <c r="CB161" s="80">
        <f t="shared" ca="1" si="5259"/>
        <v>0</v>
      </c>
      <c r="CC161" s="63"/>
      <c r="CD161" s="825" t="s">
        <v>1633</v>
      </c>
      <c r="CE161" s="80">
        <f t="shared" ca="1" si="5260"/>
        <v>0</v>
      </c>
      <c r="CF161" s="63"/>
      <c r="CG161" s="796" t="s">
        <v>1551</v>
      </c>
      <c r="CH161" s="80">
        <f t="shared" ca="1" si="5261"/>
        <v>0</v>
      </c>
      <c r="CI161" s="63"/>
      <c r="CJ161" s="796" t="s">
        <v>1634</v>
      </c>
      <c r="CK161" s="80">
        <f t="shared" ca="1" si="5262"/>
        <v>0</v>
      </c>
      <c r="CL161" s="63"/>
      <c r="CM161" s="796" t="s">
        <v>78</v>
      </c>
      <c r="CN161" s="80">
        <f t="shared" ca="1" si="5263"/>
        <v>0</v>
      </c>
      <c r="CO161" s="63"/>
      <c r="CP161" s="796" t="s">
        <v>1633</v>
      </c>
      <c r="CQ161" s="80">
        <f t="shared" ca="1" si="5264"/>
        <v>0</v>
      </c>
      <c r="CR161" s="63"/>
      <c r="CS161" s="796" t="s">
        <v>1551</v>
      </c>
      <c r="CT161" s="80">
        <f t="shared" ca="1" si="5265"/>
        <v>0</v>
      </c>
      <c r="CU161" s="63"/>
      <c r="CV161" s="796" t="s">
        <v>1551</v>
      </c>
      <c r="CW161" s="80">
        <f t="shared" ca="1" si="5266"/>
        <v>0</v>
      </c>
      <c r="CX161" s="63"/>
      <c r="CY161" s="796" t="s">
        <v>76</v>
      </c>
      <c r="CZ161" s="80">
        <f t="shared" ca="1" si="5267"/>
        <v>0</v>
      </c>
      <c r="DA161" s="63"/>
      <c r="DB161" s="796" t="s">
        <v>1730</v>
      </c>
      <c r="DC161" s="80">
        <f t="shared" ca="1" si="5268"/>
        <v>0</v>
      </c>
      <c r="DD161" s="63"/>
      <c r="DE161" s="796" t="s">
        <v>1261</v>
      </c>
      <c r="DF161" s="80">
        <f t="shared" ca="1" si="5269"/>
        <v>0</v>
      </c>
      <c r="DG161" s="63"/>
      <c r="DH161" s="796" t="s">
        <v>1551</v>
      </c>
      <c r="DI161" s="80">
        <f t="shared" ca="1" si="5270"/>
        <v>0</v>
      </c>
      <c r="DJ161" s="63"/>
      <c r="DK161" s="796" t="s">
        <v>1551</v>
      </c>
      <c r="DL161" s="80">
        <f t="shared" ca="1" si="5271"/>
        <v>0</v>
      </c>
      <c r="DM161" s="63"/>
      <c r="DN161" s="79"/>
      <c r="DO161" s="80">
        <f t="shared" ca="1" si="5272"/>
        <v>0</v>
      </c>
      <c r="DP161" s="63"/>
      <c r="DQ161" s="796" t="s">
        <v>1634</v>
      </c>
      <c r="DR161" s="80">
        <f t="shared" ca="1" si="5273"/>
        <v>0</v>
      </c>
      <c r="DS161" s="63"/>
      <c r="DT161" s="79" t="s">
        <v>1634</v>
      </c>
      <c r="DU161" s="80">
        <f t="shared" ca="1" si="5274"/>
        <v>0</v>
      </c>
      <c r="DV161" s="63"/>
      <c r="DW161" s="79"/>
      <c r="DX161" s="80">
        <f t="shared" ca="1" si="5275"/>
        <v>0</v>
      </c>
      <c r="DY161" s="63"/>
      <c r="DZ161" s="79"/>
      <c r="EA161" s="80">
        <f t="shared" ca="1" si="5276"/>
        <v>0</v>
      </c>
      <c r="EB161" s="63"/>
      <c r="EC161" s="79"/>
      <c r="ED161" s="80">
        <f t="shared" ca="1" si="5277"/>
        <v>0</v>
      </c>
      <c r="EE161" s="63"/>
      <c r="EF161" s="79"/>
      <c r="EG161" s="80">
        <f t="shared" ca="1" si="5278"/>
        <v>0</v>
      </c>
      <c r="EH161" s="63"/>
      <c r="EI161" s="79"/>
      <c r="EJ161" s="80">
        <f t="shared" ca="1" si="5279"/>
        <v>0</v>
      </c>
      <c r="EK161" s="63"/>
      <c r="EL161" s="79"/>
      <c r="EM161" s="80">
        <f t="shared" ca="1" si="5280"/>
        <v>0</v>
      </c>
      <c r="EN161" s="63"/>
      <c r="EO161" s="79"/>
      <c r="EP161" s="80">
        <f t="shared" ca="1" si="5281"/>
        <v>0</v>
      </c>
      <c r="EQ161" s="63"/>
      <c r="ER161" s="79"/>
      <c r="ES161" s="80">
        <f t="shared" ca="1" si="5282"/>
        <v>0</v>
      </c>
      <c r="ET161" s="63"/>
      <c r="EU161" s="79"/>
      <c r="EV161" s="80">
        <f t="shared" ca="1" si="5283"/>
        <v>0</v>
      </c>
      <c r="EW161" s="63"/>
      <c r="EX161" s="79"/>
      <c r="EY161" s="80">
        <f t="shared" ca="1" si="5284"/>
        <v>0</v>
      </c>
      <c r="EZ161" s="63"/>
      <c r="FA161" s="79"/>
      <c r="FB161" s="80">
        <f t="shared" ca="1" si="5285"/>
        <v>0</v>
      </c>
      <c r="FC161" s="63"/>
      <c r="FD161" s="79"/>
      <c r="FE161" s="80">
        <f t="shared" ca="1" si="5286"/>
        <v>0</v>
      </c>
      <c r="FF161" s="63"/>
      <c r="FG161" s="79"/>
      <c r="FH161" s="80">
        <f t="shared" ca="1" si="5287"/>
        <v>0</v>
      </c>
      <c r="FI161" s="63"/>
      <c r="FJ161" s="79"/>
      <c r="FK161" s="80">
        <f t="shared" ca="1" si="5288"/>
        <v>0</v>
      </c>
      <c r="FL161" s="63"/>
      <c r="FM161" s="79"/>
      <c r="FN161" s="80">
        <f t="shared" ca="1" si="5289"/>
        <v>0</v>
      </c>
      <c r="FO161" s="63"/>
      <c r="FP161" s="79"/>
      <c r="FQ161" s="80">
        <f t="shared" ca="1" si="5290"/>
        <v>0</v>
      </c>
      <c r="FR161" s="63"/>
      <c r="FS161" s="79"/>
      <c r="FT161" s="80">
        <f t="shared" ca="1" si="5291"/>
        <v>0</v>
      </c>
      <c r="FU161" s="63"/>
      <c r="FV161" s="79"/>
      <c r="FW161" s="80">
        <f t="shared" ca="1" si="5292"/>
        <v>0</v>
      </c>
      <c r="FX161" s="63"/>
      <c r="FY161" s="79"/>
      <c r="FZ161" s="80">
        <f t="shared" ca="1" si="5293"/>
        <v>0</v>
      </c>
      <c r="GA161" s="63"/>
      <c r="GB161" s="79"/>
      <c r="GC161" s="80">
        <f t="shared" ca="1" si="5294"/>
        <v>0</v>
      </c>
      <c r="GD161" s="63"/>
      <c r="GE161" s="79"/>
      <c r="GF161" s="80">
        <f t="shared" ca="1" si="5295"/>
        <v>0</v>
      </c>
      <c r="GG161" s="63"/>
      <c r="GH161" s="79"/>
      <c r="GI161" s="80">
        <f t="shared" ca="1" si="5296"/>
        <v>0</v>
      </c>
      <c r="GJ161" s="63"/>
      <c r="GK161" s="79"/>
      <c r="GL161" s="80">
        <f t="shared" ca="1" si="5297"/>
        <v>0</v>
      </c>
      <c r="GM161" s="63"/>
      <c r="GN161" s="79"/>
      <c r="GO161" s="80">
        <f t="shared" ca="1" si="5298"/>
        <v>0</v>
      </c>
      <c r="GP161" s="63"/>
      <c r="GQ161" s="79"/>
      <c r="GR161" s="80">
        <f t="shared" ca="1" si="5299"/>
        <v>0</v>
      </c>
      <c r="GS161" s="63"/>
      <c r="GT161" s="79"/>
      <c r="GU161" s="80">
        <f t="shared" ca="1" si="5300"/>
        <v>0</v>
      </c>
      <c r="GV161" s="63"/>
      <c r="GW161" s="79"/>
      <c r="GX161" s="80">
        <f t="shared" ca="1" si="5301"/>
        <v>0</v>
      </c>
      <c r="GY161" s="63"/>
      <c r="GZ161" s="79"/>
      <c r="HA161" s="80">
        <f t="shared" ca="1" si="5302"/>
        <v>0</v>
      </c>
      <c r="HB161" s="63"/>
      <c r="HC161" s="79"/>
      <c r="HD161" s="80">
        <f t="shared" ca="1" si="5303"/>
        <v>0</v>
      </c>
      <c r="HE161" s="63"/>
      <c r="HF161" s="79"/>
      <c r="HG161" s="80">
        <f t="shared" ca="1" si="5304"/>
        <v>0</v>
      </c>
      <c r="HH161" s="63"/>
      <c r="HI161" s="79"/>
      <c r="HJ161" s="80">
        <f t="shared" ca="1" si="5305"/>
        <v>0</v>
      </c>
      <c r="HK161" s="63"/>
      <c r="HL161" s="79"/>
      <c r="HM161" s="80">
        <f t="shared" ca="1" si="5306"/>
        <v>0</v>
      </c>
      <c r="HN161" s="63"/>
      <c r="HO161" s="79"/>
      <c r="HP161" s="80">
        <f t="shared" ca="1" si="5307"/>
        <v>0</v>
      </c>
      <c r="HQ161" s="63"/>
      <c r="HR161" s="79"/>
      <c r="HS161" s="80">
        <f t="shared" ca="1" si="5308"/>
        <v>0</v>
      </c>
      <c r="HT161" s="63"/>
      <c r="HU161" s="79"/>
      <c r="HV161" s="80">
        <f t="shared" ca="1" si="5309"/>
        <v>0</v>
      </c>
      <c r="HW161" s="63"/>
      <c r="HX161" s="79"/>
      <c r="HY161" s="80">
        <f t="shared" ca="1" si="5310"/>
        <v>0</v>
      </c>
      <c r="HZ161" s="63"/>
      <c r="IA161" s="79"/>
      <c r="IB161" s="80">
        <f t="shared" ca="1" si="5311"/>
        <v>0</v>
      </c>
      <c r="IC161" s="63"/>
      <c r="ID161" s="79"/>
      <c r="IE161" s="80">
        <f t="shared" ca="1" si="5312"/>
        <v>0</v>
      </c>
      <c r="IF161" s="63"/>
      <c r="IG161" s="79"/>
      <c r="IH161" s="80">
        <f t="shared" ca="1" si="5313"/>
        <v>0</v>
      </c>
      <c r="II161" s="63"/>
      <c r="IJ161" s="79"/>
      <c r="IK161" s="80">
        <f t="shared" ca="1" si="5314"/>
        <v>0</v>
      </c>
      <c r="IL161" s="63"/>
      <c r="IM161" s="79"/>
      <c r="IN161" s="80">
        <f t="shared" ca="1" si="5315"/>
        <v>0</v>
      </c>
      <c r="IO161" s="63"/>
      <c r="IP161" s="79"/>
      <c r="IQ161" s="80">
        <f t="shared" ca="1" si="5316"/>
        <v>0</v>
      </c>
      <c r="IR161" s="63"/>
      <c r="IS161" s="79"/>
      <c r="IT161" s="80">
        <f t="shared" ca="1" si="5317"/>
        <v>0</v>
      </c>
      <c r="IU161" s="63"/>
      <c r="IV161" s="79"/>
      <c r="IW161" s="80">
        <f t="shared" ca="1" si="5318"/>
        <v>0</v>
      </c>
      <c r="IX161" s="63"/>
      <c r="IY161" s="79"/>
      <c r="IZ161" s="80">
        <f t="shared" ca="1" si="5319"/>
        <v>0</v>
      </c>
      <c r="JA161" s="63"/>
      <c r="JB161" s="79"/>
      <c r="JC161" s="80">
        <f t="shared" ca="1" si="5320"/>
        <v>0</v>
      </c>
      <c r="JD161" s="63"/>
      <c r="JE161" s="79"/>
      <c r="JF161" s="80">
        <f t="shared" ca="1" si="5321"/>
        <v>0</v>
      </c>
      <c r="JG161" s="63"/>
      <c r="JH161" s="79"/>
      <c r="JI161" s="80">
        <f t="shared" ca="1" si="5322"/>
        <v>0</v>
      </c>
      <c r="JJ161" s="63"/>
      <c r="JK161" s="79"/>
      <c r="JL161" s="80">
        <f t="shared" ca="1" si="5323"/>
        <v>0</v>
      </c>
      <c r="JM161" s="63"/>
      <c r="JN161" s="79"/>
      <c r="JO161" s="80">
        <f t="shared" ca="1" si="5324"/>
        <v>0</v>
      </c>
      <c r="JP161" s="63"/>
      <c r="JQ161" s="79"/>
      <c r="JR161" s="80">
        <f t="shared" ca="1" si="5325"/>
        <v>0</v>
      </c>
      <c r="JS161" s="63"/>
      <c r="JT161" s="79"/>
      <c r="JU161" s="80">
        <f t="shared" ca="1" si="5326"/>
        <v>0</v>
      </c>
      <c r="JV161" s="63"/>
      <c r="JW161" s="79"/>
      <c r="JX161" s="80">
        <f t="shared" ca="1" si="5327"/>
        <v>0</v>
      </c>
      <c r="JY161" s="63"/>
      <c r="JZ161" s="79"/>
      <c r="KA161" s="80">
        <f t="shared" ca="1" si="5328"/>
        <v>0</v>
      </c>
      <c r="KB161" s="63"/>
      <c r="KC161" s="79"/>
      <c r="KD161" s="80">
        <f t="shared" ca="1" si="5329"/>
        <v>0</v>
      </c>
      <c r="KE161" s="63"/>
      <c r="KF161" s="79"/>
      <c r="KG161" s="80">
        <f t="shared" ca="1" si="5330"/>
        <v>0</v>
      </c>
      <c r="KH161" s="63"/>
      <c r="KI161" s="79"/>
      <c r="KJ161" s="80">
        <f t="shared" ca="1" si="5331"/>
        <v>0</v>
      </c>
      <c r="KK161" s="63"/>
      <c r="KL161" s="79"/>
      <c r="KM161" s="80">
        <f t="shared" ca="1" si="5332"/>
        <v>0</v>
      </c>
      <c r="KN161" s="63"/>
      <c r="KO161" s="79"/>
      <c r="KP161" s="80">
        <f t="shared" ca="1" si="5333"/>
        <v>0</v>
      </c>
      <c r="KQ161" s="63"/>
      <c r="KR161" s="79"/>
      <c r="KS161" s="80">
        <f t="shared" ca="1" si="5334"/>
        <v>0</v>
      </c>
      <c r="KT161" s="63"/>
      <c r="KU161" s="79"/>
      <c r="KV161" s="80">
        <f t="shared" ca="1" si="5335"/>
        <v>0</v>
      </c>
      <c r="KW161" s="63"/>
      <c r="KX161" s="79"/>
      <c r="KY161" s="80">
        <f t="shared" ca="1" si="5336"/>
        <v>0</v>
      </c>
      <c r="KZ161" s="63"/>
      <c r="LA161" s="79"/>
      <c r="LB161" s="80">
        <f t="shared" ca="1" si="5337"/>
        <v>0</v>
      </c>
      <c r="LC161" s="63"/>
      <c r="LD161" s="79"/>
      <c r="LE161" s="80">
        <f t="shared" ca="1" si="5338"/>
        <v>0</v>
      </c>
      <c r="LF161" s="63"/>
    </row>
    <row r="162" spans="1:318" s="784" customFormat="1">
      <c r="A162" s="49"/>
      <c r="B162" s="49"/>
      <c r="C162" s="49"/>
      <c r="D162" s="49"/>
      <c r="E162" s="64"/>
      <c r="F162" s="125"/>
      <c r="G162" s="443"/>
      <c r="H162" s="64"/>
      <c r="I162" s="50"/>
      <c r="J162" s="92"/>
      <c r="K162" s="432" t="str">
        <f>Idiomas!D457</f>
        <v>Equipos 1/16</v>
      </c>
      <c r="L162" s="433"/>
      <c r="M162" s="432" t="str">
        <f ca="1">"Max: "&amp;$D$15*COUNT(T130:T161)</f>
        <v>Max: 480</v>
      </c>
      <c r="N162" s="25"/>
      <c r="O162" s="25"/>
      <c r="P162" s="25"/>
      <c r="Q162" s="25"/>
      <c r="R162" s="49"/>
      <c r="S162" s="797"/>
      <c r="T162" s="70">
        <f t="shared" ref="T162" ca="1" si="5340">SUM(T130:T161)</f>
        <v>0</v>
      </c>
      <c r="U162" s="64"/>
      <c r="V162" s="83"/>
      <c r="W162" s="70">
        <f t="shared" ref="W162" ca="1" si="5341">SUM(W130:W161)</f>
        <v>0</v>
      </c>
      <c r="X162" s="64"/>
      <c r="Y162" s="797"/>
      <c r="Z162" s="70">
        <f t="shared" ref="Z162" ca="1" si="5342">SUM(Z130:Z161)</f>
        <v>0</v>
      </c>
      <c r="AA162" s="64"/>
      <c r="AB162" s="797"/>
      <c r="AC162" s="70">
        <f t="shared" ref="AC162" ca="1" si="5343">SUM(AC130:AC161)</f>
        <v>0</v>
      </c>
      <c r="AD162" s="64"/>
      <c r="AE162" s="797"/>
      <c r="AF162" s="70">
        <f t="shared" ref="AF162" ca="1" si="5344">SUM(AF130:AF161)</f>
        <v>0</v>
      </c>
      <c r="AG162" s="64"/>
      <c r="AH162" s="797"/>
      <c r="AI162" s="70">
        <f t="shared" ref="AI162" ca="1" si="5345">SUM(AI130:AI161)</f>
        <v>0</v>
      </c>
      <c r="AJ162" s="64"/>
      <c r="AK162" s="802"/>
      <c r="AL162" s="70">
        <f t="shared" ref="AL162" ca="1" si="5346">SUM(AL130:AL161)</f>
        <v>0</v>
      </c>
      <c r="AM162" s="64"/>
      <c r="AN162" s="797"/>
      <c r="AO162" s="70">
        <f t="shared" ref="AO162" ca="1" si="5347">SUM(AO130:AO161)</f>
        <v>0</v>
      </c>
      <c r="AP162" s="64"/>
      <c r="AQ162" s="802"/>
      <c r="AR162" s="70">
        <f t="shared" ref="AR162" ca="1" si="5348">SUM(AR130:AR161)</f>
        <v>0</v>
      </c>
      <c r="AS162" s="64"/>
      <c r="AT162" s="797"/>
      <c r="AU162" s="70">
        <f t="shared" ref="AU162" ca="1" si="5349">SUM(AU130:AU161)</f>
        <v>0</v>
      </c>
      <c r="AV162" s="64"/>
      <c r="AW162" s="797"/>
      <c r="AX162" s="70">
        <f t="shared" ref="AX162" ca="1" si="5350">SUM(AX130:AX161)</f>
        <v>0</v>
      </c>
      <c r="AY162" s="64"/>
      <c r="AZ162" s="797"/>
      <c r="BA162" s="70">
        <f t="shared" ref="BA162" ca="1" si="5351">SUM(BA130:BA161)</f>
        <v>0</v>
      </c>
      <c r="BB162" s="64"/>
      <c r="BC162" s="797"/>
      <c r="BD162" s="70">
        <f t="shared" ref="BD162" ca="1" si="5352">SUM(BD130:BD161)</f>
        <v>0</v>
      </c>
      <c r="BE162" s="64"/>
      <c r="BF162" s="797"/>
      <c r="BG162" s="70">
        <f t="shared" ref="BG162" ca="1" si="5353">SUM(BG130:BG161)</f>
        <v>0</v>
      </c>
      <c r="BH162" s="64"/>
      <c r="BI162" s="797"/>
      <c r="BJ162" s="70">
        <f t="shared" ref="BJ162" ca="1" si="5354">SUM(BJ130:BJ161)</f>
        <v>0</v>
      </c>
      <c r="BK162" s="64"/>
      <c r="BL162" s="797"/>
      <c r="BM162" s="70">
        <f t="shared" ref="BM162" ca="1" si="5355">SUM(BM130:BM161)</f>
        <v>0</v>
      </c>
      <c r="BN162" s="64"/>
      <c r="BO162" s="812"/>
      <c r="BP162" s="70">
        <f t="shared" ref="BP162" ca="1" si="5356">SUM(BP130:BP161)</f>
        <v>0</v>
      </c>
      <c r="BQ162" s="64"/>
      <c r="BR162" s="797"/>
      <c r="BS162" s="70">
        <f t="shared" ref="BS162" ca="1" si="5357">SUM(BS130:BS161)</f>
        <v>0</v>
      </c>
      <c r="BT162" s="64"/>
      <c r="BU162" s="797"/>
      <c r="BV162" s="70">
        <f t="shared" ref="BV162" ca="1" si="5358">SUM(BV130:BV161)</f>
        <v>0</v>
      </c>
      <c r="BW162" s="64"/>
      <c r="BX162" s="83"/>
      <c r="BY162" s="70">
        <f t="shared" ref="BY162" ca="1" si="5359">SUM(BY130:BY161)</f>
        <v>0</v>
      </c>
      <c r="BZ162" s="64"/>
      <c r="CA162" s="812"/>
      <c r="CB162" s="70">
        <f t="shared" ref="CB162" ca="1" si="5360">SUM(CB130:CB161)</f>
        <v>0</v>
      </c>
      <c r="CC162" s="64"/>
      <c r="CD162" s="821"/>
      <c r="CE162" s="70">
        <f t="shared" ref="CE162" ca="1" si="5361">SUM(CE130:CE161)</f>
        <v>0</v>
      </c>
      <c r="CF162" s="64"/>
      <c r="CG162" s="797"/>
      <c r="CH162" s="70">
        <f t="shared" ref="CH162" ca="1" si="5362">SUM(CH130:CH161)</f>
        <v>0</v>
      </c>
      <c r="CI162" s="64"/>
      <c r="CJ162" s="797"/>
      <c r="CK162" s="70">
        <f t="shared" ref="CK162" ca="1" si="5363">SUM(CK130:CK161)</f>
        <v>0</v>
      </c>
      <c r="CL162" s="64"/>
      <c r="CM162" s="797"/>
      <c r="CN162" s="70">
        <f t="shared" ref="CN162" ca="1" si="5364">SUM(CN130:CN161)</f>
        <v>0</v>
      </c>
      <c r="CO162" s="64"/>
      <c r="CP162" s="797"/>
      <c r="CQ162" s="70">
        <f t="shared" ref="CQ162" ca="1" si="5365">SUM(CQ130:CQ161)</f>
        <v>0</v>
      </c>
      <c r="CR162" s="64"/>
      <c r="CS162" s="797"/>
      <c r="CT162" s="70">
        <f t="shared" ref="CT162" ca="1" si="5366">SUM(CT130:CT161)</f>
        <v>0</v>
      </c>
      <c r="CU162" s="64"/>
      <c r="CV162" s="797"/>
      <c r="CW162" s="70">
        <f t="shared" ref="CW162" ca="1" si="5367">SUM(CW130:CW161)</f>
        <v>0</v>
      </c>
      <c r="CX162" s="64"/>
      <c r="CY162" s="797"/>
      <c r="CZ162" s="70">
        <f t="shared" ref="CZ162" ca="1" si="5368">SUM(CZ130:CZ161)</f>
        <v>0</v>
      </c>
      <c r="DA162" s="64"/>
      <c r="DB162" s="797"/>
      <c r="DC162" s="70">
        <f t="shared" ref="DC162" ca="1" si="5369">SUM(DC130:DC161)</f>
        <v>0</v>
      </c>
      <c r="DD162" s="64"/>
      <c r="DE162" s="797"/>
      <c r="DF162" s="70">
        <f t="shared" ref="DF162" ca="1" si="5370">SUM(DF130:DF161)</f>
        <v>0</v>
      </c>
      <c r="DG162" s="64"/>
      <c r="DH162" s="797"/>
      <c r="DI162" s="70">
        <f t="shared" ref="DI162" ca="1" si="5371">SUM(DI130:DI161)</f>
        <v>0</v>
      </c>
      <c r="DJ162" s="64"/>
      <c r="DK162" s="797"/>
      <c r="DL162" s="70">
        <f t="shared" ref="DL162" ca="1" si="5372">SUM(DL130:DL161)</f>
        <v>0</v>
      </c>
      <c r="DM162" s="64"/>
      <c r="DN162" s="83"/>
      <c r="DO162" s="70">
        <f t="shared" ref="DO162" ca="1" si="5373">SUM(DO130:DO161)</f>
        <v>0</v>
      </c>
      <c r="DP162" s="64"/>
      <c r="DQ162" s="797"/>
      <c r="DR162" s="70">
        <f t="shared" ref="DR162" ca="1" si="5374">SUM(DR130:DR161)</f>
        <v>0</v>
      </c>
      <c r="DS162" s="64"/>
      <c r="DT162" s="83"/>
      <c r="DU162" s="70">
        <f t="shared" ref="DU162" ca="1" si="5375">SUM(DU130:DU161)</f>
        <v>0</v>
      </c>
      <c r="DV162" s="64"/>
      <c r="DW162" s="83"/>
      <c r="DX162" s="70">
        <f t="shared" ref="DX162" ca="1" si="5376">SUM(DX130:DX161)</f>
        <v>0</v>
      </c>
      <c r="DY162" s="64"/>
      <c r="DZ162" s="83"/>
      <c r="EA162" s="70">
        <f t="shared" ref="EA162" ca="1" si="5377">SUM(EA130:EA161)</f>
        <v>0</v>
      </c>
      <c r="EB162" s="64"/>
      <c r="EC162" s="83"/>
      <c r="ED162" s="70">
        <f t="shared" ref="ED162" ca="1" si="5378">SUM(ED130:ED161)</f>
        <v>0</v>
      </c>
      <c r="EE162" s="64"/>
      <c r="EF162" s="83"/>
      <c r="EG162" s="70">
        <f t="shared" ref="EG162" ca="1" si="5379">SUM(EG130:EG161)</f>
        <v>0</v>
      </c>
      <c r="EH162" s="64"/>
      <c r="EI162" s="83"/>
      <c r="EJ162" s="70">
        <f t="shared" ref="EJ162" ca="1" si="5380">SUM(EJ130:EJ161)</f>
        <v>0</v>
      </c>
      <c r="EK162" s="64"/>
      <c r="EL162" s="83"/>
      <c r="EM162" s="70">
        <f t="shared" ref="EM162" ca="1" si="5381">SUM(EM130:EM161)</f>
        <v>0</v>
      </c>
      <c r="EN162" s="64"/>
      <c r="EO162" s="83"/>
      <c r="EP162" s="70">
        <f t="shared" ref="EP162" ca="1" si="5382">SUM(EP130:EP161)</f>
        <v>0</v>
      </c>
      <c r="EQ162" s="64"/>
      <c r="ER162" s="83"/>
      <c r="ES162" s="70">
        <f t="shared" ref="ES162" ca="1" si="5383">SUM(ES130:ES161)</f>
        <v>0</v>
      </c>
      <c r="ET162" s="64"/>
      <c r="EU162" s="83"/>
      <c r="EV162" s="70">
        <f t="shared" ref="EV162" ca="1" si="5384">SUM(EV130:EV161)</f>
        <v>0</v>
      </c>
      <c r="EW162" s="64"/>
      <c r="EX162" s="83"/>
      <c r="EY162" s="70">
        <f t="shared" ref="EY162" ca="1" si="5385">SUM(EY130:EY161)</f>
        <v>0</v>
      </c>
      <c r="EZ162" s="64"/>
      <c r="FA162" s="83"/>
      <c r="FB162" s="70">
        <f t="shared" ref="FB162" ca="1" si="5386">SUM(FB130:FB161)</f>
        <v>0</v>
      </c>
      <c r="FC162" s="64"/>
      <c r="FD162" s="83"/>
      <c r="FE162" s="70">
        <f t="shared" ref="FE162" ca="1" si="5387">SUM(FE130:FE161)</f>
        <v>0</v>
      </c>
      <c r="FF162" s="64"/>
      <c r="FG162" s="83"/>
      <c r="FH162" s="70">
        <f t="shared" ref="FH162" ca="1" si="5388">SUM(FH130:FH161)</f>
        <v>0</v>
      </c>
      <c r="FI162" s="64"/>
      <c r="FJ162" s="83"/>
      <c r="FK162" s="70">
        <f t="shared" ref="FK162" ca="1" si="5389">SUM(FK130:FK161)</f>
        <v>0</v>
      </c>
      <c r="FL162" s="64"/>
      <c r="FM162" s="83"/>
      <c r="FN162" s="70">
        <f t="shared" ref="FN162" ca="1" si="5390">SUM(FN130:FN161)</f>
        <v>0</v>
      </c>
      <c r="FO162" s="64"/>
      <c r="FP162" s="83"/>
      <c r="FQ162" s="70">
        <f t="shared" ref="FQ162" ca="1" si="5391">SUM(FQ130:FQ161)</f>
        <v>0</v>
      </c>
      <c r="FR162" s="64"/>
      <c r="FS162" s="83"/>
      <c r="FT162" s="70">
        <f t="shared" ref="FT162" ca="1" si="5392">SUM(FT130:FT161)</f>
        <v>0</v>
      </c>
      <c r="FU162" s="64"/>
      <c r="FV162" s="83"/>
      <c r="FW162" s="70">
        <f t="shared" ref="FW162" ca="1" si="5393">SUM(FW130:FW161)</f>
        <v>0</v>
      </c>
      <c r="FX162" s="64"/>
      <c r="FY162" s="83"/>
      <c r="FZ162" s="70">
        <f t="shared" ref="FZ162" ca="1" si="5394">SUM(FZ130:FZ161)</f>
        <v>0</v>
      </c>
      <c r="GA162" s="64"/>
      <c r="GB162" s="83"/>
      <c r="GC162" s="70">
        <f t="shared" ref="GC162" ca="1" si="5395">SUM(GC130:GC161)</f>
        <v>0</v>
      </c>
      <c r="GD162" s="64"/>
      <c r="GE162" s="83"/>
      <c r="GF162" s="70">
        <f t="shared" ref="GF162" ca="1" si="5396">SUM(GF130:GF161)</f>
        <v>0</v>
      </c>
      <c r="GG162" s="64"/>
      <c r="GH162" s="83"/>
      <c r="GI162" s="70">
        <f t="shared" ref="GI162" ca="1" si="5397">SUM(GI130:GI161)</f>
        <v>0</v>
      </c>
      <c r="GJ162" s="64"/>
      <c r="GK162" s="83"/>
      <c r="GL162" s="70">
        <f t="shared" ref="GL162" ca="1" si="5398">SUM(GL130:GL161)</f>
        <v>0</v>
      </c>
      <c r="GM162" s="64"/>
      <c r="GN162" s="83"/>
      <c r="GO162" s="70">
        <f t="shared" ref="GO162" ca="1" si="5399">SUM(GO130:GO161)</f>
        <v>0</v>
      </c>
      <c r="GP162" s="64"/>
      <c r="GQ162" s="83"/>
      <c r="GR162" s="70">
        <f t="shared" ref="GR162" ca="1" si="5400">SUM(GR130:GR161)</f>
        <v>0</v>
      </c>
      <c r="GS162" s="64"/>
      <c r="GT162" s="83"/>
      <c r="GU162" s="70">
        <f t="shared" ref="GU162" ca="1" si="5401">SUM(GU130:GU161)</f>
        <v>0</v>
      </c>
      <c r="GV162" s="64"/>
      <c r="GW162" s="83"/>
      <c r="GX162" s="70">
        <f t="shared" ref="GX162" ca="1" si="5402">SUM(GX130:GX161)</f>
        <v>0</v>
      </c>
      <c r="GY162" s="64"/>
      <c r="GZ162" s="83"/>
      <c r="HA162" s="70">
        <f t="shared" ref="HA162" ca="1" si="5403">SUM(HA130:HA161)</f>
        <v>0</v>
      </c>
      <c r="HB162" s="64"/>
      <c r="HC162" s="83"/>
      <c r="HD162" s="70">
        <f t="shared" ref="HD162" ca="1" si="5404">SUM(HD130:HD161)</f>
        <v>0</v>
      </c>
      <c r="HE162" s="64"/>
      <c r="HF162" s="83"/>
      <c r="HG162" s="70">
        <f t="shared" ref="HG162" ca="1" si="5405">SUM(HG130:HG161)</f>
        <v>0</v>
      </c>
      <c r="HH162" s="64"/>
      <c r="HI162" s="83"/>
      <c r="HJ162" s="70">
        <f t="shared" ref="HJ162" ca="1" si="5406">SUM(HJ130:HJ161)</f>
        <v>0</v>
      </c>
      <c r="HK162" s="64"/>
      <c r="HL162" s="83"/>
      <c r="HM162" s="70">
        <f t="shared" ref="HM162" ca="1" si="5407">SUM(HM130:HM161)</f>
        <v>0</v>
      </c>
      <c r="HN162" s="64"/>
      <c r="HO162" s="83"/>
      <c r="HP162" s="70">
        <f t="shared" ref="HP162" ca="1" si="5408">SUM(HP130:HP161)</f>
        <v>0</v>
      </c>
      <c r="HQ162" s="64"/>
      <c r="HR162" s="83"/>
      <c r="HS162" s="70">
        <f t="shared" ref="HS162" ca="1" si="5409">SUM(HS130:HS161)</f>
        <v>0</v>
      </c>
      <c r="HT162" s="64"/>
      <c r="HU162" s="83"/>
      <c r="HV162" s="70">
        <f t="shared" ref="HV162" ca="1" si="5410">SUM(HV130:HV161)</f>
        <v>0</v>
      </c>
      <c r="HW162" s="64"/>
      <c r="HX162" s="83"/>
      <c r="HY162" s="70">
        <f t="shared" ref="HY162" ca="1" si="5411">SUM(HY130:HY161)</f>
        <v>0</v>
      </c>
      <c r="HZ162" s="64"/>
      <c r="IA162" s="83"/>
      <c r="IB162" s="70">
        <f t="shared" ref="IB162" ca="1" si="5412">SUM(IB130:IB161)</f>
        <v>0</v>
      </c>
      <c r="IC162" s="64"/>
      <c r="ID162" s="83"/>
      <c r="IE162" s="70">
        <f t="shared" ref="IE162" ca="1" si="5413">SUM(IE130:IE161)</f>
        <v>0</v>
      </c>
      <c r="IF162" s="64"/>
      <c r="IG162" s="83"/>
      <c r="IH162" s="70">
        <f t="shared" ref="IH162" ca="1" si="5414">SUM(IH130:IH161)</f>
        <v>0</v>
      </c>
      <c r="II162" s="64"/>
      <c r="IJ162" s="83"/>
      <c r="IK162" s="70">
        <f t="shared" ref="IK162" ca="1" si="5415">SUM(IK130:IK161)</f>
        <v>0</v>
      </c>
      <c r="IL162" s="64"/>
      <c r="IM162" s="83"/>
      <c r="IN162" s="70">
        <f t="shared" ref="IN162" ca="1" si="5416">SUM(IN130:IN161)</f>
        <v>0</v>
      </c>
      <c r="IO162" s="64"/>
      <c r="IP162" s="83"/>
      <c r="IQ162" s="70">
        <f t="shared" ref="IQ162" ca="1" si="5417">SUM(IQ130:IQ161)</f>
        <v>0</v>
      </c>
      <c r="IR162" s="64"/>
      <c r="IS162" s="83"/>
      <c r="IT162" s="70">
        <f t="shared" ref="IT162" ca="1" si="5418">SUM(IT130:IT161)</f>
        <v>0</v>
      </c>
      <c r="IU162" s="64"/>
      <c r="IV162" s="83"/>
      <c r="IW162" s="70">
        <f t="shared" ref="IW162" ca="1" si="5419">SUM(IW130:IW161)</f>
        <v>0</v>
      </c>
      <c r="IX162" s="64"/>
      <c r="IY162" s="83"/>
      <c r="IZ162" s="70">
        <f t="shared" ref="IZ162" ca="1" si="5420">SUM(IZ130:IZ161)</f>
        <v>0</v>
      </c>
      <c r="JA162" s="64"/>
      <c r="JB162" s="83"/>
      <c r="JC162" s="70">
        <f t="shared" ref="JC162" ca="1" si="5421">SUM(JC130:JC161)</f>
        <v>0</v>
      </c>
      <c r="JD162" s="64"/>
      <c r="JE162" s="83"/>
      <c r="JF162" s="70">
        <f t="shared" ref="JF162" ca="1" si="5422">SUM(JF130:JF161)</f>
        <v>0</v>
      </c>
      <c r="JG162" s="64"/>
      <c r="JH162" s="83"/>
      <c r="JI162" s="70">
        <f t="shared" ref="JI162" ca="1" si="5423">SUM(JI130:JI161)</f>
        <v>0</v>
      </c>
      <c r="JJ162" s="64"/>
      <c r="JK162" s="83"/>
      <c r="JL162" s="70">
        <f t="shared" ref="JL162" ca="1" si="5424">SUM(JL130:JL161)</f>
        <v>0</v>
      </c>
      <c r="JM162" s="64"/>
      <c r="JN162" s="83"/>
      <c r="JO162" s="70">
        <f t="shared" ref="JO162" ca="1" si="5425">SUM(JO130:JO161)</f>
        <v>0</v>
      </c>
      <c r="JP162" s="64"/>
      <c r="JQ162" s="83"/>
      <c r="JR162" s="70">
        <f t="shared" ref="JR162" ca="1" si="5426">SUM(JR130:JR161)</f>
        <v>0</v>
      </c>
      <c r="JS162" s="64"/>
      <c r="JT162" s="83"/>
      <c r="JU162" s="70">
        <f t="shared" ref="JU162" ca="1" si="5427">SUM(JU130:JU161)</f>
        <v>0</v>
      </c>
      <c r="JV162" s="64"/>
      <c r="JW162" s="83"/>
      <c r="JX162" s="70">
        <f t="shared" ref="JX162" ca="1" si="5428">SUM(JX130:JX161)</f>
        <v>0</v>
      </c>
      <c r="JY162" s="64"/>
      <c r="JZ162" s="83"/>
      <c r="KA162" s="70">
        <f t="shared" ref="KA162" ca="1" si="5429">SUM(KA130:KA161)</f>
        <v>0</v>
      </c>
      <c r="KB162" s="64"/>
      <c r="KC162" s="83"/>
      <c r="KD162" s="70">
        <f t="shared" ref="KD162" ca="1" si="5430">SUM(KD130:KD161)</f>
        <v>0</v>
      </c>
      <c r="KE162" s="64"/>
      <c r="KF162" s="83"/>
      <c r="KG162" s="70">
        <f t="shared" ref="KG162" ca="1" si="5431">SUM(KG130:KG161)</f>
        <v>0</v>
      </c>
      <c r="KH162" s="64"/>
      <c r="KI162" s="83"/>
      <c r="KJ162" s="70">
        <f t="shared" ref="KJ162" ca="1" si="5432">SUM(KJ130:KJ161)</f>
        <v>0</v>
      </c>
      <c r="KK162" s="64"/>
      <c r="KL162" s="83"/>
      <c r="KM162" s="70">
        <f t="shared" ref="KM162" ca="1" si="5433">SUM(KM130:KM161)</f>
        <v>0</v>
      </c>
      <c r="KN162" s="64"/>
      <c r="KO162" s="83"/>
      <c r="KP162" s="70">
        <f t="shared" ref="KP162" ca="1" si="5434">SUM(KP130:KP161)</f>
        <v>0</v>
      </c>
      <c r="KQ162" s="64"/>
      <c r="KR162" s="83"/>
      <c r="KS162" s="70">
        <f t="shared" ref="KS162" ca="1" si="5435">SUM(KS130:KS161)</f>
        <v>0</v>
      </c>
      <c r="KT162" s="64"/>
      <c r="KU162" s="83"/>
      <c r="KV162" s="70">
        <f t="shared" ref="KV162" ca="1" si="5436">SUM(KV130:KV161)</f>
        <v>0</v>
      </c>
      <c r="KW162" s="64"/>
      <c r="KX162" s="83"/>
      <c r="KY162" s="70">
        <f t="shared" ref="KY162" ca="1" si="5437">SUM(KY130:KY161)</f>
        <v>0</v>
      </c>
      <c r="KZ162" s="64"/>
      <c r="LA162" s="83"/>
      <c r="LB162" s="70">
        <f t="shared" ref="LB162" ca="1" si="5438">SUM(LB130:LB161)</f>
        <v>0</v>
      </c>
      <c r="LC162" s="64"/>
      <c r="LD162" s="83"/>
      <c r="LE162" s="70">
        <f t="shared" ref="LE162" ca="1" si="5439">SUM(LE130:LE161)</f>
        <v>0</v>
      </c>
      <c r="LF162" s="64"/>
    </row>
    <row r="163" spans="1:318" s="784" customFormat="1">
      <c r="A163" s="64" t="s">
        <v>1764</v>
      </c>
      <c r="B163" s="64" t="s">
        <v>1765</v>
      </c>
      <c r="C163" s="64" t="s">
        <v>1763</v>
      </c>
      <c r="D163" s="64" t="s">
        <v>1761</v>
      </c>
      <c r="E163" s="64" t="s">
        <v>1762</v>
      </c>
      <c r="F163" s="125"/>
      <c r="G163" s="443"/>
      <c r="H163" s="64"/>
      <c r="I163" s="52" t="s">
        <v>1578</v>
      </c>
      <c r="J163" s="92"/>
      <c r="K163" s="111" t="str">
        <f>Idiomas!D138</f>
        <v>ENFRENTAMIENTOS DIECISEISAVOS</v>
      </c>
      <c r="L163" s="50"/>
      <c r="M163" s="70"/>
      <c r="N163" s="88"/>
      <c r="O163" s="88"/>
      <c r="P163" s="88"/>
      <c r="Q163" s="88"/>
      <c r="R163" s="49"/>
      <c r="S163" s="797"/>
      <c r="T163" s="70"/>
      <c r="U163" s="110"/>
      <c r="V163" s="440"/>
      <c r="W163" s="70"/>
      <c r="X163" s="64"/>
      <c r="Y163" s="797"/>
      <c r="Z163" s="70"/>
      <c r="AA163" s="64"/>
      <c r="AB163" s="797"/>
      <c r="AC163" s="70"/>
      <c r="AD163" s="64"/>
      <c r="AE163" s="797"/>
      <c r="AF163" s="70"/>
      <c r="AG163" s="64"/>
      <c r="AH163" s="797"/>
      <c r="AI163" s="70"/>
      <c r="AJ163" s="110"/>
      <c r="AK163" s="802"/>
      <c r="AL163" s="70"/>
      <c r="AM163" s="64"/>
      <c r="AN163" s="797"/>
      <c r="AO163" s="70"/>
      <c r="AP163" s="64"/>
      <c r="AQ163" s="802"/>
      <c r="AR163" s="70"/>
      <c r="AS163" s="64"/>
      <c r="AT163" s="797"/>
      <c r="AU163" s="70"/>
      <c r="AV163" s="64"/>
      <c r="AW163" s="797"/>
      <c r="AX163" s="70"/>
      <c r="AY163" s="110"/>
      <c r="AZ163" s="797"/>
      <c r="BA163" s="70"/>
      <c r="BB163" s="64"/>
      <c r="BC163" s="797"/>
      <c r="BD163" s="70"/>
      <c r="BE163" s="64"/>
      <c r="BF163" s="797"/>
      <c r="BG163" s="70"/>
      <c r="BH163" s="64"/>
      <c r="BI163" s="797"/>
      <c r="BJ163" s="70"/>
      <c r="BK163" s="64"/>
      <c r="BL163" s="797"/>
      <c r="BM163" s="70"/>
      <c r="BN163" s="110"/>
      <c r="BO163" s="812"/>
      <c r="BP163" s="70"/>
      <c r="BQ163" s="64"/>
      <c r="BR163" s="797"/>
      <c r="BS163" s="70"/>
      <c r="BT163" s="64"/>
      <c r="BU163" s="797"/>
      <c r="BV163" s="70"/>
      <c r="BW163" s="64"/>
      <c r="BX163" s="83"/>
      <c r="BY163" s="70"/>
      <c r="BZ163" s="64"/>
      <c r="CA163" s="812"/>
      <c r="CB163" s="70"/>
      <c r="CC163" s="110"/>
      <c r="CD163" s="821"/>
      <c r="CE163" s="70"/>
      <c r="CF163" s="64"/>
      <c r="CG163" s="797"/>
      <c r="CH163" s="70"/>
      <c r="CI163" s="64"/>
      <c r="CJ163" s="797"/>
      <c r="CK163" s="70"/>
      <c r="CL163" s="64"/>
      <c r="CM163" s="797"/>
      <c r="CN163" s="70"/>
      <c r="CO163" s="64"/>
      <c r="CP163" s="797"/>
      <c r="CQ163" s="70"/>
      <c r="CR163" s="110"/>
      <c r="CS163" s="797"/>
      <c r="CT163" s="70"/>
      <c r="CU163" s="64"/>
      <c r="CV163" s="797"/>
      <c r="CW163" s="70"/>
      <c r="CX163" s="64"/>
      <c r="CY163" s="797"/>
      <c r="CZ163" s="70"/>
      <c r="DA163" s="64"/>
      <c r="DB163" s="797"/>
      <c r="DC163" s="70"/>
      <c r="DD163" s="64"/>
      <c r="DE163" s="797"/>
      <c r="DF163" s="70"/>
      <c r="DG163" s="110"/>
      <c r="DH163" s="797"/>
      <c r="DI163" s="70"/>
      <c r="DJ163" s="64"/>
      <c r="DK163" s="797"/>
      <c r="DL163" s="70"/>
      <c r="DM163" s="64"/>
      <c r="DN163" s="440"/>
      <c r="DO163" s="70"/>
      <c r="DP163" s="64"/>
      <c r="DQ163" s="797"/>
      <c r="DR163" s="70"/>
      <c r="DS163" s="64"/>
      <c r="DT163" s="440"/>
      <c r="DU163" s="70"/>
      <c r="DV163" s="110"/>
      <c r="DW163" s="440"/>
      <c r="DX163" s="70"/>
      <c r="DY163" s="64"/>
      <c r="DZ163" s="83"/>
      <c r="EA163" s="70"/>
      <c r="EB163" s="64"/>
      <c r="EC163" s="83"/>
      <c r="ED163" s="70"/>
      <c r="EE163" s="64"/>
      <c r="EF163" s="83"/>
      <c r="EG163" s="70"/>
      <c r="EH163" s="64"/>
      <c r="EI163" s="440"/>
      <c r="EJ163" s="70"/>
      <c r="EK163" s="110"/>
      <c r="EL163" s="440"/>
      <c r="EM163" s="70"/>
      <c r="EN163" s="64"/>
      <c r="EO163" s="83"/>
      <c r="EP163" s="70"/>
      <c r="EQ163" s="64"/>
      <c r="ER163" s="83"/>
      <c r="ES163" s="70"/>
      <c r="ET163" s="64"/>
      <c r="EU163" s="83"/>
      <c r="EV163" s="70"/>
      <c r="EW163" s="64"/>
      <c r="EX163" s="440"/>
      <c r="EY163" s="70"/>
      <c r="EZ163" s="110"/>
      <c r="FA163" s="440"/>
      <c r="FB163" s="70"/>
      <c r="FC163" s="64"/>
      <c r="FD163" s="83"/>
      <c r="FE163" s="70"/>
      <c r="FF163" s="64"/>
      <c r="FG163" s="83"/>
      <c r="FH163" s="70"/>
      <c r="FI163" s="64"/>
      <c r="FJ163" s="83"/>
      <c r="FK163" s="70"/>
      <c r="FL163" s="64"/>
      <c r="FM163" s="440"/>
      <c r="FN163" s="70"/>
      <c r="FO163" s="110"/>
      <c r="FP163" s="440"/>
      <c r="FQ163" s="70"/>
      <c r="FR163" s="64"/>
      <c r="FS163" s="83"/>
      <c r="FT163" s="70"/>
      <c r="FU163" s="64"/>
      <c r="FV163" s="83"/>
      <c r="FW163" s="70"/>
      <c r="FX163" s="64"/>
      <c r="FY163" s="83"/>
      <c r="FZ163" s="70"/>
      <c r="GA163" s="64"/>
      <c r="GB163" s="440"/>
      <c r="GC163" s="70"/>
      <c r="GD163" s="110"/>
      <c r="GE163" s="440"/>
      <c r="GF163" s="70"/>
      <c r="GG163" s="64"/>
      <c r="GH163" s="83"/>
      <c r="GI163" s="70"/>
      <c r="GJ163" s="64"/>
      <c r="GK163" s="83"/>
      <c r="GL163" s="70"/>
      <c r="GM163" s="64"/>
      <c r="GN163" s="83"/>
      <c r="GO163" s="70"/>
      <c r="GP163" s="64"/>
      <c r="GQ163" s="440"/>
      <c r="GR163" s="70"/>
      <c r="GS163" s="110"/>
      <c r="GT163" s="440"/>
      <c r="GU163" s="70"/>
      <c r="GV163" s="64"/>
      <c r="GW163" s="83"/>
      <c r="GX163" s="70"/>
      <c r="GY163" s="64"/>
      <c r="GZ163" s="83"/>
      <c r="HA163" s="70"/>
      <c r="HB163" s="64"/>
      <c r="HC163" s="83"/>
      <c r="HD163" s="70"/>
      <c r="HE163" s="64"/>
      <c r="HF163" s="440"/>
      <c r="HG163" s="70"/>
      <c r="HH163" s="110"/>
      <c r="HI163" s="440"/>
      <c r="HJ163" s="70"/>
      <c r="HK163" s="64"/>
      <c r="HL163" s="83"/>
      <c r="HM163" s="70"/>
      <c r="HN163" s="64"/>
      <c r="HO163" s="83"/>
      <c r="HP163" s="70"/>
      <c r="HQ163" s="64"/>
      <c r="HR163" s="83"/>
      <c r="HS163" s="70"/>
      <c r="HT163" s="64"/>
      <c r="HU163" s="440"/>
      <c r="HV163" s="70"/>
      <c r="HW163" s="110"/>
      <c r="HX163" s="440"/>
      <c r="HY163" s="70"/>
      <c r="HZ163" s="64"/>
      <c r="IA163" s="83"/>
      <c r="IB163" s="70"/>
      <c r="IC163" s="64"/>
      <c r="ID163" s="83"/>
      <c r="IE163" s="70"/>
      <c r="IF163" s="64"/>
      <c r="IG163" s="83"/>
      <c r="IH163" s="70"/>
      <c r="II163" s="64"/>
      <c r="IJ163" s="440"/>
      <c r="IK163" s="70"/>
      <c r="IL163" s="110"/>
      <c r="IM163" s="440"/>
      <c r="IN163" s="70"/>
      <c r="IO163" s="64"/>
      <c r="IP163" s="83"/>
      <c r="IQ163" s="70"/>
      <c r="IR163" s="64"/>
      <c r="IS163" s="83"/>
      <c r="IT163" s="70"/>
      <c r="IU163" s="64"/>
      <c r="IV163" s="83"/>
      <c r="IW163" s="70"/>
      <c r="IX163" s="64"/>
      <c r="IY163" s="440"/>
      <c r="IZ163" s="70"/>
      <c r="JA163" s="110"/>
      <c r="JB163" s="440"/>
      <c r="JC163" s="70"/>
      <c r="JD163" s="64"/>
      <c r="JE163" s="83"/>
      <c r="JF163" s="70"/>
      <c r="JG163" s="64"/>
      <c r="JH163" s="83"/>
      <c r="JI163" s="70"/>
      <c r="JJ163" s="64"/>
      <c r="JK163" s="83"/>
      <c r="JL163" s="70"/>
      <c r="JM163" s="64"/>
      <c r="JN163" s="440"/>
      <c r="JO163" s="70"/>
      <c r="JP163" s="110"/>
      <c r="JQ163" s="440"/>
      <c r="JR163" s="70"/>
      <c r="JS163" s="64"/>
      <c r="JT163" s="83"/>
      <c r="JU163" s="70"/>
      <c r="JV163" s="64"/>
      <c r="JW163" s="83"/>
      <c r="JX163" s="70"/>
      <c r="JY163" s="64"/>
      <c r="JZ163" s="83"/>
      <c r="KA163" s="70"/>
      <c r="KB163" s="64"/>
      <c r="KC163" s="440"/>
      <c r="KD163" s="70"/>
      <c r="KE163" s="110"/>
      <c r="KF163" s="440"/>
      <c r="KG163" s="70"/>
      <c r="KH163" s="64"/>
      <c r="KI163" s="83"/>
      <c r="KJ163" s="70"/>
      <c r="KK163" s="64"/>
      <c r="KL163" s="83"/>
      <c r="KM163" s="70"/>
      <c r="KN163" s="64"/>
      <c r="KO163" s="83"/>
      <c r="KP163" s="70"/>
      <c r="KQ163" s="64"/>
      <c r="KR163" s="440"/>
      <c r="KS163" s="70"/>
      <c r="KT163" s="110"/>
      <c r="KU163" s="440"/>
      <c r="KV163" s="70"/>
      <c r="KW163" s="64"/>
      <c r="KX163" s="83"/>
      <c r="KY163" s="70"/>
      <c r="KZ163" s="64"/>
      <c r="LA163" s="83"/>
      <c r="LB163" s="70"/>
      <c r="LC163" s="64"/>
      <c r="LD163" s="83"/>
      <c r="LE163" s="70"/>
      <c r="LF163" s="64"/>
    </row>
    <row r="164" spans="1:318" s="784" customFormat="1">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6">
        <f>SUM($D$16:$D$18)*I164</f>
        <v>30</v>
      </c>
      <c r="G164" s="406">
        <f ca="1">VLOOKUP(H164,Equipos!$Q$1:$R$25,2,0)</f>
        <v>20</v>
      </c>
      <c r="H164" s="444" t="str">
        <f>Idiomas!$D$260</f>
        <v>Dieciseisavos de final</v>
      </c>
      <c r="I164" s="45">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08"/>
      <c r="S164" s="796" t="s">
        <v>1964</v>
      </c>
      <c r="T164" s="76">
        <f t="shared" ref="T164:T179" ca="1" si="5440">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08"/>
      <c r="V164" s="75" t="s">
        <v>2009</v>
      </c>
      <c r="W164" s="76">
        <f t="shared" ref="W164:W179" ca="1" si="5441">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08"/>
      <c r="Y164" s="796" t="s">
        <v>2052</v>
      </c>
      <c r="Z164" s="76">
        <f t="shared" ref="Z164:Z179" ca="1" si="5442">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08"/>
      <c r="AB164" s="796" t="s">
        <v>2089</v>
      </c>
      <c r="AC164" s="76">
        <f t="shared" ref="AC164:AC179" ca="1" si="5443">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08"/>
      <c r="AE164" s="796" t="s">
        <v>2126</v>
      </c>
      <c r="AF164" s="76">
        <f t="shared" ref="AF164" ca="1" si="5444">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08"/>
      <c r="AH164" s="796" t="s">
        <v>2161</v>
      </c>
      <c r="AI164" s="76">
        <f t="shared" ref="AI164:AI179" ca="1" si="5445">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08"/>
      <c r="AK164" s="806" t="s">
        <v>2197</v>
      </c>
      <c r="AL164" s="76">
        <f t="shared" ref="AL164:AL179" ca="1" si="5446">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08"/>
      <c r="AN164" s="796" t="s">
        <v>2197</v>
      </c>
      <c r="AO164" s="76">
        <f t="shared" ref="AO164:AO179" ca="1" si="5447">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08"/>
      <c r="AQ164" s="806" t="s">
        <v>2254</v>
      </c>
      <c r="AR164" s="76">
        <f t="shared" ref="AR164:AR179" ca="1" si="5448">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08"/>
      <c r="AT164" s="796" t="s">
        <v>2289</v>
      </c>
      <c r="AU164" s="76">
        <f t="shared" ref="AU164:AU179" ca="1" si="5449">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08"/>
      <c r="AW164" s="796" t="s">
        <v>2089</v>
      </c>
      <c r="AX164" s="76">
        <f t="shared" ref="AX164:AX179" ca="1" si="5450">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08"/>
      <c r="AZ164" s="796" t="s">
        <v>2352</v>
      </c>
      <c r="BA164" s="76">
        <f t="shared" ref="BA164:BA179" ca="1" si="5451">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08"/>
      <c r="BC164" s="796" t="s">
        <v>2390</v>
      </c>
      <c r="BD164" s="76">
        <f t="shared" ref="BD164:BD179" ca="1" si="5452">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08"/>
      <c r="BF164" s="796" t="s">
        <v>2416</v>
      </c>
      <c r="BG164" s="76">
        <f t="shared" ref="BG164:BG179" ca="1" si="5453">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08"/>
      <c r="BI164" s="796" t="s">
        <v>2451</v>
      </c>
      <c r="BJ164" s="76">
        <f t="shared" ref="BJ164:BJ179" ca="1" si="5454">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08"/>
      <c r="BL164" s="796" t="s">
        <v>2451</v>
      </c>
      <c r="BM164" s="76">
        <f t="shared" ref="BM164:BM179" ca="1" si="5455">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08"/>
      <c r="BO164" s="816" t="s">
        <v>2499</v>
      </c>
      <c r="BP164" s="76">
        <f t="shared" ref="BP164:BP179" ca="1" si="5456">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08"/>
      <c r="BR164" s="796" t="s">
        <v>2516</v>
      </c>
      <c r="BS164" s="76">
        <f t="shared" ref="BS164:BS179" ca="1" si="5457">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08"/>
      <c r="BU164" s="796" t="s">
        <v>2532</v>
      </c>
      <c r="BV164" s="76">
        <f t="shared" ref="BV164:BV179" ca="1" si="5458">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08"/>
      <c r="BX164" s="75" t="s">
        <v>1964</v>
      </c>
      <c r="BY164" s="76">
        <f t="shared" ref="BY164:BY179" ca="1" si="5459">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08"/>
      <c r="CA164" s="816" t="s">
        <v>2578</v>
      </c>
      <c r="CB164" s="76">
        <f t="shared" ref="CB164:CB179" ca="1" si="5460">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08"/>
      <c r="CD164" s="825" t="s">
        <v>2591</v>
      </c>
      <c r="CE164" s="76">
        <f t="shared" ref="CE164:CE179" ca="1" si="5461">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08"/>
      <c r="CG164" s="796" t="s">
        <v>2607</v>
      </c>
      <c r="CH164" s="76">
        <f t="shared" ref="CH164:CH179" ca="1" si="5462">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08"/>
      <c r="CJ164" s="796" t="s">
        <v>2390</v>
      </c>
      <c r="CK164" s="76">
        <f t="shared" ref="CK164:CK179" ca="1" si="5463">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08"/>
      <c r="CM164" s="796" t="s">
        <v>2645</v>
      </c>
      <c r="CN164" s="76">
        <f t="shared" ref="CN164:CN179" ca="1" si="5464">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08"/>
      <c r="CP164" s="796" t="s">
        <v>2669</v>
      </c>
      <c r="CQ164" s="76">
        <f t="shared" ref="CQ164:CQ179" ca="1" si="5465">IFERROR(IF(COUNTIF($K$164:$K$179,LEFT(CP164,FIND("·",CP164)-1))&gt;0,IF(INDEX($L$164:$L$179,MATCH(LEFT(CP164,FIND("·",CP164)-1),$K$164:$K$179,0))=IFERROR(VALUE(MID(CP164,FIND("·",CP164)+1,1)),0),($D$16+(INDEX($M$164:$M$179,MATCH(LEFT(CP164,FIND("·",CP164)-1),$K$164:$K$179,0))=MID(CP164,FIND("|",CP164)+1,10))*$D$18+MAX(0,IF($D$50=1,$D$17*(1-(ABS(INDEX($P$164:$P$179,MATCH(LEFT(CP164,FIND("·",CP164)-1),$K$164:$K$179,0))-(VALUE(MID(CP164,FIND("|",CP164)+1,FIND("-",CP164,FIND("|",CP164))-FIND("|",CP164)-1))-VALUE(MID(CP164,FIND("-",CP164,FIND("|",CP164))+1,10)))))*$D$50),$D$17*(1-(IF(INDEX($L$164:$L$179,MATCH(LEFT(CP164,FIND("·",CP164)-1),$K$164:$K$179,0))=0,ABS(INDEX($N$164:$N$179,MATCH(LEFT(CP164,FIND("·",CP164)-1),$K$164:$K$179,0))-VALUE(MID(CP164,FIND("|",CP164)+1,FIND("-",CP164,FIND("|",CP164))-FIND("|",CP164)-1))),ABS(INDEX($P$164:$P$179,MATCH(LEFT(CP164,FIND("·",CP164)-1),$K$164:$K$179,0))-(VALUE(MID(CP164,FIND("|",CP164)+1,FIND("-",CP164,FIND("|",CP164))-FIND("|",CP164)-1))-VALUE(MID(CP164,FIND("-",CP164,FIND("|",CP164))+1,10)))))*$D$50)))))*INDEX($I$164:$I$179,MATCH(LEFT(CP164,FIND("·",CP164)-1),$K$164:$K$179,0)),0),0),0)+IFERROR(IF(COUNTIF($C$164:$C$179,LEFT(CP164,FIND("·",CP164)-1))&gt;0,IF(INDEX($D$164:$D$179,MATCH(LEFT(CP164,FIND("·",CP164)-1),$C$164:$C$179,0))=IFERROR(VALUE(MID(CP164,FIND("·",CP164)+1,1)),0),($D$16+(INDEX($E$164:$E$179,MATCH(LEFT(CP164,FIND("·",CP164)-1),$C$164:$C$179,0))=MID(CP164,FIND("|",CP164)+1,10))*$D$18+MAX(0,IF($D$50=1,$D$17*(1-(ABS(INDEX($Q$164:$Q$179,MATCH(LEFT(CP164,FIND("·",CP164)-1),$C$164:$C$179,0))-(VALUE(MID(CP164,FIND("|",CP164)+1,FIND("-",CP164,FIND("|",CP164))-FIND("|",CP164)-1))-VALUE(MID(CP164,FIND("-",CP164,FIND("|",CP164))+1,10)))))*$D$50),$D$17*(1-(IF(INDEX($D$164:$D$179,MATCH(LEFT(CP164,FIND("·",CP164)-1),$C$164:$C$179,0))=0,ABS(INDEX($A$164:$A$179,MATCH(LEFT(CP164,FIND("·",CP164)-1),$C$164:$C$179,0))-VALUE(MID(CP164,FIND("|",CP164)+1,FIND("-",CP164,FIND("|",CP164))-FIND("|",CP164)-1))),ABS(INDEX($Q$164:$Q$179,MATCH(LEFT(CP164,FIND("·",CP164)-1),$C$164:$C$179,0))-(VALUE(MID(CP164,FIND("|",CP164)+1,FIND("-",CP164,FIND("|",CP164))-FIND("|",CP164)-1))-VALUE(MID(CP164,FIND("-",CP164,FIND("|",CP164))+1,10)))))*$D$50)))))*INDEX($I$164:$I$179,MATCH(LEFT(CP164,FIND("·",CP164)-1),$C$164:$C$179,0)),0),0),0)</f>
        <v>0</v>
      </c>
      <c r="CR164" s="108"/>
      <c r="CS164" s="796" t="s">
        <v>2691</v>
      </c>
      <c r="CT164" s="76">
        <f t="shared" ref="CT164:CT179" ca="1" si="5466">IFERROR(IF(COUNTIF($K$164:$K$179,LEFT(CS164,FIND("·",CS164)-1))&gt;0,IF(INDEX($L$164:$L$179,MATCH(LEFT(CS164,FIND("·",CS164)-1),$K$164:$K$179,0))=IFERROR(VALUE(MID(CS164,FIND("·",CS164)+1,1)),0),($D$16+(INDEX($M$164:$M$179,MATCH(LEFT(CS164,FIND("·",CS164)-1),$K$164:$K$179,0))=MID(CS164,FIND("|",CS164)+1,10))*$D$18+MAX(0,IF($D$50=1,$D$17*(1-(ABS(INDEX($P$164:$P$179,MATCH(LEFT(CS164,FIND("·",CS164)-1),$K$164:$K$179,0))-(VALUE(MID(CS164,FIND("|",CS164)+1,FIND("-",CS164,FIND("|",CS164))-FIND("|",CS164)-1))-VALUE(MID(CS164,FIND("-",CS164,FIND("|",CS164))+1,10)))))*$D$50),$D$17*(1-(IF(INDEX($L$164:$L$179,MATCH(LEFT(CS164,FIND("·",CS164)-1),$K$164:$K$179,0))=0,ABS(INDEX($N$164:$N$179,MATCH(LEFT(CS164,FIND("·",CS164)-1),$K$164:$K$179,0))-VALUE(MID(CS164,FIND("|",CS164)+1,FIND("-",CS164,FIND("|",CS164))-FIND("|",CS164)-1))),ABS(INDEX($P$164:$P$179,MATCH(LEFT(CS164,FIND("·",CS164)-1),$K$164:$K$179,0))-(VALUE(MID(CS164,FIND("|",CS164)+1,FIND("-",CS164,FIND("|",CS164))-FIND("|",CS164)-1))-VALUE(MID(CS164,FIND("-",CS164,FIND("|",CS164))+1,10)))))*$D$50)))))*INDEX($I$164:$I$179,MATCH(LEFT(CS164,FIND("·",CS164)-1),$K$164:$K$179,0)),0),0),0)+IFERROR(IF(COUNTIF($C$164:$C$179,LEFT(CS164,FIND("·",CS164)-1))&gt;0,IF(INDEX($D$164:$D$179,MATCH(LEFT(CS164,FIND("·",CS164)-1),$C$164:$C$179,0))=IFERROR(VALUE(MID(CS164,FIND("·",CS164)+1,1)),0),($D$16+(INDEX($E$164:$E$179,MATCH(LEFT(CS164,FIND("·",CS164)-1),$C$164:$C$179,0))=MID(CS164,FIND("|",CS164)+1,10))*$D$18+MAX(0,IF($D$50=1,$D$17*(1-(ABS(INDEX($Q$164:$Q$179,MATCH(LEFT(CS164,FIND("·",CS164)-1),$C$164:$C$179,0))-(VALUE(MID(CS164,FIND("|",CS164)+1,FIND("-",CS164,FIND("|",CS164))-FIND("|",CS164)-1))-VALUE(MID(CS164,FIND("-",CS164,FIND("|",CS164))+1,10)))))*$D$50),$D$17*(1-(IF(INDEX($D$164:$D$179,MATCH(LEFT(CS164,FIND("·",CS164)-1),$C$164:$C$179,0))=0,ABS(INDEX($A$164:$A$179,MATCH(LEFT(CS164,FIND("·",CS164)-1),$C$164:$C$179,0))-VALUE(MID(CS164,FIND("|",CS164)+1,FIND("-",CS164,FIND("|",CS164))-FIND("|",CS164)-1))),ABS(INDEX($Q$164:$Q$179,MATCH(LEFT(CS164,FIND("·",CS164)-1),$C$164:$C$179,0))-(VALUE(MID(CS164,FIND("|",CS164)+1,FIND("-",CS164,FIND("|",CS164))-FIND("|",CS164)-1))-VALUE(MID(CS164,FIND("-",CS164,FIND("|",CS164))+1,10)))))*$D$50)))))*INDEX($I$164:$I$179,MATCH(LEFT(CS164,FIND("·",CS164)-1),$C$164:$C$179,0)),0),0),0)</f>
        <v>0</v>
      </c>
      <c r="CU164" s="108"/>
      <c r="CV164" s="796" t="s">
        <v>2716</v>
      </c>
      <c r="CW164" s="76">
        <f t="shared" ref="CW164:CW179" ca="1" si="5467">IFERROR(IF(COUNTIF($K$164:$K$179,LEFT(CV164,FIND("·",CV164)-1))&gt;0,IF(INDEX($L$164:$L$179,MATCH(LEFT(CV164,FIND("·",CV164)-1),$K$164:$K$179,0))=IFERROR(VALUE(MID(CV164,FIND("·",CV164)+1,1)),0),($D$16+(INDEX($M$164:$M$179,MATCH(LEFT(CV164,FIND("·",CV164)-1),$K$164:$K$179,0))=MID(CV164,FIND("|",CV164)+1,10))*$D$18+MAX(0,IF($D$50=1,$D$17*(1-(ABS(INDEX($P$164:$P$179,MATCH(LEFT(CV164,FIND("·",CV164)-1),$K$164:$K$179,0))-(VALUE(MID(CV164,FIND("|",CV164)+1,FIND("-",CV164,FIND("|",CV164))-FIND("|",CV164)-1))-VALUE(MID(CV164,FIND("-",CV164,FIND("|",CV164))+1,10)))))*$D$50),$D$17*(1-(IF(INDEX($L$164:$L$179,MATCH(LEFT(CV164,FIND("·",CV164)-1),$K$164:$K$179,0))=0,ABS(INDEX($N$164:$N$179,MATCH(LEFT(CV164,FIND("·",CV164)-1),$K$164:$K$179,0))-VALUE(MID(CV164,FIND("|",CV164)+1,FIND("-",CV164,FIND("|",CV164))-FIND("|",CV164)-1))),ABS(INDEX($P$164:$P$179,MATCH(LEFT(CV164,FIND("·",CV164)-1),$K$164:$K$179,0))-(VALUE(MID(CV164,FIND("|",CV164)+1,FIND("-",CV164,FIND("|",CV164))-FIND("|",CV164)-1))-VALUE(MID(CV164,FIND("-",CV164,FIND("|",CV164))+1,10)))))*$D$50)))))*INDEX($I$164:$I$179,MATCH(LEFT(CV164,FIND("·",CV164)-1),$K$164:$K$179,0)),0),0),0)+IFERROR(IF(COUNTIF($C$164:$C$179,LEFT(CV164,FIND("·",CV164)-1))&gt;0,IF(INDEX($D$164:$D$179,MATCH(LEFT(CV164,FIND("·",CV164)-1),$C$164:$C$179,0))=IFERROR(VALUE(MID(CV164,FIND("·",CV164)+1,1)),0),($D$16+(INDEX($E$164:$E$179,MATCH(LEFT(CV164,FIND("·",CV164)-1),$C$164:$C$179,0))=MID(CV164,FIND("|",CV164)+1,10))*$D$18+MAX(0,IF($D$50=1,$D$17*(1-(ABS(INDEX($Q$164:$Q$179,MATCH(LEFT(CV164,FIND("·",CV164)-1),$C$164:$C$179,0))-(VALUE(MID(CV164,FIND("|",CV164)+1,FIND("-",CV164,FIND("|",CV164))-FIND("|",CV164)-1))-VALUE(MID(CV164,FIND("-",CV164,FIND("|",CV164))+1,10)))))*$D$50),$D$17*(1-(IF(INDEX($D$164:$D$179,MATCH(LEFT(CV164,FIND("·",CV164)-1),$C$164:$C$179,0))=0,ABS(INDEX($A$164:$A$179,MATCH(LEFT(CV164,FIND("·",CV164)-1),$C$164:$C$179,0))-VALUE(MID(CV164,FIND("|",CV164)+1,FIND("-",CV164,FIND("|",CV164))-FIND("|",CV164)-1))),ABS(INDEX($Q$164:$Q$179,MATCH(LEFT(CV164,FIND("·",CV164)-1),$C$164:$C$179,0))-(VALUE(MID(CV164,FIND("|",CV164)+1,FIND("-",CV164,FIND("|",CV164))-FIND("|",CV164)-1))-VALUE(MID(CV164,FIND("-",CV164,FIND("|",CV164))+1,10)))))*$D$50)))))*INDEX($I$164:$I$179,MATCH(LEFT(CV164,FIND("·",CV164)-1),$C$164:$C$179,0)),0),0),0)</f>
        <v>0</v>
      </c>
      <c r="CX164" s="108"/>
      <c r="CY164" s="796" t="s">
        <v>2390</v>
      </c>
      <c r="CZ164" s="76">
        <f t="shared" ref="CZ164:CZ179" ca="1" si="5468">IFERROR(IF(COUNTIF($K$164:$K$179,LEFT(CY164,FIND("·",CY164)-1))&gt;0,IF(INDEX($L$164:$L$179,MATCH(LEFT(CY164,FIND("·",CY164)-1),$K$164:$K$179,0))=IFERROR(VALUE(MID(CY164,FIND("·",CY164)+1,1)),0),($D$16+(INDEX($M$164:$M$179,MATCH(LEFT(CY164,FIND("·",CY164)-1),$K$164:$K$179,0))=MID(CY164,FIND("|",CY164)+1,10))*$D$18+MAX(0,IF($D$50=1,$D$17*(1-(ABS(INDEX($P$164:$P$179,MATCH(LEFT(CY164,FIND("·",CY164)-1),$K$164:$K$179,0))-(VALUE(MID(CY164,FIND("|",CY164)+1,FIND("-",CY164,FIND("|",CY164))-FIND("|",CY164)-1))-VALUE(MID(CY164,FIND("-",CY164,FIND("|",CY164))+1,10)))))*$D$50),$D$17*(1-(IF(INDEX($L$164:$L$179,MATCH(LEFT(CY164,FIND("·",CY164)-1),$K$164:$K$179,0))=0,ABS(INDEX($N$164:$N$179,MATCH(LEFT(CY164,FIND("·",CY164)-1),$K$164:$K$179,0))-VALUE(MID(CY164,FIND("|",CY164)+1,FIND("-",CY164,FIND("|",CY164))-FIND("|",CY164)-1))),ABS(INDEX($P$164:$P$179,MATCH(LEFT(CY164,FIND("·",CY164)-1),$K$164:$K$179,0))-(VALUE(MID(CY164,FIND("|",CY164)+1,FIND("-",CY164,FIND("|",CY164))-FIND("|",CY164)-1))-VALUE(MID(CY164,FIND("-",CY164,FIND("|",CY164))+1,10)))))*$D$50)))))*INDEX($I$164:$I$179,MATCH(LEFT(CY164,FIND("·",CY164)-1),$K$164:$K$179,0)),0),0),0)+IFERROR(IF(COUNTIF($C$164:$C$179,LEFT(CY164,FIND("·",CY164)-1))&gt;0,IF(INDEX($D$164:$D$179,MATCH(LEFT(CY164,FIND("·",CY164)-1),$C$164:$C$179,0))=IFERROR(VALUE(MID(CY164,FIND("·",CY164)+1,1)),0),($D$16+(INDEX($E$164:$E$179,MATCH(LEFT(CY164,FIND("·",CY164)-1),$C$164:$C$179,0))=MID(CY164,FIND("|",CY164)+1,10))*$D$18+MAX(0,IF($D$50=1,$D$17*(1-(ABS(INDEX($Q$164:$Q$179,MATCH(LEFT(CY164,FIND("·",CY164)-1),$C$164:$C$179,0))-(VALUE(MID(CY164,FIND("|",CY164)+1,FIND("-",CY164,FIND("|",CY164))-FIND("|",CY164)-1))-VALUE(MID(CY164,FIND("-",CY164,FIND("|",CY164))+1,10)))))*$D$50),$D$17*(1-(IF(INDEX($D$164:$D$179,MATCH(LEFT(CY164,FIND("·",CY164)-1),$C$164:$C$179,0))=0,ABS(INDEX($A$164:$A$179,MATCH(LEFT(CY164,FIND("·",CY164)-1),$C$164:$C$179,0))-VALUE(MID(CY164,FIND("|",CY164)+1,FIND("-",CY164,FIND("|",CY164))-FIND("|",CY164)-1))),ABS(INDEX($Q$164:$Q$179,MATCH(LEFT(CY164,FIND("·",CY164)-1),$C$164:$C$179,0))-(VALUE(MID(CY164,FIND("|",CY164)+1,FIND("-",CY164,FIND("|",CY164))-FIND("|",CY164)-1))-VALUE(MID(CY164,FIND("-",CY164,FIND("|",CY164))+1,10)))))*$D$50)))))*INDEX($I$164:$I$179,MATCH(LEFT(CY164,FIND("·",CY164)-1),$C$164:$C$179,0)),0),0),0)</f>
        <v>0</v>
      </c>
      <c r="DA164" s="108"/>
      <c r="DB164" s="796" t="s">
        <v>2532</v>
      </c>
      <c r="DC164" s="76">
        <f t="shared" ref="DC164:DC179" ca="1" si="5469">IFERROR(IF(COUNTIF($K$164:$K$179,LEFT(DB164,FIND("·",DB164)-1))&gt;0,IF(INDEX($L$164:$L$179,MATCH(LEFT(DB164,FIND("·",DB164)-1),$K$164:$K$179,0))=IFERROR(VALUE(MID(DB164,FIND("·",DB164)+1,1)),0),($D$16+(INDEX($M$164:$M$179,MATCH(LEFT(DB164,FIND("·",DB164)-1),$K$164:$K$179,0))=MID(DB164,FIND("|",DB164)+1,10))*$D$18+MAX(0,IF($D$50=1,$D$17*(1-(ABS(INDEX($P$164:$P$179,MATCH(LEFT(DB164,FIND("·",DB164)-1),$K$164:$K$179,0))-(VALUE(MID(DB164,FIND("|",DB164)+1,FIND("-",DB164,FIND("|",DB164))-FIND("|",DB164)-1))-VALUE(MID(DB164,FIND("-",DB164,FIND("|",DB164))+1,10)))))*$D$50),$D$17*(1-(IF(INDEX($L$164:$L$179,MATCH(LEFT(DB164,FIND("·",DB164)-1),$K$164:$K$179,0))=0,ABS(INDEX($N$164:$N$179,MATCH(LEFT(DB164,FIND("·",DB164)-1),$K$164:$K$179,0))-VALUE(MID(DB164,FIND("|",DB164)+1,FIND("-",DB164,FIND("|",DB164))-FIND("|",DB164)-1))),ABS(INDEX($P$164:$P$179,MATCH(LEFT(DB164,FIND("·",DB164)-1),$K$164:$K$179,0))-(VALUE(MID(DB164,FIND("|",DB164)+1,FIND("-",DB164,FIND("|",DB164))-FIND("|",DB164)-1))-VALUE(MID(DB164,FIND("-",DB164,FIND("|",DB164))+1,10)))))*$D$50)))))*INDEX($I$164:$I$179,MATCH(LEFT(DB164,FIND("·",DB164)-1),$K$164:$K$179,0)),0),0),0)+IFERROR(IF(COUNTIF($C$164:$C$179,LEFT(DB164,FIND("·",DB164)-1))&gt;0,IF(INDEX($D$164:$D$179,MATCH(LEFT(DB164,FIND("·",DB164)-1),$C$164:$C$179,0))=IFERROR(VALUE(MID(DB164,FIND("·",DB164)+1,1)),0),($D$16+(INDEX($E$164:$E$179,MATCH(LEFT(DB164,FIND("·",DB164)-1),$C$164:$C$179,0))=MID(DB164,FIND("|",DB164)+1,10))*$D$18+MAX(0,IF($D$50=1,$D$17*(1-(ABS(INDEX($Q$164:$Q$179,MATCH(LEFT(DB164,FIND("·",DB164)-1),$C$164:$C$179,0))-(VALUE(MID(DB164,FIND("|",DB164)+1,FIND("-",DB164,FIND("|",DB164))-FIND("|",DB164)-1))-VALUE(MID(DB164,FIND("-",DB164,FIND("|",DB164))+1,10)))))*$D$50),$D$17*(1-(IF(INDEX($D$164:$D$179,MATCH(LEFT(DB164,FIND("·",DB164)-1),$C$164:$C$179,0))=0,ABS(INDEX($A$164:$A$179,MATCH(LEFT(DB164,FIND("·",DB164)-1),$C$164:$C$179,0))-VALUE(MID(DB164,FIND("|",DB164)+1,FIND("-",DB164,FIND("|",DB164))-FIND("|",DB164)-1))),ABS(INDEX($Q$164:$Q$179,MATCH(LEFT(DB164,FIND("·",DB164)-1),$C$164:$C$179,0))-(VALUE(MID(DB164,FIND("|",DB164)+1,FIND("-",DB164,FIND("|",DB164))-FIND("|",DB164)-1))-VALUE(MID(DB164,FIND("-",DB164,FIND("|",DB164))+1,10)))))*$D$50)))))*INDEX($I$164:$I$179,MATCH(LEFT(DB164,FIND("·",DB164)-1),$C$164:$C$179,0)),0),0),0)</f>
        <v>0</v>
      </c>
      <c r="DD164" s="108"/>
      <c r="DE164" s="796" t="s">
        <v>2793</v>
      </c>
      <c r="DF164" s="76">
        <f t="shared" ref="DF164:DF179" ca="1" si="5470">IFERROR(IF(COUNTIF($K$164:$K$179,LEFT(DE164,FIND("·",DE164)-1))&gt;0,IF(INDEX($L$164:$L$179,MATCH(LEFT(DE164,FIND("·",DE164)-1),$K$164:$K$179,0))=IFERROR(VALUE(MID(DE164,FIND("·",DE164)+1,1)),0),($D$16+(INDEX($M$164:$M$179,MATCH(LEFT(DE164,FIND("·",DE164)-1),$K$164:$K$179,0))=MID(DE164,FIND("|",DE164)+1,10))*$D$18+MAX(0,IF($D$50=1,$D$17*(1-(ABS(INDEX($P$164:$P$179,MATCH(LEFT(DE164,FIND("·",DE164)-1),$K$164:$K$179,0))-(VALUE(MID(DE164,FIND("|",DE164)+1,FIND("-",DE164,FIND("|",DE164))-FIND("|",DE164)-1))-VALUE(MID(DE164,FIND("-",DE164,FIND("|",DE164))+1,10)))))*$D$50),$D$17*(1-(IF(INDEX($L$164:$L$179,MATCH(LEFT(DE164,FIND("·",DE164)-1),$K$164:$K$179,0))=0,ABS(INDEX($N$164:$N$179,MATCH(LEFT(DE164,FIND("·",DE164)-1),$K$164:$K$179,0))-VALUE(MID(DE164,FIND("|",DE164)+1,FIND("-",DE164,FIND("|",DE164))-FIND("|",DE164)-1))),ABS(INDEX($P$164:$P$179,MATCH(LEFT(DE164,FIND("·",DE164)-1),$K$164:$K$179,0))-(VALUE(MID(DE164,FIND("|",DE164)+1,FIND("-",DE164,FIND("|",DE164))-FIND("|",DE164)-1))-VALUE(MID(DE164,FIND("-",DE164,FIND("|",DE164))+1,10)))))*$D$50)))))*INDEX($I$164:$I$179,MATCH(LEFT(DE164,FIND("·",DE164)-1),$K$164:$K$179,0)),0),0),0)+IFERROR(IF(COUNTIF($C$164:$C$179,LEFT(DE164,FIND("·",DE164)-1))&gt;0,IF(INDEX($D$164:$D$179,MATCH(LEFT(DE164,FIND("·",DE164)-1),$C$164:$C$179,0))=IFERROR(VALUE(MID(DE164,FIND("·",DE164)+1,1)),0),($D$16+(INDEX($E$164:$E$179,MATCH(LEFT(DE164,FIND("·",DE164)-1),$C$164:$C$179,0))=MID(DE164,FIND("|",DE164)+1,10))*$D$18+MAX(0,IF($D$50=1,$D$17*(1-(ABS(INDEX($Q$164:$Q$179,MATCH(LEFT(DE164,FIND("·",DE164)-1),$C$164:$C$179,0))-(VALUE(MID(DE164,FIND("|",DE164)+1,FIND("-",DE164,FIND("|",DE164))-FIND("|",DE164)-1))-VALUE(MID(DE164,FIND("-",DE164,FIND("|",DE164))+1,10)))))*$D$50),$D$17*(1-(IF(INDEX($D$164:$D$179,MATCH(LEFT(DE164,FIND("·",DE164)-1),$C$164:$C$179,0))=0,ABS(INDEX($A$164:$A$179,MATCH(LEFT(DE164,FIND("·",DE164)-1),$C$164:$C$179,0))-VALUE(MID(DE164,FIND("|",DE164)+1,FIND("-",DE164,FIND("|",DE164))-FIND("|",DE164)-1))),ABS(INDEX($Q$164:$Q$179,MATCH(LEFT(DE164,FIND("·",DE164)-1),$C$164:$C$179,0))-(VALUE(MID(DE164,FIND("|",DE164)+1,FIND("-",DE164,FIND("|",DE164))-FIND("|",DE164)-1))-VALUE(MID(DE164,FIND("-",DE164,FIND("|",DE164))+1,10)))))*$D$50)))))*INDEX($I$164:$I$179,MATCH(LEFT(DE164,FIND("·",DE164)-1),$C$164:$C$179,0)),0),0),0)</f>
        <v>0</v>
      </c>
      <c r="DG164" s="108"/>
      <c r="DH164" s="796" t="s">
        <v>1964</v>
      </c>
      <c r="DI164" s="76">
        <f t="shared" ref="DI164:DI179" ca="1" si="5471">IFERROR(IF(COUNTIF($K$164:$K$179,LEFT(DH164,FIND("·",DH164)-1))&gt;0,IF(INDEX($L$164:$L$179,MATCH(LEFT(DH164,FIND("·",DH164)-1),$K$164:$K$179,0))=IFERROR(VALUE(MID(DH164,FIND("·",DH164)+1,1)),0),($D$16+(INDEX($M$164:$M$179,MATCH(LEFT(DH164,FIND("·",DH164)-1),$K$164:$K$179,0))=MID(DH164,FIND("|",DH164)+1,10))*$D$18+MAX(0,IF($D$50=1,$D$17*(1-(ABS(INDEX($P$164:$P$179,MATCH(LEFT(DH164,FIND("·",DH164)-1),$K$164:$K$179,0))-(VALUE(MID(DH164,FIND("|",DH164)+1,FIND("-",DH164,FIND("|",DH164))-FIND("|",DH164)-1))-VALUE(MID(DH164,FIND("-",DH164,FIND("|",DH164))+1,10)))))*$D$50),$D$17*(1-(IF(INDEX($L$164:$L$179,MATCH(LEFT(DH164,FIND("·",DH164)-1),$K$164:$K$179,0))=0,ABS(INDEX($N$164:$N$179,MATCH(LEFT(DH164,FIND("·",DH164)-1),$K$164:$K$179,0))-VALUE(MID(DH164,FIND("|",DH164)+1,FIND("-",DH164,FIND("|",DH164))-FIND("|",DH164)-1))),ABS(INDEX($P$164:$P$179,MATCH(LEFT(DH164,FIND("·",DH164)-1),$K$164:$K$179,0))-(VALUE(MID(DH164,FIND("|",DH164)+1,FIND("-",DH164,FIND("|",DH164))-FIND("|",DH164)-1))-VALUE(MID(DH164,FIND("-",DH164,FIND("|",DH164))+1,10)))))*$D$50)))))*INDEX($I$164:$I$179,MATCH(LEFT(DH164,FIND("·",DH164)-1),$K$164:$K$179,0)),0),0),0)+IFERROR(IF(COUNTIF($C$164:$C$179,LEFT(DH164,FIND("·",DH164)-1))&gt;0,IF(INDEX($D$164:$D$179,MATCH(LEFT(DH164,FIND("·",DH164)-1),$C$164:$C$179,0))=IFERROR(VALUE(MID(DH164,FIND("·",DH164)+1,1)),0),($D$16+(INDEX($E$164:$E$179,MATCH(LEFT(DH164,FIND("·",DH164)-1),$C$164:$C$179,0))=MID(DH164,FIND("|",DH164)+1,10))*$D$18+MAX(0,IF($D$50=1,$D$17*(1-(ABS(INDEX($Q$164:$Q$179,MATCH(LEFT(DH164,FIND("·",DH164)-1),$C$164:$C$179,0))-(VALUE(MID(DH164,FIND("|",DH164)+1,FIND("-",DH164,FIND("|",DH164))-FIND("|",DH164)-1))-VALUE(MID(DH164,FIND("-",DH164,FIND("|",DH164))+1,10)))))*$D$50),$D$17*(1-(IF(INDEX($D$164:$D$179,MATCH(LEFT(DH164,FIND("·",DH164)-1),$C$164:$C$179,0))=0,ABS(INDEX($A$164:$A$179,MATCH(LEFT(DH164,FIND("·",DH164)-1),$C$164:$C$179,0))-VALUE(MID(DH164,FIND("|",DH164)+1,FIND("-",DH164,FIND("|",DH164))-FIND("|",DH164)-1))),ABS(INDEX($Q$164:$Q$179,MATCH(LEFT(DH164,FIND("·",DH164)-1),$C$164:$C$179,0))-(VALUE(MID(DH164,FIND("|",DH164)+1,FIND("-",DH164,FIND("|",DH164))-FIND("|",DH164)-1))-VALUE(MID(DH164,FIND("-",DH164,FIND("|",DH164))+1,10)))))*$D$50)))))*INDEX($I$164:$I$179,MATCH(LEFT(DH164,FIND("·",DH164)-1),$C$164:$C$179,0)),0),0),0)</f>
        <v>0</v>
      </c>
      <c r="DJ164" s="108"/>
      <c r="DK164" s="796" t="s">
        <v>2416</v>
      </c>
      <c r="DL164" s="76">
        <f t="shared" ref="DL164:DL179" ca="1" si="5472">IFERROR(IF(COUNTIF($K$164:$K$179,LEFT(DK164,FIND("·",DK164)-1))&gt;0,IF(INDEX($L$164:$L$179,MATCH(LEFT(DK164,FIND("·",DK164)-1),$K$164:$K$179,0))=IFERROR(VALUE(MID(DK164,FIND("·",DK164)+1,1)),0),($D$16+(INDEX($M$164:$M$179,MATCH(LEFT(DK164,FIND("·",DK164)-1),$K$164:$K$179,0))=MID(DK164,FIND("|",DK164)+1,10))*$D$18+MAX(0,IF($D$50=1,$D$17*(1-(ABS(INDEX($P$164:$P$179,MATCH(LEFT(DK164,FIND("·",DK164)-1),$K$164:$K$179,0))-(VALUE(MID(DK164,FIND("|",DK164)+1,FIND("-",DK164,FIND("|",DK164))-FIND("|",DK164)-1))-VALUE(MID(DK164,FIND("-",DK164,FIND("|",DK164))+1,10)))))*$D$50),$D$17*(1-(IF(INDEX($L$164:$L$179,MATCH(LEFT(DK164,FIND("·",DK164)-1),$K$164:$K$179,0))=0,ABS(INDEX($N$164:$N$179,MATCH(LEFT(DK164,FIND("·",DK164)-1),$K$164:$K$179,0))-VALUE(MID(DK164,FIND("|",DK164)+1,FIND("-",DK164,FIND("|",DK164))-FIND("|",DK164)-1))),ABS(INDEX($P$164:$P$179,MATCH(LEFT(DK164,FIND("·",DK164)-1),$K$164:$K$179,0))-(VALUE(MID(DK164,FIND("|",DK164)+1,FIND("-",DK164,FIND("|",DK164))-FIND("|",DK164)-1))-VALUE(MID(DK164,FIND("-",DK164,FIND("|",DK164))+1,10)))))*$D$50)))))*INDEX($I$164:$I$179,MATCH(LEFT(DK164,FIND("·",DK164)-1),$K$164:$K$179,0)),0),0),0)+IFERROR(IF(COUNTIF($C$164:$C$179,LEFT(DK164,FIND("·",DK164)-1))&gt;0,IF(INDEX($D$164:$D$179,MATCH(LEFT(DK164,FIND("·",DK164)-1),$C$164:$C$179,0))=IFERROR(VALUE(MID(DK164,FIND("·",DK164)+1,1)),0),($D$16+(INDEX($E$164:$E$179,MATCH(LEFT(DK164,FIND("·",DK164)-1),$C$164:$C$179,0))=MID(DK164,FIND("|",DK164)+1,10))*$D$18+MAX(0,IF($D$50=1,$D$17*(1-(ABS(INDEX($Q$164:$Q$179,MATCH(LEFT(DK164,FIND("·",DK164)-1),$C$164:$C$179,0))-(VALUE(MID(DK164,FIND("|",DK164)+1,FIND("-",DK164,FIND("|",DK164))-FIND("|",DK164)-1))-VALUE(MID(DK164,FIND("-",DK164,FIND("|",DK164))+1,10)))))*$D$50),$D$17*(1-(IF(INDEX($D$164:$D$179,MATCH(LEFT(DK164,FIND("·",DK164)-1),$C$164:$C$179,0))=0,ABS(INDEX($A$164:$A$179,MATCH(LEFT(DK164,FIND("·",DK164)-1),$C$164:$C$179,0))-VALUE(MID(DK164,FIND("|",DK164)+1,FIND("-",DK164,FIND("|",DK164))-FIND("|",DK164)-1))),ABS(INDEX($Q$164:$Q$179,MATCH(LEFT(DK164,FIND("·",DK164)-1),$C$164:$C$179,0))-(VALUE(MID(DK164,FIND("|",DK164)+1,FIND("-",DK164,FIND("|",DK164))-FIND("|",DK164)-1))-VALUE(MID(DK164,FIND("-",DK164,FIND("|",DK164))+1,10)))))*$D$50)))))*INDEX($I$164:$I$179,MATCH(LEFT(DK164,FIND("·",DK164)-1),$C$164:$C$179,0)),0),0),0)</f>
        <v>0</v>
      </c>
      <c r="DM164" s="108"/>
      <c r="DN164" s="75" t="str">
        <f>Idiomas!$D$367</f>
        <v>Pegar Valores Dieciseisavos</v>
      </c>
      <c r="DO164" s="76">
        <f t="shared" ref="DO164:DO179" ca="1" si="5473">IFERROR(IF(COUNTIF($K$164:$K$179,LEFT(DN164,FIND("·",DN164)-1))&gt;0,IF(INDEX($L$164:$L$179,MATCH(LEFT(DN164,FIND("·",DN164)-1),$K$164:$K$179,0))=IFERROR(VALUE(MID(DN164,FIND("·",DN164)+1,1)),0),($D$16+(INDEX($M$164:$M$179,MATCH(LEFT(DN164,FIND("·",DN164)-1),$K$164:$K$179,0))=MID(DN164,FIND("|",DN164)+1,10))*$D$18+MAX(0,IF($D$50=1,$D$17*(1-(ABS(INDEX($P$164:$P$179,MATCH(LEFT(DN164,FIND("·",DN164)-1),$K$164:$K$179,0))-(VALUE(MID(DN164,FIND("|",DN164)+1,FIND("-",DN164,FIND("|",DN164))-FIND("|",DN164)-1))-VALUE(MID(DN164,FIND("-",DN164,FIND("|",DN164))+1,10)))))*$D$50),$D$17*(1-(IF(INDEX($L$164:$L$179,MATCH(LEFT(DN164,FIND("·",DN164)-1),$K$164:$K$179,0))=0,ABS(INDEX($N$164:$N$179,MATCH(LEFT(DN164,FIND("·",DN164)-1),$K$164:$K$179,0))-VALUE(MID(DN164,FIND("|",DN164)+1,FIND("-",DN164,FIND("|",DN164))-FIND("|",DN164)-1))),ABS(INDEX($P$164:$P$179,MATCH(LEFT(DN164,FIND("·",DN164)-1),$K$164:$K$179,0))-(VALUE(MID(DN164,FIND("|",DN164)+1,FIND("-",DN164,FIND("|",DN164))-FIND("|",DN164)-1))-VALUE(MID(DN164,FIND("-",DN164,FIND("|",DN164))+1,10)))))*$D$50)))))*INDEX($I$164:$I$179,MATCH(LEFT(DN164,FIND("·",DN164)-1),$K$164:$K$179,0)),0),0),0)+IFERROR(IF(COUNTIF($C$164:$C$179,LEFT(DN164,FIND("·",DN164)-1))&gt;0,IF(INDEX($D$164:$D$179,MATCH(LEFT(DN164,FIND("·",DN164)-1),$C$164:$C$179,0))=IFERROR(VALUE(MID(DN164,FIND("·",DN164)+1,1)),0),($D$16+(INDEX($E$164:$E$179,MATCH(LEFT(DN164,FIND("·",DN164)-1),$C$164:$C$179,0))=MID(DN164,FIND("|",DN164)+1,10))*$D$18+MAX(0,IF($D$50=1,$D$17*(1-(ABS(INDEX($Q$164:$Q$179,MATCH(LEFT(DN164,FIND("·",DN164)-1),$C$164:$C$179,0))-(VALUE(MID(DN164,FIND("|",DN164)+1,FIND("-",DN164,FIND("|",DN164))-FIND("|",DN164)-1))-VALUE(MID(DN164,FIND("-",DN164,FIND("|",DN164))+1,10)))))*$D$50),$D$17*(1-(IF(INDEX($D$164:$D$179,MATCH(LEFT(DN164,FIND("·",DN164)-1),$C$164:$C$179,0))=0,ABS(INDEX($A$164:$A$179,MATCH(LEFT(DN164,FIND("·",DN164)-1),$C$164:$C$179,0))-VALUE(MID(DN164,FIND("|",DN164)+1,FIND("-",DN164,FIND("|",DN164))-FIND("|",DN164)-1))),ABS(INDEX($Q$164:$Q$179,MATCH(LEFT(DN164,FIND("·",DN164)-1),$C$164:$C$179,0))-(VALUE(MID(DN164,FIND("|",DN164)+1,FIND("-",DN164,FIND("|",DN164))-FIND("|",DN164)-1))-VALUE(MID(DN164,FIND("-",DN164,FIND("|",DN164))+1,10)))))*$D$50)))))*INDEX($I$164:$I$179,MATCH(LEFT(DN164,FIND("·",DN164)-1),$C$164:$C$179,0)),0),0),0)</f>
        <v>0</v>
      </c>
      <c r="DP164" s="108"/>
      <c r="DQ164" s="796" t="s">
        <v>2831</v>
      </c>
      <c r="DR164" s="76">
        <f t="shared" ref="DR164:DR179" ca="1" si="5474">IFERROR(IF(COUNTIF($K$164:$K$179,LEFT(DQ164,FIND("·",DQ164)-1))&gt;0,IF(INDEX($L$164:$L$179,MATCH(LEFT(DQ164,FIND("·",DQ164)-1),$K$164:$K$179,0))=IFERROR(VALUE(MID(DQ164,FIND("·",DQ164)+1,1)),0),($D$16+(INDEX($M$164:$M$179,MATCH(LEFT(DQ164,FIND("·",DQ164)-1),$K$164:$K$179,0))=MID(DQ164,FIND("|",DQ164)+1,10))*$D$18+MAX(0,IF($D$50=1,$D$17*(1-(ABS(INDEX($P$164:$P$179,MATCH(LEFT(DQ164,FIND("·",DQ164)-1),$K$164:$K$179,0))-(VALUE(MID(DQ164,FIND("|",DQ164)+1,FIND("-",DQ164,FIND("|",DQ164))-FIND("|",DQ164)-1))-VALUE(MID(DQ164,FIND("-",DQ164,FIND("|",DQ164))+1,10)))))*$D$50),$D$17*(1-(IF(INDEX($L$164:$L$179,MATCH(LEFT(DQ164,FIND("·",DQ164)-1),$K$164:$K$179,0))=0,ABS(INDEX($N$164:$N$179,MATCH(LEFT(DQ164,FIND("·",DQ164)-1),$K$164:$K$179,0))-VALUE(MID(DQ164,FIND("|",DQ164)+1,FIND("-",DQ164,FIND("|",DQ164))-FIND("|",DQ164)-1))),ABS(INDEX($P$164:$P$179,MATCH(LEFT(DQ164,FIND("·",DQ164)-1),$K$164:$K$179,0))-(VALUE(MID(DQ164,FIND("|",DQ164)+1,FIND("-",DQ164,FIND("|",DQ164))-FIND("|",DQ164)-1))-VALUE(MID(DQ164,FIND("-",DQ164,FIND("|",DQ164))+1,10)))))*$D$50)))))*INDEX($I$164:$I$179,MATCH(LEFT(DQ164,FIND("·",DQ164)-1),$K$164:$K$179,0)),0),0),0)+IFERROR(IF(COUNTIF($C$164:$C$179,LEFT(DQ164,FIND("·",DQ164)-1))&gt;0,IF(INDEX($D$164:$D$179,MATCH(LEFT(DQ164,FIND("·",DQ164)-1),$C$164:$C$179,0))=IFERROR(VALUE(MID(DQ164,FIND("·",DQ164)+1,1)),0),($D$16+(INDEX($E$164:$E$179,MATCH(LEFT(DQ164,FIND("·",DQ164)-1),$C$164:$C$179,0))=MID(DQ164,FIND("|",DQ164)+1,10))*$D$18+MAX(0,IF($D$50=1,$D$17*(1-(ABS(INDEX($Q$164:$Q$179,MATCH(LEFT(DQ164,FIND("·",DQ164)-1),$C$164:$C$179,0))-(VALUE(MID(DQ164,FIND("|",DQ164)+1,FIND("-",DQ164,FIND("|",DQ164))-FIND("|",DQ164)-1))-VALUE(MID(DQ164,FIND("-",DQ164,FIND("|",DQ164))+1,10)))))*$D$50),$D$17*(1-(IF(INDEX($D$164:$D$179,MATCH(LEFT(DQ164,FIND("·",DQ164)-1),$C$164:$C$179,0))=0,ABS(INDEX($A$164:$A$179,MATCH(LEFT(DQ164,FIND("·",DQ164)-1),$C$164:$C$179,0))-VALUE(MID(DQ164,FIND("|",DQ164)+1,FIND("-",DQ164,FIND("|",DQ164))-FIND("|",DQ164)-1))),ABS(INDEX($Q$164:$Q$179,MATCH(LEFT(DQ164,FIND("·",DQ164)-1),$C$164:$C$179,0))-(VALUE(MID(DQ164,FIND("|",DQ164)+1,FIND("-",DQ164,FIND("|",DQ164))-FIND("|",DQ164)-1))-VALUE(MID(DQ164,FIND("-",DQ164,FIND("|",DQ164))+1,10)))))*$D$50)))))*INDEX($I$164:$I$179,MATCH(LEFT(DQ164,FIND("·",DQ164)-1),$C$164:$C$179,0)),0),0),0)</f>
        <v>0</v>
      </c>
      <c r="DS164" s="108"/>
      <c r="DT164" s="75" t="s">
        <v>2197</v>
      </c>
      <c r="DU164" s="76">
        <f t="shared" ref="DU164:DU179" ca="1" si="5475">IFERROR(IF(COUNTIF($K$164:$K$179,LEFT(DT164,FIND("·",DT164)-1))&gt;0,IF(INDEX($L$164:$L$179,MATCH(LEFT(DT164,FIND("·",DT164)-1),$K$164:$K$179,0))=IFERROR(VALUE(MID(DT164,FIND("·",DT164)+1,1)),0),($D$16+(INDEX($M$164:$M$179,MATCH(LEFT(DT164,FIND("·",DT164)-1),$K$164:$K$179,0))=MID(DT164,FIND("|",DT164)+1,10))*$D$18+MAX(0,IF($D$50=1,$D$17*(1-(ABS(INDEX($P$164:$P$179,MATCH(LEFT(DT164,FIND("·",DT164)-1),$K$164:$K$179,0))-(VALUE(MID(DT164,FIND("|",DT164)+1,FIND("-",DT164,FIND("|",DT164))-FIND("|",DT164)-1))-VALUE(MID(DT164,FIND("-",DT164,FIND("|",DT164))+1,10)))))*$D$50),$D$17*(1-(IF(INDEX($L$164:$L$179,MATCH(LEFT(DT164,FIND("·",DT164)-1),$K$164:$K$179,0))=0,ABS(INDEX($N$164:$N$179,MATCH(LEFT(DT164,FIND("·",DT164)-1),$K$164:$K$179,0))-VALUE(MID(DT164,FIND("|",DT164)+1,FIND("-",DT164,FIND("|",DT164))-FIND("|",DT164)-1))),ABS(INDEX($P$164:$P$179,MATCH(LEFT(DT164,FIND("·",DT164)-1),$K$164:$K$179,0))-(VALUE(MID(DT164,FIND("|",DT164)+1,FIND("-",DT164,FIND("|",DT164))-FIND("|",DT164)-1))-VALUE(MID(DT164,FIND("-",DT164,FIND("|",DT164))+1,10)))))*$D$50)))))*INDEX($I$164:$I$179,MATCH(LEFT(DT164,FIND("·",DT164)-1),$K$164:$K$179,0)),0),0),0)+IFERROR(IF(COUNTIF($C$164:$C$179,LEFT(DT164,FIND("·",DT164)-1))&gt;0,IF(INDEX($D$164:$D$179,MATCH(LEFT(DT164,FIND("·",DT164)-1),$C$164:$C$179,0))=IFERROR(VALUE(MID(DT164,FIND("·",DT164)+1,1)),0),($D$16+(INDEX($E$164:$E$179,MATCH(LEFT(DT164,FIND("·",DT164)-1),$C$164:$C$179,0))=MID(DT164,FIND("|",DT164)+1,10))*$D$18+MAX(0,IF($D$50=1,$D$17*(1-(ABS(INDEX($Q$164:$Q$179,MATCH(LEFT(DT164,FIND("·",DT164)-1),$C$164:$C$179,0))-(VALUE(MID(DT164,FIND("|",DT164)+1,FIND("-",DT164,FIND("|",DT164))-FIND("|",DT164)-1))-VALUE(MID(DT164,FIND("-",DT164,FIND("|",DT164))+1,10)))))*$D$50),$D$17*(1-(IF(INDEX($D$164:$D$179,MATCH(LEFT(DT164,FIND("·",DT164)-1),$C$164:$C$179,0))=0,ABS(INDEX($A$164:$A$179,MATCH(LEFT(DT164,FIND("·",DT164)-1),$C$164:$C$179,0))-VALUE(MID(DT164,FIND("|",DT164)+1,FIND("-",DT164,FIND("|",DT164))-FIND("|",DT164)-1))),ABS(INDEX($Q$164:$Q$179,MATCH(LEFT(DT164,FIND("·",DT164)-1),$C$164:$C$179,0))-(VALUE(MID(DT164,FIND("|",DT164)+1,FIND("-",DT164,FIND("|",DT164))-FIND("|",DT164)-1))-VALUE(MID(DT164,FIND("-",DT164,FIND("|",DT164))+1,10)))))*$D$50)))))*INDEX($I$164:$I$179,MATCH(LEFT(DT164,FIND("·",DT164)-1),$C$164:$C$179,0)),0),0),0)</f>
        <v>0</v>
      </c>
      <c r="DV164" s="108"/>
      <c r="DW164" s="75" t="str">
        <f>Idiomas!$D$367</f>
        <v>Pegar Valores Dieciseisavos</v>
      </c>
      <c r="DX164" s="76">
        <f t="shared" ref="DX164:DX179" ca="1" si="5476">IFERROR(IF(COUNTIF($K$164:$K$179,LEFT(DW164,FIND("·",DW164)-1))&gt;0,IF(INDEX($L$164:$L$179,MATCH(LEFT(DW164,FIND("·",DW164)-1),$K$164:$K$179,0))=IFERROR(VALUE(MID(DW164,FIND("·",DW164)+1,1)),0),($D$16+(INDEX($M$164:$M$179,MATCH(LEFT(DW164,FIND("·",DW164)-1),$K$164:$K$179,0))=MID(DW164,FIND("|",DW164)+1,10))*$D$18+MAX(0,IF($D$50=1,$D$17*(1-(ABS(INDEX($P$164:$P$179,MATCH(LEFT(DW164,FIND("·",DW164)-1),$K$164:$K$179,0))-(VALUE(MID(DW164,FIND("|",DW164)+1,FIND("-",DW164,FIND("|",DW164))-FIND("|",DW164)-1))-VALUE(MID(DW164,FIND("-",DW164,FIND("|",DW164))+1,10)))))*$D$50),$D$17*(1-(IF(INDEX($L$164:$L$179,MATCH(LEFT(DW164,FIND("·",DW164)-1),$K$164:$K$179,0))=0,ABS(INDEX($N$164:$N$179,MATCH(LEFT(DW164,FIND("·",DW164)-1),$K$164:$K$179,0))-VALUE(MID(DW164,FIND("|",DW164)+1,FIND("-",DW164,FIND("|",DW164))-FIND("|",DW164)-1))),ABS(INDEX($P$164:$P$179,MATCH(LEFT(DW164,FIND("·",DW164)-1),$K$164:$K$179,0))-(VALUE(MID(DW164,FIND("|",DW164)+1,FIND("-",DW164,FIND("|",DW164))-FIND("|",DW164)-1))-VALUE(MID(DW164,FIND("-",DW164,FIND("|",DW164))+1,10)))))*$D$50)))))*INDEX($I$164:$I$179,MATCH(LEFT(DW164,FIND("·",DW164)-1),$K$164:$K$179,0)),0),0),0)+IFERROR(IF(COUNTIF($C$164:$C$179,LEFT(DW164,FIND("·",DW164)-1))&gt;0,IF(INDEX($D$164:$D$179,MATCH(LEFT(DW164,FIND("·",DW164)-1),$C$164:$C$179,0))=IFERROR(VALUE(MID(DW164,FIND("·",DW164)+1,1)),0),($D$16+(INDEX($E$164:$E$179,MATCH(LEFT(DW164,FIND("·",DW164)-1),$C$164:$C$179,0))=MID(DW164,FIND("|",DW164)+1,10))*$D$18+MAX(0,IF($D$50=1,$D$17*(1-(ABS(INDEX($Q$164:$Q$179,MATCH(LEFT(DW164,FIND("·",DW164)-1),$C$164:$C$179,0))-(VALUE(MID(DW164,FIND("|",DW164)+1,FIND("-",DW164,FIND("|",DW164))-FIND("|",DW164)-1))-VALUE(MID(DW164,FIND("-",DW164,FIND("|",DW164))+1,10)))))*$D$50),$D$17*(1-(IF(INDEX($D$164:$D$179,MATCH(LEFT(DW164,FIND("·",DW164)-1),$C$164:$C$179,0))=0,ABS(INDEX($A$164:$A$179,MATCH(LEFT(DW164,FIND("·",DW164)-1),$C$164:$C$179,0))-VALUE(MID(DW164,FIND("|",DW164)+1,FIND("-",DW164,FIND("|",DW164))-FIND("|",DW164)-1))),ABS(INDEX($Q$164:$Q$179,MATCH(LEFT(DW164,FIND("·",DW164)-1),$C$164:$C$179,0))-(VALUE(MID(DW164,FIND("|",DW164)+1,FIND("-",DW164,FIND("|",DW164))-FIND("|",DW164)-1))-VALUE(MID(DW164,FIND("-",DW164,FIND("|",DW164))+1,10)))))*$D$50)))))*INDEX($I$164:$I$179,MATCH(LEFT(DW164,FIND("·",DW164)-1),$C$164:$C$179,0)),0),0),0)</f>
        <v>0</v>
      </c>
      <c r="DY164" s="108"/>
      <c r="DZ164" s="75" t="str">
        <f>Idiomas!$D$367</f>
        <v>Pegar Valores Dieciseisavos</v>
      </c>
      <c r="EA164" s="76">
        <f t="shared" ref="EA164:EA179" ca="1" si="5477">IFERROR(IF(COUNTIF($K$164:$K$179,LEFT(DZ164,FIND("·",DZ164)-1))&gt;0,IF(INDEX($L$164:$L$179,MATCH(LEFT(DZ164,FIND("·",DZ164)-1),$K$164:$K$179,0))=IFERROR(VALUE(MID(DZ164,FIND("·",DZ164)+1,1)),0),($D$16+(INDEX($M$164:$M$179,MATCH(LEFT(DZ164,FIND("·",DZ164)-1),$K$164:$K$179,0))=MID(DZ164,FIND("|",DZ164)+1,10))*$D$18+MAX(0,IF($D$50=1,$D$17*(1-(ABS(INDEX($P$164:$P$179,MATCH(LEFT(DZ164,FIND("·",DZ164)-1),$K$164:$K$179,0))-(VALUE(MID(DZ164,FIND("|",DZ164)+1,FIND("-",DZ164,FIND("|",DZ164))-FIND("|",DZ164)-1))-VALUE(MID(DZ164,FIND("-",DZ164,FIND("|",DZ164))+1,10)))))*$D$50),$D$17*(1-(IF(INDEX($L$164:$L$179,MATCH(LEFT(DZ164,FIND("·",DZ164)-1),$K$164:$K$179,0))=0,ABS(INDEX($N$164:$N$179,MATCH(LEFT(DZ164,FIND("·",DZ164)-1),$K$164:$K$179,0))-VALUE(MID(DZ164,FIND("|",DZ164)+1,FIND("-",DZ164,FIND("|",DZ164))-FIND("|",DZ164)-1))),ABS(INDEX($P$164:$P$179,MATCH(LEFT(DZ164,FIND("·",DZ164)-1),$K$164:$K$179,0))-(VALUE(MID(DZ164,FIND("|",DZ164)+1,FIND("-",DZ164,FIND("|",DZ164))-FIND("|",DZ164)-1))-VALUE(MID(DZ164,FIND("-",DZ164,FIND("|",DZ164))+1,10)))))*$D$50)))))*INDEX($I$164:$I$179,MATCH(LEFT(DZ164,FIND("·",DZ164)-1),$K$164:$K$179,0)),0),0),0)+IFERROR(IF(COUNTIF($C$164:$C$179,LEFT(DZ164,FIND("·",DZ164)-1))&gt;0,IF(INDEX($D$164:$D$179,MATCH(LEFT(DZ164,FIND("·",DZ164)-1),$C$164:$C$179,0))=IFERROR(VALUE(MID(DZ164,FIND("·",DZ164)+1,1)),0),($D$16+(INDEX($E$164:$E$179,MATCH(LEFT(DZ164,FIND("·",DZ164)-1),$C$164:$C$179,0))=MID(DZ164,FIND("|",DZ164)+1,10))*$D$18+MAX(0,IF($D$50=1,$D$17*(1-(ABS(INDEX($Q$164:$Q$179,MATCH(LEFT(DZ164,FIND("·",DZ164)-1),$C$164:$C$179,0))-(VALUE(MID(DZ164,FIND("|",DZ164)+1,FIND("-",DZ164,FIND("|",DZ164))-FIND("|",DZ164)-1))-VALUE(MID(DZ164,FIND("-",DZ164,FIND("|",DZ164))+1,10)))))*$D$50),$D$17*(1-(IF(INDEX($D$164:$D$179,MATCH(LEFT(DZ164,FIND("·",DZ164)-1),$C$164:$C$179,0))=0,ABS(INDEX($A$164:$A$179,MATCH(LEFT(DZ164,FIND("·",DZ164)-1),$C$164:$C$179,0))-VALUE(MID(DZ164,FIND("|",DZ164)+1,FIND("-",DZ164,FIND("|",DZ164))-FIND("|",DZ164)-1))),ABS(INDEX($Q$164:$Q$179,MATCH(LEFT(DZ164,FIND("·",DZ164)-1),$C$164:$C$179,0))-(VALUE(MID(DZ164,FIND("|",DZ164)+1,FIND("-",DZ164,FIND("|",DZ164))-FIND("|",DZ164)-1))-VALUE(MID(DZ164,FIND("-",DZ164,FIND("|",DZ164))+1,10)))))*$D$50)))))*INDEX($I$164:$I$179,MATCH(LEFT(DZ164,FIND("·",DZ164)-1),$C$164:$C$179,0)),0),0),0)</f>
        <v>0</v>
      </c>
      <c r="EB164" s="108"/>
      <c r="EC164" s="75" t="str">
        <f>Idiomas!$D$367</f>
        <v>Pegar Valores Dieciseisavos</v>
      </c>
      <c r="ED164" s="76">
        <f t="shared" ref="ED164:ED179" ca="1" si="5478">IFERROR(IF(COUNTIF($K$164:$K$179,LEFT(EC164,FIND("·",EC164)-1))&gt;0,IF(INDEX($L$164:$L$179,MATCH(LEFT(EC164,FIND("·",EC164)-1),$K$164:$K$179,0))=IFERROR(VALUE(MID(EC164,FIND("·",EC164)+1,1)),0),($D$16+(INDEX($M$164:$M$179,MATCH(LEFT(EC164,FIND("·",EC164)-1),$K$164:$K$179,0))=MID(EC164,FIND("|",EC164)+1,10))*$D$18+MAX(0,IF($D$50=1,$D$17*(1-(ABS(INDEX($P$164:$P$179,MATCH(LEFT(EC164,FIND("·",EC164)-1),$K$164:$K$179,0))-(VALUE(MID(EC164,FIND("|",EC164)+1,FIND("-",EC164,FIND("|",EC164))-FIND("|",EC164)-1))-VALUE(MID(EC164,FIND("-",EC164,FIND("|",EC164))+1,10)))))*$D$50),$D$17*(1-(IF(INDEX($L$164:$L$179,MATCH(LEFT(EC164,FIND("·",EC164)-1),$K$164:$K$179,0))=0,ABS(INDEX($N$164:$N$179,MATCH(LEFT(EC164,FIND("·",EC164)-1),$K$164:$K$179,0))-VALUE(MID(EC164,FIND("|",EC164)+1,FIND("-",EC164,FIND("|",EC164))-FIND("|",EC164)-1))),ABS(INDEX($P$164:$P$179,MATCH(LEFT(EC164,FIND("·",EC164)-1),$K$164:$K$179,0))-(VALUE(MID(EC164,FIND("|",EC164)+1,FIND("-",EC164,FIND("|",EC164))-FIND("|",EC164)-1))-VALUE(MID(EC164,FIND("-",EC164,FIND("|",EC164))+1,10)))))*$D$50)))))*INDEX($I$164:$I$179,MATCH(LEFT(EC164,FIND("·",EC164)-1),$K$164:$K$179,0)),0),0),0)+IFERROR(IF(COUNTIF($C$164:$C$179,LEFT(EC164,FIND("·",EC164)-1))&gt;0,IF(INDEX($D$164:$D$179,MATCH(LEFT(EC164,FIND("·",EC164)-1),$C$164:$C$179,0))=IFERROR(VALUE(MID(EC164,FIND("·",EC164)+1,1)),0),($D$16+(INDEX($E$164:$E$179,MATCH(LEFT(EC164,FIND("·",EC164)-1),$C$164:$C$179,0))=MID(EC164,FIND("|",EC164)+1,10))*$D$18+MAX(0,IF($D$50=1,$D$17*(1-(ABS(INDEX($Q$164:$Q$179,MATCH(LEFT(EC164,FIND("·",EC164)-1),$C$164:$C$179,0))-(VALUE(MID(EC164,FIND("|",EC164)+1,FIND("-",EC164,FIND("|",EC164))-FIND("|",EC164)-1))-VALUE(MID(EC164,FIND("-",EC164,FIND("|",EC164))+1,10)))))*$D$50),$D$17*(1-(IF(INDEX($D$164:$D$179,MATCH(LEFT(EC164,FIND("·",EC164)-1),$C$164:$C$179,0))=0,ABS(INDEX($A$164:$A$179,MATCH(LEFT(EC164,FIND("·",EC164)-1),$C$164:$C$179,0))-VALUE(MID(EC164,FIND("|",EC164)+1,FIND("-",EC164,FIND("|",EC164))-FIND("|",EC164)-1))),ABS(INDEX($Q$164:$Q$179,MATCH(LEFT(EC164,FIND("·",EC164)-1),$C$164:$C$179,0))-(VALUE(MID(EC164,FIND("|",EC164)+1,FIND("-",EC164,FIND("|",EC164))-FIND("|",EC164)-1))-VALUE(MID(EC164,FIND("-",EC164,FIND("|",EC164))+1,10)))))*$D$50)))))*INDEX($I$164:$I$179,MATCH(LEFT(EC164,FIND("·",EC164)-1),$C$164:$C$179,0)),0),0),0)</f>
        <v>0</v>
      </c>
      <c r="EE164" s="108"/>
      <c r="EF164" s="75" t="str">
        <f>Idiomas!$D$367</f>
        <v>Pegar Valores Dieciseisavos</v>
      </c>
      <c r="EG164" s="76">
        <f t="shared" ref="EG164:EG179" ca="1" si="5479">IFERROR(IF(COUNTIF($K$164:$K$179,LEFT(EF164,FIND("·",EF164)-1))&gt;0,IF(INDEX($L$164:$L$179,MATCH(LEFT(EF164,FIND("·",EF164)-1),$K$164:$K$179,0))=IFERROR(VALUE(MID(EF164,FIND("·",EF164)+1,1)),0),($D$16+(INDEX($M$164:$M$179,MATCH(LEFT(EF164,FIND("·",EF164)-1),$K$164:$K$179,0))=MID(EF164,FIND("|",EF164)+1,10))*$D$18+MAX(0,IF($D$50=1,$D$17*(1-(ABS(INDEX($P$164:$P$179,MATCH(LEFT(EF164,FIND("·",EF164)-1),$K$164:$K$179,0))-(VALUE(MID(EF164,FIND("|",EF164)+1,FIND("-",EF164,FIND("|",EF164))-FIND("|",EF164)-1))-VALUE(MID(EF164,FIND("-",EF164,FIND("|",EF164))+1,10)))))*$D$50),$D$17*(1-(IF(INDEX($L$164:$L$179,MATCH(LEFT(EF164,FIND("·",EF164)-1),$K$164:$K$179,0))=0,ABS(INDEX($N$164:$N$179,MATCH(LEFT(EF164,FIND("·",EF164)-1),$K$164:$K$179,0))-VALUE(MID(EF164,FIND("|",EF164)+1,FIND("-",EF164,FIND("|",EF164))-FIND("|",EF164)-1))),ABS(INDEX($P$164:$P$179,MATCH(LEFT(EF164,FIND("·",EF164)-1),$K$164:$K$179,0))-(VALUE(MID(EF164,FIND("|",EF164)+1,FIND("-",EF164,FIND("|",EF164))-FIND("|",EF164)-1))-VALUE(MID(EF164,FIND("-",EF164,FIND("|",EF164))+1,10)))))*$D$50)))))*INDEX($I$164:$I$179,MATCH(LEFT(EF164,FIND("·",EF164)-1),$K$164:$K$179,0)),0),0),0)+IFERROR(IF(COUNTIF($C$164:$C$179,LEFT(EF164,FIND("·",EF164)-1))&gt;0,IF(INDEX($D$164:$D$179,MATCH(LEFT(EF164,FIND("·",EF164)-1),$C$164:$C$179,0))=IFERROR(VALUE(MID(EF164,FIND("·",EF164)+1,1)),0),($D$16+(INDEX($E$164:$E$179,MATCH(LEFT(EF164,FIND("·",EF164)-1),$C$164:$C$179,0))=MID(EF164,FIND("|",EF164)+1,10))*$D$18+MAX(0,IF($D$50=1,$D$17*(1-(ABS(INDEX($Q$164:$Q$179,MATCH(LEFT(EF164,FIND("·",EF164)-1),$C$164:$C$179,0))-(VALUE(MID(EF164,FIND("|",EF164)+1,FIND("-",EF164,FIND("|",EF164))-FIND("|",EF164)-1))-VALUE(MID(EF164,FIND("-",EF164,FIND("|",EF164))+1,10)))))*$D$50),$D$17*(1-(IF(INDEX($D$164:$D$179,MATCH(LEFT(EF164,FIND("·",EF164)-1),$C$164:$C$179,0))=0,ABS(INDEX($A$164:$A$179,MATCH(LEFT(EF164,FIND("·",EF164)-1),$C$164:$C$179,0))-VALUE(MID(EF164,FIND("|",EF164)+1,FIND("-",EF164,FIND("|",EF164))-FIND("|",EF164)-1))),ABS(INDEX($Q$164:$Q$179,MATCH(LEFT(EF164,FIND("·",EF164)-1),$C$164:$C$179,0))-(VALUE(MID(EF164,FIND("|",EF164)+1,FIND("-",EF164,FIND("|",EF164))-FIND("|",EF164)-1))-VALUE(MID(EF164,FIND("-",EF164,FIND("|",EF164))+1,10)))))*$D$50)))))*INDEX($I$164:$I$179,MATCH(LEFT(EF164,FIND("·",EF164)-1),$C$164:$C$179,0)),0),0),0)</f>
        <v>0</v>
      </c>
      <c r="EH164" s="108"/>
      <c r="EI164" s="75" t="str">
        <f>Idiomas!$D$367</f>
        <v>Pegar Valores Dieciseisavos</v>
      </c>
      <c r="EJ164" s="76">
        <f t="shared" ref="EJ164:EJ179" ca="1" si="5480">IFERROR(IF(COUNTIF($K$164:$K$179,LEFT(EI164,FIND("·",EI164)-1))&gt;0,IF(INDEX($L$164:$L$179,MATCH(LEFT(EI164,FIND("·",EI164)-1),$K$164:$K$179,0))=IFERROR(VALUE(MID(EI164,FIND("·",EI164)+1,1)),0),($D$16+(INDEX($M$164:$M$179,MATCH(LEFT(EI164,FIND("·",EI164)-1),$K$164:$K$179,0))=MID(EI164,FIND("|",EI164)+1,10))*$D$18+MAX(0,IF($D$50=1,$D$17*(1-(ABS(INDEX($P$164:$P$179,MATCH(LEFT(EI164,FIND("·",EI164)-1),$K$164:$K$179,0))-(VALUE(MID(EI164,FIND("|",EI164)+1,FIND("-",EI164,FIND("|",EI164))-FIND("|",EI164)-1))-VALUE(MID(EI164,FIND("-",EI164,FIND("|",EI164))+1,10)))))*$D$50),$D$17*(1-(IF(INDEX($L$164:$L$179,MATCH(LEFT(EI164,FIND("·",EI164)-1),$K$164:$K$179,0))=0,ABS(INDEX($N$164:$N$179,MATCH(LEFT(EI164,FIND("·",EI164)-1),$K$164:$K$179,0))-VALUE(MID(EI164,FIND("|",EI164)+1,FIND("-",EI164,FIND("|",EI164))-FIND("|",EI164)-1))),ABS(INDEX($P$164:$P$179,MATCH(LEFT(EI164,FIND("·",EI164)-1),$K$164:$K$179,0))-(VALUE(MID(EI164,FIND("|",EI164)+1,FIND("-",EI164,FIND("|",EI164))-FIND("|",EI164)-1))-VALUE(MID(EI164,FIND("-",EI164,FIND("|",EI164))+1,10)))))*$D$50)))))*INDEX($I$164:$I$179,MATCH(LEFT(EI164,FIND("·",EI164)-1),$K$164:$K$179,0)),0),0),0)+IFERROR(IF(COUNTIF($C$164:$C$179,LEFT(EI164,FIND("·",EI164)-1))&gt;0,IF(INDEX($D$164:$D$179,MATCH(LEFT(EI164,FIND("·",EI164)-1),$C$164:$C$179,0))=IFERROR(VALUE(MID(EI164,FIND("·",EI164)+1,1)),0),($D$16+(INDEX($E$164:$E$179,MATCH(LEFT(EI164,FIND("·",EI164)-1),$C$164:$C$179,0))=MID(EI164,FIND("|",EI164)+1,10))*$D$18+MAX(0,IF($D$50=1,$D$17*(1-(ABS(INDEX($Q$164:$Q$179,MATCH(LEFT(EI164,FIND("·",EI164)-1),$C$164:$C$179,0))-(VALUE(MID(EI164,FIND("|",EI164)+1,FIND("-",EI164,FIND("|",EI164))-FIND("|",EI164)-1))-VALUE(MID(EI164,FIND("-",EI164,FIND("|",EI164))+1,10)))))*$D$50),$D$17*(1-(IF(INDEX($D$164:$D$179,MATCH(LEFT(EI164,FIND("·",EI164)-1),$C$164:$C$179,0))=0,ABS(INDEX($A$164:$A$179,MATCH(LEFT(EI164,FIND("·",EI164)-1),$C$164:$C$179,0))-VALUE(MID(EI164,FIND("|",EI164)+1,FIND("-",EI164,FIND("|",EI164))-FIND("|",EI164)-1))),ABS(INDEX($Q$164:$Q$179,MATCH(LEFT(EI164,FIND("·",EI164)-1),$C$164:$C$179,0))-(VALUE(MID(EI164,FIND("|",EI164)+1,FIND("-",EI164,FIND("|",EI164))-FIND("|",EI164)-1))-VALUE(MID(EI164,FIND("-",EI164,FIND("|",EI164))+1,10)))))*$D$50)))))*INDEX($I$164:$I$179,MATCH(LEFT(EI164,FIND("·",EI164)-1),$C$164:$C$179,0)),0),0),0)</f>
        <v>0</v>
      </c>
      <c r="EK164" s="108"/>
      <c r="EL164" s="75" t="str">
        <f>Idiomas!$D$367</f>
        <v>Pegar Valores Dieciseisavos</v>
      </c>
      <c r="EM164" s="76">
        <f t="shared" ref="EM164:EM179" ca="1" si="5481">IFERROR(IF(COUNTIF($K$164:$K$179,LEFT(EL164,FIND("·",EL164)-1))&gt;0,IF(INDEX($L$164:$L$179,MATCH(LEFT(EL164,FIND("·",EL164)-1),$K$164:$K$179,0))=IFERROR(VALUE(MID(EL164,FIND("·",EL164)+1,1)),0),($D$16+(INDEX($M$164:$M$179,MATCH(LEFT(EL164,FIND("·",EL164)-1),$K$164:$K$179,0))=MID(EL164,FIND("|",EL164)+1,10))*$D$18+MAX(0,IF($D$50=1,$D$17*(1-(ABS(INDEX($P$164:$P$179,MATCH(LEFT(EL164,FIND("·",EL164)-1),$K$164:$K$179,0))-(VALUE(MID(EL164,FIND("|",EL164)+1,FIND("-",EL164,FIND("|",EL164))-FIND("|",EL164)-1))-VALUE(MID(EL164,FIND("-",EL164,FIND("|",EL164))+1,10)))))*$D$50),$D$17*(1-(IF(INDEX($L$164:$L$179,MATCH(LEFT(EL164,FIND("·",EL164)-1),$K$164:$K$179,0))=0,ABS(INDEX($N$164:$N$179,MATCH(LEFT(EL164,FIND("·",EL164)-1),$K$164:$K$179,0))-VALUE(MID(EL164,FIND("|",EL164)+1,FIND("-",EL164,FIND("|",EL164))-FIND("|",EL164)-1))),ABS(INDEX($P$164:$P$179,MATCH(LEFT(EL164,FIND("·",EL164)-1),$K$164:$K$179,0))-(VALUE(MID(EL164,FIND("|",EL164)+1,FIND("-",EL164,FIND("|",EL164))-FIND("|",EL164)-1))-VALUE(MID(EL164,FIND("-",EL164,FIND("|",EL164))+1,10)))))*$D$50)))))*INDEX($I$164:$I$179,MATCH(LEFT(EL164,FIND("·",EL164)-1),$K$164:$K$179,0)),0),0),0)+IFERROR(IF(COUNTIF($C$164:$C$179,LEFT(EL164,FIND("·",EL164)-1))&gt;0,IF(INDEX($D$164:$D$179,MATCH(LEFT(EL164,FIND("·",EL164)-1),$C$164:$C$179,0))=IFERROR(VALUE(MID(EL164,FIND("·",EL164)+1,1)),0),($D$16+(INDEX($E$164:$E$179,MATCH(LEFT(EL164,FIND("·",EL164)-1),$C$164:$C$179,0))=MID(EL164,FIND("|",EL164)+1,10))*$D$18+MAX(0,IF($D$50=1,$D$17*(1-(ABS(INDEX($Q$164:$Q$179,MATCH(LEFT(EL164,FIND("·",EL164)-1),$C$164:$C$179,0))-(VALUE(MID(EL164,FIND("|",EL164)+1,FIND("-",EL164,FIND("|",EL164))-FIND("|",EL164)-1))-VALUE(MID(EL164,FIND("-",EL164,FIND("|",EL164))+1,10)))))*$D$50),$D$17*(1-(IF(INDEX($D$164:$D$179,MATCH(LEFT(EL164,FIND("·",EL164)-1),$C$164:$C$179,0))=0,ABS(INDEX($A$164:$A$179,MATCH(LEFT(EL164,FIND("·",EL164)-1),$C$164:$C$179,0))-VALUE(MID(EL164,FIND("|",EL164)+1,FIND("-",EL164,FIND("|",EL164))-FIND("|",EL164)-1))),ABS(INDEX($Q$164:$Q$179,MATCH(LEFT(EL164,FIND("·",EL164)-1),$C$164:$C$179,0))-(VALUE(MID(EL164,FIND("|",EL164)+1,FIND("-",EL164,FIND("|",EL164))-FIND("|",EL164)-1))-VALUE(MID(EL164,FIND("-",EL164,FIND("|",EL164))+1,10)))))*$D$50)))))*INDEX($I$164:$I$179,MATCH(LEFT(EL164,FIND("·",EL164)-1),$C$164:$C$179,0)),0),0),0)</f>
        <v>0</v>
      </c>
      <c r="EN164" s="108"/>
      <c r="EO164" s="75" t="str">
        <f>Idiomas!$D$367</f>
        <v>Pegar Valores Dieciseisavos</v>
      </c>
      <c r="EP164" s="76">
        <f t="shared" ref="EP164:EP179" ca="1" si="5482">IFERROR(IF(COUNTIF($K$164:$K$179,LEFT(EO164,FIND("·",EO164)-1))&gt;0,IF(INDEX($L$164:$L$179,MATCH(LEFT(EO164,FIND("·",EO164)-1),$K$164:$K$179,0))=IFERROR(VALUE(MID(EO164,FIND("·",EO164)+1,1)),0),($D$16+(INDEX($M$164:$M$179,MATCH(LEFT(EO164,FIND("·",EO164)-1),$K$164:$K$179,0))=MID(EO164,FIND("|",EO164)+1,10))*$D$18+MAX(0,IF($D$50=1,$D$17*(1-(ABS(INDEX($P$164:$P$179,MATCH(LEFT(EO164,FIND("·",EO164)-1),$K$164:$K$179,0))-(VALUE(MID(EO164,FIND("|",EO164)+1,FIND("-",EO164,FIND("|",EO164))-FIND("|",EO164)-1))-VALUE(MID(EO164,FIND("-",EO164,FIND("|",EO164))+1,10)))))*$D$50),$D$17*(1-(IF(INDEX($L$164:$L$179,MATCH(LEFT(EO164,FIND("·",EO164)-1),$K$164:$K$179,0))=0,ABS(INDEX($N$164:$N$179,MATCH(LEFT(EO164,FIND("·",EO164)-1),$K$164:$K$179,0))-VALUE(MID(EO164,FIND("|",EO164)+1,FIND("-",EO164,FIND("|",EO164))-FIND("|",EO164)-1))),ABS(INDEX($P$164:$P$179,MATCH(LEFT(EO164,FIND("·",EO164)-1),$K$164:$K$179,0))-(VALUE(MID(EO164,FIND("|",EO164)+1,FIND("-",EO164,FIND("|",EO164))-FIND("|",EO164)-1))-VALUE(MID(EO164,FIND("-",EO164,FIND("|",EO164))+1,10)))))*$D$50)))))*INDEX($I$164:$I$179,MATCH(LEFT(EO164,FIND("·",EO164)-1),$K$164:$K$179,0)),0),0),0)+IFERROR(IF(COUNTIF($C$164:$C$179,LEFT(EO164,FIND("·",EO164)-1))&gt;0,IF(INDEX($D$164:$D$179,MATCH(LEFT(EO164,FIND("·",EO164)-1),$C$164:$C$179,0))=IFERROR(VALUE(MID(EO164,FIND("·",EO164)+1,1)),0),($D$16+(INDEX($E$164:$E$179,MATCH(LEFT(EO164,FIND("·",EO164)-1),$C$164:$C$179,0))=MID(EO164,FIND("|",EO164)+1,10))*$D$18+MAX(0,IF($D$50=1,$D$17*(1-(ABS(INDEX($Q$164:$Q$179,MATCH(LEFT(EO164,FIND("·",EO164)-1),$C$164:$C$179,0))-(VALUE(MID(EO164,FIND("|",EO164)+1,FIND("-",EO164,FIND("|",EO164))-FIND("|",EO164)-1))-VALUE(MID(EO164,FIND("-",EO164,FIND("|",EO164))+1,10)))))*$D$50),$D$17*(1-(IF(INDEX($D$164:$D$179,MATCH(LEFT(EO164,FIND("·",EO164)-1),$C$164:$C$179,0))=0,ABS(INDEX($A$164:$A$179,MATCH(LEFT(EO164,FIND("·",EO164)-1),$C$164:$C$179,0))-VALUE(MID(EO164,FIND("|",EO164)+1,FIND("-",EO164,FIND("|",EO164))-FIND("|",EO164)-1))),ABS(INDEX($Q$164:$Q$179,MATCH(LEFT(EO164,FIND("·",EO164)-1),$C$164:$C$179,0))-(VALUE(MID(EO164,FIND("|",EO164)+1,FIND("-",EO164,FIND("|",EO164))-FIND("|",EO164)-1))-VALUE(MID(EO164,FIND("-",EO164,FIND("|",EO164))+1,10)))))*$D$50)))))*INDEX($I$164:$I$179,MATCH(LEFT(EO164,FIND("·",EO164)-1),$C$164:$C$179,0)),0),0),0)</f>
        <v>0</v>
      </c>
      <c r="EQ164" s="108"/>
      <c r="ER164" s="75" t="str">
        <f>Idiomas!$D$367</f>
        <v>Pegar Valores Dieciseisavos</v>
      </c>
      <c r="ES164" s="76">
        <f t="shared" ref="ES164:ES179" ca="1" si="5483">IFERROR(IF(COUNTIF($K$164:$K$179,LEFT(ER164,FIND("·",ER164)-1))&gt;0,IF(INDEX($L$164:$L$179,MATCH(LEFT(ER164,FIND("·",ER164)-1),$K$164:$K$179,0))=IFERROR(VALUE(MID(ER164,FIND("·",ER164)+1,1)),0),($D$16+(INDEX($M$164:$M$179,MATCH(LEFT(ER164,FIND("·",ER164)-1),$K$164:$K$179,0))=MID(ER164,FIND("|",ER164)+1,10))*$D$18+MAX(0,IF($D$50=1,$D$17*(1-(ABS(INDEX($P$164:$P$179,MATCH(LEFT(ER164,FIND("·",ER164)-1),$K$164:$K$179,0))-(VALUE(MID(ER164,FIND("|",ER164)+1,FIND("-",ER164,FIND("|",ER164))-FIND("|",ER164)-1))-VALUE(MID(ER164,FIND("-",ER164,FIND("|",ER164))+1,10)))))*$D$50),$D$17*(1-(IF(INDEX($L$164:$L$179,MATCH(LEFT(ER164,FIND("·",ER164)-1),$K$164:$K$179,0))=0,ABS(INDEX($N$164:$N$179,MATCH(LEFT(ER164,FIND("·",ER164)-1),$K$164:$K$179,0))-VALUE(MID(ER164,FIND("|",ER164)+1,FIND("-",ER164,FIND("|",ER164))-FIND("|",ER164)-1))),ABS(INDEX($P$164:$P$179,MATCH(LEFT(ER164,FIND("·",ER164)-1),$K$164:$K$179,0))-(VALUE(MID(ER164,FIND("|",ER164)+1,FIND("-",ER164,FIND("|",ER164))-FIND("|",ER164)-1))-VALUE(MID(ER164,FIND("-",ER164,FIND("|",ER164))+1,10)))))*$D$50)))))*INDEX($I$164:$I$179,MATCH(LEFT(ER164,FIND("·",ER164)-1),$K$164:$K$179,0)),0),0),0)+IFERROR(IF(COUNTIF($C$164:$C$179,LEFT(ER164,FIND("·",ER164)-1))&gt;0,IF(INDEX($D$164:$D$179,MATCH(LEFT(ER164,FIND("·",ER164)-1),$C$164:$C$179,0))=IFERROR(VALUE(MID(ER164,FIND("·",ER164)+1,1)),0),($D$16+(INDEX($E$164:$E$179,MATCH(LEFT(ER164,FIND("·",ER164)-1),$C$164:$C$179,0))=MID(ER164,FIND("|",ER164)+1,10))*$D$18+MAX(0,IF($D$50=1,$D$17*(1-(ABS(INDEX($Q$164:$Q$179,MATCH(LEFT(ER164,FIND("·",ER164)-1),$C$164:$C$179,0))-(VALUE(MID(ER164,FIND("|",ER164)+1,FIND("-",ER164,FIND("|",ER164))-FIND("|",ER164)-1))-VALUE(MID(ER164,FIND("-",ER164,FIND("|",ER164))+1,10)))))*$D$50),$D$17*(1-(IF(INDEX($D$164:$D$179,MATCH(LEFT(ER164,FIND("·",ER164)-1),$C$164:$C$179,0))=0,ABS(INDEX($A$164:$A$179,MATCH(LEFT(ER164,FIND("·",ER164)-1),$C$164:$C$179,0))-VALUE(MID(ER164,FIND("|",ER164)+1,FIND("-",ER164,FIND("|",ER164))-FIND("|",ER164)-1))),ABS(INDEX($Q$164:$Q$179,MATCH(LEFT(ER164,FIND("·",ER164)-1),$C$164:$C$179,0))-(VALUE(MID(ER164,FIND("|",ER164)+1,FIND("-",ER164,FIND("|",ER164))-FIND("|",ER164)-1))-VALUE(MID(ER164,FIND("-",ER164,FIND("|",ER164))+1,10)))))*$D$50)))))*INDEX($I$164:$I$179,MATCH(LEFT(ER164,FIND("·",ER164)-1),$C$164:$C$179,0)),0),0),0)</f>
        <v>0</v>
      </c>
      <c r="ET164" s="108"/>
      <c r="EU164" s="75" t="str">
        <f>Idiomas!$D$367</f>
        <v>Pegar Valores Dieciseisavos</v>
      </c>
      <c r="EV164" s="76">
        <f t="shared" ref="EV164:EV179" ca="1" si="5484">IFERROR(IF(COUNTIF($K$164:$K$179,LEFT(EU164,FIND("·",EU164)-1))&gt;0,IF(INDEX($L$164:$L$179,MATCH(LEFT(EU164,FIND("·",EU164)-1),$K$164:$K$179,0))=IFERROR(VALUE(MID(EU164,FIND("·",EU164)+1,1)),0),($D$16+(INDEX($M$164:$M$179,MATCH(LEFT(EU164,FIND("·",EU164)-1),$K$164:$K$179,0))=MID(EU164,FIND("|",EU164)+1,10))*$D$18+MAX(0,IF($D$50=1,$D$17*(1-(ABS(INDEX($P$164:$P$179,MATCH(LEFT(EU164,FIND("·",EU164)-1),$K$164:$K$179,0))-(VALUE(MID(EU164,FIND("|",EU164)+1,FIND("-",EU164,FIND("|",EU164))-FIND("|",EU164)-1))-VALUE(MID(EU164,FIND("-",EU164,FIND("|",EU164))+1,10)))))*$D$50),$D$17*(1-(IF(INDEX($L$164:$L$179,MATCH(LEFT(EU164,FIND("·",EU164)-1),$K$164:$K$179,0))=0,ABS(INDEX($N$164:$N$179,MATCH(LEFT(EU164,FIND("·",EU164)-1),$K$164:$K$179,0))-VALUE(MID(EU164,FIND("|",EU164)+1,FIND("-",EU164,FIND("|",EU164))-FIND("|",EU164)-1))),ABS(INDEX($P$164:$P$179,MATCH(LEFT(EU164,FIND("·",EU164)-1),$K$164:$K$179,0))-(VALUE(MID(EU164,FIND("|",EU164)+1,FIND("-",EU164,FIND("|",EU164))-FIND("|",EU164)-1))-VALUE(MID(EU164,FIND("-",EU164,FIND("|",EU164))+1,10)))))*$D$50)))))*INDEX($I$164:$I$179,MATCH(LEFT(EU164,FIND("·",EU164)-1),$K$164:$K$179,0)),0),0),0)+IFERROR(IF(COUNTIF($C$164:$C$179,LEFT(EU164,FIND("·",EU164)-1))&gt;0,IF(INDEX($D$164:$D$179,MATCH(LEFT(EU164,FIND("·",EU164)-1),$C$164:$C$179,0))=IFERROR(VALUE(MID(EU164,FIND("·",EU164)+1,1)),0),($D$16+(INDEX($E$164:$E$179,MATCH(LEFT(EU164,FIND("·",EU164)-1),$C$164:$C$179,0))=MID(EU164,FIND("|",EU164)+1,10))*$D$18+MAX(0,IF($D$50=1,$D$17*(1-(ABS(INDEX($Q$164:$Q$179,MATCH(LEFT(EU164,FIND("·",EU164)-1),$C$164:$C$179,0))-(VALUE(MID(EU164,FIND("|",EU164)+1,FIND("-",EU164,FIND("|",EU164))-FIND("|",EU164)-1))-VALUE(MID(EU164,FIND("-",EU164,FIND("|",EU164))+1,10)))))*$D$50),$D$17*(1-(IF(INDEX($D$164:$D$179,MATCH(LEFT(EU164,FIND("·",EU164)-1),$C$164:$C$179,0))=0,ABS(INDEX($A$164:$A$179,MATCH(LEFT(EU164,FIND("·",EU164)-1),$C$164:$C$179,0))-VALUE(MID(EU164,FIND("|",EU164)+1,FIND("-",EU164,FIND("|",EU164))-FIND("|",EU164)-1))),ABS(INDEX($Q$164:$Q$179,MATCH(LEFT(EU164,FIND("·",EU164)-1),$C$164:$C$179,0))-(VALUE(MID(EU164,FIND("|",EU164)+1,FIND("-",EU164,FIND("|",EU164))-FIND("|",EU164)-1))-VALUE(MID(EU164,FIND("-",EU164,FIND("|",EU164))+1,10)))))*$D$50)))))*INDEX($I$164:$I$179,MATCH(LEFT(EU164,FIND("·",EU164)-1),$C$164:$C$179,0)),0),0),0)</f>
        <v>0</v>
      </c>
      <c r="EW164" s="108"/>
      <c r="EX164" s="75" t="str">
        <f>Idiomas!$D$367</f>
        <v>Pegar Valores Dieciseisavos</v>
      </c>
      <c r="EY164" s="76">
        <f t="shared" ref="EY164:EY179" ca="1" si="5485">IFERROR(IF(COUNTIF($K$164:$K$179,LEFT(EX164,FIND("·",EX164)-1))&gt;0,IF(INDEX($L$164:$L$179,MATCH(LEFT(EX164,FIND("·",EX164)-1),$K$164:$K$179,0))=IFERROR(VALUE(MID(EX164,FIND("·",EX164)+1,1)),0),($D$16+(INDEX($M$164:$M$179,MATCH(LEFT(EX164,FIND("·",EX164)-1),$K$164:$K$179,0))=MID(EX164,FIND("|",EX164)+1,10))*$D$18+MAX(0,IF($D$50=1,$D$17*(1-(ABS(INDEX($P$164:$P$179,MATCH(LEFT(EX164,FIND("·",EX164)-1),$K$164:$K$179,0))-(VALUE(MID(EX164,FIND("|",EX164)+1,FIND("-",EX164,FIND("|",EX164))-FIND("|",EX164)-1))-VALUE(MID(EX164,FIND("-",EX164,FIND("|",EX164))+1,10)))))*$D$50),$D$17*(1-(IF(INDEX($L$164:$L$179,MATCH(LEFT(EX164,FIND("·",EX164)-1),$K$164:$K$179,0))=0,ABS(INDEX($N$164:$N$179,MATCH(LEFT(EX164,FIND("·",EX164)-1),$K$164:$K$179,0))-VALUE(MID(EX164,FIND("|",EX164)+1,FIND("-",EX164,FIND("|",EX164))-FIND("|",EX164)-1))),ABS(INDEX($P$164:$P$179,MATCH(LEFT(EX164,FIND("·",EX164)-1),$K$164:$K$179,0))-(VALUE(MID(EX164,FIND("|",EX164)+1,FIND("-",EX164,FIND("|",EX164))-FIND("|",EX164)-1))-VALUE(MID(EX164,FIND("-",EX164,FIND("|",EX164))+1,10)))))*$D$50)))))*INDEX($I$164:$I$179,MATCH(LEFT(EX164,FIND("·",EX164)-1),$K$164:$K$179,0)),0),0),0)+IFERROR(IF(COUNTIF($C$164:$C$179,LEFT(EX164,FIND("·",EX164)-1))&gt;0,IF(INDEX($D$164:$D$179,MATCH(LEFT(EX164,FIND("·",EX164)-1),$C$164:$C$179,0))=IFERROR(VALUE(MID(EX164,FIND("·",EX164)+1,1)),0),($D$16+(INDEX($E$164:$E$179,MATCH(LEFT(EX164,FIND("·",EX164)-1),$C$164:$C$179,0))=MID(EX164,FIND("|",EX164)+1,10))*$D$18+MAX(0,IF($D$50=1,$D$17*(1-(ABS(INDEX($Q$164:$Q$179,MATCH(LEFT(EX164,FIND("·",EX164)-1),$C$164:$C$179,0))-(VALUE(MID(EX164,FIND("|",EX164)+1,FIND("-",EX164,FIND("|",EX164))-FIND("|",EX164)-1))-VALUE(MID(EX164,FIND("-",EX164,FIND("|",EX164))+1,10)))))*$D$50),$D$17*(1-(IF(INDEX($D$164:$D$179,MATCH(LEFT(EX164,FIND("·",EX164)-1),$C$164:$C$179,0))=0,ABS(INDEX($A$164:$A$179,MATCH(LEFT(EX164,FIND("·",EX164)-1),$C$164:$C$179,0))-VALUE(MID(EX164,FIND("|",EX164)+1,FIND("-",EX164,FIND("|",EX164))-FIND("|",EX164)-1))),ABS(INDEX($Q$164:$Q$179,MATCH(LEFT(EX164,FIND("·",EX164)-1),$C$164:$C$179,0))-(VALUE(MID(EX164,FIND("|",EX164)+1,FIND("-",EX164,FIND("|",EX164))-FIND("|",EX164)-1))-VALUE(MID(EX164,FIND("-",EX164,FIND("|",EX164))+1,10)))))*$D$50)))))*INDEX($I$164:$I$179,MATCH(LEFT(EX164,FIND("·",EX164)-1),$C$164:$C$179,0)),0),0),0)</f>
        <v>0</v>
      </c>
      <c r="EZ164" s="108"/>
      <c r="FA164" s="75" t="str">
        <f>Idiomas!$D$367</f>
        <v>Pegar Valores Dieciseisavos</v>
      </c>
      <c r="FB164" s="76">
        <f t="shared" ref="FB164:FB179" ca="1" si="5486">IFERROR(IF(COUNTIF($K$164:$K$179,LEFT(FA164,FIND("·",FA164)-1))&gt;0,IF(INDEX($L$164:$L$179,MATCH(LEFT(FA164,FIND("·",FA164)-1),$K$164:$K$179,0))=IFERROR(VALUE(MID(FA164,FIND("·",FA164)+1,1)),0),($D$16+(INDEX($M$164:$M$179,MATCH(LEFT(FA164,FIND("·",FA164)-1),$K$164:$K$179,0))=MID(FA164,FIND("|",FA164)+1,10))*$D$18+MAX(0,IF($D$50=1,$D$17*(1-(ABS(INDEX($P$164:$P$179,MATCH(LEFT(FA164,FIND("·",FA164)-1),$K$164:$K$179,0))-(VALUE(MID(FA164,FIND("|",FA164)+1,FIND("-",FA164,FIND("|",FA164))-FIND("|",FA164)-1))-VALUE(MID(FA164,FIND("-",FA164,FIND("|",FA164))+1,10)))))*$D$50),$D$17*(1-(IF(INDEX($L$164:$L$179,MATCH(LEFT(FA164,FIND("·",FA164)-1),$K$164:$K$179,0))=0,ABS(INDEX($N$164:$N$179,MATCH(LEFT(FA164,FIND("·",FA164)-1),$K$164:$K$179,0))-VALUE(MID(FA164,FIND("|",FA164)+1,FIND("-",FA164,FIND("|",FA164))-FIND("|",FA164)-1))),ABS(INDEX($P$164:$P$179,MATCH(LEFT(FA164,FIND("·",FA164)-1),$K$164:$K$179,0))-(VALUE(MID(FA164,FIND("|",FA164)+1,FIND("-",FA164,FIND("|",FA164))-FIND("|",FA164)-1))-VALUE(MID(FA164,FIND("-",FA164,FIND("|",FA164))+1,10)))))*$D$50)))))*INDEX($I$164:$I$179,MATCH(LEFT(FA164,FIND("·",FA164)-1),$K$164:$K$179,0)),0),0),0)+IFERROR(IF(COUNTIF($C$164:$C$179,LEFT(FA164,FIND("·",FA164)-1))&gt;0,IF(INDEX($D$164:$D$179,MATCH(LEFT(FA164,FIND("·",FA164)-1),$C$164:$C$179,0))=IFERROR(VALUE(MID(FA164,FIND("·",FA164)+1,1)),0),($D$16+(INDEX($E$164:$E$179,MATCH(LEFT(FA164,FIND("·",FA164)-1),$C$164:$C$179,0))=MID(FA164,FIND("|",FA164)+1,10))*$D$18+MAX(0,IF($D$50=1,$D$17*(1-(ABS(INDEX($Q$164:$Q$179,MATCH(LEFT(FA164,FIND("·",FA164)-1),$C$164:$C$179,0))-(VALUE(MID(FA164,FIND("|",FA164)+1,FIND("-",FA164,FIND("|",FA164))-FIND("|",FA164)-1))-VALUE(MID(FA164,FIND("-",FA164,FIND("|",FA164))+1,10)))))*$D$50),$D$17*(1-(IF(INDEX($D$164:$D$179,MATCH(LEFT(FA164,FIND("·",FA164)-1),$C$164:$C$179,0))=0,ABS(INDEX($A$164:$A$179,MATCH(LEFT(FA164,FIND("·",FA164)-1),$C$164:$C$179,0))-VALUE(MID(FA164,FIND("|",FA164)+1,FIND("-",FA164,FIND("|",FA164))-FIND("|",FA164)-1))),ABS(INDEX($Q$164:$Q$179,MATCH(LEFT(FA164,FIND("·",FA164)-1),$C$164:$C$179,0))-(VALUE(MID(FA164,FIND("|",FA164)+1,FIND("-",FA164,FIND("|",FA164))-FIND("|",FA164)-1))-VALUE(MID(FA164,FIND("-",FA164,FIND("|",FA164))+1,10)))))*$D$50)))))*INDEX($I$164:$I$179,MATCH(LEFT(FA164,FIND("·",FA164)-1),$C$164:$C$179,0)),0),0),0)</f>
        <v>0</v>
      </c>
      <c r="FC164" s="108"/>
      <c r="FD164" s="75" t="str">
        <f>Idiomas!$D$367</f>
        <v>Pegar Valores Dieciseisavos</v>
      </c>
      <c r="FE164" s="76">
        <f t="shared" ref="FE164:FE179" ca="1" si="5487">IFERROR(IF(COUNTIF($K$164:$K$179,LEFT(FD164,FIND("·",FD164)-1))&gt;0,IF(INDEX($L$164:$L$179,MATCH(LEFT(FD164,FIND("·",FD164)-1),$K$164:$K$179,0))=IFERROR(VALUE(MID(FD164,FIND("·",FD164)+1,1)),0),($D$16+(INDEX($M$164:$M$179,MATCH(LEFT(FD164,FIND("·",FD164)-1),$K$164:$K$179,0))=MID(FD164,FIND("|",FD164)+1,10))*$D$18+MAX(0,IF($D$50=1,$D$17*(1-(ABS(INDEX($P$164:$P$179,MATCH(LEFT(FD164,FIND("·",FD164)-1),$K$164:$K$179,0))-(VALUE(MID(FD164,FIND("|",FD164)+1,FIND("-",FD164,FIND("|",FD164))-FIND("|",FD164)-1))-VALUE(MID(FD164,FIND("-",FD164,FIND("|",FD164))+1,10)))))*$D$50),$D$17*(1-(IF(INDEX($L$164:$L$179,MATCH(LEFT(FD164,FIND("·",FD164)-1),$K$164:$K$179,0))=0,ABS(INDEX($N$164:$N$179,MATCH(LEFT(FD164,FIND("·",FD164)-1),$K$164:$K$179,0))-VALUE(MID(FD164,FIND("|",FD164)+1,FIND("-",FD164,FIND("|",FD164))-FIND("|",FD164)-1))),ABS(INDEX($P$164:$P$179,MATCH(LEFT(FD164,FIND("·",FD164)-1),$K$164:$K$179,0))-(VALUE(MID(FD164,FIND("|",FD164)+1,FIND("-",FD164,FIND("|",FD164))-FIND("|",FD164)-1))-VALUE(MID(FD164,FIND("-",FD164,FIND("|",FD164))+1,10)))))*$D$50)))))*INDEX($I$164:$I$179,MATCH(LEFT(FD164,FIND("·",FD164)-1),$K$164:$K$179,0)),0),0),0)+IFERROR(IF(COUNTIF($C$164:$C$179,LEFT(FD164,FIND("·",FD164)-1))&gt;0,IF(INDEX($D$164:$D$179,MATCH(LEFT(FD164,FIND("·",FD164)-1),$C$164:$C$179,0))=IFERROR(VALUE(MID(FD164,FIND("·",FD164)+1,1)),0),($D$16+(INDEX($E$164:$E$179,MATCH(LEFT(FD164,FIND("·",FD164)-1),$C$164:$C$179,0))=MID(FD164,FIND("|",FD164)+1,10))*$D$18+MAX(0,IF($D$50=1,$D$17*(1-(ABS(INDEX($Q$164:$Q$179,MATCH(LEFT(FD164,FIND("·",FD164)-1),$C$164:$C$179,0))-(VALUE(MID(FD164,FIND("|",FD164)+1,FIND("-",FD164,FIND("|",FD164))-FIND("|",FD164)-1))-VALUE(MID(FD164,FIND("-",FD164,FIND("|",FD164))+1,10)))))*$D$50),$D$17*(1-(IF(INDEX($D$164:$D$179,MATCH(LEFT(FD164,FIND("·",FD164)-1),$C$164:$C$179,0))=0,ABS(INDEX($A$164:$A$179,MATCH(LEFT(FD164,FIND("·",FD164)-1),$C$164:$C$179,0))-VALUE(MID(FD164,FIND("|",FD164)+1,FIND("-",FD164,FIND("|",FD164))-FIND("|",FD164)-1))),ABS(INDEX($Q$164:$Q$179,MATCH(LEFT(FD164,FIND("·",FD164)-1),$C$164:$C$179,0))-(VALUE(MID(FD164,FIND("|",FD164)+1,FIND("-",FD164,FIND("|",FD164))-FIND("|",FD164)-1))-VALUE(MID(FD164,FIND("-",FD164,FIND("|",FD164))+1,10)))))*$D$50)))))*INDEX($I$164:$I$179,MATCH(LEFT(FD164,FIND("·",FD164)-1),$C$164:$C$179,0)),0),0),0)</f>
        <v>0</v>
      </c>
      <c r="FF164" s="108"/>
      <c r="FG164" s="75" t="str">
        <f>Idiomas!$D$367</f>
        <v>Pegar Valores Dieciseisavos</v>
      </c>
      <c r="FH164" s="76">
        <f t="shared" ref="FH164:FH179" ca="1" si="5488">IFERROR(IF(COUNTIF($K$164:$K$179,LEFT(FG164,FIND("·",FG164)-1))&gt;0,IF(INDEX($L$164:$L$179,MATCH(LEFT(FG164,FIND("·",FG164)-1),$K$164:$K$179,0))=IFERROR(VALUE(MID(FG164,FIND("·",FG164)+1,1)),0),($D$16+(INDEX($M$164:$M$179,MATCH(LEFT(FG164,FIND("·",FG164)-1),$K$164:$K$179,0))=MID(FG164,FIND("|",FG164)+1,10))*$D$18+MAX(0,IF($D$50=1,$D$17*(1-(ABS(INDEX($P$164:$P$179,MATCH(LEFT(FG164,FIND("·",FG164)-1),$K$164:$K$179,0))-(VALUE(MID(FG164,FIND("|",FG164)+1,FIND("-",FG164,FIND("|",FG164))-FIND("|",FG164)-1))-VALUE(MID(FG164,FIND("-",FG164,FIND("|",FG164))+1,10)))))*$D$50),$D$17*(1-(IF(INDEX($L$164:$L$179,MATCH(LEFT(FG164,FIND("·",FG164)-1),$K$164:$K$179,0))=0,ABS(INDEX($N$164:$N$179,MATCH(LEFT(FG164,FIND("·",FG164)-1),$K$164:$K$179,0))-VALUE(MID(FG164,FIND("|",FG164)+1,FIND("-",FG164,FIND("|",FG164))-FIND("|",FG164)-1))),ABS(INDEX($P$164:$P$179,MATCH(LEFT(FG164,FIND("·",FG164)-1),$K$164:$K$179,0))-(VALUE(MID(FG164,FIND("|",FG164)+1,FIND("-",FG164,FIND("|",FG164))-FIND("|",FG164)-1))-VALUE(MID(FG164,FIND("-",FG164,FIND("|",FG164))+1,10)))))*$D$50)))))*INDEX($I$164:$I$179,MATCH(LEFT(FG164,FIND("·",FG164)-1),$K$164:$K$179,0)),0),0),0)+IFERROR(IF(COUNTIF($C$164:$C$179,LEFT(FG164,FIND("·",FG164)-1))&gt;0,IF(INDEX($D$164:$D$179,MATCH(LEFT(FG164,FIND("·",FG164)-1),$C$164:$C$179,0))=IFERROR(VALUE(MID(FG164,FIND("·",FG164)+1,1)),0),($D$16+(INDEX($E$164:$E$179,MATCH(LEFT(FG164,FIND("·",FG164)-1),$C$164:$C$179,0))=MID(FG164,FIND("|",FG164)+1,10))*$D$18+MAX(0,IF($D$50=1,$D$17*(1-(ABS(INDEX($Q$164:$Q$179,MATCH(LEFT(FG164,FIND("·",FG164)-1),$C$164:$C$179,0))-(VALUE(MID(FG164,FIND("|",FG164)+1,FIND("-",FG164,FIND("|",FG164))-FIND("|",FG164)-1))-VALUE(MID(FG164,FIND("-",FG164,FIND("|",FG164))+1,10)))))*$D$50),$D$17*(1-(IF(INDEX($D$164:$D$179,MATCH(LEFT(FG164,FIND("·",FG164)-1),$C$164:$C$179,0))=0,ABS(INDEX($A$164:$A$179,MATCH(LEFT(FG164,FIND("·",FG164)-1),$C$164:$C$179,0))-VALUE(MID(FG164,FIND("|",FG164)+1,FIND("-",FG164,FIND("|",FG164))-FIND("|",FG164)-1))),ABS(INDEX($Q$164:$Q$179,MATCH(LEFT(FG164,FIND("·",FG164)-1),$C$164:$C$179,0))-(VALUE(MID(FG164,FIND("|",FG164)+1,FIND("-",FG164,FIND("|",FG164))-FIND("|",FG164)-1))-VALUE(MID(FG164,FIND("-",FG164,FIND("|",FG164))+1,10)))))*$D$50)))))*INDEX($I$164:$I$179,MATCH(LEFT(FG164,FIND("·",FG164)-1),$C$164:$C$179,0)),0),0),0)</f>
        <v>0</v>
      </c>
      <c r="FI164" s="108"/>
      <c r="FJ164" s="75" t="str">
        <f>Idiomas!$D$367</f>
        <v>Pegar Valores Dieciseisavos</v>
      </c>
      <c r="FK164" s="76">
        <f t="shared" ref="FK164:FK179" ca="1" si="5489">IFERROR(IF(COUNTIF($K$164:$K$179,LEFT(FJ164,FIND("·",FJ164)-1))&gt;0,IF(INDEX($L$164:$L$179,MATCH(LEFT(FJ164,FIND("·",FJ164)-1),$K$164:$K$179,0))=IFERROR(VALUE(MID(FJ164,FIND("·",FJ164)+1,1)),0),($D$16+(INDEX($M$164:$M$179,MATCH(LEFT(FJ164,FIND("·",FJ164)-1),$K$164:$K$179,0))=MID(FJ164,FIND("|",FJ164)+1,10))*$D$18+MAX(0,IF($D$50=1,$D$17*(1-(ABS(INDEX($P$164:$P$179,MATCH(LEFT(FJ164,FIND("·",FJ164)-1),$K$164:$K$179,0))-(VALUE(MID(FJ164,FIND("|",FJ164)+1,FIND("-",FJ164,FIND("|",FJ164))-FIND("|",FJ164)-1))-VALUE(MID(FJ164,FIND("-",FJ164,FIND("|",FJ164))+1,10)))))*$D$50),$D$17*(1-(IF(INDEX($L$164:$L$179,MATCH(LEFT(FJ164,FIND("·",FJ164)-1),$K$164:$K$179,0))=0,ABS(INDEX($N$164:$N$179,MATCH(LEFT(FJ164,FIND("·",FJ164)-1),$K$164:$K$179,0))-VALUE(MID(FJ164,FIND("|",FJ164)+1,FIND("-",FJ164,FIND("|",FJ164))-FIND("|",FJ164)-1))),ABS(INDEX($P$164:$P$179,MATCH(LEFT(FJ164,FIND("·",FJ164)-1),$K$164:$K$179,0))-(VALUE(MID(FJ164,FIND("|",FJ164)+1,FIND("-",FJ164,FIND("|",FJ164))-FIND("|",FJ164)-1))-VALUE(MID(FJ164,FIND("-",FJ164,FIND("|",FJ164))+1,10)))))*$D$50)))))*INDEX($I$164:$I$179,MATCH(LEFT(FJ164,FIND("·",FJ164)-1),$K$164:$K$179,0)),0),0),0)+IFERROR(IF(COUNTIF($C$164:$C$179,LEFT(FJ164,FIND("·",FJ164)-1))&gt;0,IF(INDEX($D$164:$D$179,MATCH(LEFT(FJ164,FIND("·",FJ164)-1),$C$164:$C$179,0))=IFERROR(VALUE(MID(FJ164,FIND("·",FJ164)+1,1)),0),($D$16+(INDEX($E$164:$E$179,MATCH(LEFT(FJ164,FIND("·",FJ164)-1),$C$164:$C$179,0))=MID(FJ164,FIND("|",FJ164)+1,10))*$D$18+MAX(0,IF($D$50=1,$D$17*(1-(ABS(INDEX($Q$164:$Q$179,MATCH(LEFT(FJ164,FIND("·",FJ164)-1),$C$164:$C$179,0))-(VALUE(MID(FJ164,FIND("|",FJ164)+1,FIND("-",FJ164,FIND("|",FJ164))-FIND("|",FJ164)-1))-VALUE(MID(FJ164,FIND("-",FJ164,FIND("|",FJ164))+1,10)))))*$D$50),$D$17*(1-(IF(INDEX($D$164:$D$179,MATCH(LEFT(FJ164,FIND("·",FJ164)-1),$C$164:$C$179,0))=0,ABS(INDEX($A$164:$A$179,MATCH(LEFT(FJ164,FIND("·",FJ164)-1),$C$164:$C$179,0))-VALUE(MID(FJ164,FIND("|",FJ164)+1,FIND("-",FJ164,FIND("|",FJ164))-FIND("|",FJ164)-1))),ABS(INDEX($Q$164:$Q$179,MATCH(LEFT(FJ164,FIND("·",FJ164)-1),$C$164:$C$179,0))-(VALUE(MID(FJ164,FIND("|",FJ164)+1,FIND("-",FJ164,FIND("|",FJ164))-FIND("|",FJ164)-1))-VALUE(MID(FJ164,FIND("-",FJ164,FIND("|",FJ164))+1,10)))))*$D$50)))))*INDEX($I$164:$I$179,MATCH(LEFT(FJ164,FIND("·",FJ164)-1),$C$164:$C$179,0)),0),0),0)</f>
        <v>0</v>
      </c>
      <c r="FL164" s="108"/>
      <c r="FM164" s="75" t="str">
        <f>Idiomas!$D$367</f>
        <v>Pegar Valores Dieciseisavos</v>
      </c>
      <c r="FN164" s="76">
        <f t="shared" ref="FN164:FN179" ca="1" si="5490">IFERROR(IF(COUNTIF($K$164:$K$179,LEFT(FM164,FIND("·",FM164)-1))&gt;0,IF(INDEX($L$164:$L$179,MATCH(LEFT(FM164,FIND("·",FM164)-1),$K$164:$K$179,0))=IFERROR(VALUE(MID(FM164,FIND("·",FM164)+1,1)),0),($D$16+(INDEX($M$164:$M$179,MATCH(LEFT(FM164,FIND("·",FM164)-1),$K$164:$K$179,0))=MID(FM164,FIND("|",FM164)+1,10))*$D$18+MAX(0,IF($D$50=1,$D$17*(1-(ABS(INDEX($P$164:$P$179,MATCH(LEFT(FM164,FIND("·",FM164)-1),$K$164:$K$179,0))-(VALUE(MID(FM164,FIND("|",FM164)+1,FIND("-",FM164,FIND("|",FM164))-FIND("|",FM164)-1))-VALUE(MID(FM164,FIND("-",FM164,FIND("|",FM164))+1,10)))))*$D$50),$D$17*(1-(IF(INDEX($L$164:$L$179,MATCH(LEFT(FM164,FIND("·",FM164)-1),$K$164:$K$179,0))=0,ABS(INDEX($N$164:$N$179,MATCH(LEFT(FM164,FIND("·",FM164)-1),$K$164:$K$179,0))-VALUE(MID(FM164,FIND("|",FM164)+1,FIND("-",FM164,FIND("|",FM164))-FIND("|",FM164)-1))),ABS(INDEX($P$164:$P$179,MATCH(LEFT(FM164,FIND("·",FM164)-1),$K$164:$K$179,0))-(VALUE(MID(FM164,FIND("|",FM164)+1,FIND("-",FM164,FIND("|",FM164))-FIND("|",FM164)-1))-VALUE(MID(FM164,FIND("-",FM164,FIND("|",FM164))+1,10)))))*$D$50)))))*INDEX($I$164:$I$179,MATCH(LEFT(FM164,FIND("·",FM164)-1),$K$164:$K$179,0)),0),0),0)+IFERROR(IF(COUNTIF($C$164:$C$179,LEFT(FM164,FIND("·",FM164)-1))&gt;0,IF(INDEX($D$164:$D$179,MATCH(LEFT(FM164,FIND("·",FM164)-1),$C$164:$C$179,0))=IFERROR(VALUE(MID(FM164,FIND("·",FM164)+1,1)),0),($D$16+(INDEX($E$164:$E$179,MATCH(LEFT(FM164,FIND("·",FM164)-1),$C$164:$C$179,0))=MID(FM164,FIND("|",FM164)+1,10))*$D$18+MAX(0,IF($D$50=1,$D$17*(1-(ABS(INDEX($Q$164:$Q$179,MATCH(LEFT(FM164,FIND("·",FM164)-1),$C$164:$C$179,0))-(VALUE(MID(FM164,FIND("|",FM164)+1,FIND("-",FM164,FIND("|",FM164))-FIND("|",FM164)-1))-VALUE(MID(FM164,FIND("-",FM164,FIND("|",FM164))+1,10)))))*$D$50),$D$17*(1-(IF(INDEX($D$164:$D$179,MATCH(LEFT(FM164,FIND("·",FM164)-1),$C$164:$C$179,0))=0,ABS(INDEX($A$164:$A$179,MATCH(LEFT(FM164,FIND("·",FM164)-1),$C$164:$C$179,0))-VALUE(MID(FM164,FIND("|",FM164)+1,FIND("-",FM164,FIND("|",FM164))-FIND("|",FM164)-1))),ABS(INDEX($Q$164:$Q$179,MATCH(LEFT(FM164,FIND("·",FM164)-1),$C$164:$C$179,0))-(VALUE(MID(FM164,FIND("|",FM164)+1,FIND("-",FM164,FIND("|",FM164))-FIND("|",FM164)-1))-VALUE(MID(FM164,FIND("-",FM164,FIND("|",FM164))+1,10)))))*$D$50)))))*INDEX($I$164:$I$179,MATCH(LEFT(FM164,FIND("·",FM164)-1),$C$164:$C$179,0)),0),0),0)</f>
        <v>0</v>
      </c>
      <c r="FO164" s="108"/>
      <c r="FP164" s="75" t="str">
        <f>Idiomas!$D$367</f>
        <v>Pegar Valores Dieciseisavos</v>
      </c>
      <c r="FQ164" s="76">
        <f t="shared" ref="FQ164:FQ179" ca="1" si="5491">IFERROR(IF(COUNTIF($K$164:$K$179,LEFT(FP164,FIND("·",FP164)-1))&gt;0,IF(INDEX($L$164:$L$179,MATCH(LEFT(FP164,FIND("·",FP164)-1),$K$164:$K$179,0))=IFERROR(VALUE(MID(FP164,FIND("·",FP164)+1,1)),0),($D$16+(INDEX($M$164:$M$179,MATCH(LEFT(FP164,FIND("·",FP164)-1),$K$164:$K$179,0))=MID(FP164,FIND("|",FP164)+1,10))*$D$18+MAX(0,IF($D$50=1,$D$17*(1-(ABS(INDEX($P$164:$P$179,MATCH(LEFT(FP164,FIND("·",FP164)-1),$K$164:$K$179,0))-(VALUE(MID(FP164,FIND("|",FP164)+1,FIND("-",FP164,FIND("|",FP164))-FIND("|",FP164)-1))-VALUE(MID(FP164,FIND("-",FP164,FIND("|",FP164))+1,10)))))*$D$50),$D$17*(1-(IF(INDEX($L$164:$L$179,MATCH(LEFT(FP164,FIND("·",FP164)-1),$K$164:$K$179,0))=0,ABS(INDEX($N$164:$N$179,MATCH(LEFT(FP164,FIND("·",FP164)-1),$K$164:$K$179,0))-VALUE(MID(FP164,FIND("|",FP164)+1,FIND("-",FP164,FIND("|",FP164))-FIND("|",FP164)-1))),ABS(INDEX($P$164:$P$179,MATCH(LEFT(FP164,FIND("·",FP164)-1),$K$164:$K$179,0))-(VALUE(MID(FP164,FIND("|",FP164)+1,FIND("-",FP164,FIND("|",FP164))-FIND("|",FP164)-1))-VALUE(MID(FP164,FIND("-",FP164,FIND("|",FP164))+1,10)))))*$D$50)))))*INDEX($I$164:$I$179,MATCH(LEFT(FP164,FIND("·",FP164)-1),$K$164:$K$179,0)),0),0),0)+IFERROR(IF(COUNTIF($C$164:$C$179,LEFT(FP164,FIND("·",FP164)-1))&gt;0,IF(INDEX($D$164:$D$179,MATCH(LEFT(FP164,FIND("·",FP164)-1),$C$164:$C$179,0))=IFERROR(VALUE(MID(FP164,FIND("·",FP164)+1,1)),0),($D$16+(INDEX($E$164:$E$179,MATCH(LEFT(FP164,FIND("·",FP164)-1),$C$164:$C$179,0))=MID(FP164,FIND("|",FP164)+1,10))*$D$18+MAX(0,IF($D$50=1,$D$17*(1-(ABS(INDEX($Q$164:$Q$179,MATCH(LEFT(FP164,FIND("·",FP164)-1),$C$164:$C$179,0))-(VALUE(MID(FP164,FIND("|",FP164)+1,FIND("-",FP164,FIND("|",FP164))-FIND("|",FP164)-1))-VALUE(MID(FP164,FIND("-",FP164,FIND("|",FP164))+1,10)))))*$D$50),$D$17*(1-(IF(INDEX($D$164:$D$179,MATCH(LEFT(FP164,FIND("·",FP164)-1),$C$164:$C$179,0))=0,ABS(INDEX($A$164:$A$179,MATCH(LEFT(FP164,FIND("·",FP164)-1),$C$164:$C$179,0))-VALUE(MID(FP164,FIND("|",FP164)+1,FIND("-",FP164,FIND("|",FP164))-FIND("|",FP164)-1))),ABS(INDEX($Q$164:$Q$179,MATCH(LEFT(FP164,FIND("·",FP164)-1),$C$164:$C$179,0))-(VALUE(MID(FP164,FIND("|",FP164)+1,FIND("-",FP164,FIND("|",FP164))-FIND("|",FP164)-1))-VALUE(MID(FP164,FIND("-",FP164,FIND("|",FP164))+1,10)))))*$D$50)))))*INDEX($I$164:$I$179,MATCH(LEFT(FP164,FIND("·",FP164)-1),$C$164:$C$179,0)),0),0),0)</f>
        <v>0</v>
      </c>
      <c r="FR164" s="108"/>
      <c r="FS164" s="75" t="str">
        <f>Idiomas!$D$367</f>
        <v>Pegar Valores Dieciseisavos</v>
      </c>
      <c r="FT164" s="76">
        <f t="shared" ref="FT164:FT179" ca="1" si="5492">IFERROR(IF(COUNTIF($K$164:$K$179,LEFT(FS164,FIND("·",FS164)-1))&gt;0,IF(INDEX($L$164:$L$179,MATCH(LEFT(FS164,FIND("·",FS164)-1),$K$164:$K$179,0))=IFERROR(VALUE(MID(FS164,FIND("·",FS164)+1,1)),0),($D$16+(INDEX($M$164:$M$179,MATCH(LEFT(FS164,FIND("·",FS164)-1),$K$164:$K$179,0))=MID(FS164,FIND("|",FS164)+1,10))*$D$18+MAX(0,IF($D$50=1,$D$17*(1-(ABS(INDEX($P$164:$P$179,MATCH(LEFT(FS164,FIND("·",FS164)-1),$K$164:$K$179,0))-(VALUE(MID(FS164,FIND("|",FS164)+1,FIND("-",FS164,FIND("|",FS164))-FIND("|",FS164)-1))-VALUE(MID(FS164,FIND("-",FS164,FIND("|",FS164))+1,10)))))*$D$50),$D$17*(1-(IF(INDEX($L$164:$L$179,MATCH(LEFT(FS164,FIND("·",FS164)-1),$K$164:$K$179,0))=0,ABS(INDEX($N$164:$N$179,MATCH(LEFT(FS164,FIND("·",FS164)-1),$K$164:$K$179,0))-VALUE(MID(FS164,FIND("|",FS164)+1,FIND("-",FS164,FIND("|",FS164))-FIND("|",FS164)-1))),ABS(INDEX($P$164:$P$179,MATCH(LEFT(FS164,FIND("·",FS164)-1),$K$164:$K$179,0))-(VALUE(MID(FS164,FIND("|",FS164)+1,FIND("-",FS164,FIND("|",FS164))-FIND("|",FS164)-1))-VALUE(MID(FS164,FIND("-",FS164,FIND("|",FS164))+1,10)))))*$D$50)))))*INDEX($I$164:$I$179,MATCH(LEFT(FS164,FIND("·",FS164)-1),$K$164:$K$179,0)),0),0),0)+IFERROR(IF(COUNTIF($C$164:$C$179,LEFT(FS164,FIND("·",FS164)-1))&gt;0,IF(INDEX($D$164:$D$179,MATCH(LEFT(FS164,FIND("·",FS164)-1),$C$164:$C$179,0))=IFERROR(VALUE(MID(FS164,FIND("·",FS164)+1,1)),0),($D$16+(INDEX($E$164:$E$179,MATCH(LEFT(FS164,FIND("·",FS164)-1),$C$164:$C$179,0))=MID(FS164,FIND("|",FS164)+1,10))*$D$18+MAX(0,IF($D$50=1,$D$17*(1-(ABS(INDEX($Q$164:$Q$179,MATCH(LEFT(FS164,FIND("·",FS164)-1),$C$164:$C$179,0))-(VALUE(MID(FS164,FIND("|",FS164)+1,FIND("-",FS164,FIND("|",FS164))-FIND("|",FS164)-1))-VALUE(MID(FS164,FIND("-",FS164,FIND("|",FS164))+1,10)))))*$D$50),$D$17*(1-(IF(INDEX($D$164:$D$179,MATCH(LEFT(FS164,FIND("·",FS164)-1),$C$164:$C$179,0))=0,ABS(INDEX($A$164:$A$179,MATCH(LEFT(FS164,FIND("·",FS164)-1),$C$164:$C$179,0))-VALUE(MID(FS164,FIND("|",FS164)+1,FIND("-",FS164,FIND("|",FS164))-FIND("|",FS164)-1))),ABS(INDEX($Q$164:$Q$179,MATCH(LEFT(FS164,FIND("·",FS164)-1),$C$164:$C$179,0))-(VALUE(MID(FS164,FIND("|",FS164)+1,FIND("-",FS164,FIND("|",FS164))-FIND("|",FS164)-1))-VALUE(MID(FS164,FIND("-",FS164,FIND("|",FS164))+1,10)))))*$D$50)))))*INDEX($I$164:$I$179,MATCH(LEFT(FS164,FIND("·",FS164)-1),$C$164:$C$179,0)),0),0),0)</f>
        <v>0</v>
      </c>
      <c r="FU164" s="108"/>
      <c r="FV164" s="75" t="str">
        <f>Idiomas!$D$367</f>
        <v>Pegar Valores Dieciseisavos</v>
      </c>
      <c r="FW164" s="76">
        <f t="shared" ref="FW164:FW179" ca="1" si="5493">IFERROR(IF(COUNTIF($K$164:$K$179,LEFT(FV164,FIND("·",FV164)-1))&gt;0,IF(INDEX($L$164:$L$179,MATCH(LEFT(FV164,FIND("·",FV164)-1),$K$164:$K$179,0))=IFERROR(VALUE(MID(FV164,FIND("·",FV164)+1,1)),0),($D$16+(INDEX($M$164:$M$179,MATCH(LEFT(FV164,FIND("·",FV164)-1),$K$164:$K$179,0))=MID(FV164,FIND("|",FV164)+1,10))*$D$18+MAX(0,IF($D$50=1,$D$17*(1-(ABS(INDEX($P$164:$P$179,MATCH(LEFT(FV164,FIND("·",FV164)-1),$K$164:$K$179,0))-(VALUE(MID(FV164,FIND("|",FV164)+1,FIND("-",FV164,FIND("|",FV164))-FIND("|",FV164)-1))-VALUE(MID(FV164,FIND("-",FV164,FIND("|",FV164))+1,10)))))*$D$50),$D$17*(1-(IF(INDEX($L$164:$L$179,MATCH(LEFT(FV164,FIND("·",FV164)-1),$K$164:$K$179,0))=0,ABS(INDEX($N$164:$N$179,MATCH(LEFT(FV164,FIND("·",FV164)-1),$K$164:$K$179,0))-VALUE(MID(FV164,FIND("|",FV164)+1,FIND("-",FV164,FIND("|",FV164))-FIND("|",FV164)-1))),ABS(INDEX($P$164:$P$179,MATCH(LEFT(FV164,FIND("·",FV164)-1),$K$164:$K$179,0))-(VALUE(MID(FV164,FIND("|",FV164)+1,FIND("-",FV164,FIND("|",FV164))-FIND("|",FV164)-1))-VALUE(MID(FV164,FIND("-",FV164,FIND("|",FV164))+1,10)))))*$D$50)))))*INDEX($I$164:$I$179,MATCH(LEFT(FV164,FIND("·",FV164)-1),$K$164:$K$179,0)),0),0),0)+IFERROR(IF(COUNTIF($C$164:$C$179,LEFT(FV164,FIND("·",FV164)-1))&gt;0,IF(INDEX($D$164:$D$179,MATCH(LEFT(FV164,FIND("·",FV164)-1),$C$164:$C$179,0))=IFERROR(VALUE(MID(FV164,FIND("·",FV164)+1,1)),0),($D$16+(INDEX($E$164:$E$179,MATCH(LEFT(FV164,FIND("·",FV164)-1),$C$164:$C$179,0))=MID(FV164,FIND("|",FV164)+1,10))*$D$18+MAX(0,IF($D$50=1,$D$17*(1-(ABS(INDEX($Q$164:$Q$179,MATCH(LEFT(FV164,FIND("·",FV164)-1),$C$164:$C$179,0))-(VALUE(MID(FV164,FIND("|",FV164)+1,FIND("-",FV164,FIND("|",FV164))-FIND("|",FV164)-1))-VALUE(MID(FV164,FIND("-",FV164,FIND("|",FV164))+1,10)))))*$D$50),$D$17*(1-(IF(INDEX($D$164:$D$179,MATCH(LEFT(FV164,FIND("·",FV164)-1),$C$164:$C$179,0))=0,ABS(INDEX($A$164:$A$179,MATCH(LEFT(FV164,FIND("·",FV164)-1),$C$164:$C$179,0))-VALUE(MID(FV164,FIND("|",FV164)+1,FIND("-",FV164,FIND("|",FV164))-FIND("|",FV164)-1))),ABS(INDEX($Q$164:$Q$179,MATCH(LEFT(FV164,FIND("·",FV164)-1),$C$164:$C$179,0))-(VALUE(MID(FV164,FIND("|",FV164)+1,FIND("-",FV164,FIND("|",FV164))-FIND("|",FV164)-1))-VALUE(MID(FV164,FIND("-",FV164,FIND("|",FV164))+1,10)))))*$D$50)))))*INDEX($I$164:$I$179,MATCH(LEFT(FV164,FIND("·",FV164)-1),$C$164:$C$179,0)),0),0),0)</f>
        <v>0</v>
      </c>
      <c r="FX164" s="108"/>
      <c r="FY164" s="75" t="str">
        <f>Idiomas!$D$367</f>
        <v>Pegar Valores Dieciseisavos</v>
      </c>
      <c r="FZ164" s="76">
        <f t="shared" ref="FZ164:FZ179" ca="1" si="5494">IFERROR(IF(COUNTIF($K$164:$K$179,LEFT(FY164,FIND("·",FY164)-1))&gt;0,IF(INDEX($L$164:$L$179,MATCH(LEFT(FY164,FIND("·",FY164)-1),$K$164:$K$179,0))=IFERROR(VALUE(MID(FY164,FIND("·",FY164)+1,1)),0),($D$16+(INDEX($M$164:$M$179,MATCH(LEFT(FY164,FIND("·",FY164)-1),$K$164:$K$179,0))=MID(FY164,FIND("|",FY164)+1,10))*$D$18+MAX(0,IF($D$50=1,$D$17*(1-(ABS(INDEX($P$164:$P$179,MATCH(LEFT(FY164,FIND("·",FY164)-1),$K$164:$K$179,0))-(VALUE(MID(FY164,FIND("|",FY164)+1,FIND("-",FY164,FIND("|",FY164))-FIND("|",FY164)-1))-VALUE(MID(FY164,FIND("-",FY164,FIND("|",FY164))+1,10)))))*$D$50),$D$17*(1-(IF(INDEX($L$164:$L$179,MATCH(LEFT(FY164,FIND("·",FY164)-1),$K$164:$K$179,0))=0,ABS(INDEX($N$164:$N$179,MATCH(LEFT(FY164,FIND("·",FY164)-1),$K$164:$K$179,0))-VALUE(MID(FY164,FIND("|",FY164)+1,FIND("-",FY164,FIND("|",FY164))-FIND("|",FY164)-1))),ABS(INDEX($P$164:$P$179,MATCH(LEFT(FY164,FIND("·",FY164)-1),$K$164:$K$179,0))-(VALUE(MID(FY164,FIND("|",FY164)+1,FIND("-",FY164,FIND("|",FY164))-FIND("|",FY164)-1))-VALUE(MID(FY164,FIND("-",FY164,FIND("|",FY164))+1,10)))))*$D$50)))))*INDEX($I$164:$I$179,MATCH(LEFT(FY164,FIND("·",FY164)-1),$K$164:$K$179,0)),0),0),0)+IFERROR(IF(COUNTIF($C$164:$C$179,LEFT(FY164,FIND("·",FY164)-1))&gt;0,IF(INDEX($D$164:$D$179,MATCH(LEFT(FY164,FIND("·",FY164)-1),$C$164:$C$179,0))=IFERROR(VALUE(MID(FY164,FIND("·",FY164)+1,1)),0),($D$16+(INDEX($E$164:$E$179,MATCH(LEFT(FY164,FIND("·",FY164)-1),$C$164:$C$179,0))=MID(FY164,FIND("|",FY164)+1,10))*$D$18+MAX(0,IF($D$50=1,$D$17*(1-(ABS(INDEX($Q$164:$Q$179,MATCH(LEFT(FY164,FIND("·",FY164)-1),$C$164:$C$179,0))-(VALUE(MID(FY164,FIND("|",FY164)+1,FIND("-",FY164,FIND("|",FY164))-FIND("|",FY164)-1))-VALUE(MID(FY164,FIND("-",FY164,FIND("|",FY164))+1,10)))))*$D$50),$D$17*(1-(IF(INDEX($D$164:$D$179,MATCH(LEFT(FY164,FIND("·",FY164)-1),$C$164:$C$179,0))=0,ABS(INDEX($A$164:$A$179,MATCH(LEFT(FY164,FIND("·",FY164)-1),$C$164:$C$179,0))-VALUE(MID(FY164,FIND("|",FY164)+1,FIND("-",FY164,FIND("|",FY164))-FIND("|",FY164)-1))),ABS(INDEX($Q$164:$Q$179,MATCH(LEFT(FY164,FIND("·",FY164)-1),$C$164:$C$179,0))-(VALUE(MID(FY164,FIND("|",FY164)+1,FIND("-",FY164,FIND("|",FY164))-FIND("|",FY164)-1))-VALUE(MID(FY164,FIND("-",FY164,FIND("|",FY164))+1,10)))))*$D$50)))))*INDEX($I$164:$I$179,MATCH(LEFT(FY164,FIND("·",FY164)-1),$C$164:$C$179,0)),0),0),0)</f>
        <v>0</v>
      </c>
      <c r="GA164" s="108"/>
      <c r="GB164" s="75" t="str">
        <f>Idiomas!$D$367</f>
        <v>Pegar Valores Dieciseisavos</v>
      </c>
      <c r="GC164" s="76">
        <f t="shared" ref="GC164:GC179" ca="1" si="5495">IFERROR(IF(COUNTIF($K$164:$K$179,LEFT(GB164,FIND("·",GB164)-1))&gt;0,IF(INDEX($L$164:$L$179,MATCH(LEFT(GB164,FIND("·",GB164)-1),$K$164:$K$179,0))=IFERROR(VALUE(MID(GB164,FIND("·",GB164)+1,1)),0),($D$16+(INDEX($M$164:$M$179,MATCH(LEFT(GB164,FIND("·",GB164)-1),$K$164:$K$179,0))=MID(GB164,FIND("|",GB164)+1,10))*$D$18+MAX(0,IF($D$50=1,$D$17*(1-(ABS(INDEX($P$164:$P$179,MATCH(LEFT(GB164,FIND("·",GB164)-1),$K$164:$K$179,0))-(VALUE(MID(GB164,FIND("|",GB164)+1,FIND("-",GB164,FIND("|",GB164))-FIND("|",GB164)-1))-VALUE(MID(GB164,FIND("-",GB164,FIND("|",GB164))+1,10)))))*$D$50),$D$17*(1-(IF(INDEX($L$164:$L$179,MATCH(LEFT(GB164,FIND("·",GB164)-1),$K$164:$K$179,0))=0,ABS(INDEX($N$164:$N$179,MATCH(LEFT(GB164,FIND("·",GB164)-1),$K$164:$K$179,0))-VALUE(MID(GB164,FIND("|",GB164)+1,FIND("-",GB164,FIND("|",GB164))-FIND("|",GB164)-1))),ABS(INDEX($P$164:$P$179,MATCH(LEFT(GB164,FIND("·",GB164)-1),$K$164:$K$179,0))-(VALUE(MID(GB164,FIND("|",GB164)+1,FIND("-",GB164,FIND("|",GB164))-FIND("|",GB164)-1))-VALUE(MID(GB164,FIND("-",GB164,FIND("|",GB164))+1,10)))))*$D$50)))))*INDEX($I$164:$I$179,MATCH(LEFT(GB164,FIND("·",GB164)-1),$K$164:$K$179,0)),0),0),0)+IFERROR(IF(COUNTIF($C$164:$C$179,LEFT(GB164,FIND("·",GB164)-1))&gt;0,IF(INDEX($D$164:$D$179,MATCH(LEFT(GB164,FIND("·",GB164)-1),$C$164:$C$179,0))=IFERROR(VALUE(MID(GB164,FIND("·",GB164)+1,1)),0),($D$16+(INDEX($E$164:$E$179,MATCH(LEFT(GB164,FIND("·",GB164)-1),$C$164:$C$179,0))=MID(GB164,FIND("|",GB164)+1,10))*$D$18+MAX(0,IF($D$50=1,$D$17*(1-(ABS(INDEX($Q$164:$Q$179,MATCH(LEFT(GB164,FIND("·",GB164)-1),$C$164:$C$179,0))-(VALUE(MID(GB164,FIND("|",GB164)+1,FIND("-",GB164,FIND("|",GB164))-FIND("|",GB164)-1))-VALUE(MID(GB164,FIND("-",GB164,FIND("|",GB164))+1,10)))))*$D$50),$D$17*(1-(IF(INDEX($D$164:$D$179,MATCH(LEFT(GB164,FIND("·",GB164)-1),$C$164:$C$179,0))=0,ABS(INDEX($A$164:$A$179,MATCH(LEFT(GB164,FIND("·",GB164)-1),$C$164:$C$179,0))-VALUE(MID(GB164,FIND("|",GB164)+1,FIND("-",GB164,FIND("|",GB164))-FIND("|",GB164)-1))),ABS(INDEX($Q$164:$Q$179,MATCH(LEFT(GB164,FIND("·",GB164)-1),$C$164:$C$179,0))-(VALUE(MID(GB164,FIND("|",GB164)+1,FIND("-",GB164,FIND("|",GB164))-FIND("|",GB164)-1))-VALUE(MID(GB164,FIND("-",GB164,FIND("|",GB164))+1,10)))))*$D$50)))))*INDEX($I$164:$I$179,MATCH(LEFT(GB164,FIND("·",GB164)-1),$C$164:$C$179,0)),0),0),0)</f>
        <v>0</v>
      </c>
      <c r="GD164" s="108"/>
      <c r="GE164" s="75" t="str">
        <f>Idiomas!$D$367</f>
        <v>Pegar Valores Dieciseisavos</v>
      </c>
      <c r="GF164" s="76">
        <f t="shared" ref="GF164:GF179" ca="1" si="5496">IFERROR(IF(COUNTIF($K$164:$K$179,LEFT(GE164,FIND("·",GE164)-1))&gt;0,IF(INDEX($L$164:$L$179,MATCH(LEFT(GE164,FIND("·",GE164)-1),$K$164:$K$179,0))=IFERROR(VALUE(MID(GE164,FIND("·",GE164)+1,1)),0),($D$16+(INDEX($M$164:$M$179,MATCH(LEFT(GE164,FIND("·",GE164)-1),$K$164:$K$179,0))=MID(GE164,FIND("|",GE164)+1,10))*$D$18+MAX(0,IF($D$50=1,$D$17*(1-(ABS(INDEX($P$164:$P$179,MATCH(LEFT(GE164,FIND("·",GE164)-1),$K$164:$K$179,0))-(VALUE(MID(GE164,FIND("|",GE164)+1,FIND("-",GE164,FIND("|",GE164))-FIND("|",GE164)-1))-VALUE(MID(GE164,FIND("-",GE164,FIND("|",GE164))+1,10)))))*$D$50),$D$17*(1-(IF(INDEX($L$164:$L$179,MATCH(LEFT(GE164,FIND("·",GE164)-1),$K$164:$K$179,0))=0,ABS(INDEX($N$164:$N$179,MATCH(LEFT(GE164,FIND("·",GE164)-1),$K$164:$K$179,0))-VALUE(MID(GE164,FIND("|",GE164)+1,FIND("-",GE164,FIND("|",GE164))-FIND("|",GE164)-1))),ABS(INDEX($P$164:$P$179,MATCH(LEFT(GE164,FIND("·",GE164)-1),$K$164:$K$179,0))-(VALUE(MID(GE164,FIND("|",GE164)+1,FIND("-",GE164,FIND("|",GE164))-FIND("|",GE164)-1))-VALUE(MID(GE164,FIND("-",GE164,FIND("|",GE164))+1,10)))))*$D$50)))))*INDEX($I$164:$I$179,MATCH(LEFT(GE164,FIND("·",GE164)-1),$K$164:$K$179,0)),0),0),0)+IFERROR(IF(COUNTIF($C$164:$C$179,LEFT(GE164,FIND("·",GE164)-1))&gt;0,IF(INDEX($D$164:$D$179,MATCH(LEFT(GE164,FIND("·",GE164)-1),$C$164:$C$179,0))=IFERROR(VALUE(MID(GE164,FIND("·",GE164)+1,1)),0),($D$16+(INDEX($E$164:$E$179,MATCH(LEFT(GE164,FIND("·",GE164)-1),$C$164:$C$179,0))=MID(GE164,FIND("|",GE164)+1,10))*$D$18+MAX(0,IF($D$50=1,$D$17*(1-(ABS(INDEX($Q$164:$Q$179,MATCH(LEFT(GE164,FIND("·",GE164)-1),$C$164:$C$179,0))-(VALUE(MID(GE164,FIND("|",GE164)+1,FIND("-",GE164,FIND("|",GE164))-FIND("|",GE164)-1))-VALUE(MID(GE164,FIND("-",GE164,FIND("|",GE164))+1,10)))))*$D$50),$D$17*(1-(IF(INDEX($D$164:$D$179,MATCH(LEFT(GE164,FIND("·",GE164)-1),$C$164:$C$179,0))=0,ABS(INDEX($A$164:$A$179,MATCH(LEFT(GE164,FIND("·",GE164)-1),$C$164:$C$179,0))-VALUE(MID(GE164,FIND("|",GE164)+1,FIND("-",GE164,FIND("|",GE164))-FIND("|",GE164)-1))),ABS(INDEX($Q$164:$Q$179,MATCH(LEFT(GE164,FIND("·",GE164)-1),$C$164:$C$179,0))-(VALUE(MID(GE164,FIND("|",GE164)+1,FIND("-",GE164,FIND("|",GE164))-FIND("|",GE164)-1))-VALUE(MID(GE164,FIND("-",GE164,FIND("|",GE164))+1,10)))))*$D$50)))))*INDEX($I$164:$I$179,MATCH(LEFT(GE164,FIND("·",GE164)-1),$C$164:$C$179,0)),0),0),0)</f>
        <v>0</v>
      </c>
      <c r="GG164" s="108"/>
      <c r="GH164" s="75" t="str">
        <f>Idiomas!$D$367</f>
        <v>Pegar Valores Dieciseisavos</v>
      </c>
      <c r="GI164" s="76">
        <f t="shared" ref="GI164:GI179" ca="1" si="5497">IFERROR(IF(COUNTIF($K$164:$K$179,LEFT(GH164,FIND("·",GH164)-1))&gt;0,IF(INDEX($L$164:$L$179,MATCH(LEFT(GH164,FIND("·",GH164)-1),$K$164:$K$179,0))=IFERROR(VALUE(MID(GH164,FIND("·",GH164)+1,1)),0),($D$16+(INDEX($M$164:$M$179,MATCH(LEFT(GH164,FIND("·",GH164)-1),$K$164:$K$179,0))=MID(GH164,FIND("|",GH164)+1,10))*$D$18+MAX(0,IF($D$50=1,$D$17*(1-(ABS(INDEX($P$164:$P$179,MATCH(LEFT(GH164,FIND("·",GH164)-1),$K$164:$K$179,0))-(VALUE(MID(GH164,FIND("|",GH164)+1,FIND("-",GH164,FIND("|",GH164))-FIND("|",GH164)-1))-VALUE(MID(GH164,FIND("-",GH164,FIND("|",GH164))+1,10)))))*$D$50),$D$17*(1-(IF(INDEX($L$164:$L$179,MATCH(LEFT(GH164,FIND("·",GH164)-1),$K$164:$K$179,0))=0,ABS(INDEX($N$164:$N$179,MATCH(LEFT(GH164,FIND("·",GH164)-1),$K$164:$K$179,0))-VALUE(MID(GH164,FIND("|",GH164)+1,FIND("-",GH164,FIND("|",GH164))-FIND("|",GH164)-1))),ABS(INDEX($P$164:$P$179,MATCH(LEFT(GH164,FIND("·",GH164)-1),$K$164:$K$179,0))-(VALUE(MID(GH164,FIND("|",GH164)+1,FIND("-",GH164,FIND("|",GH164))-FIND("|",GH164)-1))-VALUE(MID(GH164,FIND("-",GH164,FIND("|",GH164))+1,10)))))*$D$50)))))*INDEX($I$164:$I$179,MATCH(LEFT(GH164,FIND("·",GH164)-1),$K$164:$K$179,0)),0),0),0)+IFERROR(IF(COUNTIF($C$164:$C$179,LEFT(GH164,FIND("·",GH164)-1))&gt;0,IF(INDEX($D$164:$D$179,MATCH(LEFT(GH164,FIND("·",GH164)-1),$C$164:$C$179,0))=IFERROR(VALUE(MID(GH164,FIND("·",GH164)+1,1)),0),($D$16+(INDEX($E$164:$E$179,MATCH(LEFT(GH164,FIND("·",GH164)-1),$C$164:$C$179,0))=MID(GH164,FIND("|",GH164)+1,10))*$D$18+MAX(0,IF($D$50=1,$D$17*(1-(ABS(INDEX($Q$164:$Q$179,MATCH(LEFT(GH164,FIND("·",GH164)-1),$C$164:$C$179,0))-(VALUE(MID(GH164,FIND("|",GH164)+1,FIND("-",GH164,FIND("|",GH164))-FIND("|",GH164)-1))-VALUE(MID(GH164,FIND("-",GH164,FIND("|",GH164))+1,10)))))*$D$50),$D$17*(1-(IF(INDEX($D$164:$D$179,MATCH(LEFT(GH164,FIND("·",GH164)-1),$C$164:$C$179,0))=0,ABS(INDEX($A$164:$A$179,MATCH(LEFT(GH164,FIND("·",GH164)-1),$C$164:$C$179,0))-VALUE(MID(GH164,FIND("|",GH164)+1,FIND("-",GH164,FIND("|",GH164))-FIND("|",GH164)-1))),ABS(INDEX($Q$164:$Q$179,MATCH(LEFT(GH164,FIND("·",GH164)-1),$C$164:$C$179,0))-(VALUE(MID(GH164,FIND("|",GH164)+1,FIND("-",GH164,FIND("|",GH164))-FIND("|",GH164)-1))-VALUE(MID(GH164,FIND("-",GH164,FIND("|",GH164))+1,10)))))*$D$50)))))*INDEX($I$164:$I$179,MATCH(LEFT(GH164,FIND("·",GH164)-1),$C$164:$C$179,0)),0),0),0)</f>
        <v>0</v>
      </c>
      <c r="GJ164" s="108"/>
      <c r="GK164" s="75" t="str">
        <f>Idiomas!$D$367</f>
        <v>Pegar Valores Dieciseisavos</v>
      </c>
      <c r="GL164" s="76">
        <f t="shared" ref="GL164:GL179" ca="1" si="5498">IFERROR(IF(COUNTIF($K$164:$K$179,LEFT(GK164,FIND("·",GK164)-1))&gt;0,IF(INDEX($L$164:$L$179,MATCH(LEFT(GK164,FIND("·",GK164)-1),$K$164:$K$179,0))=IFERROR(VALUE(MID(GK164,FIND("·",GK164)+1,1)),0),($D$16+(INDEX($M$164:$M$179,MATCH(LEFT(GK164,FIND("·",GK164)-1),$K$164:$K$179,0))=MID(GK164,FIND("|",GK164)+1,10))*$D$18+MAX(0,IF($D$50=1,$D$17*(1-(ABS(INDEX($P$164:$P$179,MATCH(LEFT(GK164,FIND("·",GK164)-1),$K$164:$K$179,0))-(VALUE(MID(GK164,FIND("|",GK164)+1,FIND("-",GK164,FIND("|",GK164))-FIND("|",GK164)-1))-VALUE(MID(GK164,FIND("-",GK164,FIND("|",GK164))+1,10)))))*$D$50),$D$17*(1-(IF(INDEX($L$164:$L$179,MATCH(LEFT(GK164,FIND("·",GK164)-1),$K$164:$K$179,0))=0,ABS(INDEX($N$164:$N$179,MATCH(LEFT(GK164,FIND("·",GK164)-1),$K$164:$K$179,0))-VALUE(MID(GK164,FIND("|",GK164)+1,FIND("-",GK164,FIND("|",GK164))-FIND("|",GK164)-1))),ABS(INDEX($P$164:$P$179,MATCH(LEFT(GK164,FIND("·",GK164)-1),$K$164:$K$179,0))-(VALUE(MID(GK164,FIND("|",GK164)+1,FIND("-",GK164,FIND("|",GK164))-FIND("|",GK164)-1))-VALUE(MID(GK164,FIND("-",GK164,FIND("|",GK164))+1,10)))))*$D$50)))))*INDEX($I$164:$I$179,MATCH(LEFT(GK164,FIND("·",GK164)-1),$K$164:$K$179,0)),0),0),0)+IFERROR(IF(COUNTIF($C$164:$C$179,LEFT(GK164,FIND("·",GK164)-1))&gt;0,IF(INDEX($D$164:$D$179,MATCH(LEFT(GK164,FIND("·",GK164)-1),$C$164:$C$179,0))=IFERROR(VALUE(MID(GK164,FIND("·",GK164)+1,1)),0),($D$16+(INDEX($E$164:$E$179,MATCH(LEFT(GK164,FIND("·",GK164)-1),$C$164:$C$179,0))=MID(GK164,FIND("|",GK164)+1,10))*$D$18+MAX(0,IF($D$50=1,$D$17*(1-(ABS(INDEX($Q$164:$Q$179,MATCH(LEFT(GK164,FIND("·",GK164)-1),$C$164:$C$179,0))-(VALUE(MID(GK164,FIND("|",GK164)+1,FIND("-",GK164,FIND("|",GK164))-FIND("|",GK164)-1))-VALUE(MID(GK164,FIND("-",GK164,FIND("|",GK164))+1,10)))))*$D$50),$D$17*(1-(IF(INDEX($D$164:$D$179,MATCH(LEFT(GK164,FIND("·",GK164)-1),$C$164:$C$179,0))=0,ABS(INDEX($A$164:$A$179,MATCH(LEFT(GK164,FIND("·",GK164)-1),$C$164:$C$179,0))-VALUE(MID(GK164,FIND("|",GK164)+1,FIND("-",GK164,FIND("|",GK164))-FIND("|",GK164)-1))),ABS(INDEX($Q$164:$Q$179,MATCH(LEFT(GK164,FIND("·",GK164)-1),$C$164:$C$179,0))-(VALUE(MID(GK164,FIND("|",GK164)+1,FIND("-",GK164,FIND("|",GK164))-FIND("|",GK164)-1))-VALUE(MID(GK164,FIND("-",GK164,FIND("|",GK164))+1,10)))))*$D$50)))))*INDEX($I$164:$I$179,MATCH(LEFT(GK164,FIND("·",GK164)-1),$C$164:$C$179,0)),0),0),0)</f>
        <v>0</v>
      </c>
      <c r="GM164" s="108"/>
      <c r="GN164" s="75" t="str">
        <f>Idiomas!$D$367</f>
        <v>Pegar Valores Dieciseisavos</v>
      </c>
      <c r="GO164" s="76">
        <f t="shared" ref="GO164:GO179" ca="1" si="5499">IFERROR(IF(COUNTIF($K$164:$K$179,LEFT(GN164,FIND("·",GN164)-1))&gt;0,IF(INDEX($L$164:$L$179,MATCH(LEFT(GN164,FIND("·",GN164)-1),$K$164:$K$179,0))=IFERROR(VALUE(MID(GN164,FIND("·",GN164)+1,1)),0),($D$16+(INDEX($M$164:$M$179,MATCH(LEFT(GN164,FIND("·",GN164)-1),$K$164:$K$179,0))=MID(GN164,FIND("|",GN164)+1,10))*$D$18+MAX(0,IF($D$50=1,$D$17*(1-(ABS(INDEX($P$164:$P$179,MATCH(LEFT(GN164,FIND("·",GN164)-1),$K$164:$K$179,0))-(VALUE(MID(GN164,FIND("|",GN164)+1,FIND("-",GN164,FIND("|",GN164))-FIND("|",GN164)-1))-VALUE(MID(GN164,FIND("-",GN164,FIND("|",GN164))+1,10)))))*$D$50),$D$17*(1-(IF(INDEX($L$164:$L$179,MATCH(LEFT(GN164,FIND("·",GN164)-1),$K$164:$K$179,0))=0,ABS(INDEX($N$164:$N$179,MATCH(LEFT(GN164,FIND("·",GN164)-1),$K$164:$K$179,0))-VALUE(MID(GN164,FIND("|",GN164)+1,FIND("-",GN164,FIND("|",GN164))-FIND("|",GN164)-1))),ABS(INDEX($P$164:$P$179,MATCH(LEFT(GN164,FIND("·",GN164)-1),$K$164:$K$179,0))-(VALUE(MID(GN164,FIND("|",GN164)+1,FIND("-",GN164,FIND("|",GN164))-FIND("|",GN164)-1))-VALUE(MID(GN164,FIND("-",GN164,FIND("|",GN164))+1,10)))))*$D$50)))))*INDEX($I$164:$I$179,MATCH(LEFT(GN164,FIND("·",GN164)-1),$K$164:$K$179,0)),0),0),0)+IFERROR(IF(COUNTIF($C$164:$C$179,LEFT(GN164,FIND("·",GN164)-1))&gt;0,IF(INDEX($D$164:$D$179,MATCH(LEFT(GN164,FIND("·",GN164)-1),$C$164:$C$179,0))=IFERROR(VALUE(MID(GN164,FIND("·",GN164)+1,1)),0),($D$16+(INDEX($E$164:$E$179,MATCH(LEFT(GN164,FIND("·",GN164)-1),$C$164:$C$179,0))=MID(GN164,FIND("|",GN164)+1,10))*$D$18+MAX(0,IF($D$50=1,$D$17*(1-(ABS(INDEX($Q$164:$Q$179,MATCH(LEFT(GN164,FIND("·",GN164)-1),$C$164:$C$179,0))-(VALUE(MID(GN164,FIND("|",GN164)+1,FIND("-",GN164,FIND("|",GN164))-FIND("|",GN164)-1))-VALUE(MID(GN164,FIND("-",GN164,FIND("|",GN164))+1,10)))))*$D$50),$D$17*(1-(IF(INDEX($D$164:$D$179,MATCH(LEFT(GN164,FIND("·",GN164)-1),$C$164:$C$179,0))=0,ABS(INDEX($A$164:$A$179,MATCH(LEFT(GN164,FIND("·",GN164)-1),$C$164:$C$179,0))-VALUE(MID(GN164,FIND("|",GN164)+1,FIND("-",GN164,FIND("|",GN164))-FIND("|",GN164)-1))),ABS(INDEX($Q$164:$Q$179,MATCH(LEFT(GN164,FIND("·",GN164)-1),$C$164:$C$179,0))-(VALUE(MID(GN164,FIND("|",GN164)+1,FIND("-",GN164,FIND("|",GN164))-FIND("|",GN164)-1))-VALUE(MID(GN164,FIND("-",GN164,FIND("|",GN164))+1,10)))))*$D$50)))))*INDEX($I$164:$I$179,MATCH(LEFT(GN164,FIND("·",GN164)-1),$C$164:$C$179,0)),0),0),0)</f>
        <v>0</v>
      </c>
      <c r="GP164" s="108"/>
      <c r="GQ164" s="75" t="str">
        <f>Idiomas!$D$367</f>
        <v>Pegar Valores Dieciseisavos</v>
      </c>
      <c r="GR164" s="76">
        <f t="shared" ref="GR164:GR179" ca="1" si="5500">IFERROR(IF(COUNTIF($K$164:$K$179,LEFT(GQ164,FIND("·",GQ164)-1))&gt;0,IF(INDEX($L$164:$L$179,MATCH(LEFT(GQ164,FIND("·",GQ164)-1),$K$164:$K$179,0))=IFERROR(VALUE(MID(GQ164,FIND("·",GQ164)+1,1)),0),($D$16+(INDEX($M$164:$M$179,MATCH(LEFT(GQ164,FIND("·",GQ164)-1),$K$164:$K$179,0))=MID(GQ164,FIND("|",GQ164)+1,10))*$D$18+MAX(0,IF($D$50=1,$D$17*(1-(ABS(INDEX($P$164:$P$179,MATCH(LEFT(GQ164,FIND("·",GQ164)-1),$K$164:$K$179,0))-(VALUE(MID(GQ164,FIND("|",GQ164)+1,FIND("-",GQ164,FIND("|",GQ164))-FIND("|",GQ164)-1))-VALUE(MID(GQ164,FIND("-",GQ164,FIND("|",GQ164))+1,10)))))*$D$50),$D$17*(1-(IF(INDEX($L$164:$L$179,MATCH(LEFT(GQ164,FIND("·",GQ164)-1),$K$164:$K$179,0))=0,ABS(INDEX($N$164:$N$179,MATCH(LEFT(GQ164,FIND("·",GQ164)-1),$K$164:$K$179,0))-VALUE(MID(GQ164,FIND("|",GQ164)+1,FIND("-",GQ164,FIND("|",GQ164))-FIND("|",GQ164)-1))),ABS(INDEX($P$164:$P$179,MATCH(LEFT(GQ164,FIND("·",GQ164)-1),$K$164:$K$179,0))-(VALUE(MID(GQ164,FIND("|",GQ164)+1,FIND("-",GQ164,FIND("|",GQ164))-FIND("|",GQ164)-1))-VALUE(MID(GQ164,FIND("-",GQ164,FIND("|",GQ164))+1,10)))))*$D$50)))))*INDEX($I$164:$I$179,MATCH(LEFT(GQ164,FIND("·",GQ164)-1),$K$164:$K$179,0)),0),0),0)+IFERROR(IF(COUNTIF($C$164:$C$179,LEFT(GQ164,FIND("·",GQ164)-1))&gt;0,IF(INDEX($D$164:$D$179,MATCH(LEFT(GQ164,FIND("·",GQ164)-1),$C$164:$C$179,0))=IFERROR(VALUE(MID(GQ164,FIND("·",GQ164)+1,1)),0),($D$16+(INDEX($E$164:$E$179,MATCH(LEFT(GQ164,FIND("·",GQ164)-1),$C$164:$C$179,0))=MID(GQ164,FIND("|",GQ164)+1,10))*$D$18+MAX(0,IF($D$50=1,$D$17*(1-(ABS(INDEX($Q$164:$Q$179,MATCH(LEFT(GQ164,FIND("·",GQ164)-1),$C$164:$C$179,0))-(VALUE(MID(GQ164,FIND("|",GQ164)+1,FIND("-",GQ164,FIND("|",GQ164))-FIND("|",GQ164)-1))-VALUE(MID(GQ164,FIND("-",GQ164,FIND("|",GQ164))+1,10)))))*$D$50),$D$17*(1-(IF(INDEX($D$164:$D$179,MATCH(LEFT(GQ164,FIND("·",GQ164)-1),$C$164:$C$179,0))=0,ABS(INDEX($A$164:$A$179,MATCH(LEFT(GQ164,FIND("·",GQ164)-1),$C$164:$C$179,0))-VALUE(MID(GQ164,FIND("|",GQ164)+1,FIND("-",GQ164,FIND("|",GQ164))-FIND("|",GQ164)-1))),ABS(INDEX($Q$164:$Q$179,MATCH(LEFT(GQ164,FIND("·",GQ164)-1),$C$164:$C$179,0))-(VALUE(MID(GQ164,FIND("|",GQ164)+1,FIND("-",GQ164,FIND("|",GQ164))-FIND("|",GQ164)-1))-VALUE(MID(GQ164,FIND("-",GQ164,FIND("|",GQ164))+1,10)))))*$D$50)))))*INDEX($I$164:$I$179,MATCH(LEFT(GQ164,FIND("·",GQ164)-1),$C$164:$C$179,0)),0),0),0)</f>
        <v>0</v>
      </c>
      <c r="GS164" s="108"/>
      <c r="GT164" s="75" t="str">
        <f>Idiomas!$D$367</f>
        <v>Pegar Valores Dieciseisavos</v>
      </c>
      <c r="GU164" s="76">
        <f t="shared" ref="GU164:GU179" ca="1" si="5501">IFERROR(IF(COUNTIF($K$164:$K$179,LEFT(GT164,FIND("·",GT164)-1))&gt;0,IF(INDEX($L$164:$L$179,MATCH(LEFT(GT164,FIND("·",GT164)-1),$K$164:$K$179,0))=IFERROR(VALUE(MID(GT164,FIND("·",GT164)+1,1)),0),($D$16+(INDEX($M$164:$M$179,MATCH(LEFT(GT164,FIND("·",GT164)-1),$K$164:$K$179,0))=MID(GT164,FIND("|",GT164)+1,10))*$D$18+MAX(0,IF($D$50=1,$D$17*(1-(ABS(INDEX($P$164:$P$179,MATCH(LEFT(GT164,FIND("·",GT164)-1),$K$164:$K$179,0))-(VALUE(MID(GT164,FIND("|",GT164)+1,FIND("-",GT164,FIND("|",GT164))-FIND("|",GT164)-1))-VALUE(MID(GT164,FIND("-",GT164,FIND("|",GT164))+1,10)))))*$D$50),$D$17*(1-(IF(INDEX($L$164:$L$179,MATCH(LEFT(GT164,FIND("·",GT164)-1),$K$164:$K$179,0))=0,ABS(INDEX($N$164:$N$179,MATCH(LEFT(GT164,FIND("·",GT164)-1),$K$164:$K$179,0))-VALUE(MID(GT164,FIND("|",GT164)+1,FIND("-",GT164,FIND("|",GT164))-FIND("|",GT164)-1))),ABS(INDEX($P$164:$P$179,MATCH(LEFT(GT164,FIND("·",GT164)-1),$K$164:$K$179,0))-(VALUE(MID(GT164,FIND("|",GT164)+1,FIND("-",GT164,FIND("|",GT164))-FIND("|",GT164)-1))-VALUE(MID(GT164,FIND("-",GT164,FIND("|",GT164))+1,10)))))*$D$50)))))*INDEX($I$164:$I$179,MATCH(LEFT(GT164,FIND("·",GT164)-1),$K$164:$K$179,0)),0),0),0)+IFERROR(IF(COUNTIF($C$164:$C$179,LEFT(GT164,FIND("·",GT164)-1))&gt;0,IF(INDEX($D$164:$D$179,MATCH(LEFT(GT164,FIND("·",GT164)-1),$C$164:$C$179,0))=IFERROR(VALUE(MID(GT164,FIND("·",GT164)+1,1)),0),($D$16+(INDEX($E$164:$E$179,MATCH(LEFT(GT164,FIND("·",GT164)-1),$C$164:$C$179,0))=MID(GT164,FIND("|",GT164)+1,10))*$D$18+MAX(0,IF($D$50=1,$D$17*(1-(ABS(INDEX($Q$164:$Q$179,MATCH(LEFT(GT164,FIND("·",GT164)-1),$C$164:$C$179,0))-(VALUE(MID(GT164,FIND("|",GT164)+1,FIND("-",GT164,FIND("|",GT164))-FIND("|",GT164)-1))-VALUE(MID(GT164,FIND("-",GT164,FIND("|",GT164))+1,10)))))*$D$50),$D$17*(1-(IF(INDEX($D$164:$D$179,MATCH(LEFT(GT164,FIND("·",GT164)-1),$C$164:$C$179,0))=0,ABS(INDEX($A$164:$A$179,MATCH(LEFT(GT164,FIND("·",GT164)-1),$C$164:$C$179,0))-VALUE(MID(GT164,FIND("|",GT164)+1,FIND("-",GT164,FIND("|",GT164))-FIND("|",GT164)-1))),ABS(INDEX($Q$164:$Q$179,MATCH(LEFT(GT164,FIND("·",GT164)-1),$C$164:$C$179,0))-(VALUE(MID(GT164,FIND("|",GT164)+1,FIND("-",GT164,FIND("|",GT164))-FIND("|",GT164)-1))-VALUE(MID(GT164,FIND("-",GT164,FIND("|",GT164))+1,10)))))*$D$50)))))*INDEX($I$164:$I$179,MATCH(LEFT(GT164,FIND("·",GT164)-1),$C$164:$C$179,0)),0),0),0)</f>
        <v>0</v>
      </c>
      <c r="GV164" s="108"/>
      <c r="GW164" s="75" t="str">
        <f>Idiomas!$D$367</f>
        <v>Pegar Valores Dieciseisavos</v>
      </c>
      <c r="GX164" s="76">
        <f t="shared" ref="GX164:GX179" ca="1" si="5502">IFERROR(IF(COUNTIF($K$164:$K$179,LEFT(GW164,FIND("·",GW164)-1))&gt;0,IF(INDEX($L$164:$L$179,MATCH(LEFT(GW164,FIND("·",GW164)-1),$K$164:$K$179,0))=IFERROR(VALUE(MID(GW164,FIND("·",GW164)+1,1)),0),($D$16+(INDEX($M$164:$M$179,MATCH(LEFT(GW164,FIND("·",GW164)-1),$K$164:$K$179,0))=MID(GW164,FIND("|",GW164)+1,10))*$D$18+MAX(0,IF($D$50=1,$D$17*(1-(ABS(INDEX($P$164:$P$179,MATCH(LEFT(GW164,FIND("·",GW164)-1),$K$164:$K$179,0))-(VALUE(MID(GW164,FIND("|",GW164)+1,FIND("-",GW164,FIND("|",GW164))-FIND("|",GW164)-1))-VALUE(MID(GW164,FIND("-",GW164,FIND("|",GW164))+1,10)))))*$D$50),$D$17*(1-(IF(INDEX($L$164:$L$179,MATCH(LEFT(GW164,FIND("·",GW164)-1),$K$164:$K$179,0))=0,ABS(INDEX($N$164:$N$179,MATCH(LEFT(GW164,FIND("·",GW164)-1),$K$164:$K$179,0))-VALUE(MID(GW164,FIND("|",GW164)+1,FIND("-",GW164,FIND("|",GW164))-FIND("|",GW164)-1))),ABS(INDEX($P$164:$P$179,MATCH(LEFT(GW164,FIND("·",GW164)-1),$K$164:$K$179,0))-(VALUE(MID(GW164,FIND("|",GW164)+1,FIND("-",GW164,FIND("|",GW164))-FIND("|",GW164)-1))-VALUE(MID(GW164,FIND("-",GW164,FIND("|",GW164))+1,10)))))*$D$50)))))*INDEX($I$164:$I$179,MATCH(LEFT(GW164,FIND("·",GW164)-1),$K$164:$K$179,0)),0),0),0)+IFERROR(IF(COUNTIF($C$164:$C$179,LEFT(GW164,FIND("·",GW164)-1))&gt;0,IF(INDEX($D$164:$D$179,MATCH(LEFT(GW164,FIND("·",GW164)-1),$C$164:$C$179,0))=IFERROR(VALUE(MID(GW164,FIND("·",GW164)+1,1)),0),($D$16+(INDEX($E$164:$E$179,MATCH(LEFT(GW164,FIND("·",GW164)-1),$C$164:$C$179,0))=MID(GW164,FIND("|",GW164)+1,10))*$D$18+MAX(0,IF($D$50=1,$D$17*(1-(ABS(INDEX($Q$164:$Q$179,MATCH(LEFT(GW164,FIND("·",GW164)-1),$C$164:$C$179,0))-(VALUE(MID(GW164,FIND("|",GW164)+1,FIND("-",GW164,FIND("|",GW164))-FIND("|",GW164)-1))-VALUE(MID(GW164,FIND("-",GW164,FIND("|",GW164))+1,10)))))*$D$50),$D$17*(1-(IF(INDEX($D$164:$D$179,MATCH(LEFT(GW164,FIND("·",GW164)-1),$C$164:$C$179,0))=0,ABS(INDEX($A$164:$A$179,MATCH(LEFT(GW164,FIND("·",GW164)-1),$C$164:$C$179,0))-VALUE(MID(GW164,FIND("|",GW164)+1,FIND("-",GW164,FIND("|",GW164))-FIND("|",GW164)-1))),ABS(INDEX($Q$164:$Q$179,MATCH(LEFT(GW164,FIND("·",GW164)-1),$C$164:$C$179,0))-(VALUE(MID(GW164,FIND("|",GW164)+1,FIND("-",GW164,FIND("|",GW164))-FIND("|",GW164)-1))-VALUE(MID(GW164,FIND("-",GW164,FIND("|",GW164))+1,10)))))*$D$50)))))*INDEX($I$164:$I$179,MATCH(LEFT(GW164,FIND("·",GW164)-1),$C$164:$C$179,0)),0),0),0)</f>
        <v>0</v>
      </c>
      <c r="GY164" s="108"/>
      <c r="GZ164" s="75" t="str">
        <f>Idiomas!$D$367</f>
        <v>Pegar Valores Dieciseisavos</v>
      </c>
      <c r="HA164" s="76">
        <f t="shared" ref="HA164:HA179" ca="1" si="5503">IFERROR(IF(COUNTIF($K$164:$K$179,LEFT(GZ164,FIND("·",GZ164)-1))&gt;0,IF(INDEX($L$164:$L$179,MATCH(LEFT(GZ164,FIND("·",GZ164)-1),$K$164:$K$179,0))=IFERROR(VALUE(MID(GZ164,FIND("·",GZ164)+1,1)),0),($D$16+(INDEX($M$164:$M$179,MATCH(LEFT(GZ164,FIND("·",GZ164)-1),$K$164:$K$179,0))=MID(GZ164,FIND("|",GZ164)+1,10))*$D$18+MAX(0,IF($D$50=1,$D$17*(1-(ABS(INDEX($P$164:$P$179,MATCH(LEFT(GZ164,FIND("·",GZ164)-1),$K$164:$K$179,0))-(VALUE(MID(GZ164,FIND("|",GZ164)+1,FIND("-",GZ164,FIND("|",GZ164))-FIND("|",GZ164)-1))-VALUE(MID(GZ164,FIND("-",GZ164,FIND("|",GZ164))+1,10)))))*$D$50),$D$17*(1-(IF(INDEX($L$164:$L$179,MATCH(LEFT(GZ164,FIND("·",GZ164)-1),$K$164:$K$179,0))=0,ABS(INDEX($N$164:$N$179,MATCH(LEFT(GZ164,FIND("·",GZ164)-1),$K$164:$K$179,0))-VALUE(MID(GZ164,FIND("|",GZ164)+1,FIND("-",GZ164,FIND("|",GZ164))-FIND("|",GZ164)-1))),ABS(INDEX($P$164:$P$179,MATCH(LEFT(GZ164,FIND("·",GZ164)-1),$K$164:$K$179,0))-(VALUE(MID(GZ164,FIND("|",GZ164)+1,FIND("-",GZ164,FIND("|",GZ164))-FIND("|",GZ164)-1))-VALUE(MID(GZ164,FIND("-",GZ164,FIND("|",GZ164))+1,10)))))*$D$50)))))*INDEX($I$164:$I$179,MATCH(LEFT(GZ164,FIND("·",GZ164)-1),$K$164:$K$179,0)),0),0),0)+IFERROR(IF(COUNTIF($C$164:$C$179,LEFT(GZ164,FIND("·",GZ164)-1))&gt;0,IF(INDEX($D$164:$D$179,MATCH(LEFT(GZ164,FIND("·",GZ164)-1),$C$164:$C$179,0))=IFERROR(VALUE(MID(GZ164,FIND("·",GZ164)+1,1)),0),($D$16+(INDEX($E$164:$E$179,MATCH(LEFT(GZ164,FIND("·",GZ164)-1),$C$164:$C$179,0))=MID(GZ164,FIND("|",GZ164)+1,10))*$D$18+MAX(0,IF($D$50=1,$D$17*(1-(ABS(INDEX($Q$164:$Q$179,MATCH(LEFT(GZ164,FIND("·",GZ164)-1),$C$164:$C$179,0))-(VALUE(MID(GZ164,FIND("|",GZ164)+1,FIND("-",GZ164,FIND("|",GZ164))-FIND("|",GZ164)-1))-VALUE(MID(GZ164,FIND("-",GZ164,FIND("|",GZ164))+1,10)))))*$D$50),$D$17*(1-(IF(INDEX($D$164:$D$179,MATCH(LEFT(GZ164,FIND("·",GZ164)-1),$C$164:$C$179,0))=0,ABS(INDEX($A$164:$A$179,MATCH(LEFT(GZ164,FIND("·",GZ164)-1),$C$164:$C$179,0))-VALUE(MID(GZ164,FIND("|",GZ164)+1,FIND("-",GZ164,FIND("|",GZ164))-FIND("|",GZ164)-1))),ABS(INDEX($Q$164:$Q$179,MATCH(LEFT(GZ164,FIND("·",GZ164)-1),$C$164:$C$179,0))-(VALUE(MID(GZ164,FIND("|",GZ164)+1,FIND("-",GZ164,FIND("|",GZ164))-FIND("|",GZ164)-1))-VALUE(MID(GZ164,FIND("-",GZ164,FIND("|",GZ164))+1,10)))))*$D$50)))))*INDEX($I$164:$I$179,MATCH(LEFT(GZ164,FIND("·",GZ164)-1),$C$164:$C$179,0)),0),0),0)</f>
        <v>0</v>
      </c>
      <c r="HB164" s="108"/>
      <c r="HC164" s="75" t="str">
        <f>Idiomas!$D$367</f>
        <v>Pegar Valores Dieciseisavos</v>
      </c>
      <c r="HD164" s="76">
        <f t="shared" ref="HD164:HD179" ca="1" si="5504">IFERROR(IF(COUNTIF($K$164:$K$179,LEFT(HC164,FIND("·",HC164)-1))&gt;0,IF(INDEX($L$164:$L$179,MATCH(LEFT(HC164,FIND("·",HC164)-1),$K$164:$K$179,0))=IFERROR(VALUE(MID(HC164,FIND("·",HC164)+1,1)),0),($D$16+(INDEX($M$164:$M$179,MATCH(LEFT(HC164,FIND("·",HC164)-1),$K$164:$K$179,0))=MID(HC164,FIND("|",HC164)+1,10))*$D$18+MAX(0,IF($D$50=1,$D$17*(1-(ABS(INDEX($P$164:$P$179,MATCH(LEFT(HC164,FIND("·",HC164)-1),$K$164:$K$179,0))-(VALUE(MID(HC164,FIND("|",HC164)+1,FIND("-",HC164,FIND("|",HC164))-FIND("|",HC164)-1))-VALUE(MID(HC164,FIND("-",HC164,FIND("|",HC164))+1,10)))))*$D$50),$D$17*(1-(IF(INDEX($L$164:$L$179,MATCH(LEFT(HC164,FIND("·",HC164)-1),$K$164:$K$179,0))=0,ABS(INDEX($N$164:$N$179,MATCH(LEFT(HC164,FIND("·",HC164)-1),$K$164:$K$179,0))-VALUE(MID(HC164,FIND("|",HC164)+1,FIND("-",HC164,FIND("|",HC164))-FIND("|",HC164)-1))),ABS(INDEX($P$164:$P$179,MATCH(LEFT(HC164,FIND("·",HC164)-1),$K$164:$K$179,0))-(VALUE(MID(HC164,FIND("|",HC164)+1,FIND("-",HC164,FIND("|",HC164))-FIND("|",HC164)-1))-VALUE(MID(HC164,FIND("-",HC164,FIND("|",HC164))+1,10)))))*$D$50)))))*INDEX($I$164:$I$179,MATCH(LEFT(HC164,FIND("·",HC164)-1),$K$164:$K$179,0)),0),0),0)+IFERROR(IF(COUNTIF($C$164:$C$179,LEFT(HC164,FIND("·",HC164)-1))&gt;0,IF(INDEX($D$164:$D$179,MATCH(LEFT(HC164,FIND("·",HC164)-1),$C$164:$C$179,0))=IFERROR(VALUE(MID(HC164,FIND("·",HC164)+1,1)),0),($D$16+(INDEX($E$164:$E$179,MATCH(LEFT(HC164,FIND("·",HC164)-1),$C$164:$C$179,0))=MID(HC164,FIND("|",HC164)+1,10))*$D$18+MAX(0,IF($D$50=1,$D$17*(1-(ABS(INDEX($Q$164:$Q$179,MATCH(LEFT(HC164,FIND("·",HC164)-1),$C$164:$C$179,0))-(VALUE(MID(HC164,FIND("|",HC164)+1,FIND("-",HC164,FIND("|",HC164))-FIND("|",HC164)-1))-VALUE(MID(HC164,FIND("-",HC164,FIND("|",HC164))+1,10)))))*$D$50),$D$17*(1-(IF(INDEX($D$164:$D$179,MATCH(LEFT(HC164,FIND("·",HC164)-1),$C$164:$C$179,0))=0,ABS(INDEX($A$164:$A$179,MATCH(LEFT(HC164,FIND("·",HC164)-1),$C$164:$C$179,0))-VALUE(MID(HC164,FIND("|",HC164)+1,FIND("-",HC164,FIND("|",HC164))-FIND("|",HC164)-1))),ABS(INDEX($Q$164:$Q$179,MATCH(LEFT(HC164,FIND("·",HC164)-1),$C$164:$C$179,0))-(VALUE(MID(HC164,FIND("|",HC164)+1,FIND("-",HC164,FIND("|",HC164))-FIND("|",HC164)-1))-VALUE(MID(HC164,FIND("-",HC164,FIND("|",HC164))+1,10)))))*$D$50)))))*INDEX($I$164:$I$179,MATCH(LEFT(HC164,FIND("·",HC164)-1),$C$164:$C$179,0)),0),0),0)</f>
        <v>0</v>
      </c>
      <c r="HE164" s="108"/>
      <c r="HF164" s="75" t="str">
        <f>Idiomas!$D$367</f>
        <v>Pegar Valores Dieciseisavos</v>
      </c>
      <c r="HG164" s="76">
        <f t="shared" ref="HG164:HG179" ca="1" si="5505">IFERROR(IF(COUNTIF($K$164:$K$179,LEFT(HF164,FIND("·",HF164)-1))&gt;0,IF(INDEX($L$164:$L$179,MATCH(LEFT(HF164,FIND("·",HF164)-1),$K$164:$K$179,0))=IFERROR(VALUE(MID(HF164,FIND("·",HF164)+1,1)),0),($D$16+(INDEX($M$164:$M$179,MATCH(LEFT(HF164,FIND("·",HF164)-1),$K$164:$K$179,0))=MID(HF164,FIND("|",HF164)+1,10))*$D$18+MAX(0,IF($D$50=1,$D$17*(1-(ABS(INDEX($P$164:$P$179,MATCH(LEFT(HF164,FIND("·",HF164)-1),$K$164:$K$179,0))-(VALUE(MID(HF164,FIND("|",HF164)+1,FIND("-",HF164,FIND("|",HF164))-FIND("|",HF164)-1))-VALUE(MID(HF164,FIND("-",HF164,FIND("|",HF164))+1,10)))))*$D$50),$D$17*(1-(IF(INDEX($L$164:$L$179,MATCH(LEFT(HF164,FIND("·",HF164)-1),$K$164:$K$179,0))=0,ABS(INDEX($N$164:$N$179,MATCH(LEFT(HF164,FIND("·",HF164)-1),$K$164:$K$179,0))-VALUE(MID(HF164,FIND("|",HF164)+1,FIND("-",HF164,FIND("|",HF164))-FIND("|",HF164)-1))),ABS(INDEX($P$164:$P$179,MATCH(LEFT(HF164,FIND("·",HF164)-1),$K$164:$K$179,0))-(VALUE(MID(HF164,FIND("|",HF164)+1,FIND("-",HF164,FIND("|",HF164))-FIND("|",HF164)-1))-VALUE(MID(HF164,FIND("-",HF164,FIND("|",HF164))+1,10)))))*$D$50)))))*INDEX($I$164:$I$179,MATCH(LEFT(HF164,FIND("·",HF164)-1),$K$164:$K$179,0)),0),0),0)+IFERROR(IF(COUNTIF($C$164:$C$179,LEFT(HF164,FIND("·",HF164)-1))&gt;0,IF(INDEX($D$164:$D$179,MATCH(LEFT(HF164,FIND("·",HF164)-1),$C$164:$C$179,0))=IFERROR(VALUE(MID(HF164,FIND("·",HF164)+1,1)),0),($D$16+(INDEX($E$164:$E$179,MATCH(LEFT(HF164,FIND("·",HF164)-1),$C$164:$C$179,0))=MID(HF164,FIND("|",HF164)+1,10))*$D$18+MAX(0,IF($D$50=1,$D$17*(1-(ABS(INDEX($Q$164:$Q$179,MATCH(LEFT(HF164,FIND("·",HF164)-1),$C$164:$C$179,0))-(VALUE(MID(HF164,FIND("|",HF164)+1,FIND("-",HF164,FIND("|",HF164))-FIND("|",HF164)-1))-VALUE(MID(HF164,FIND("-",HF164,FIND("|",HF164))+1,10)))))*$D$50),$D$17*(1-(IF(INDEX($D$164:$D$179,MATCH(LEFT(HF164,FIND("·",HF164)-1),$C$164:$C$179,0))=0,ABS(INDEX($A$164:$A$179,MATCH(LEFT(HF164,FIND("·",HF164)-1),$C$164:$C$179,0))-VALUE(MID(HF164,FIND("|",HF164)+1,FIND("-",HF164,FIND("|",HF164))-FIND("|",HF164)-1))),ABS(INDEX($Q$164:$Q$179,MATCH(LEFT(HF164,FIND("·",HF164)-1),$C$164:$C$179,0))-(VALUE(MID(HF164,FIND("|",HF164)+1,FIND("-",HF164,FIND("|",HF164))-FIND("|",HF164)-1))-VALUE(MID(HF164,FIND("-",HF164,FIND("|",HF164))+1,10)))))*$D$50)))))*INDEX($I$164:$I$179,MATCH(LEFT(HF164,FIND("·",HF164)-1),$C$164:$C$179,0)),0),0),0)</f>
        <v>0</v>
      </c>
      <c r="HH164" s="108"/>
      <c r="HI164" s="75" t="str">
        <f>Idiomas!$D$367</f>
        <v>Pegar Valores Dieciseisavos</v>
      </c>
      <c r="HJ164" s="76">
        <f t="shared" ref="HJ164:HJ179" ca="1" si="5506">IFERROR(IF(COUNTIF($K$164:$K$179,LEFT(HI164,FIND("·",HI164)-1))&gt;0,IF(INDEX($L$164:$L$179,MATCH(LEFT(HI164,FIND("·",HI164)-1),$K$164:$K$179,0))=IFERROR(VALUE(MID(HI164,FIND("·",HI164)+1,1)),0),($D$16+(INDEX($M$164:$M$179,MATCH(LEFT(HI164,FIND("·",HI164)-1),$K$164:$K$179,0))=MID(HI164,FIND("|",HI164)+1,10))*$D$18+MAX(0,IF($D$50=1,$D$17*(1-(ABS(INDEX($P$164:$P$179,MATCH(LEFT(HI164,FIND("·",HI164)-1),$K$164:$K$179,0))-(VALUE(MID(HI164,FIND("|",HI164)+1,FIND("-",HI164,FIND("|",HI164))-FIND("|",HI164)-1))-VALUE(MID(HI164,FIND("-",HI164,FIND("|",HI164))+1,10)))))*$D$50),$D$17*(1-(IF(INDEX($L$164:$L$179,MATCH(LEFT(HI164,FIND("·",HI164)-1),$K$164:$K$179,0))=0,ABS(INDEX($N$164:$N$179,MATCH(LEFT(HI164,FIND("·",HI164)-1),$K$164:$K$179,0))-VALUE(MID(HI164,FIND("|",HI164)+1,FIND("-",HI164,FIND("|",HI164))-FIND("|",HI164)-1))),ABS(INDEX($P$164:$P$179,MATCH(LEFT(HI164,FIND("·",HI164)-1),$K$164:$K$179,0))-(VALUE(MID(HI164,FIND("|",HI164)+1,FIND("-",HI164,FIND("|",HI164))-FIND("|",HI164)-1))-VALUE(MID(HI164,FIND("-",HI164,FIND("|",HI164))+1,10)))))*$D$50)))))*INDEX($I$164:$I$179,MATCH(LEFT(HI164,FIND("·",HI164)-1),$K$164:$K$179,0)),0),0),0)+IFERROR(IF(COUNTIF($C$164:$C$179,LEFT(HI164,FIND("·",HI164)-1))&gt;0,IF(INDEX($D$164:$D$179,MATCH(LEFT(HI164,FIND("·",HI164)-1),$C$164:$C$179,0))=IFERROR(VALUE(MID(HI164,FIND("·",HI164)+1,1)),0),($D$16+(INDEX($E$164:$E$179,MATCH(LEFT(HI164,FIND("·",HI164)-1),$C$164:$C$179,0))=MID(HI164,FIND("|",HI164)+1,10))*$D$18+MAX(0,IF($D$50=1,$D$17*(1-(ABS(INDEX($Q$164:$Q$179,MATCH(LEFT(HI164,FIND("·",HI164)-1),$C$164:$C$179,0))-(VALUE(MID(HI164,FIND("|",HI164)+1,FIND("-",HI164,FIND("|",HI164))-FIND("|",HI164)-1))-VALUE(MID(HI164,FIND("-",HI164,FIND("|",HI164))+1,10)))))*$D$50),$D$17*(1-(IF(INDEX($D$164:$D$179,MATCH(LEFT(HI164,FIND("·",HI164)-1),$C$164:$C$179,0))=0,ABS(INDEX($A$164:$A$179,MATCH(LEFT(HI164,FIND("·",HI164)-1),$C$164:$C$179,0))-VALUE(MID(HI164,FIND("|",HI164)+1,FIND("-",HI164,FIND("|",HI164))-FIND("|",HI164)-1))),ABS(INDEX($Q$164:$Q$179,MATCH(LEFT(HI164,FIND("·",HI164)-1),$C$164:$C$179,0))-(VALUE(MID(HI164,FIND("|",HI164)+1,FIND("-",HI164,FIND("|",HI164))-FIND("|",HI164)-1))-VALUE(MID(HI164,FIND("-",HI164,FIND("|",HI164))+1,10)))))*$D$50)))))*INDEX($I$164:$I$179,MATCH(LEFT(HI164,FIND("·",HI164)-1),$C$164:$C$179,0)),0),0),0)</f>
        <v>0</v>
      </c>
      <c r="HK164" s="108"/>
      <c r="HL164" s="75" t="str">
        <f>Idiomas!$D$367</f>
        <v>Pegar Valores Dieciseisavos</v>
      </c>
      <c r="HM164" s="76">
        <f t="shared" ref="HM164:HM179" ca="1" si="5507">IFERROR(IF(COUNTIF($K$164:$K$179,LEFT(HL164,FIND("·",HL164)-1))&gt;0,IF(INDEX($L$164:$L$179,MATCH(LEFT(HL164,FIND("·",HL164)-1),$K$164:$K$179,0))=IFERROR(VALUE(MID(HL164,FIND("·",HL164)+1,1)),0),($D$16+(INDEX($M$164:$M$179,MATCH(LEFT(HL164,FIND("·",HL164)-1),$K$164:$K$179,0))=MID(HL164,FIND("|",HL164)+1,10))*$D$18+MAX(0,IF($D$50=1,$D$17*(1-(ABS(INDEX($P$164:$P$179,MATCH(LEFT(HL164,FIND("·",HL164)-1),$K$164:$K$179,0))-(VALUE(MID(HL164,FIND("|",HL164)+1,FIND("-",HL164,FIND("|",HL164))-FIND("|",HL164)-1))-VALUE(MID(HL164,FIND("-",HL164,FIND("|",HL164))+1,10)))))*$D$50),$D$17*(1-(IF(INDEX($L$164:$L$179,MATCH(LEFT(HL164,FIND("·",HL164)-1),$K$164:$K$179,0))=0,ABS(INDEX($N$164:$N$179,MATCH(LEFT(HL164,FIND("·",HL164)-1),$K$164:$K$179,0))-VALUE(MID(HL164,FIND("|",HL164)+1,FIND("-",HL164,FIND("|",HL164))-FIND("|",HL164)-1))),ABS(INDEX($P$164:$P$179,MATCH(LEFT(HL164,FIND("·",HL164)-1),$K$164:$K$179,0))-(VALUE(MID(HL164,FIND("|",HL164)+1,FIND("-",HL164,FIND("|",HL164))-FIND("|",HL164)-1))-VALUE(MID(HL164,FIND("-",HL164,FIND("|",HL164))+1,10)))))*$D$50)))))*INDEX($I$164:$I$179,MATCH(LEFT(HL164,FIND("·",HL164)-1),$K$164:$K$179,0)),0),0),0)+IFERROR(IF(COUNTIF($C$164:$C$179,LEFT(HL164,FIND("·",HL164)-1))&gt;0,IF(INDEX($D$164:$D$179,MATCH(LEFT(HL164,FIND("·",HL164)-1),$C$164:$C$179,0))=IFERROR(VALUE(MID(HL164,FIND("·",HL164)+1,1)),0),($D$16+(INDEX($E$164:$E$179,MATCH(LEFT(HL164,FIND("·",HL164)-1),$C$164:$C$179,0))=MID(HL164,FIND("|",HL164)+1,10))*$D$18+MAX(0,IF($D$50=1,$D$17*(1-(ABS(INDEX($Q$164:$Q$179,MATCH(LEFT(HL164,FIND("·",HL164)-1),$C$164:$C$179,0))-(VALUE(MID(HL164,FIND("|",HL164)+1,FIND("-",HL164,FIND("|",HL164))-FIND("|",HL164)-1))-VALUE(MID(HL164,FIND("-",HL164,FIND("|",HL164))+1,10)))))*$D$50),$D$17*(1-(IF(INDEX($D$164:$D$179,MATCH(LEFT(HL164,FIND("·",HL164)-1),$C$164:$C$179,0))=0,ABS(INDEX($A$164:$A$179,MATCH(LEFT(HL164,FIND("·",HL164)-1),$C$164:$C$179,0))-VALUE(MID(HL164,FIND("|",HL164)+1,FIND("-",HL164,FIND("|",HL164))-FIND("|",HL164)-1))),ABS(INDEX($Q$164:$Q$179,MATCH(LEFT(HL164,FIND("·",HL164)-1),$C$164:$C$179,0))-(VALUE(MID(HL164,FIND("|",HL164)+1,FIND("-",HL164,FIND("|",HL164))-FIND("|",HL164)-1))-VALUE(MID(HL164,FIND("-",HL164,FIND("|",HL164))+1,10)))))*$D$50)))))*INDEX($I$164:$I$179,MATCH(LEFT(HL164,FIND("·",HL164)-1),$C$164:$C$179,0)),0),0),0)</f>
        <v>0</v>
      </c>
      <c r="HN164" s="108"/>
      <c r="HO164" s="75" t="str">
        <f>Idiomas!$D$367</f>
        <v>Pegar Valores Dieciseisavos</v>
      </c>
      <c r="HP164" s="76">
        <f t="shared" ref="HP164:HP179" ca="1" si="5508">IFERROR(IF(COUNTIF($K$164:$K$179,LEFT(HO164,FIND("·",HO164)-1))&gt;0,IF(INDEX($L$164:$L$179,MATCH(LEFT(HO164,FIND("·",HO164)-1),$K$164:$K$179,0))=IFERROR(VALUE(MID(HO164,FIND("·",HO164)+1,1)),0),($D$16+(INDEX($M$164:$M$179,MATCH(LEFT(HO164,FIND("·",HO164)-1),$K$164:$K$179,0))=MID(HO164,FIND("|",HO164)+1,10))*$D$18+MAX(0,IF($D$50=1,$D$17*(1-(ABS(INDEX($P$164:$P$179,MATCH(LEFT(HO164,FIND("·",HO164)-1),$K$164:$K$179,0))-(VALUE(MID(HO164,FIND("|",HO164)+1,FIND("-",HO164,FIND("|",HO164))-FIND("|",HO164)-1))-VALUE(MID(HO164,FIND("-",HO164,FIND("|",HO164))+1,10)))))*$D$50),$D$17*(1-(IF(INDEX($L$164:$L$179,MATCH(LEFT(HO164,FIND("·",HO164)-1),$K$164:$K$179,0))=0,ABS(INDEX($N$164:$N$179,MATCH(LEFT(HO164,FIND("·",HO164)-1),$K$164:$K$179,0))-VALUE(MID(HO164,FIND("|",HO164)+1,FIND("-",HO164,FIND("|",HO164))-FIND("|",HO164)-1))),ABS(INDEX($P$164:$P$179,MATCH(LEFT(HO164,FIND("·",HO164)-1),$K$164:$K$179,0))-(VALUE(MID(HO164,FIND("|",HO164)+1,FIND("-",HO164,FIND("|",HO164))-FIND("|",HO164)-1))-VALUE(MID(HO164,FIND("-",HO164,FIND("|",HO164))+1,10)))))*$D$50)))))*INDEX($I$164:$I$179,MATCH(LEFT(HO164,FIND("·",HO164)-1),$K$164:$K$179,0)),0),0),0)+IFERROR(IF(COUNTIF($C$164:$C$179,LEFT(HO164,FIND("·",HO164)-1))&gt;0,IF(INDEX($D$164:$D$179,MATCH(LEFT(HO164,FIND("·",HO164)-1),$C$164:$C$179,0))=IFERROR(VALUE(MID(HO164,FIND("·",HO164)+1,1)),0),($D$16+(INDEX($E$164:$E$179,MATCH(LEFT(HO164,FIND("·",HO164)-1),$C$164:$C$179,0))=MID(HO164,FIND("|",HO164)+1,10))*$D$18+MAX(0,IF($D$50=1,$D$17*(1-(ABS(INDEX($Q$164:$Q$179,MATCH(LEFT(HO164,FIND("·",HO164)-1),$C$164:$C$179,0))-(VALUE(MID(HO164,FIND("|",HO164)+1,FIND("-",HO164,FIND("|",HO164))-FIND("|",HO164)-1))-VALUE(MID(HO164,FIND("-",HO164,FIND("|",HO164))+1,10)))))*$D$50),$D$17*(1-(IF(INDEX($D$164:$D$179,MATCH(LEFT(HO164,FIND("·",HO164)-1),$C$164:$C$179,0))=0,ABS(INDEX($A$164:$A$179,MATCH(LEFT(HO164,FIND("·",HO164)-1),$C$164:$C$179,0))-VALUE(MID(HO164,FIND("|",HO164)+1,FIND("-",HO164,FIND("|",HO164))-FIND("|",HO164)-1))),ABS(INDEX($Q$164:$Q$179,MATCH(LEFT(HO164,FIND("·",HO164)-1),$C$164:$C$179,0))-(VALUE(MID(HO164,FIND("|",HO164)+1,FIND("-",HO164,FIND("|",HO164))-FIND("|",HO164)-1))-VALUE(MID(HO164,FIND("-",HO164,FIND("|",HO164))+1,10)))))*$D$50)))))*INDEX($I$164:$I$179,MATCH(LEFT(HO164,FIND("·",HO164)-1),$C$164:$C$179,0)),0),0),0)</f>
        <v>0</v>
      </c>
      <c r="HQ164" s="108"/>
      <c r="HR164" s="75" t="str">
        <f>Idiomas!$D$367</f>
        <v>Pegar Valores Dieciseisavos</v>
      </c>
      <c r="HS164" s="76">
        <f t="shared" ref="HS164:HS179" ca="1" si="5509">IFERROR(IF(COUNTIF($K$164:$K$179,LEFT(HR164,FIND("·",HR164)-1))&gt;0,IF(INDEX($L$164:$L$179,MATCH(LEFT(HR164,FIND("·",HR164)-1),$K$164:$K$179,0))=IFERROR(VALUE(MID(HR164,FIND("·",HR164)+1,1)),0),($D$16+(INDEX($M$164:$M$179,MATCH(LEFT(HR164,FIND("·",HR164)-1),$K$164:$K$179,0))=MID(HR164,FIND("|",HR164)+1,10))*$D$18+MAX(0,IF($D$50=1,$D$17*(1-(ABS(INDEX($P$164:$P$179,MATCH(LEFT(HR164,FIND("·",HR164)-1),$K$164:$K$179,0))-(VALUE(MID(HR164,FIND("|",HR164)+1,FIND("-",HR164,FIND("|",HR164))-FIND("|",HR164)-1))-VALUE(MID(HR164,FIND("-",HR164,FIND("|",HR164))+1,10)))))*$D$50),$D$17*(1-(IF(INDEX($L$164:$L$179,MATCH(LEFT(HR164,FIND("·",HR164)-1),$K$164:$K$179,0))=0,ABS(INDEX($N$164:$N$179,MATCH(LEFT(HR164,FIND("·",HR164)-1),$K$164:$K$179,0))-VALUE(MID(HR164,FIND("|",HR164)+1,FIND("-",HR164,FIND("|",HR164))-FIND("|",HR164)-1))),ABS(INDEX($P$164:$P$179,MATCH(LEFT(HR164,FIND("·",HR164)-1),$K$164:$K$179,0))-(VALUE(MID(HR164,FIND("|",HR164)+1,FIND("-",HR164,FIND("|",HR164))-FIND("|",HR164)-1))-VALUE(MID(HR164,FIND("-",HR164,FIND("|",HR164))+1,10)))))*$D$50)))))*INDEX($I$164:$I$179,MATCH(LEFT(HR164,FIND("·",HR164)-1),$K$164:$K$179,0)),0),0),0)+IFERROR(IF(COUNTIF($C$164:$C$179,LEFT(HR164,FIND("·",HR164)-1))&gt;0,IF(INDEX($D$164:$D$179,MATCH(LEFT(HR164,FIND("·",HR164)-1),$C$164:$C$179,0))=IFERROR(VALUE(MID(HR164,FIND("·",HR164)+1,1)),0),($D$16+(INDEX($E$164:$E$179,MATCH(LEFT(HR164,FIND("·",HR164)-1),$C$164:$C$179,0))=MID(HR164,FIND("|",HR164)+1,10))*$D$18+MAX(0,IF($D$50=1,$D$17*(1-(ABS(INDEX($Q$164:$Q$179,MATCH(LEFT(HR164,FIND("·",HR164)-1),$C$164:$C$179,0))-(VALUE(MID(HR164,FIND("|",HR164)+1,FIND("-",HR164,FIND("|",HR164))-FIND("|",HR164)-1))-VALUE(MID(HR164,FIND("-",HR164,FIND("|",HR164))+1,10)))))*$D$50),$D$17*(1-(IF(INDEX($D$164:$D$179,MATCH(LEFT(HR164,FIND("·",HR164)-1),$C$164:$C$179,0))=0,ABS(INDEX($A$164:$A$179,MATCH(LEFT(HR164,FIND("·",HR164)-1),$C$164:$C$179,0))-VALUE(MID(HR164,FIND("|",HR164)+1,FIND("-",HR164,FIND("|",HR164))-FIND("|",HR164)-1))),ABS(INDEX($Q$164:$Q$179,MATCH(LEFT(HR164,FIND("·",HR164)-1),$C$164:$C$179,0))-(VALUE(MID(HR164,FIND("|",HR164)+1,FIND("-",HR164,FIND("|",HR164))-FIND("|",HR164)-1))-VALUE(MID(HR164,FIND("-",HR164,FIND("|",HR164))+1,10)))))*$D$50)))))*INDEX($I$164:$I$179,MATCH(LEFT(HR164,FIND("·",HR164)-1),$C$164:$C$179,0)),0),0),0)</f>
        <v>0</v>
      </c>
      <c r="HT164" s="108"/>
      <c r="HU164" s="75" t="str">
        <f>Idiomas!$D$367</f>
        <v>Pegar Valores Dieciseisavos</v>
      </c>
      <c r="HV164" s="76">
        <f t="shared" ref="HV164:HV179" ca="1" si="5510">IFERROR(IF(COUNTIF($K$164:$K$179,LEFT(HU164,FIND("·",HU164)-1))&gt;0,IF(INDEX($L$164:$L$179,MATCH(LEFT(HU164,FIND("·",HU164)-1),$K$164:$K$179,0))=IFERROR(VALUE(MID(HU164,FIND("·",HU164)+1,1)),0),($D$16+(INDEX($M$164:$M$179,MATCH(LEFT(HU164,FIND("·",HU164)-1),$K$164:$K$179,0))=MID(HU164,FIND("|",HU164)+1,10))*$D$18+MAX(0,IF($D$50=1,$D$17*(1-(ABS(INDEX($P$164:$P$179,MATCH(LEFT(HU164,FIND("·",HU164)-1),$K$164:$K$179,0))-(VALUE(MID(HU164,FIND("|",HU164)+1,FIND("-",HU164,FIND("|",HU164))-FIND("|",HU164)-1))-VALUE(MID(HU164,FIND("-",HU164,FIND("|",HU164))+1,10)))))*$D$50),$D$17*(1-(IF(INDEX($L$164:$L$179,MATCH(LEFT(HU164,FIND("·",HU164)-1),$K$164:$K$179,0))=0,ABS(INDEX($N$164:$N$179,MATCH(LEFT(HU164,FIND("·",HU164)-1),$K$164:$K$179,0))-VALUE(MID(HU164,FIND("|",HU164)+1,FIND("-",HU164,FIND("|",HU164))-FIND("|",HU164)-1))),ABS(INDEX($P$164:$P$179,MATCH(LEFT(HU164,FIND("·",HU164)-1),$K$164:$K$179,0))-(VALUE(MID(HU164,FIND("|",HU164)+1,FIND("-",HU164,FIND("|",HU164))-FIND("|",HU164)-1))-VALUE(MID(HU164,FIND("-",HU164,FIND("|",HU164))+1,10)))))*$D$50)))))*INDEX($I$164:$I$179,MATCH(LEFT(HU164,FIND("·",HU164)-1),$K$164:$K$179,0)),0),0),0)+IFERROR(IF(COUNTIF($C$164:$C$179,LEFT(HU164,FIND("·",HU164)-1))&gt;0,IF(INDEX($D$164:$D$179,MATCH(LEFT(HU164,FIND("·",HU164)-1),$C$164:$C$179,0))=IFERROR(VALUE(MID(HU164,FIND("·",HU164)+1,1)),0),($D$16+(INDEX($E$164:$E$179,MATCH(LEFT(HU164,FIND("·",HU164)-1),$C$164:$C$179,0))=MID(HU164,FIND("|",HU164)+1,10))*$D$18+MAX(0,IF($D$50=1,$D$17*(1-(ABS(INDEX($Q$164:$Q$179,MATCH(LEFT(HU164,FIND("·",HU164)-1),$C$164:$C$179,0))-(VALUE(MID(HU164,FIND("|",HU164)+1,FIND("-",HU164,FIND("|",HU164))-FIND("|",HU164)-1))-VALUE(MID(HU164,FIND("-",HU164,FIND("|",HU164))+1,10)))))*$D$50),$D$17*(1-(IF(INDEX($D$164:$D$179,MATCH(LEFT(HU164,FIND("·",HU164)-1),$C$164:$C$179,0))=0,ABS(INDEX($A$164:$A$179,MATCH(LEFT(HU164,FIND("·",HU164)-1),$C$164:$C$179,0))-VALUE(MID(HU164,FIND("|",HU164)+1,FIND("-",HU164,FIND("|",HU164))-FIND("|",HU164)-1))),ABS(INDEX($Q$164:$Q$179,MATCH(LEFT(HU164,FIND("·",HU164)-1),$C$164:$C$179,0))-(VALUE(MID(HU164,FIND("|",HU164)+1,FIND("-",HU164,FIND("|",HU164))-FIND("|",HU164)-1))-VALUE(MID(HU164,FIND("-",HU164,FIND("|",HU164))+1,10)))))*$D$50)))))*INDEX($I$164:$I$179,MATCH(LEFT(HU164,FIND("·",HU164)-1),$C$164:$C$179,0)),0),0),0)</f>
        <v>0</v>
      </c>
      <c r="HW164" s="108"/>
      <c r="HX164" s="75" t="str">
        <f>Idiomas!$D$367</f>
        <v>Pegar Valores Dieciseisavos</v>
      </c>
      <c r="HY164" s="76">
        <f t="shared" ref="HY164:HY179" ca="1" si="5511">IFERROR(IF(COUNTIF($K$164:$K$179,LEFT(HX164,FIND("·",HX164)-1))&gt;0,IF(INDEX($L$164:$L$179,MATCH(LEFT(HX164,FIND("·",HX164)-1),$K$164:$K$179,0))=IFERROR(VALUE(MID(HX164,FIND("·",HX164)+1,1)),0),($D$16+(INDEX($M$164:$M$179,MATCH(LEFT(HX164,FIND("·",HX164)-1),$K$164:$K$179,0))=MID(HX164,FIND("|",HX164)+1,10))*$D$18+MAX(0,IF($D$50=1,$D$17*(1-(ABS(INDEX($P$164:$P$179,MATCH(LEFT(HX164,FIND("·",HX164)-1),$K$164:$K$179,0))-(VALUE(MID(HX164,FIND("|",HX164)+1,FIND("-",HX164,FIND("|",HX164))-FIND("|",HX164)-1))-VALUE(MID(HX164,FIND("-",HX164,FIND("|",HX164))+1,10)))))*$D$50),$D$17*(1-(IF(INDEX($L$164:$L$179,MATCH(LEFT(HX164,FIND("·",HX164)-1),$K$164:$K$179,0))=0,ABS(INDEX($N$164:$N$179,MATCH(LEFT(HX164,FIND("·",HX164)-1),$K$164:$K$179,0))-VALUE(MID(HX164,FIND("|",HX164)+1,FIND("-",HX164,FIND("|",HX164))-FIND("|",HX164)-1))),ABS(INDEX($P$164:$P$179,MATCH(LEFT(HX164,FIND("·",HX164)-1),$K$164:$K$179,0))-(VALUE(MID(HX164,FIND("|",HX164)+1,FIND("-",HX164,FIND("|",HX164))-FIND("|",HX164)-1))-VALUE(MID(HX164,FIND("-",HX164,FIND("|",HX164))+1,10)))))*$D$50)))))*INDEX($I$164:$I$179,MATCH(LEFT(HX164,FIND("·",HX164)-1),$K$164:$K$179,0)),0),0),0)+IFERROR(IF(COUNTIF($C$164:$C$179,LEFT(HX164,FIND("·",HX164)-1))&gt;0,IF(INDEX($D$164:$D$179,MATCH(LEFT(HX164,FIND("·",HX164)-1),$C$164:$C$179,0))=IFERROR(VALUE(MID(HX164,FIND("·",HX164)+1,1)),0),($D$16+(INDEX($E$164:$E$179,MATCH(LEFT(HX164,FIND("·",HX164)-1),$C$164:$C$179,0))=MID(HX164,FIND("|",HX164)+1,10))*$D$18+MAX(0,IF($D$50=1,$D$17*(1-(ABS(INDEX($Q$164:$Q$179,MATCH(LEFT(HX164,FIND("·",HX164)-1),$C$164:$C$179,0))-(VALUE(MID(HX164,FIND("|",HX164)+1,FIND("-",HX164,FIND("|",HX164))-FIND("|",HX164)-1))-VALUE(MID(HX164,FIND("-",HX164,FIND("|",HX164))+1,10)))))*$D$50),$D$17*(1-(IF(INDEX($D$164:$D$179,MATCH(LEFT(HX164,FIND("·",HX164)-1),$C$164:$C$179,0))=0,ABS(INDEX($A$164:$A$179,MATCH(LEFT(HX164,FIND("·",HX164)-1),$C$164:$C$179,0))-VALUE(MID(HX164,FIND("|",HX164)+1,FIND("-",HX164,FIND("|",HX164))-FIND("|",HX164)-1))),ABS(INDEX($Q$164:$Q$179,MATCH(LEFT(HX164,FIND("·",HX164)-1),$C$164:$C$179,0))-(VALUE(MID(HX164,FIND("|",HX164)+1,FIND("-",HX164,FIND("|",HX164))-FIND("|",HX164)-1))-VALUE(MID(HX164,FIND("-",HX164,FIND("|",HX164))+1,10)))))*$D$50)))))*INDEX($I$164:$I$179,MATCH(LEFT(HX164,FIND("·",HX164)-1),$C$164:$C$179,0)),0),0),0)</f>
        <v>0</v>
      </c>
      <c r="HZ164" s="108"/>
      <c r="IA164" s="75" t="str">
        <f>Idiomas!$D$367</f>
        <v>Pegar Valores Dieciseisavos</v>
      </c>
      <c r="IB164" s="76">
        <f t="shared" ref="IB164:IB179" ca="1" si="5512">IFERROR(IF(COUNTIF($K$164:$K$179,LEFT(IA164,FIND("·",IA164)-1))&gt;0,IF(INDEX($L$164:$L$179,MATCH(LEFT(IA164,FIND("·",IA164)-1),$K$164:$K$179,0))=IFERROR(VALUE(MID(IA164,FIND("·",IA164)+1,1)),0),($D$16+(INDEX($M$164:$M$179,MATCH(LEFT(IA164,FIND("·",IA164)-1),$K$164:$K$179,0))=MID(IA164,FIND("|",IA164)+1,10))*$D$18+MAX(0,IF($D$50=1,$D$17*(1-(ABS(INDEX($P$164:$P$179,MATCH(LEFT(IA164,FIND("·",IA164)-1),$K$164:$K$179,0))-(VALUE(MID(IA164,FIND("|",IA164)+1,FIND("-",IA164,FIND("|",IA164))-FIND("|",IA164)-1))-VALUE(MID(IA164,FIND("-",IA164,FIND("|",IA164))+1,10)))))*$D$50),$D$17*(1-(IF(INDEX($L$164:$L$179,MATCH(LEFT(IA164,FIND("·",IA164)-1),$K$164:$K$179,0))=0,ABS(INDEX($N$164:$N$179,MATCH(LEFT(IA164,FIND("·",IA164)-1),$K$164:$K$179,0))-VALUE(MID(IA164,FIND("|",IA164)+1,FIND("-",IA164,FIND("|",IA164))-FIND("|",IA164)-1))),ABS(INDEX($P$164:$P$179,MATCH(LEFT(IA164,FIND("·",IA164)-1),$K$164:$K$179,0))-(VALUE(MID(IA164,FIND("|",IA164)+1,FIND("-",IA164,FIND("|",IA164))-FIND("|",IA164)-1))-VALUE(MID(IA164,FIND("-",IA164,FIND("|",IA164))+1,10)))))*$D$50)))))*INDEX($I$164:$I$179,MATCH(LEFT(IA164,FIND("·",IA164)-1),$K$164:$K$179,0)),0),0),0)+IFERROR(IF(COUNTIF($C$164:$C$179,LEFT(IA164,FIND("·",IA164)-1))&gt;0,IF(INDEX($D$164:$D$179,MATCH(LEFT(IA164,FIND("·",IA164)-1),$C$164:$C$179,0))=IFERROR(VALUE(MID(IA164,FIND("·",IA164)+1,1)),0),($D$16+(INDEX($E$164:$E$179,MATCH(LEFT(IA164,FIND("·",IA164)-1),$C$164:$C$179,0))=MID(IA164,FIND("|",IA164)+1,10))*$D$18+MAX(0,IF($D$50=1,$D$17*(1-(ABS(INDEX($Q$164:$Q$179,MATCH(LEFT(IA164,FIND("·",IA164)-1),$C$164:$C$179,0))-(VALUE(MID(IA164,FIND("|",IA164)+1,FIND("-",IA164,FIND("|",IA164))-FIND("|",IA164)-1))-VALUE(MID(IA164,FIND("-",IA164,FIND("|",IA164))+1,10)))))*$D$50),$D$17*(1-(IF(INDEX($D$164:$D$179,MATCH(LEFT(IA164,FIND("·",IA164)-1),$C$164:$C$179,0))=0,ABS(INDEX($A$164:$A$179,MATCH(LEFT(IA164,FIND("·",IA164)-1),$C$164:$C$179,0))-VALUE(MID(IA164,FIND("|",IA164)+1,FIND("-",IA164,FIND("|",IA164))-FIND("|",IA164)-1))),ABS(INDEX($Q$164:$Q$179,MATCH(LEFT(IA164,FIND("·",IA164)-1),$C$164:$C$179,0))-(VALUE(MID(IA164,FIND("|",IA164)+1,FIND("-",IA164,FIND("|",IA164))-FIND("|",IA164)-1))-VALUE(MID(IA164,FIND("-",IA164,FIND("|",IA164))+1,10)))))*$D$50)))))*INDEX($I$164:$I$179,MATCH(LEFT(IA164,FIND("·",IA164)-1),$C$164:$C$179,0)),0),0),0)</f>
        <v>0</v>
      </c>
      <c r="IC164" s="108"/>
      <c r="ID164" s="75" t="str">
        <f>Idiomas!$D$367</f>
        <v>Pegar Valores Dieciseisavos</v>
      </c>
      <c r="IE164" s="76">
        <f t="shared" ref="IE164:IE179" ca="1" si="5513">IFERROR(IF(COUNTIF($K$164:$K$179,LEFT(ID164,FIND("·",ID164)-1))&gt;0,IF(INDEX($L$164:$L$179,MATCH(LEFT(ID164,FIND("·",ID164)-1),$K$164:$K$179,0))=IFERROR(VALUE(MID(ID164,FIND("·",ID164)+1,1)),0),($D$16+(INDEX($M$164:$M$179,MATCH(LEFT(ID164,FIND("·",ID164)-1),$K$164:$K$179,0))=MID(ID164,FIND("|",ID164)+1,10))*$D$18+MAX(0,IF($D$50=1,$D$17*(1-(ABS(INDEX($P$164:$P$179,MATCH(LEFT(ID164,FIND("·",ID164)-1),$K$164:$K$179,0))-(VALUE(MID(ID164,FIND("|",ID164)+1,FIND("-",ID164,FIND("|",ID164))-FIND("|",ID164)-1))-VALUE(MID(ID164,FIND("-",ID164,FIND("|",ID164))+1,10)))))*$D$50),$D$17*(1-(IF(INDEX($L$164:$L$179,MATCH(LEFT(ID164,FIND("·",ID164)-1),$K$164:$K$179,0))=0,ABS(INDEX($N$164:$N$179,MATCH(LEFT(ID164,FIND("·",ID164)-1),$K$164:$K$179,0))-VALUE(MID(ID164,FIND("|",ID164)+1,FIND("-",ID164,FIND("|",ID164))-FIND("|",ID164)-1))),ABS(INDEX($P$164:$P$179,MATCH(LEFT(ID164,FIND("·",ID164)-1),$K$164:$K$179,0))-(VALUE(MID(ID164,FIND("|",ID164)+1,FIND("-",ID164,FIND("|",ID164))-FIND("|",ID164)-1))-VALUE(MID(ID164,FIND("-",ID164,FIND("|",ID164))+1,10)))))*$D$50)))))*INDEX($I$164:$I$179,MATCH(LEFT(ID164,FIND("·",ID164)-1),$K$164:$K$179,0)),0),0),0)+IFERROR(IF(COUNTIF($C$164:$C$179,LEFT(ID164,FIND("·",ID164)-1))&gt;0,IF(INDEX($D$164:$D$179,MATCH(LEFT(ID164,FIND("·",ID164)-1),$C$164:$C$179,0))=IFERROR(VALUE(MID(ID164,FIND("·",ID164)+1,1)),0),($D$16+(INDEX($E$164:$E$179,MATCH(LEFT(ID164,FIND("·",ID164)-1),$C$164:$C$179,0))=MID(ID164,FIND("|",ID164)+1,10))*$D$18+MAX(0,IF($D$50=1,$D$17*(1-(ABS(INDEX($Q$164:$Q$179,MATCH(LEFT(ID164,FIND("·",ID164)-1),$C$164:$C$179,0))-(VALUE(MID(ID164,FIND("|",ID164)+1,FIND("-",ID164,FIND("|",ID164))-FIND("|",ID164)-1))-VALUE(MID(ID164,FIND("-",ID164,FIND("|",ID164))+1,10)))))*$D$50),$D$17*(1-(IF(INDEX($D$164:$D$179,MATCH(LEFT(ID164,FIND("·",ID164)-1),$C$164:$C$179,0))=0,ABS(INDEX($A$164:$A$179,MATCH(LEFT(ID164,FIND("·",ID164)-1),$C$164:$C$179,0))-VALUE(MID(ID164,FIND("|",ID164)+1,FIND("-",ID164,FIND("|",ID164))-FIND("|",ID164)-1))),ABS(INDEX($Q$164:$Q$179,MATCH(LEFT(ID164,FIND("·",ID164)-1),$C$164:$C$179,0))-(VALUE(MID(ID164,FIND("|",ID164)+1,FIND("-",ID164,FIND("|",ID164))-FIND("|",ID164)-1))-VALUE(MID(ID164,FIND("-",ID164,FIND("|",ID164))+1,10)))))*$D$50)))))*INDEX($I$164:$I$179,MATCH(LEFT(ID164,FIND("·",ID164)-1),$C$164:$C$179,0)),0),0),0)</f>
        <v>0</v>
      </c>
      <c r="IF164" s="108"/>
      <c r="IG164" s="75" t="str">
        <f>Idiomas!$D$367</f>
        <v>Pegar Valores Dieciseisavos</v>
      </c>
      <c r="IH164" s="76">
        <f t="shared" ref="IH164:IH179" ca="1" si="5514">IFERROR(IF(COUNTIF($K$164:$K$179,LEFT(IG164,FIND("·",IG164)-1))&gt;0,IF(INDEX($L$164:$L$179,MATCH(LEFT(IG164,FIND("·",IG164)-1),$K$164:$K$179,0))=IFERROR(VALUE(MID(IG164,FIND("·",IG164)+1,1)),0),($D$16+(INDEX($M$164:$M$179,MATCH(LEFT(IG164,FIND("·",IG164)-1),$K$164:$K$179,0))=MID(IG164,FIND("|",IG164)+1,10))*$D$18+MAX(0,IF($D$50=1,$D$17*(1-(ABS(INDEX($P$164:$P$179,MATCH(LEFT(IG164,FIND("·",IG164)-1),$K$164:$K$179,0))-(VALUE(MID(IG164,FIND("|",IG164)+1,FIND("-",IG164,FIND("|",IG164))-FIND("|",IG164)-1))-VALUE(MID(IG164,FIND("-",IG164,FIND("|",IG164))+1,10)))))*$D$50),$D$17*(1-(IF(INDEX($L$164:$L$179,MATCH(LEFT(IG164,FIND("·",IG164)-1),$K$164:$K$179,0))=0,ABS(INDEX($N$164:$N$179,MATCH(LEFT(IG164,FIND("·",IG164)-1),$K$164:$K$179,0))-VALUE(MID(IG164,FIND("|",IG164)+1,FIND("-",IG164,FIND("|",IG164))-FIND("|",IG164)-1))),ABS(INDEX($P$164:$P$179,MATCH(LEFT(IG164,FIND("·",IG164)-1),$K$164:$K$179,0))-(VALUE(MID(IG164,FIND("|",IG164)+1,FIND("-",IG164,FIND("|",IG164))-FIND("|",IG164)-1))-VALUE(MID(IG164,FIND("-",IG164,FIND("|",IG164))+1,10)))))*$D$50)))))*INDEX($I$164:$I$179,MATCH(LEFT(IG164,FIND("·",IG164)-1),$K$164:$K$179,0)),0),0),0)+IFERROR(IF(COUNTIF($C$164:$C$179,LEFT(IG164,FIND("·",IG164)-1))&gt;0,IF(INDEX($D$164:$D$179,MATCH(LEFT(IG164,FIND("·",IG164)-1),$C$164:$C$179,0))=IFERROR(VALUE(MID(IG164,FIND("·",IG164)+1,1)),0),($D$16+(INDEX($E$164:$E$179,MATCH(LEFT(IG164,FIND("·",IG164)-1),$C$164:$C$179,0))=MID(IG164,FIND("|",IG164)+1,10))*$D$18+MAX(0,IF($D$50=1,$D$17*(1-(ABS(INDEX($Q$164:$Q$179,MATCH(LEFT(IG164,FIND("·",IG164)-1),$C$164:$C$179,0))-(VALUE(MID(IG164,FIND("|",IG164)+1,FIND("-",IG164,FIND("|",IG164))-FIND("|",IG164)-1))-VALUE(MID(IG164,FIND("-",IG164,FIND("|",IG164))+1,10)))))*$D$50),$D$17*(1-(IF(INDEX($D$164:$D$179,MATCH(LEFT(IG164,FIND("·",IG164)-1),$C$164:$C$179,0))=0,ABS(INDEX($A$164:$A$179,MATCH(LEFT(IG164,FIND("·",IG164)-1),$C$164:$C$179,0))-VALUE(MID(IG164,FIND("|",IG164)+1,FIND("-",IG164,FIND("|",IG164))-FIND("|",IG164)-1))),ABS(INDEX($Q$164:$Q$179,MATCH(LEFT(IG164,FIND("·",IG164)-1),$C$164:$C$179,0))-(VALUE(MID(IG164,FIND("|",IG164)+1,FIND("-",IG164,FIND("|",IG164))-FIND("|",IG164)-1))-VALUE(MID(IG164,FIND("-",IG164,FIND("|",IG164))+1,10)))))*$D$50)))))*INDEX($I$164:$I$179,MATCH(LEFT(IG164,FIND("·",IG164)-1),$C$164:$C$179,0)),0),0),0)</f>
        <v>0</v>
      </c>
      <c r="II164" s="108"/>
      <c r="IJ164" s="75" t="str">
        <f>Idiomas!$D$367</f>
        <v>Pegar Valores Dieciseisavos</v>
      </c>
      <c r="IK164" s="76">
        <f t="shared" ref="IK164:IK179" ca="1" si="5515">IFERROR(IF(COUNTIF($K$164:$K$179,LEFT(IJ164,FIND("·",IJ164)-1))&gt;0,IF(INDEX($L$164:$L$179,MATCH(LEFT(IJ164,FIND("·",IJ164)-1),$K$164:$K$179,0))=IFERROR(VALUE(MID(IJ164,FIND("·",IJ164)+1,1)),0),($D$16+(INDEX($M$164:$M$179,MATCH(LEFT(IJ164,FIND("·",IJ164)-1),$K$164:$K$179,0))=MID(IJ164,FIND("|",IJ164)+1,10))*$D$18+MAX(0,IF($D$50=1,$D$17*(1-(ABS(INDEX($P$164:$P$179,MATCH(LEFT(IJ164,FIND("·",IJ164)-1),$K$164:$K$179,0))-(VALUE(MID(IJ164,FIND("|",IJ164)+1,FIND("-",IJ164,FIND("|",IJ164))-FIND("|",IJ164)-1))-VALUE(MID(IJ164,FIND("-",IJ164,FIND("|",IJ164))+1,10)))))*$D$50),$D$17*(1-(IF(INDEX($L$164:$L$179,MATCH(LEFT(IJ164,FIND("·",IJ164)-1),$K$164:$K$179,0))=0,ABS(INDEX($N$164:$N$179,MATCH(LEFT(IJ164,FIND("·",IJ164)-1),$K$164:$K$179,0))-VALUE(MID(IJ164,FIND("|",IJ164)+1,FIND("-",IJ164,FIND("|",IJ164))-FIND("|",IJ164)-1))),ABS(INDEX($P$164:$P$179,MATCH(LEFT(IJ164,FIND("·",IJ164)-1),$K$164:$K$179,0))-(VALUE(MID(IJ164,FIND("|",IJ164)+1,FIND("-",IJ164,FIND("|",IJ164))-FIND("|",IJ164)-1))-VALUE(MID(IJ164,FIND("-",IJ164,FIND("|",IJ164))+1,10)))))*$D$50)))))*INDEX($I$164:$I$179,MATCH(LEFT(IJ164,FIND("·",IJ164)-1),$K$164:$K$179,0)),0),0),0)+IFERROR(IF(COUNTIF($C$164:$C$179,LEFT(IJ164,FIND("·",IJ164)-1))&gt;0,IF(INDEX($D$164:$D$179,MATCH(LEFT(IJ164,FIND("·",IJ164)-1),$C$164:$C$179,0))=IFERROR(VALUE(MID(IJ164,FIND("·",IJ164)+1,1)),0),($D$16+(INDEX($E$164:$E$179,MATCH(LEFT(IJ164,FIND("·",IJ164)-1),$C$164:$C$179,0))=MID(IJ164,FIND("|",IJ164)+1,10))*$D$18+MAX(0,IF($D$50=1,$D$17*(1-(ABS(INDEX($Q$164:$Q$179,MATCH(LEFT(IJ164,FIND("·",IJ164)-1),$C$164:$C$179,0))-(VALUE(MID(IJ164,FIND("|",IJ164)+1,FIND("-",IJ164,FIND("|",IJ164))-FIND("|",IJ164)-1))-VALUE(MID(IJ164,FIND("-",IJ164,FIND("|",IJ164))+1,10)))))*$D$50),$D$17*(1-(IF(INDEX($D$164:$D$179,MATCH(LEFT(IJ164,FIND("·",IJ164)-1),$C$164:$C$179,0))=0,ABS(INDEX($A$164:$A$179,MATCH(LEFT(IJ164,FIND("·",IJ164)-1),$C$164:$C$179,0))-VALUE(MID(IJ164,FIND("|",IJ164)+1,FIND("-",IJ164,FIND("|",IJ164))-FIND("|",IJ164)-1))),ABS(INDEX($Q$164:$Q$179,MATCH(LEFT(IJ164,FIND("·",IJ164)-1),$C$164:$C$179,0))-(VALUE(MID(IJ164,FIND("|",IJ164)+1,FIND("-",IJ164,FIND("|",IJ164))-FIND("|",IJ164)-1))-VALUE(MID(IJ164,FIND("-",IJ164,FIND("|",IJ164))+1,10)))))*$D$50)))))*INDEX($I$164:$I$179,MATCH(LEFT(IJ164,FIND("·",IJ164)-1),$C$164:$C$179,0)),0),0),0)</f>
        <v>0</v>
      </c>
      <c r="IL164" s="108"/>
      <c r="IM164" s="75" t="str">
        <f>Idiomas!$D$367</f>
        <v>Pegar Valores Dieciseisavos</v>
      </c>
      <c r="IN164" s="76">
        <f t="shared" ref="IN164:IN179" ca="1" si="5516">IFERROR(IF(COUNTIF($K$164:$K$179,LEFT(IM164,FIND("·",IM164)-1))&gt;0,IF(INDEX($L$164:$L$179,MATCH(LEFT(IM164,FIND("·",IM164)-1),$K$164:$K$179,0))=IFERROR(VALUE(MID(IM164,FIND("·",IM164)+1,1)),0),($D$16+(INDEX($M$164:$M$179,MATCH(LEFT(IM164,FIND("·",IM164)-1),$K$164:$K$179,0))=MID(IM164,FIND("|",IM164)+1,10))*$D$18+MAX(0,IF($D$50=1,$D$17*(1-(ABS(INDEX($P$164:$P$179,MATCH(LEFT(IM164,FIND("·",IM164)-1),$K$164:$K$179,0))-(VALUE(MID(IM164,FIND("|",IM164)+1,FIND("-",IM164,FIND("|",IM164))-FIND("|",IM164)-1))-VALUE(MID(IM164,FIND("-",IM164,FIND("|",IM164))+1,10)))))*$D$50),$D$17*(1-(IF(INDEX($L$164:$L$179,MATCH(LEFT(IM164,FIND("·",IM164)-1),$K$164:$K$179,0))=0,ABS(INDEX($N$164:$N$179,MATCH(LEFT(IM164,FIND("·",IM164)-1),$K$164:$K$179,0))-VALUE(MID(IM164,FIND("|",IM164)+1,FIND("-",IM164,FIND("|",IM164))-FIND("|",IM164)-1))),ABS(INDEX($P$164:$P$179,MATCH(LEFT(IM164,FIND("·",IM164)-1),$K$164:$K$179,0))-(VALUE(MID(IM164,FIND("|",IM164)+1,FIND("-",IM164,FIND("|",IM164))-FIND("|",IM164)-1))-VALUE(MID(IM164,FIND("-",IM164,FIND("|",IM164))+1,10)))))*$D$50)))))*INDEX($I$164:$I$179,MATCH(LEFT(IM164,FIND("·",IM164)-1),$K$164:$K$179,0)),0),0),0)+IFERROR(IF(COUNTIF($C$164:$C$179,LEFT(IM164,FIND("·",IM164)-1))&gt;0,IF(INDEX($D$164:$D$179,MATCH(LEFT(IM164,FIND("·",IM164)-1),$C$164:$C$179,0))=IFERROR(VALUE(MID(IM164,FIND("·",IM164)+1,1)),0),($D$16+(INDEX($E$164:$E$179,MATCH(LEFT(IM164,FIND("·",IM164)-1),$C$164:$C$179,0))=MID(IM164,FIND("|",IM164)+1,10))*$D$18+MAX(0,IF($D$50=1,$D$17*(1-(ABS(INDEX($Q$164:$Q$179,MATCH(LEFT(IM164,FIND("·",IM164)-1),$C$164:$C$179,0))-(VALUE(MID(IM164,FIND("|",IM164)+1,FIND("-",IM164,FIND("|",IM164))-FIND("|",IM164)-1))-VALUE(MID(IM164,FIND("-",IM164,FIND("|",IM164))+1,10)))))*$D$50),$D$17*(1-(IF(INDEX($D$164:$D$179,MATCH(LEFT(IM164,FIND("·",IM164)-1),$C$164:$C$179,0))=0,ABS(INDEX($A$164:$A$179,MATCH(LEFT(IM164,FIND("·",IM164)-1),$C$164:$C$179,0))-VALUE(MID(IM164,FIND("|",IM164)+1,FIND("-",IM164,FIND("|",IM164))-FIND("|",IM164)-1))),ABS(INDEX($Q$164:$Q$179,MATCH(LEFT(IM164,FIND("·",IM164)-1),$C$164:$C$179,0))-(VALUE(MID(IM164,FIND("|",IM164)+1,FIND("-",IM164,FIND("|",IM164))-FIND("|",IM164)-1))-VALUE(MID(IM164,FIND("-",IM164,FIND("|",IM164))+1,10)))))*$D$50)))))*INDEX($I$164:$I$179,MATCH(LEFT(IM164,FIND("·",IM164)-1),$C$164:$C$179,0)),0),0),0)</f>
        <v>0</v>
      </c>
      <c r="IO164" s="108"/>
      <c r="IP164" s="75" t="str">
        <f>Idiomas!$D$367</f>
        <v>Pegar Valores Dieciseisavos</v>
      </c>
      <c r="IQ164" s="76">
        <f t="shared" ref="IQ164:IQ179" ca="1" si="5517">IFERROR(IF(COUNTIF($K$164:$K$179,LEFT(IP164,FIND("·",IP164)-1))&gt;0,IF(INDEX($L$164:$L$179,MATCH(LEFT(IP164,FIND("·",IP164)-1),$K$164:$K$179,0))=IFERROR(VALUE(MID(IP164,FIND("·",IP164)+1,1)),0),($D$16+(INDEX($M$164:$M$179,MATCH(LEFT(IP164,FIND("·",IP164)-1),$K$164:$K$179,0))=MID(IP164,FIND("|",IP164)+1,10))*$D$18+MAX(0,IF($D$50=1,$D$17*(1-(ABS(INDEX($P$164:$P$179,MATCH(LEFT(IP164,FIND("·",IP164)-1),$K$164:$K$179,0))-(VALUE(MID(IP164,FIND("|",IP164)+1,FIND("-",IP164,FIND("|",IP164))-FIND("|",IP164)-1))-VALUE(MID(IP164,FIND("-",IP164,FIND("|",IP164))+1,10)))))*$D$50),$D$17*(1-(IF(INDEX($L$164:$L$179,MATCH(LEFT(IP164,FIND("·",IP164)-1),$K$164:$K$179,0))=0,ABS(INDEX($N$164:$N$179,MATCH(LEFT(IP164,FIND("·",IP164)-1),$K$164:$K$179,0))-VALUE(MID(IP164,FIND("|",IP164)+1,FIND("-",IP164,FIND("|",IP164))-FIND("|",IP164)-1))),ABS(INDEX($P$164:$P$179,MATCH(LEFT(IP164,FIND("·",IP164)-1),$K$164:$K$179,0))-(VALUE(MID(IP164,FIND("|",IP164)+1,FIND("-",IP164,FIND("|",IP164))-FIND("|",IP164)-1))-VALUE(MID(IP164,FIND("-",IP164,FIND("|",IP164))+1,10)))))*$D$50)))))*INDEX($I$164:$I$179,MATCH(LEFT(IP164,FIND("·",IP164)-1),$K$164:$K$179,0)),0),0),0)+IFERROR(IF(COUNTIF($C$164:$C$179,LEFT(IP164,FIND("·",IP164)-1))&gt;0,IF(INDEX($D$164:$D$179,MATCH(LEFT(IP164,FIND("·",IP164)-1),$C$164:$C$179,0))=IFERROR(VALUE(MID(IP164,FIND("·",IP164)+1,1)),0),($D$16+(INDEX($E$164:$E$179,MATCH(LEFT(IP164,FIND("·",IP164)-1),$C$164:$C$179,0))=MID(IP164,FIND("|",IP164)+1,10))*$D$18+MAX(0,IF($D$50=1,$D$17*(1-(ABS(INDEX($Q$164:$Q$179,MATCH(LEFT(IP164,FIND("·",IP164)-1),$C$164:$C$179,0))-(VALUE(MID(IP164,FIND("|",IP164)+1,FIND("-",IP164,FIND("|",IP164))-FIND("|",IP164)-1))-VALUE(MID(IP164,FIND("-",IP164,FIND("|",IP164))+1,10)))))*$D$50),$D$17*(1-(IF(INDEX($D$164:$D$179,MATCH(LEFT(IP164,FIND("·",IP164)-1),$C$164:$C$179,0))=0,ABS(INDEX($A$164:$A$179,MATCH(LEFT(IP164,FIND("·",IP164)-1),$C$164:$C$179,0))-VALUE(MID(IP164,FIND("|",IP164)+1,FIND("-",IP164,FIND("|",IP164))-FIND("|",IP164)-1))),ABS(INDEX($Q$164:$Q$179,MATCH(LEFT(IP164,FIND("·",IP164)-1),$C$164:$C$179,0))-(VALUE(MID(IP164,FIND("|",IP164)+1,FIND("-",IP164,FIND("|",IP164))-FIND("|",IP164)-1))-VALUE(MID(IP164,FIND("-",IP164,FIND("|",IP164))+1,10)))))*$D$50)))))*INDEX($I$164:$I$179,MATCH(LEFT(IP164,FIND("·",IP164)-1),$C$164:$C$179,0)),0),0),0)</f>
        <v>0</v>
      </c>
      <c r="IR164" s="108"/>
      <c r="IS164" s="75" t="str">
        <f>Idiomas!$D$367</f>
        <v>Pegar Valores Dieciseisavos</v>
      </c>
      <c r="IT164" s="76">
        <f t="shared" ref="IT164:IT179" ca="1" si="5518">IFERROR(IF(COUNTIF($K$164:$K$179,LEFT(IS164,FIND("·",IS164)-1))&gt;0,IF(INDEX($L$164:$L$179,MATCH(LEFT(IS164,FIND("·",IS164)-1),$K$164:$K$179,0))=IFERROR(VALUE(MID(IS164,FIND("·",IS164)+1,1)),0),($D$16+(INDEX($M$164:$M$179,MATCH(LEFT(IS164,FIND("·",IS164)-1),$K$164:$K$179,0))=MID(IS164,FIND("|",IS164)+1,10))*$D$18+MAX(0,IF($D$50=1,$D$17*(1-(ABS(INDEX($P$164:$P$179,MATCH(LEFT(IS164,FIND("·",IS164)-1),$K$164:$K$179,0))-(VALUE(MID(IS164,FIND("|",IS164)+1,FIND("-",IS164,FIND("|",IS164))-FIND("|",IS164)-1))-VALUE(MID(IS164,FIND("-",IS164,FIND("|",IS164))+1,10)))))*$D$50),$D$17*(1-(IF(INDEX($L$164:$L$179,MATCH(LEFT(IS164,FIND("·",IS164)-1),$K$164:$K$179,0))=0,ABS(INDEX($N$164:$N$179,MATCH(LEFT(IS164,FIND("·",IS164)-1),$K$164:$K$179,0))-VALUE(MID(IS164,FIND("|",IS164)+1,FIND("-",IS164,FIND("|",IS164))-FIND("|",IS164)-1))),ABS(INDEX($P$164:$P$179,MATCH(LEFT(IS164,FIND("·",IS164)-1),$K$164:$K$179,0))-(VALUE(MID(IS164,FIND("|",IS164)+1,FIND("-",IS164,FIND("|",IS164))-FIND("|",IS164)-1))-VALUE(MID(IS164,FIND("-",IS164,FIND("|",IS164))+1,10)))))*$D$50)))))*INDEX($I$164:$I$179,MATCH(LEFT(IS164,FIND("·",IS164)-1),$K$164:$K$179,0)),0),0),0)+IFERROR(IF(COUNTIF($C$164:$C$179,LEFT(IS164,FIND("·",IS164)-1))&gt;0,IF(INDEX($D$164:$D$179,MATCH(LEFT(IS164,FIND("·",IS164)-1),$C$164:$C$179,0))=IFERROR(VALUE(MID(IS164,FIND("·",IS164)+1,1)),0),($D$16+(INDEX($E$164:$E$179,MATCH(LEFT(IS164,FIND("·",IS164)-1),$C$164:$C$179,0))=MID(IS164,FIND("|",IS164)+1,10))*$D$18+MAX(0,IF($D$50=1,$D$17*(1-(ABS(INDEX($Q$164:$Q$179,MATCH(LEFT(IS164,FIND("·",IS164)-1),$C$164:$C$179,0))-(VALUE(MID(IS164,FIND("|",IS164)+1,FIND("-",IS164,FIND("|",IS164))-FIND("|",IS164)-1))-VALUE(MID(IS164,FIND("-",IS164,FIND("|",IS164))+1,10)))))*$D$50),$D$17*(1-(IF(INDEX($D$164:$D$179,MATCH(LEFT(IS164,FIND("·",IS164)-1),$C$164:$C$179,0))=0,ABS(INDEX($A$164:$A$179,MATCH(LEFT(IS164,FIND("·",IS164)-1),$C$164:$C$179,0))-VALUE(MID(IS164,FIND("|",IS164)+1,FIND("-",IS164,FIND("|",IS164))-FIND("|",IS164)-1))),ABS(INDEX($Q$164:$Q$179,MATCH(LEFT(IS164,FIND("·",IS164)-1),$C$164:$C$179,0))-(VALUE(MID(IS164,FIND("|",IS164)+1,FIND("-",IS164,FIND("|",IS164))-FIND("|",IS164)-1))-VALUE(MID(IS164,FIND("-",IS164,FIND("|",IS164))+1,10)))))*$D$50)))))*INDEX($I$164:$I$179,MATCH(LEFT(IS164,FIND("·",IS164)-1),$C$164:$C$179,0)),0),0),0)</f>
        <v>0</v>
      </c>
      <c r="IU164" s="108"/>
      <c r="IV164" s="75" t="str">
        <f>Idiomas!$D$367</f>
        <v>Pegar Valores Dieciseisavos</v>
      </c>
      <c r="IW164" s="76">
        <f t="shared" ref="IW164:IW179" ca="1" si="5519">IFERROR(IF(COUNTIF($K$164:$K$179,LEFT(IV164,FIND("·",IV164)-1))&gt;0,IF(INDEX($L$164:$L$179,MATCH(LEFT(IV164,FIND("·",IV164)-1),$K$164:$K$179,0))=IFERROR(VALUE(MID(IV164,FIND("·",IV164)+1,1)),0),($D$16+(INDEX($M$164:$M$179,MATCH(LEFT(IV164,FIND("·",IV164)-1),$K$164:$K$179,0))=MID(IV164,FIND("|",IV164)+1,10))*$D$18+MAX(0,IF($D$50=1,$D$17*(1-(ABS(INDEX($P$164:$P$179,MATCH(LEFT(IV164,FIND("·",IV164)-1),$K$164:$K$179,0))-(VALUE(MID(IV164,FIND("|",IV164)+1,FIND("-",IV164,FIND("|",IV164))-FIND("|",IV164)-1))-VALUE(MID(IV164,FIND("-",IV164,FIND("|",IV164))+1,10)))))*$D$50),$D$17*(1-(IF(INDEX($L$164:$L$179,MATCH(LEFT(IV164,FIND("·",IV164)-1),$K$164:$K$179,0))=0,ABS(INDEX($N$164:$N$179,MATCH(LEFT(IV164,FIND("·",IV164)-1),$K$164:$K$179,0))-VALUE(MID(IV164,FIND("|",IV164)+1,FIND("-",IV164,FIND("|",IV164))-FIND("|",IV164)-1))),ABS(INDEX($P$164:$P$179,MATCH(LEFT(IV164,FIND("·",IV164)-1),$K$164:$K$179,0))-(VALUE(MID(IV164,FIND("|",IV164)+1,FIND("-",IV164,FIND("|",IV164))-FIND("|",IV164)-1))-VALUE(MID(IV164,FIND("-",IV164,FIND("|",IV164))+1,10)))))*$D$50)))))*INDEX($I$164:$I$179,MATCH(LEFT(IV164,FIND("·",IV164)-1),$K$164:$K$179,0)),0),0),0)+IFERROR(IF(COUNTIF($C$164:$C$179,LEFT(IV164,FIND("·",IV164)-1))&gt;0,IF(INDEX($D$164:$D$179,MATCH(LEFT(IV164,FIND("·",IV164)-1),$C$164:$C$179,0))=IFERROR(VALUE(MID(IV164,FIND("·",IV164)+1,1)),0),($D$16+(INDEX($E$164:$E$179,MATCH(LEFT(IV164,FIND("·",IV164)-1),$C$164:$C$179,0))=MID(IV164,FIND("|",IV164)+1,10))*$D$18+MAX(0,IF($D$50=1,$D$17*(1-(ABS(INDEX($Q$164:$Q$179,MATCH(LEFT(IV164,FIND("·",IV164)-1),$C$164:$C$179,0))-(VALUE(MID(IV164,FIND("|",IV164)+1,FIND("-",IV164,FIND("|",IV164))-FIND("|",IV164)-1))-VALUE(MID(IV164,FIND("-",IV164,FIND("|",IV164))+1,10)))))*$D$50),$D$17*(1-(IF(INDEX($D$164:$D$179,MATCH(LEFT(IV164,FIND("·",IV164)-1),$C$164:$C$179,0))=0,ABS(INDEX($A$164:$A$179,MATCH(LEFT(IV164,FIND("·",IV164)-1),$C$164:$C$179,0))-VALUE(MID(IV164,FIND("|",IV164)+1,FIND("-",IV164,FIND("|",IV164))-FIND("|",IV164)-1))),ABS(INDEX($Q$164:$Q$179,MATCH(LEFT(IV164,FIND("·",IV164)-1),$C$164:$C$179,0))-(VALUE(MID(IV164,FIND("|",IV164)+1,FIND("-",IV164,FIND("|",IV164))-FIND("|",IV164)-1))-VALUE(MID(IV164,FIND("-",IV164,FIND("|",IV164))+1,10)))))*$D$50)))))*INDEX($I$164:$I$179,MATCH(LEFT(IV164,FIND("·",IV164)-1),$C$164:$C$179,0)),0),0),0)</f>
        <v>0</v>
      </c>
      <c r="IX164" s="108"/>
      <c r="IY164" s="75" t="str">
        <f>Idiomas!$D$367</f>
        <v>Pegar Valores Dieciseisavos</v>
      </c>
      <c r="IZ164" s="76">
        <f t="shared" ref="IZ164:IZ179" ca="1" si="5520">IFERROR(IF(COUNTIF($K$164:$K$179,LEFT(IY164,FIND("·",IY164)-1))&gt;0,IF(INDEX($L$164:$L$179,MATCH(LEFT(IY164,FIND("·",IY164)-1),$K$164:$K$179,0))=IFERROR(VALUE(MID(IY164,FIND("·",IY164)+1,1)),0),($D$16+(INDEX($M$164:$M$179,MATCH(LEFT(IY164,FIND("·",IY164)-1),$K$164:$K$179,0))=MID(IY164,FIND("|",IY164)+1,10))*$D$18+MAX(0,IF($D$50=1,$D$17*(1-(ABS(INDEX($P$164:$P$179,MATCH(LEFT(IY164,FIND("·",IY164)-1),$K$164:$K$179,0))-(VALUE(MID(IY164,FIND("|",IY164)+1,FIND("-",IY164,FIND("|",IY164))-FIND("|",IY164)-1))-VALUE(MID(IY164,FIND("-",IY164,FIND("|",IY164))+1,10)))))*$D$50),$D$17*(1-(IF(INDEX($L$164:$L$179,MATCH(LEFT(IY164,FIND("·",IY164)-1),$K$164:$K$179,0))=0,ABS(INDEX($N$164:$N$179,MATCH(LEFT(IY164,FIND("·",IY164)-1),$K$164:$K$179,0))-VALUE(MID(IY164,FIND("|",IY164)+1,FIND("-",IY164,FIND("|",IY164))-FIND("|",IY164)-1))),ABS(INDEX($P$164:$P$179,MATCH(LEFT(IY164,FIND("·",IY164)-1),$K$164:$K$179,0))-(VALUE(MID(IY164,FIND("|",IY164)+1,FIND("-",IY164,FIND("|",IY164))-FIND("|",IY164)-1))-VALUE(MID(IY164,FIND("-",IY164,FIND("|",IY164))+1,10)))))*$D$50)))))*INDEX($I$164:$I$179,MATCH(LEFT(IY164,FIND("·",IY164)-1),$K$164:$K$179,0)),0),0),0)+IFERROR(IF(COUNTIF($C$164:$C$179,LEFT(IY164,FIND("·",IY164)-1))&gt;0,IF(INDEX($D$164:$D$179,MATCH(LEFT(IY164,FIND("·",IY164)-1),$C$164:$C$179,0))=IFERROR(VALUE(MID(IY164,FIND("·",IY164)+1,1)),0),($D$16+(INDEX($E$164:$E$179,MATCH(LEFT(IY164,FIND("·",IY164)-1),$C$164:$C$179,0))=MID(IY164,FIND("|",IY164)+1,10))*$D$18+MAX(0,IF($D$50=1,$D$17*(1-(ABS(INDEX($Q$164:$Q$179,MATCH(LEFT(IY164,FIND("·",IY164)-1),$C$164:$C$179,0))-(VALUE(MID(IY164,FIND("|",IY164)+1,FIND("-",IY164,FIND("|",IY164))-FIND("|",IY164)-1))-VALUE(MID(IY164,FIND("-",IY164,FIND("|",IY164))+1,10)))))*$D$50),$D$17*(1-(IF(INDEX($D$164:$D$179,MATCH(LEFT(IY164,FIND("·",IY164)-1),$C$164:$C$179,0))=0,ABS(INDEX($A$164:$A$179,MATCH(LEFT(IY164,FIND("·",IY164)-1),$C$164:$C$179,0))-VALUE(MID(IY164,FIND("|",IY164)+1,FIND("-",IY164,FIND("|",IY164))-FIND("|",IY164)-1))),ABS(INDEX($Q$164:$Q$179,MATCH(LEFT(IY164,FIND("·",IY164)-1),$C$164:$C$179,0))-(VALUE(MID(IY164,FIND("|",IY164)+1,FIND("-",IY164,FIND("|",IY164))-FIND("|",IY164)-1))-VALUE(MID(IY164,FIND("-",IY164,FIND("|",IY164))+1,10)))))*$D$50)))))*INDEX($I$164:$I$179,MATCH(LEFT(IY164,FIND("·",IY164)-1),$C$164:$C$179,0)),0),0),0)</f>
        <v>0</v>
      </c>
      <c r="JA164" s="108"/>
      <c r="JB164" s="75" t="str">
        <f>Idiomas!$D$367</f>
        <v>Pegar Valores Dieciseisavos</v>
      </c>
      <c r="JC164" s="76">
        <f t="shared" ref="JC164:JC179" ca="1" si="5521">IFERROR(IF(COUNTIF($K$164:$K$179,LEFT(JB164,FIND("·",JB164)-1))&gt;0,IF(INDEX($L$164:$L$179,MATCH(LEFT(JB164,FIND("·",JB164)-1),$K$164:$K$179,0))=IFERROR(VALUE(MID(JB164,FIND("·",JB164)+1,1)),0),($D$16+(INDEX($M$164:$M$179,MATCH(LEFT(JB164,FIND("·",JB164)-1),$K$164:$K$179,0))=MID(JB164,FIND("|",JB164)+1,10))*$D$18+MAX(0,IF($D$50=1,$D$17*(1-(ABS(INDEX($P$164:$P$179,MATCH(LEFT(JB164,FIND("·",JB164)-1),$K$164:$K$179,0))-(VALUE(MID(JB164,FIND("|",JB164)+1,FIND("-",JB164,FIND("|",JB164))-FIND("|",JB164)-1))-VALUE(MID(JB164,FIND("-",JB164,FIND("|",JB164))+1,10)))))*$D$50),$D$17*(1-(IF(INDEX($L$164:$L$179,MATCH(LEFT(JB164,FIND("·",JB164)-1),$K$164:$K$179,0))=0,ABS(INDEX($N$164:$N$179,MATCH(LEFT(JB164,FIND("·",JB164)-1),$K$164:$K$179,0))-VALUE(MID(JB164,FIND("|",JB164)+1,FIND("-",JB164,FIND("|",JB164))-FIND("|",JB164)-1))),ABS(INDEX($P$164:$P$179,MATCH(LEFT(JB164,FIND("·",JB164)-1),$K$164:$K$179,0))-(VALUE(MID(JB164,FIND("|",JB164)+1,FIND("-",JB164,FIND("|",JB164))-FIND("|",JB164)-1))-VALUE(MID(JB164,FIND("-",JB164,FIND("|",JB164))+1,10)))))*$D$50)))))*INDEX($I$164:$I$179,MATCH(LEFT(JB164,FIND("·",JB164)-1),$K$164:$K$179,0)),0),0),0)+IFERROR(IF(COUNTIF($C$164:$C$179,LEFT(JB164,FIND("·",JB164)-1))&gt;0,IF(INDEX($D$164:$D$179,MATCH(LEFT(JB164,FIND("·",JB164)-1),$C$164:$C$179,0))=IFERROR(VALUE(MID(JB164,FIND("·",JB164)+1,1)),0),($D$16+(INDEX($E$164:$E$179,MATCH(LEFT(JB164,FIND("·",JB164)-1),$C$164:$C$179,0))=MID(JB164,FIND("|",JB164)+1,10))*$D$18+MAX(0,IF($D$50=1,$D$17*(1-(ABS(INDEX($Q$164:$Q$179,MATCH(LEFT(JB164,FIND("·",JB164)-1),$C$164:$C$179,0))-(VALUE(MID(JB164,FIND("|",JB164)+1,FIND("-",JB164,FIND("|",JB164))-FIND("|",JB164)-1))-VALUE(MID(JB164,FIND("-",JB164,FIND("|",JB164))+1,10)))))*$D$50),$D$17*(1-(IF(INDEX($D$164:$D$179,MATCH(LEFT(JB164,FIND("·",JB164)-1),$C$164:$C$179,0))=0,ABS(INDEX($A$164:$A$179,MATCH(LEFT(JB164,FIND("·",JB164)-1),$C$164:$C$179,0))-VALUE(MID(JB164,FIND("|",JB164)+1,FIND("-",JB164,FIND("|",JB164))-FIND("|",JB164)-1))),ABS(INDEX($Q$164:$Q$179,MATCH(LEFT(JB164,FIND("·",JB164)-1),$C$164:$C$179,0))-(VALUE(MID(JB164,FIND("|",JB164)+1,FIND("-",JB164,FIND("|",JB164))-FIND("|",JB164)-1))-VALUE(MID(JB164,FIND("-",JB164,FIND("|",JB164))+1,10)))))*$D$50)))))*INDEX($I$164:$I$179,MATCH(LEFT(JB164,FIND("·",JB164)-1),$C$164:$C$179,0)),0),0),0)</f>
        <v>0</v>
      </c>
      <c r="JD164" s="108"/>
      <c r="JE164" s="75" t="str">
        <f>Idiomas!$D$367</f>
        <v>Pegar Valores Dieciseisavos</v>
      </c>
      <c r="JF164" s="76">
        <f t="shared" ref="JF164:JF179" ca="1" si="5522">IFERROR(IF(COUNTIF($K$164:$K$179,LEFT(JE164,FIND("·",JE164)-1))&gt;0,IF(INDEX($L$164:$L$179,MATCH(LEFT(JE164,FIND("·",JE164)-1),$K$164:$K$179,0))=IFERROR(VALUE(MID(JE164,FIND("·",JE164)+1,1)),0),($D$16+(INDEX($M$164:$M$179,MATCH(LEFT(JE164,FIND("·",JE164)-1),$K$164:$K$179,0))=MID(JE164,FIND("|",JE164)+1,10))*$D$18+MAX(0,IF($D$50=1,$D$17*(1-(ABS(INDEX($P$164:$P$179,MATCH(LEFT(JE164,FIND("·",JE164)-1),$K$164:$K$179,0))-(VALUE(MID(JE164,FIND("|",JE164)+1,FIND("-",JE164,FIND("|",JE164))-FIND("|",JE164)-1))-VALUE(MID(JE164,FIND("-",JE164,FIND("|",JE164))+1,10)))))*$D$50),$D$17*(1-(IF(INDEX($L$164:$L$179,MATCH(LEFT(JE164,FIND("·",JE164)-1),$K$164:$K$179,0))=0,ABS(INDEX($N$164:$N$179,MATCH(LEFT(JE164,FIND("·",JE164)-1),$K$164:$K$179,0))-VALUE(MID(JE164,FIND("|",JE164)+1,FIND("-",JE164,FIND("|",JE164))-FIND("|",JE164)-1))),ABS(INDEX($P$164:$P$179,MATCH(LEFT(JE164,FIND("·",JE164)-1),$K$164:$K$179,0))-(VALUE(MID(JE164,FIND("|",JE164)+1,FIND("-",JE164,FIND("|",JE164))-FIND("|",JE164)-1))-VALUE(MID(JE164,FIND("-",JE164,FIND("|",JE164))+1,10)))))*$D$50)))))*INDEX($I$164:$I$179,MATCH(LEFT(JE164,FIND("·",JE164)-1),$K$164:$K$179,0)),0),0),0)+IFERROR(IF(COUNTIF($C$164:$C$179,LEFT(JE164,FIND("·",JE164)-1))&gt;0,IF(INDEX($D$164:$D$179,MATCH(LEFT(JE164,FIND("·",JE164)-1),$C$164:$C$179,0))=IFERROR(VALUE(MID(JE164,FIND("·",JE164)+1,1)),0),($D$16+(INDEX($E$164:$E$179,MATCH(LEFT(JE164,FIND("·",JE164)-1),$C$164:$C$179,0))=MID(JE164,FIND("|",JE164)+1,10))*$D$18+MAX(0,IF($D$50=1,$D$17*(1-(ABS(INDEX($Q$164:$Q$179,MATCH(LEFT(JE164,FIND("·",JE164)-1),$C$164:$C$179,0))-(VALUE(MID(JE164,FIND("|",JE164)+1,FIND("-",JE164,FIND("|",JE164))-FIND("|",JE164)-1))-VALUE(MID(JE164,FIND("-",JE164,FIND("|",JE164))+1,10)))))*$D$50),$D$17*(1-(IF(INDEX($D$164:$D$179,MATCH(LEFT(JE164,FIND("·",JE164)-1),$C$164:$C$179,0))=0,ABS(INDEX($A$164:$A$179,MATCH(LEFT(JE164,FIND("·",JE164)-1),$C$164:$C$179,0))-VALUE(MID(JE164,FIND("|",JE164)+1,FIND("-",JE164,FIND("|",JE164))-FIND("|",JE164)-1))),ABS(INDEX($Q$164:$Q$179,MATCH(LEFT(JE164,FIND("·",JE164)-1),$C$164:$C$179,0))-(VALUE(MID(JE164,FIND("|",JE164)+1,FIND("-",JE164,FIND("|",JE164))-FIND("|",JE164)-1))-VALUE(MID(JE164,FIND("-",JE164,FIND("|",JE164))+1,10)))))*$D$50)))))*INDEX($I$164:$I$179,MATCH(LEFT(JE164,FIND("·",JE164)-1),$C$164:$C$179,0)),0),0),0)</f>
        <v>0</v>
      </c>
      <c r="JG164" s="108"/>
      <c r="JH164" s="75" t="str">
        <f>Idiomas!$D$367</f>
        <v>Pegar Valores Dieciseisavos</v>
      </c>
      <c r="JI164" s="76">
        <f t="shared" ref="JI164:JI179" ca="1" si="5523">IFERROR(IF(COUNTIF($K$164:$K$179,LEFT(JH164,FIND("·",JH164)-1))&gt;0,IF(INDEX($L$164:$L$179,MATCH(LEFT(JH164,FIND("·",JH164)-1),$K$164:$K$179,0))=IFERROR(VALUE(MID(JH164,FIND("·",JH164)+1,1)),0),($D$16+(INDEX($M$164:$M$179,MATCH(LEFT(JH164,FIND("·",JH164)-1),$K$164:$K$179,0))=MID(JH164,FIND("|",JH164)+1,10))*$D$18+MAX(0,IF($D$50=1,$D$17*(1-(ABS(INDEX($P$164:$P$179,MATCH(LEFT(JH164,FIND("·",JH164)-1),$K$164:$K$179,0))-(VALUE(MID(JH164,FIND("|",JH164)+1,FIND("-",JH164,FIND("|",JH164))-FIND("|",JH164)-1))-VALUE(MID(JH164,FIND("-",JH164,FIND("|",JH164))+1,10)))))*$D$50),$D$17*(1-(IF(INDEX($L$164:$L$179,MATCH(LEFT(JH164,FIND("·",JH164)-1),$K$164:$K$179,0))=0,ABS(INDEX($N$164:$N$179,MATCH(LEFT(JH164,FIND("·",JH164)-1),$K$164:$K$179,0))-VALUE(MID(JH164,FIND("|",JH164)+1,FIND("-",JH164,FIND("|",JH164))-FIND("|",JH164)-1))),ABS(INDEX($P$164:$P$179,MATCH(LEFT(JH164,FIND("·",JH164)-1),$K$164:$K$179,0))-(VALUE(MID(JH164,FIND("|",JH164)+1,FIND("-",JH164,FIND("|",JH164))-FIND("|",JH164)-1))-VALUE(MID(JH164,FIND("-",JH164,FIND("|",JH164))+1,10)))))*$D$50)))))*INDEX($I$164:$I$179,MATCH(LEFT(JH164,FIND("·",JH164)-1),$K$164:$K$179,0)),0),0),0)+IFERROR(IF(COUNTIF($C$164:$C$179,LEFT(JH164,FIND("·",JH164)-1))&gt;0,IF(INDEX($D$164:$D$179,MATCH(LEFT(JH164,FIND("·",JH164)-1),$C$164:$C$179,0))=IFERROR(VALUE(MID(JH164,FIND("·",JH164)+1,1)),0),($D$16+(INDEX($E$164:$E$179,MATCH(LEFT(JH164,FIND("·",JH164)-1),$C$164:$C$179,0))=MID(JH164,FIND("|",JH164)+1,10))*$D$18+MAX(0,IF($D$50=1,$D$17*(1-(ABS(INDEX($Q$164:$Q$179,MATCH(LEFT(JH164,FIND("·",JH164)-1),$C$164:$C$179,0))-(VALUE(MID(JH164,FIND("|",JH164)+1,FIND("-",JH164,FIND("|",JH164))-FIND("|",JH164)-1))-VALUE(MID(JH164,FIND("-",JH164,FIND("|",JH164))+1,10)))))*$D$50),$D$17*(1-(IF(INDEX($D$164:$D$179,MATCH(LEFT(JH164,FIND("·",JH164)-1),$C$164:$C$179,0))=0,ABS(INDEX($A$164:$A$179,MATCH(LEFT(JH164,FIND("·",JH164)-1),$C$164:$C$179,0))-VALUE(MID(JH164,FIND("|",JH164)+1,FIND("-",JH164,FIND("|",JH164))-FIND("|",JH164)-1))),ABS(INDEX($Q$164:$Q$179,MATCH(LEFT(JH164,FIND("·",JH164)-1),$C$164:$C$179,0))-(VALUE(MID(JH164,FIND("|",JH164)+1,FIND("-",JH164,FIND("|",JH164))-FIND("|",JH164)-1))-VALUE(MID(JH164,FIND("-",JH164,FIND("|",JH164))+1,10)))))*$D$50)))))*INDEX($I$164:$I$179,MATCH(LEFT(JH164,FIND("·",JH164)-1),$C$164:$C$179,0)),0),0),0)</f>
        <v>0</v>
      </c>
      <c r="JJ164" s="108"/>
      <c r="JK164" s="75" t="str">
        <f>Idiomas!$D$367</f>
        <v>Pegar Valores Dieciseisavos</v>
      </c>
      <c r="JL164" s="76">
        <f t="shared" ref="JL164:JL179" ca="1" si="5524">IFERROR(IF(COUNTIF($K$164:$K$179,LEFT(JK164,FIND("·",JK164)-1))&gt;0,IF(INDEX($L$164:$L$179,MATCH(LEFT(JK164,FIND("·",JK164)-1),$K$164:$K$179,0))=IFERROR(VALUE(MID(JK164,FIND("·",JK164)+1,1)),0),($D$16+(INDEX($M$164:$M$179,MATCH(LEFT(JK164,FIND("·",JK164)-1),$K$164:$K$179,0))=MID(JK164,FIND("|",JK164)+1,10))*$D$18+MAX(0,IF($D$50=1,$D$17*(1-(ABS(INDEX($P$164:$P$179,MATCH(LEFT(JK164,FIND("·",JK164)-1),$K$164:$K$179,0))-(VALUE(MID(JK164,FIND("|",JK164)+1,FIND("-",JK164,FIND("|",JK164))-FIND("|",JK164)-1))-VALUE(MID(JK164,FIND("-",JK164,FIND("|",JK164))+1,10)))))*$D$50),$D$17*(1-(IF(INDEX($L$164:$L$179,MATCH(LEFT(JK164,FIND("·",JK164)-1),$K$164:$K$179,0))=0,ABS(INDEX($N$164:$N$179,MATCH(LEFT(JK164,FIND("·",JK164)-1),$K$164:$K$179,0))-VALUE(MID(JK164,FIND("|",JK164)+1,FIND("-",JK164,FIND("|",JK164))-FIND("|",JK164)-1))),ABS(INDEX($P$164:$P$179,MATCH(LEFT(JK164,FIND("·",JK164)-1),$K$164:$K$179,0))-(VALUE(MID(JK164,FIND("|",JK164)+1,FIND("-",JK164,FIND("|",JK164))-FIND("|",JK164)-1))-VALUE(MID(JK164,FIND("-",JK164,FIND("|",JK164))+1,10)))))*$D$50)))))*INDEX($I$164:$I$179,MATCH(LEFT(JK164,FIND("·",JK164)-1),$K$164:$K$179,0)),0),0),0)+IFERROR(IF(COUNTIF($C$164:$C$179,LEFT(JK164,FIND("·",JK164)-1))&gt;0,IF(INDEX($D$164:$D$179,MATCH(LEFT(JK164,FIND("·",JK164)-1),$C$164:$C$179,0))=IFERROR(VALUE(MID(JK164,FIND("·",JK164)+1,1)),0),($D$16+(INDEX($E$164:$E$179,MATCH(LEFT(JK164,FIND("·",JK164)-1),$C$164:$C$179,0))=MID(JK164,FIND("|",JK164)+1,10))*$D$18+MAX(0,IF($D$50=1,$D$17*(1-(ABS(INDEX($Q$164:$Q$179,MATCH(LEFT(JK164,FIND("·",JK164)-1),$C$164:$C$179,0))-(VALUE(MID(JK164,FIND("|",JK164)+1,FIND("-",JK164,FIND("|",JK164))-FIND("|",JK164)-1))-VALUE(MID(JK164,FIND("-",JK164,FIND("|",JK164))+1,10)))))*$D$50),$D$17*(1-(IF(INDEX($D$164:$D$179,MATCH(LEFT(JK164,FIND("·",JK164)-1),$C$164:$C$179,0))=0,ABS(INDEX($A$164:$A$179,MATCH(LEFT(JK164,FIND("·",JK164)-1),$C$164:$C$179,0))-VALUE(MID(JK164,FIND("|",JK164)+1,FIND("-",JK164,FIND("|",JK164))-FIND("|",JK164)-1))),ABS(INDEX($Q$164:$Q$179,MATCH(LEFT(JK164,FIND("·",JK164)-1),$C$164:$C$179,0))-(VALUE(MID(JK164,FIND("|",JK164)+1,FIND("-",JK164,FIND("|",JK164))-FIND("|",JK164)-1))-VALUE(MID(JK164,FIND("-",JK164,FIND("|",JK164))+1,10)))))*$D$50)))))*INDEX($I$164:$I$179,MATCH(LEFT(JK164,FIND("·",JK164)-1),$C$164:$C$179,0)),0),0),0)</f>
        <v>0</v>
      </c>
      <c r="JM164" s="108"/>
      <c r="JN164" s="75" t="str">
        <f>Idiomas!$D$367</f>
        <v>Pegar Valores Dieciseisavos</v>
      </c>
      <c r="JO164" s="76">
        <f t="shared" ref="JO164:JO179" ca="1" si="5525">IFERROR(IF(COUNTIF($K$164:$K$179,LEFT(JN164,FIND("·",JN164)-1))&gt;0,IF(INDEX($L$164:$L$179,MATCH(LEFT(JN164,FIND("·",JN164)-1),$K$164:$K$179,0))=IFERROR(VALUE(MID(JN164,FIND("·",JN164)+1,1)),0),($D$16+(INDEX($M$164:$M$179,MATCH(LEFT(JN164,FIND("·",JN164)-1),$K$164:$K$179,0))=MID(JN164,FIND("|",JN164)+1,10))*$D$18+MAX(0,IF($D$50=1,$D$17*(1-(ABS(INDEX($P$164:$P$179,MATCH(LEFT(JN164,FIND("·",JN164)-1),$K$164:$K$179,0))-(VALUE(MID(JN164,FIND("|",JN164)+1,FIND("-",JN164,FIND("|",JN164))-FIND("|",JN164)-1))-VALUE(MID(JN164,FIND("-",JN164,FIND("|",JN164))+1,10)))))*$D$50),$D$17*(1-(IF(INDEX($L$164:$L$179,MATCH(LEFT(JN164,FIND("·",JN164)-1),$K$164:$K$179,0))=0,ABS(INDEX($N$164:$N$179,MATCH(LEFT(JN164,FIND("·",JN164)-1),$K$164:$K$179,0))-VALUE(MID(JN164,FIND("|",JN164)+1,FIND("-",JN164,FIND("|",JN164))-FIND("|",JN164)-1))),ABS(INDEX($P$164:$P$179,MATCH(LEFT(JN164,FIND("·",JN164)-1),$K$164:$K$179,0))-(VALUE(MID(JN164,FIND("|",JN164)+1,FIND("-",JN164,FIND("|",JN164))-FIND("|",JN164)-1))-VALUE(MID(JN164,FIND("-",JN164,FIND("|",JN164))+1,10)))))*$D$50)))))*INDEX($I$164:$I$179,MATCH(LEFT(JN164,FIND("·",JN164)-1),$K$164:$K$179,0)),0),0),0)+IFERROR(IF(COUNTIF($C$164:$C$179,LEFT(JN164,FIND("·",JN164)-1))&gt;0,IF(INDEX($D$164:$D$179,MATCH(LEFT(JN164,FIND("·",JN164)-1),$C$164:$C$179,0))=IFERROR(VALUE(MID(JN164,FIND("·",JN164)+1,1)),0),($D$16+(INDEX($E$164:$E$179,MATCH(LEFT(JN164,FIND("·",JN164)-1),$C$164:$C$179,0))=MID(JN164,FIND("|",JN164)+1,10))*$D$18+MAX(0,IF($D$50=1,$D$17*(1-(ABS(INDEX($Q$164:$Q$179,MATCH(LEFT(JN164,FIND("·",JN164)-1),$C$164:$C$179,0))-(VALUE(MID(JN164,FIND("|",JN164)+1,FIND("-",JN164,FIND("|",JN164))-FIND("|",JN164)-1))-VALUE(MID(JN164,FIND("-",JN164,FIND("|",JN164))+1,10)))))*$D$50),$D$17*(1-(IF(INDEX($D$164:$D$179,MATCH(LEFT(JN164,FIND("·",JN164)-1),$C$164:$C$179,0))=0,ABS(INDEX($A$164:$A$179,MATCH(LEFT(JN164,FIND("·",JN164)-1),$C$164:$C$179,0))-VALUE(MID(JN164,FIND("|",JN164)+1,FIND("-",JN164,FIND("|",JN164))-FIND("|",JN164)-1))),ABS(INDEX($Q$164:$Q$179,MATCH(LEFT(JN164,FIND("·",JN164)-1),$C$164:$C$179,0))-(VALUE(MID(JN164,FIND("|",JN164)+1,FIND("-",JN164,FIND("|",JN164))-FIND("|",JN164)-1))-VALUE(MID(JN164,FIND("-",JN164,FIND("|",JN164))+1,10)))))*$D$50)))))*INDEX($I$164:$I$179,MATCH(LEFT(JN164,FIND("·",JN164)-1),$C$164:$C$179,0)),0),0),0)</f>
        <v>0</v>
      </c>
      <c r="JP164" s="108"/>
      <c r="JQ164" s="75" t="str">
        <f>Idiomas!$D$367</f>
        <v>Pegar Valores Dieciseisavos</v>
      </c>
      <c r="JR164" s="76">
        <f t="shared" ref="JR164:JR179" ca="1" si="5526">IFERROR(IF(COUNTIF($K$164:$K$179,LEFT(JQ164,FIND("·",JQ164)-1))&gt;0,IF(INDEX($L$164:$L$179,MATCH(LEFT(JQ164,FIND("·",JQ164)-1),$K$164:$K$179,0))=IFERROR(VALUE(MID(JQ164,FIND("·",JQ164)+1,1)),0),($D$16+(INDEX($M$164:$M$179,MATCH(LEFT(JQ164,FIND("·",JQ164)-1),$K$164:$K$179,0))=MID(JQ164,FIND("|",JQ164)+1,10))*$D$18+MAX(0,IF($D$50=1,$D$17*(1-(ABS(INDEX($P$164:$P$179,MATCH(LEFT(JQ164,FIND("·",JQ164)-1),$K$164:$K$179,0))-(VALUE(MID(JQ164,FIND("|",JQ164)+1,FIND("-",JQ164,FIND("|",JQ164))-FIND("|",JQ164)-1))-VALUE(MID(JQ164,FIND("-",JQ164,FIND("|",JQ164))+1,10)))))*$D$50),$D$17*(1-(IF(INDEX($L$164:$L$179,MATCH(LEFT(JQ164,FIND("·",JQ164)-1),$K$164:$K$179,0))=0,ABS(INDEX($N$164:$N$179,MATCH(LEFT(JQ164,FIND("·",JQ164)-1),$K$164:$K$179,0))-VALUE(MID(JQ164,FIND("|",JQ164)+1,FIND("-",JQ164,FIND("|",JQ164))-FIND("|",JQ164)-1))),ABS(INDEX($P$164:$P$179,MATCH(LEFT(JQ164,FIND("·",JQ164)-1),$K$164:$K$179,0))-(VALUE(MID(JQ164,FIND("|",JQ164)+1,FIND("-",JQ164,FIND("|",JQ164))-FIND("|",JQ164)-1))-VALUE(MID(JQ164,FIND("-",JQ164,FIND("|",JQ164))+1,10)))))*$D$50)))))*INDEX($I$164:$I$179,MATCH(LEFT(JQ164,FIND("·",JQ164)-1),$K$164:$K$179,0)),0),0),0)+IFERROR(IF(COUNTIF($C$164:$C$179,LEFT(JQ164,FIND("·",JQ164)-1))&gt;0,IF(INDEX($D$164:$D$179,MATCH(LEFT(JQ164,FIND("·",JQ164)-1),$C$164:$C$179,0))=IFERROR(VALUE(MID(JQ164,FIND("·",JQ164)+1,1)),0),($D$16+(INDEX($E$164:$E$179,MATCH(LEFT(JQ164,FIND("·",JQ164)-1),$C$164:$C$179,0))=MID(JQ164,FIND("|",JQ164)+1,10))*$D$18+MAX(0,IF($D$50=1,$D$17*(1-(ABS(INDEX($Q$164:$Q$179,MATCH(LEFT(JQ164,FIND("·",JQ164)-1),$C$164:$C$179,0))-(VALUE(MID(JQ164,FIND("|",JQ164)+1,FIND("-",JQ164,FIND("|",JQ164))-FIND("|",JQ164)-1))-VALUE(MID(JQ164,FIND("-",JQ164,FIND("|",JQ164))+1,10)))))*$D$50),$D$17*(1-(IF(INDEX($D$164:$D$179,MATCH(LEFT(JQ164,FIND("·",JQ164)-1),$C$164:$C$179,0))=0,ABS(INDEX($A$164:$A$179,MATCH(LEFT(JQ164,FIND("·",JQ164)-1),$C$164:$C$179,0))-VALUE(MID(JQ164,FIND("|",JQ164)+1,FIND("-",JQ164,FIND("|",JQ164))-FIND("|",JQ164)-1))),ABS(INDEX($Q$164:$Q$179,MATCH(LEFT(JQ164,FIND("·",JQ164)-1),$C$164:$C$179,0))-(VALUE(MID(JQ164,FIND("|",JQ164)+1,FIND("-",JQ164,FIND("|",JQ164))-FIND("|",JQ164)-1))-VALUE(MID(JQ164,FIND("-",JQ164,FIND("|",JQ164))+1,10)))))*$D$50)))))*INDEX($I$164:$I$179,MATCH(LEFT(JQ164,FIND("·",JQ164)-1),$C$164:$C$179,0)),0),0),0)</f>
        <v>0</v>
      </c>
      <c r="JS164" s="108"/>
      <c r="JT164" s="75" t="str">
        <f>Idiomas!$D$367</f>
        <v>Pegar Valores Dieciseisavos</v>
      </c>
      <c r="JU164" s="76">
        <f t="shared" ref="JU164:JU179" ca="1" si="5527">IFERROR(IF(COUNTIF($K$164:$K$179,LEFT(JT164,FIND("·",JT164)-1))&gt;0,IF(INDEX($L$164:$L$179,MATCH(LEFT(JT164,FIND("·",JT164)-1),$K$164:$K$179,0))=IFERROR(VALUE(MID(JT164,FIND("·",JT164)+1,1)),0),($D$16+(INDEX($M$164:$M$179,MATCH(LEFT(JT164,FIND("·",JT164)-1),$K$164:$K$179,0))=MID(JT164,FIND("|",JT164)+1,10))*$D$18+MAX(0,IF($D$50=1,$D$17*(1-(ABS(INDEX($P$164:$P$179,MATCH(LEFT(JT164,FIND("·",JT164)-1),$K$164:$K$179,0))-(VALUE(MID(JT164,FIND("|",JT164)+1,FIND("-",JT164,FIND("|",JT164))-FIND("|",JT164)-1))-VALUE(MID(JT164,FIND("-",JT164,FIND("|",JT164))+1,10)))))*$D$50),$D$17*(1-(IF(INDEX($L$164:$L$179,MATCH(LEFT(JT164,FIND("·",JT164)-1),$K$164:$K$179,0))=0,ABS(INDEX($N$164:$N$179,MATCH(LEFT(JT164,FIND("·",JT164)-1),$K$164:$K$179,0))-VALUE(MID(JT164,FIND("|",JT164)+1,FIND("-",JT164,FIND("|",JT164))-FIND("|",JT164)-1))),ABS(INDEX($P$164:$P$179,MATCH(LEFT(JT164,FIND("·",JT164)-1),$K$164:$K$179,0))-(VALUE(MID(JT164,FIND("|",JT164)+1,FIND("-",JT164,FIND("|",JT164))-FIND("|",JT164)-1))-VALUE(MID(JT164,FIND("-",JT164,FIND("|",JT164))+1,10)))))*$D$50)))))*INDEX($I$164:$I$179,MATCH(LEFT(JT164,FIND("·",JT164)-1),$K$164:$K$179,0)),0),0),0)+IFERROR(IF(COUNTIF($C$164:$C$179,LEFT(JT164,FIND("·",JT164)-1))&gt;0,IF(INDEX($D$164:$D$179,MATCH(LEFT(JT164,FIND("·",JT164)-1),$C$164:$C$179,0))=IFERROR(VALUE(MID(JT164,FIND("·",JT164)+1,1)),0),($D$16+(INDEX($E$164:$E$179,MATCH(LEFT(JT164,FIND("·",JT164)-1),$C$164:$C$179,0))=MID(JT164,FIND("|",JT164)+1,10))*$D$18+MAX(0,IF($D$50=1,$D$17*(1-(ABS(INDEX($Q$164:$Q$179,MATCH(LEFT(JT164,FIND("·",JT164)-1),$C$164:$C$179,0))-(VALUE(MID(JT164,FIND("|",JT164)+1,FIND("-",JT164,FIND("|",JT164))-FIND("|",JT164)-1))-VALUE(MID(JT164,FIND("-",JT164,FIND("|",JT164))+1,10)))))*$D$50),$D$17*(1-(IF(INDEX($D$164:$D$179,MATCH(LEFT(JT164,FIND("·",JT164)-1),$C$164:$C$179,0))=0,ABS(INDEX($A$164:$A$179,MATCH(LEFT(JT164,FIND("·",JT164)-1),$C$164:$C$179,0))-VALUE(MID(JT164,FIND("|",JT164)+1,FIND("-",JT164,FIND("|",JT164))-FIND("|",JT164)-1))),ABS(INDEX($Q$164:$Q$179,MATCH(LEFT(JT164,FIND("·",JT164)-1),$C$164:$C$179,0))-(VALUE(MID(JT164,FIND("|",JT164)+1,FIND("-",JT164,FIND("|",JT164))-FIND("|",JT164)-1))-VALUE(MID(JT164,FIND("-",JT164,FIND("|",JT164))+1,10)))))*$D$50)))))*INDEX($I$164:$I$179,MATCH(LEFT(JT164,FIND("·",JT164)-1),$C$164:$C$179,0)),0),0),0)</f>
        <v>0</v>
      </c>
      <c r="JV164" s="108"/>
      <c r="JW164" s="75" t="str">
        <f>Idiomas!$D$367</f>
        <v>Pegar Valores Dieciseisavos</v>
      </c>
      <c r="JX164" s="76">
        <f t="shared" ref="JX164:JX179" ca="1" si="5528">IFERROR(IF(COUNTIF($K$164:$K$179,LEFT(JW164,FIND("·",JW164)-1))&gt;0,IF(INDEX($L$164:$L$179,MATCH(LEFT(JW164,FIND("·",JW164)-1),$K$164:$K$179,0))=IFERROR(VALUE(MID(JW164,FIND("·",JW164)+1,1)),0),($D$16+(INDEX($M$164:$M$179,MATCH(LEFT(JW164,FIND("·",JW164)-1),$K$164:$K$179,0))=MID(JW164,FIND("|",JW164)+1,10))*$D$18+MAX(0,IF($D$50=1,$D$17*(1-(ABS(INDEX($P$164:$P$179,MATCH(LEFT(JW164,FIND("·",JW164)-1),$K$164:$K$179,0))-(VALUE(MID(JW164,FIND("|",JW164)+1,FIND("-",JW164,FIND("|",JW164))-FIND("|",JW164)-1))-VALUE(MID(JW164,FIND("-",JW164,FIND("|",JW164))+1,10)))))*$D$50),$D$17*(1-(IF(INDEX($L$164:$L$179,MATCH(LEFT(JW164,FIND("·",JW164)-1),$K$164:$K$179,0))=0,ABS(INDEX($N$164:$N$179,MATCH(LEFT(JW164,FIND("·",JW164)-1),$K$164:$K$179,0))-VALUE(MID(JW164,FIND("|",JW164)+1,FIND("-",JW164,FIND("|",JW164))-FIND("|",JW164)-1))),ABS(INDEX($P$164:$P$179,MATCH(LEFT(JW164,FIND("·",JW164)-1),$K$164:$K$179,0))-(VALUE(MID(JW164,FIND("|",JW164)+1,FIND("-",JW164,FIND("|",JW164))-FIND("|",JW164)-1))-VALUE(MID(JW164,FIND("-",JW164,FIND("|",JW164))+1,10)))))*$D$50)))))*INDEX($I$164:$I$179,MATCH(LEFT(JW164,FIND("·",JW164)-1),$K$164:$K$179,0)),0),0),0)+IFERROR(IF(COUNTIF($C$164:$C$179,LEFT(JW164,FIND("·",JW164)-1))&gt;0,IF(INDEX($D$164:$D$179,MATCH(LEFT(JW164,FIND("·",JW164)-1),$C$164:$C$179,0))=IFERROR(VALUE(MID(JW164,FIND("·",JW164)+1,1)),0),($D$16+(INDEX($E$164:$E$179,MATCH(LEFT(JW164,FIND("·",JW164)-1),$C$164:$C$179,0))=MID(JW164,FIND("|",JW164)+1,10))*$D$18+MAX(0,IF($D$50=1,$D$17*(1-(ABS(INDEX($Q$164:$Q$179,MATCH(LEFT(JW164,FIND("·",JW164)-1),$C$164:$C$179,0))-(VALUE(MID(JW164,FIND("|",JW164)+1,FIND("-",JW164,FIND("|",JW164))-FIND("|",JW164)-1))-VALUE(MID(JW164,FIND("-",JW164,FIND("|",JW164))+1,10)))))*$D$50),$D$17*(1-(IF(INDEX($D$164:$D$179,MATCH(LEFT(JW164,FIND("·",JW164)-1),$C$164:$C$179,0))=0,ABS(INDEX($A$164:$A$179,MATCH(LEFT(JW164,FIND("·",JW164)-1),$C$164:$C$179,0))-VALUE(MID(JW164,FIND("|",JW164)+1,FIND("-",JW164,FIND("|",JW164))-FIND("|",JW164)-1))),ABS(INDEX($Q$164:$Q$179,MATCH(LEFT(JW164,FIND("·",JW164)-1),$C$164:$C$179,0))-(VALUE(MID(JW164,FIND("|",JW164)+1,FIND("-",JW164,FIND("|",JW164))-FIND("|",JW164)-1))-VALUE(MID(JW164,FIND("-",JW164,FIND("|",JW164))+1,10)))))*$D$50)))))*INDEX($I$164:$I$179,MATCH(LEFT(JW164,FIND("·",JW164)-1),$C$164:$C$179,0)),0),0),0)</f>
        <v>0</v>
      </c>
      <c r="JY164" s="108"/>
      <c r="JZ164" s="75" t="str">
        <f>Idiomas!$D$367</f>
        <v>Pegar Valores Dieciseisavos</v>
      </c>
      <c r="KA164" s="76">
        <f t="shared" ref="KA164:KA179" ca="1" si="5529">IFERROR(IF(COUNTIF($K$164:$K$179,LEFT(JZ164,FIND("·",JZ164)-1))&gt;0,IF(INDEX($L$164:$L$179,MATCH(LEFT(JZ164,FIND("·",JZ164)-1),$K$164:$K$179,0))=IFERROR(VALUE(MID(JZ164,FIND("·",JZ164)+1,1)),0),($D$16+(INDEX($M$164:$M$179,MATCH(LEFT(JZ164,FIND("·",JZ164)-1),$K$164:$K$179,0))=MID(JZ164,FIND("|",JZ164)+1,10))*$D$18+MAX(0,IF($D$50=1,$D$17*(1-(ABS(INDEX($P$164:$P$179,MATCH(LEFT(JZ164,FIND("·",JZ164)-1),$K$164:$K$179,0))-(VALUE(MID(JZ164,FIND("|",JZ164)+1,FIND("-",JZ164,FIND("|",JZ164))-FIND("|",JZ164)-1))-VALUE(MID(JZ164,FIND("-",JZ164,FIND("|",JZ164))+1,10)))))*$D$50),$D$17*(1-(IF(INDEX($L$164:$L$179,MATCH(LEFT(JZ164,FIND("·",JZ164)-1),$K$164:$K$179,0))=0,ABS(INDEX($N$164:$N$179,MATCH(LEFT(JZ164,FIND("·",JZ164)-1),$K$164:$K$179,0))-VALUE(MID(JZ164,FIND("|",JZ164)+1,FIND("-",JZ164,FIND("|",JZ164))-FIND("|",JZ164)-1))),ABS(INDEX($P$164:$P$179,MATCH(LEFT(JZ164,FIND("·",JZ164)-1),$K$164:$K$179,0))-(VALUE(MID(JZ164,FIND("|",JZ164)+1,FIND("-",JZ164,FIND("|",JZ164))-FIND("|",JZ164)-1))-VALUE(MID(JZ164,FIND("-",JZ164,FIND("|",JZ164))+1,10)))))*$D$50)))))*INDEX($I$164:$I$179,MATCH(LEFT(JZ164,FIND("·",JZ164)-1),$K$164:$K$179,0)),0),0),0)+IFERROR(IF(COUNTIF($C$164:$C$179,LEFT(JZ164,FIND("·",JZ164)-1))&gt;0,IF(INDEX($D$164:$D$179,MATCH(LEFT(JZ164,FIND("·",JZ164)-1),$C$164:$C$179,0))=IFERROR(VALUE(MID(JZ164,FIND("·",JZ164)+1,1)),0),($D$16+(INDEX($E$164:$E$179,MATCH(LEFT(JZ164,FIND("·",JZ164)-1),$C$164:$C$179,0))=MID(JZ164,FIND("|",JZ164)+1,10))*$D$18+MAX(0,IF($D$50=1,$D$17*(1-(ABS(INDEX($Q$164:$Q$179,MATCH(LEFT(JZ164,FIND("·",JZ164)-1),$C$164:$C$179,0))-(VALUE(MID(JZ164,FIND("|",JZ164)+1,FIND("-",JZ164,FIND("|",JZ164))-FIND("|",JZ164)-1))-VALUE(MID(JZ164,FIND("-",JZ164,FIND("|",JZ164))+1,10)))))*$D$50),$D$17*(1-(IF(INDEX($D$164:$D$179,MATCH(LEFT(JZ164,FIND("·",JZ164)-1),$C$164:$C$179,0))=0,ABS(INDEX($A$164:$A$179,MATCH(LEFT(JZ164,FIND("·",JZ164)-1),$C$164:$C$179,0))-VALUE(MID(JZ164,FIND("|",JZ164)+1,FIND("-",JZ164,FIND("|",JZ164))-FIND("|",JZ164)-1))),ABS(INDEX($Q$164:$Q$179,MATCH(LEFT(JZ164,FIND("·",JZ164)-1),$C$164:$C$179,0))-(VALUE(MID(JZ164,FIND("|",JZ164)+1,FIND("-",JZ164,FIND("|",JZ164))-FIND("|",JZ164)-1))-VALUE(MID(JZ164,FIND("-",JZ164,FIND("|",JZ164))+1,10)))))*$D$50)))))*INDEX($I$164:$I$179,MATCH(LEFT(JZ164,FIND("·",JZ164)-1),$C$164:$C$179,0)),0),0),0)</f>
        <v>0</v>
      </c>
      <c r="KB164" s="108"/>
      <c r="KC164" s="75" t="str">
        <f>Idiomas!$D$367</f>
        <v>Pegar Valores Dieciseisavos</v>
      </c>
      <c r="KD164" s="76">
        <f t="shared" ref="KD164:KD179" ca="1" si="5530">IFERROR(IF(COUNTIF($K$164:$K$179,LEFT(KC164,FIND("·",KC164)-1))&gt;0,IF(INDEX($L$164:$L$179,MATCH(LEFT(KC164,FIND("·",KC164)-1),$K$164:$K$179,0))=IFERROR(VALUE(MID(KC164,FIND("·",KC164)+1,1)),0),($D$16+(INDEX($M$164:$M$179,MATCH(LEFT(KC164,FIND("·",KC164)-1),$K$164:$K$179,0))=MID(KC164,FIND("|",KC164)+1,10))*$D$18+MAX(0,IF($D$50=1,$D$17*(1-(ABS(INDEX($P$164:$P$179,MATCH(LEFT(KC164,FIND("·",KC164)-1),$K$164:$K$179,0))-(VALUE(MID(KC164,FIND("|",KC164)+1,FIND("-",KC164,FIND("|",KC164))-FIND("|",KC164)-1))-VALUE(MID(KC164,FIND("-",KC164,FIND("|",KC164))+1,10)))))*$D$50),$D$17*(1-(IF(INDEX($L$164:$L$179,MATCH(LEFT(KC164,FIND("·",KC164)-1),$K$164:$K$179,0))=0,ABS(INDEX($N$164:$N$179,MATCH(LEFT(KC164,FIND("·",KC164)-1),$K$164:$K$179,0))-VALUE(MID(KC164,FIND("|",KC164)+1,FIND("-",KC164,FIND("|",KC164))-FIND("|",KC164)-1))),ABS(INDEX($P$164:$P$179,MATCH(LEFT(KC164,FIND("·",KC164)-1),$K$164:$K$179,0))-(VALUE(MID(KC164,FIND("|",KC164)+1,FIND("-",KC164,FIND("|",KC164))-FIND("|",KC164)-1))-VALUE(MID(KC164,FIND("-",KC164,FIND("|",KC164))+1,10)))))*$D$50)))))*INDEX($I$164:$I$179,MATCH(LEFT(KC164,FIND("·",KC164)-1),$K$164:$K$179,0)),0),0),0)+IFERROR(IF(COUNTIF($C$164:$C$179,LEFT(KC164,FIND("·",KC164)-1))&gt;0,IF(INDEX($D$164:$D$179,MATCH(LEFT(KC164,FIND("·",KC164)-1),$C$164:$C$179,0))=IFERROR(VALUE(MID(KC164,FIND("·",KC164)+1,1)),0),($D$16+(INDEX($E$164:$E$179,MATCH(LEFT(KC164,FIND("·",KC164)-1),$C$164:$C$179,0))=MID(KC164,FIND("|",KC164)+1,10))*$D$18+MAX(0,IF($D$50=1,$D$17*(1-(ABS(INDEX($Q$164:$Q$179,MATCH(LEFT(KC164,FIND("·",KC164)-1),$C$164:$C$179,0))-(VALUE(MID(KC164,FIND("|",KC164)+1,FIND("-",KC164,FIND("|",KC164))-FIND("|",KC164)-1))-VALUE(MID(KC164,FIND("-",KC164,FIND("|",KC164))+1,10)))))*$D$50),$D$17*(1-(IF(INDEX($D$164:$D$179,MATCH(LEFT(KC164,FIND("·",KC164)-1),$C$164:$C$179,0))=0,ABS(INDEX($A$164:$A$179,MATCH(LEFT(KC164,FIND("·",KC164)-1),$C$164:$C$179,0))-VALUE(MID(KC164,FIND("|",KC164)+1,FIND("-",KC164,FIND("|",KC164))-FIND("|",KC164)-1))),ABS(INDEX($Q$164:$Q$179,MATCH(LEFT(KC164,FIND("·",KC164)-1),$C$164:$C$179,0))-(VALUE(MID(KC164,FIND("|",KC164)+1,FIND("-",KC164,FIND("|",KC164))-FIND("|",KC164)-1))-VALUE(MID(KC164,FIND("-",KC164,FIND("|",KC164))+1,10)))))*$D$50)))))*INDEX($I$164:$I$179,MATCH(LEFT(KC164,FIND("·",KC164)-1),$C$164:$C$179,0)),0),0),0)</f>
        <v>0</v>
      </c>
      <c r="KE164" s="108"/>
      <c r="KF164" s="75" t="str">
        <f>Idiomas!$D$367</f>
        <v>Pegar Valores Dieciseisavos</v>
      </c>
      <c r="KG164" s="76">
        <f t="shared" ref="KG164:KG179" ca="1" si="5531">IFERROR(IF(COUNTIF($K$164:$K$179,LEFT(KF164,FIND("·",KF164)-1))&gt;0,IF(INDEX($L$164:$L$179,MATCH(LEFT(KF164,FIND("·",KF164)-1),$K$164:$K$179,0))=IFERROR(VALUE(MID(KF164,FIND("·",KF164)+1,1)),0),($D$16+(INDEX($M$164:$M$179,MATCH(LEFT(KF164,FIND("·",KF164)-1),$K$164:$K$179,0))=MID(KF164,FIND("|",KF164)+1,10))*$D$18+MAX(0,IF($D$50=1,$D$17*(1-(ABS(INDEX($P$164:$P$179,MATCH(LEFT(KF164,FIND("·",KF164)-1),$K$164:$K$179,0))-(VALUE(MID(KF164,FIND("|",KF164)+1,FIND("-",KF164,FIND("|",KF164))-FIND("|",KF164)-1))-VALUE(MID(KF164,FIND("-",KF164,FIND("|",KF164))+1,10)))))*$D$50),$D$17*(1-(IF(INDEX($L$164:$L$179,MATCH(LEFT(KF164,FIND("·",KF164)-1),$K$164:$K$179,0))=0,ABS(INDEX($N$164:$N$179,MATCH(LEFT(KF164,FIND("·",KF164)-1),$K$164:$K$179,0))-VALUE(MID(KF164,FIND("|",KF164)+1,FIND("-",KF164,FIND("|",KF164))-FIND("|",KF164)-1))),ABS(INDEX($P$164:$P$179,MATCH(LEFT(KF164,FIND("·",KF164)-1),$K$164:$K$179,0))-(VALUE(MID(KF164,FIND("|",KF164)+1,FIND("-",KF164,FIND("|",KF164))-FIND("|",KF164)-1))-VALUE(MID(KF164,FIND("-",KF164,FIND("|",KF164))+1,10)))))*$D$50)))))*INDEX($I$164:$I$179,MATCH(LEFT(KF164,FIND("·",KF164)-1),$K$164:$K$179,0)),0),0),0)+IFERROR(IF(COUNTIF($C$164:$C$179,LEFT(KF164,FIND("·",KF164)-1))&gt;0,IF(INDEX($D$164:$D$179,MATCH(LEFT(KF164,FIND("·",KF164)-1),$C$164:$C$179,0))=IFERROR(VALUE(MID(KF164,FIND("·",KF164)+1,1)),0),($D$16+(INDEX($E$164:$E$179,MATCH(LEFT(KF164,FIND("·",KF164)-1),$C$164:$C$179,0))=MID(KF164,FIND("|",KF164)+1,10))*$D$18+MAX(0,IF($D$50=1,$D$17*(1-(ABS(INDEX($Q$164:$Q$179,MATCH(LEFT(KF164,FIND("·",KF164)-1),$C$164:$C$179,0))-(VALUE(MID(KF164,FIND("|",KF164)+1,FIND("-",KF164,FIND("|",KF164))-FIND("|",KF164)-1))-VALUE(MID(KF164,FIND("-",KF164,FIND("|",KF164))+1,10)))))*$D$50),$D$17*(1-(IF(INDEX($D$164:$D$179,MATCH(LEFT(KF164,FIND("·",KF164)-1),$C$164:$C$179,0))=0,ABS(INDEX($A$164:$A$179,MATCH(LEFT(KF164,FIND("·",KF164)-1),$C$164:$C$179,0))-VALUE(MID(KF164,FIND("|",KF164)+1,FIND("-",KF164,FIND("|",KF164))-FIND("|",KF164)-1))),ABS(INDEX($Q$164:$Q$179,MATCH(LEFT(KF164,FIND("·",KF164)-1),$C$164:$C$179,0))-(VALUE(MID(KF164,FIND("|",KF164)+1,FIND("-",KF164,FIND("|",KF164))-FIND("|",KF164)-1))-VALUE(MID(KF164,FIND("-",KF164,FIND("|",KF164))+1,10)))))*$D$50)))))*INDEX($I$164:$I$179,MATCH(LEFT(KF164,FIND("·",KF164)-1),$C$164:$C$179,0)),0),0),0)</f>
        <v>0</v>
      </c>
      <c r="KH164" s="108"/>
      <c r="KI164" s="75" t="str">
        <f>Idiomas!$D$367</f>
        <v>Pegar Valores Dieciseisavos</v>
      </c>
      <c r="KJ164" s="76">
        <f t="shared" ref="KJ164:KJ179" ca="1" si="5532">IFERROR(IF(COUNTIF($K$164:$K$179,LEFT(KI164,FIND("·",KI164)-1))&gt;0,IF(INDEX($L$164:$L$179,MATCH(LEFT(KI164,FIND("·",KI164)-1),$K$164:$K$179,0))=IFERROR(VALUE(MID(KI164,FIND("·",KI164)+1,1)),0),($D$16+(INDEX($M$164:$M$179,MATCH(LEFT(KI164,FIND("·",KI164)-1),$K$164:$K$179,0))=MID(KI164,FIND("|",KI164)+1,10))*$D$18+MAX(0,IF($D$50=1,$D$17*(1-(ABS(INDEX($P$164:$P$179,MATCH(LEFT(KI164,FIND("·",KI164)-1),$K$164:$K$179,0))-(VALUE(MID(KI164,FIND("|",KI164)+1,FIND("-",KI164,FIND("|",KI164))-FIND("|",KI164)-1))-VALUE(MID(KI164,FIND("-",KI164,FIND("|",KI164))+1,10)))))*$D$50),$D$17*(1-(IF(INDEX($L$164:$L$179,MATCH(LEFT(KI164,FIND("·",KI164)-1),$K$164:$K$179,0))=0,ABS(INDEX($N$164:$N$179,MATCH(LEFT(KI164,FIND("·",KI164)-1),$K$164:$K$179,0))-VALUE(MID(KI164,FIND("|",KI164)+1,FIND("-",KI164,FIND("|",KI164))-FIND("|",KI164)-1))),ABS(INDEX($P$164:$P$179,MATCH(LEFT(KI164,FIND("·",KI164)-1),$K$164:$K$179,0))-(VALUE(MID(KI164,FIND("|",KI164)+1,FIND("-",KI164,FIND("|",KI164))-FIND("|",KI164)-1))-VALUE(MID(KI164,FIND("-",KI164,FIND("|",KI164))+1,10)))))*$D$50)))))*INDEX($I$164:$I$179,MATCH(LEFT(KI164,FIND("·",KI164)-1),$K$164:$K$179,0)),0),0),0)+IFERROR(IF(COUNTIF($C$164:$C$179,LEFT(KI164,FIND("·",KI164)-1))&gt;0,IF(INDEX($D$164:$D$179,MATCH(LEFT(KI164,FIND("·",KI164)-1),$C$164:$C$179,0))=IFERROR(VALUE(MID(KI164,FIND("·",KI164)+1,1)),0),($D$16+(INDEX($E$164:$E$179,MATCH(LEFT(KI164,FIND("·",KI164)-1),$C$164:$C$179,0))=MID(KI164,FIND("|",KI164)+1,10))*$D$18+MAX(0,IF($D$50=1,$D$17*(1-(ABS(INDEX($Q$164:$Q$179,MATCH(LEFT(KI164,FIND("·",KI164)-1),$C$164:$C$179,0))-(VALUE(MID(KI164,FIND("|",KI164)+1,FIND("-",KI164,FIND("|",KI164))-FIND("|",KI164)-1))-VALUE(MID(KI164,FIND("-",KI164,FIND("|",KI164))+1,10)))))*$D$50),$D$17*(1-(IF(INDEX($D$164:$D$179,MATCH(LEFT(KI164,FIND("·",KI164)-1),$C$164:$C$179,0))=0,ABS(INDEX($A$164:$A$179,MATCH(LEFT(KI164,FIND("·",KI164)-1),$C$164:$C$179,0))-VALUE(MID(KI164,FIND("|",KI164)+1,FIND("-",KI164,FIND("|",KI164))-FIND("|",KI164)-1))),ABS(INDEX($Q$164:$Q$179,MATCH(LEFT(KI164,FIND("·",KI164)-1),$C$164:$C$179,0))-(VALUE(MID(KI164,FIND("|",KI164)+1,FIND("-",KI164,FIND("|",KI164))-FIND("|",KI164)-1))-VALUE(MID(KI164,FIND("-",KI164,FIND("|",KI164))+1,10)))))*$D$50)))))*INDEX($I$164:$I$179,MATCH(LEFT(KI164,FIND("·",KI164)-1),$C$164:$C$179,0)),0),0),0)</f>
        <v>0</v>
      </c>
      <c r="KK164" s="108"/>
      <c r="KL164" s="75" t="str">
        <f>Idiomas!$D$367</f>
        <v>Pegar Valores Dieciseisavos</v>
      </c>
      <c r="KM164" s="76">
        <f t="shared" ref="KM164:KM179" ca="1" si="5533">IFERROR(IF(COUNTIF($K$164:$K$179,LEFT(KL164,FIND("·",KL164)-1))&gt;0,IF(INDEX($L$164:$L$179,MATCH(LEFT(KL164,FIND("·",KL164)-1),$K$164:$K$179,0))=IFERROR(VALUE(MID(KL164,FIND("·",KL164)+1,1)),0),($D$16+(INDEX($M$164:$M$179,MATCH(LEFT(KL164,FIND("·",KL164)-1),$K$164:$K$179,0))=MID(KL164,FIND("|",KL164)+1,10))*$D$18+MAX(0,IF($D$50=1,$D$17*(1-(ABS(INDEX($P$164:$P$179,MATCH(LEFT(KL164,FIND("·",KL164)-1),$K$164:$K$179,0))-(VALUE(MID(KL164,FIND("|",KL164)+1,FIND("-",KL164,FIND("|",KL164))-FIND("|",KL164)-1))-VALUE(MID(KL164,FIND("-",KL164,FIND("|",KL164))+1,10)))))*$D$50),$D$17*(1-(IF(INDEX($L$164:$L$179,MATCH(LEFT(KL164,FIND("·",KL164)-1),$K$164:$K$179,0))=0,ABS(INDEX($N$164:$N$179,MATCH(LEFT(KL164,FIND("·",KL164)-1),$K$164:$K$179,0))-VALUE(MID(KL164,FIND("|",KL164)+1,FIND("-",KL164,FIND("|",KL164))-FIND("|",KL164)-1))),ABS(INDEX($P$164:$P$179,MATCH(LEFT(KL164,FIND("·",KL164)-1),$K$164:$K$179,0))-(VALUE(MID(KL164,FIND("|",KL164)+1,FIND("-",KL164,FIND("|",KL164))-FIND("|",KL164)-1))-VALUE(MID(KL164,FIND("-",KL164,FIND("|",KL164))+1,10)))))*$D$50)))))*INDEX($I$164:$I$179,MATCH(LEFT(KL164,FIND("·",KL164)-1),$K$164:$K$179,0)),0),0),0)+IFERROR(IF(COUNTIF($C$164:$C$179,LEFT(KL164,FIND("·",KL164)-1))&gt;0,IF(INDEX($D$164:$D$179,MATCH(LEFT(KL164,FIND("·",KL164)-1),$C$164:$C$179,0))=IFERROR(VALUE(MID(KL164,FIND("·",KL164)+1,1)),0),($D$16+(INDEX($E$164:$E$179,MATCH(LEFT(KL164,FIND("·",KL164)-1),$C$164:$C$179,0))=MID(KL164,FIND("|",KL164)+1,10))*$D$18+MAX(0,IF($D$50=1,$D$17*(1-(ABS(INDEX($Q$164:$Q$179,MATCH(LEFT(KL164,FIND("·",KL164)-1),$C$164:$C$179,0))-(VALUE(MID(KL164,FIND("|",KL164)+1,FIND("-",KL164,FIND("|",KL164))-FIND("|",KL164)-1))-VALUE(MID(KL164,FIND("-",KL164,FIND("|",KL164))+1,10)))))*$D$50),$D$17*(1-(IF(INDEX($D$164:$D$179,MATCH(LEFT(KL164,FIND("·",KL164)-1),$C$164:$C$179,0))=0,ABS(INDEX($A$164:$A$179,MATCH(LEFT(KL164,FIND("·",KL164)-1),$C$164:$C$179,0))-VALUE(MID(KL164,FIND("|",KL164)+1,FIND("-",KL164,FIND("|",KL164))-FIND("|",KL164)-1))),ABS(INDEX($Q$164:$Q$179,MATCH(LEFT(KL164,FIND("·",KL164)-1),$C$164:$C$179,0))-(VALUE(MID(KL164,FIND("|",KL164)+1,FIND("-",KL164,FIND("|",KL164))-FIND("|",KL164)-1))-VALUE(MID(KL164,FIND("-",KL164,FIND("|",KL164))+1,10)))))*$D$50)))))*INDEX($I$164:$I$179,MATCH(LEFT(KL164,FIND("·",KL164)-1),$C$164:$C$179,0)),0),0),0)</f>
        <v>0</v>
      </c>
      <c r="KN164" s="108"/>
      <c r="KO164" s="75" t="str">
        <f>Idiomas!$D$367</f>
        <v>Pegar Valores Dieciseisavos</v>
      </c>
      <c r="KP164" s="76">
        <f t="shared" ref="KP164:KP179" ca="1" si="5534">IFERROR(IF(COUNTIF($K$164:$K$179,LEFT(KO164,FIND("·",KO164)-1))&gt;0,IF(INDEX($L$164:$L$179,MATCH(LEFT(KO164,FIND("·",KO164)-1),$K$164:$K$179,0))=IFERROR(VALUE(MID(KO164,FIND("·",KO164)+1,1)),0),($D$16+(INDEX($M$164:$M$179,MATCH(LEFT(KO164,FIND("·",KO164)-1),$K$164:$K$179,0))=MID(KO164,FIND("|",KO164)+1,10))*$D$18+MAX(0,IF($D$50=1,$D$17*(1-(ABS(INDEX($P$164:$P$179,MATCH(LEFT(KO164,FIND("·",KO164)-1),$K$164:$K$179,0))-(VALUE(MID(KO164,FIND("|",KO164)+1,FIND("-",KO164,FIND("|",KO164))-FIND("|",KO164)-1))-VALUE(MID(KO164,FIND("-",KO164,FIND("|",KO164))+1,10)))))*$D$50),$D$17*(1-(IF(INDEX($L$164:$L$179,MATCH(LEFT(KO164,FIND("·",KO164)-1),$K$164:$K$179,0))=0,ABS(INDEX($N$164:$N$179,MATCH(LEFT(KO164,FIND("·",KO164)-1),$K$164:$K$179,0))-VALUE(MID(KO164,FIND("|",KO164)+1,FIND("-",KO164,FIND("|",KO164))-FIND("|",KO164)-1))),ABS(INDEX($P$164:$P$179,MATCH(LEFT(KO164,FIND("·",KO164)-1),$K$164:$K$179,0))-(VALUE(MID(KO164,FIND("|",KO164)+1,FIND("-",KO164,FIND("|",KO164))-FIND("|",KO164)-1))-VALUE(MID(KO164,FIND("-",KO164,FIND("|",KO164))+1,10)))))*$D$50)))))*INDEX($I$164:$I$179,MATCH(LEFT(KO164,FIND("·",KO164)-1),$K$164:$K$179,0)),0),0),0)+IFERROR(IF(COUNTIF($C$164:$C$179,LEFT(KO164,FIND("·",KO164)-1))&gt;0,IF(INDEX($D$164:$D$179,MATCH(LEFT(KO164,FIND("·",KO164)-1),$C$164:$C$179,0))=IFERROR(VALUE(MID(KO164,FIND("·",KO164)+1,1)),0),($D$16+(INDEX($E$164:$E$179,MATCH(LEFT(KO164,FIND("·",KO164)-1),$C$164:$C$179,0))=MID(KO164,FIND("|",KO164)+1,10))*$D$18+MAX(0,IF($D$50=1,$D$17*(1-(ABS(INDEX($Q$164:$Q$179,MATCH(LEFT(KO164,FIND("·",KO164)-1),$C$164:$C$179,0))-(VALUE(MID(KO164,FIND("|",KO164)+1,FIND("-",KO164,FIND("|",KO164))-FIND("|",KO164)-1))-VALUE(MID(KO164,FIND("-",KO164,FIND("|",KO164))+1,10)))))*$D$50),$D$17*(1-(IF(INDEX($D$164:$D$179,MATCH(LEFT(KO164,FIND("·",KO164)-1),$C$164:$C$179,0))=0,ABS(INDEX($A$164:$A$179,MATCH(LEFT(KO164,FIND("·",KO164)-1),$C$164:$C$179,0))-VALUE(MID(KO164,FIND("|",KO164)+1,FIND("-",KO164,FIND("|",KO164))-FIND("|",KO164)-1))),ABS(INDEX($Q$164:$Q$179,MATCH(LEFT(KO164,FIND("·",KO164)-1),$C$164:$C$179,0))-(VALUE(MID(KO164,FIND("|",KO164)+1,FIND("-",KO164,FIND("|",KO164))-FIND("|",KO164)-1))-VALUE(MID(KO164,FIND("-",KO164,FIND("|",KO164))+1,10)))))*$D$50)))))*INDEX($I$164:$I$179,MATCH(LEFT(KO164,FIND("·",KO164)-1),$C$164:$C$179,0)),0),0),0)</f>
        <v>0</v>
      </c>
      <c r="KQ164" s="108"/>
      <c r="KR164" s="75" t="str">
        <f>Idiomas!$D$367</f>
        <v>Pegar Valores Dieciseisavos</v>
      </c>
      <c r="KS164" s="76">
        <f t="shared" ref="KS164:KS179" ca="1" si="5535">IFERROR(IF(COUNTIF($K$164:$K$179,LEFT(KR164,FIND("·",KR164)-1))&gt;0,IF(INDEX($L$164:$L$179,MATCH(LEFT(KR164,FIND("·",KR164)-1),$K$164:$K$179,0))=IFERROR(VALUE(MID(KR164,FIND("·",KR164)+1,1)),0),($D$16+(INDEX($M$164:$M$179,MATCH(LEFT(KR164,FIND("·",KR164)-1),$K$164:$K$179,0))=MID(KR164,FIND("|",KR164)+1,10))*$D$18+MAX(0,IF($D$50=1,$D$17*(1-(ABS(INDEX($P$164:$P$179,MATCH(LEFT(KR164,FIND("·",KR164)-1),$K$164:$K$179,0))-(VALUE(MID(KR164,FIND("|",KR164)+1,FIND("-",KR164,FIND("|",KR164))-FIND("|",KR164)-1))-VALUE(MID(KR164,FIND("-",KR164,FIND("|",KR164))+1,10)))))*$D$50),$D$17*(1-(IF(INDEX($L$164:$L$179,MATCH(LEFT(KR164,FIND("·",KR164)-1),$K$164:$K$179,0))=0,ABS(INDEX($N$164:$N$179,MATCH(LEFT(KR164,FIND("·",KR164)-1),$K$164:$K$179,0))-VALUE(MID(KR164,FIND("|",KR164)+1,FIND("-",KR164,FIND("|",KR164))-FIND("|",KR164)-1))),ABS(INDEX($P$164:$P$179,MATCH(LEFT(KR164,FIND("·",KR164)-1),$K$164:$K$179,0))-(VALUE(MID(KR164,FIND("|",KR164)+1,FIND("-",KR164,FIND("|",KR164))-FIND("|",KR164)-1))-VALUE(MID(KR164,FIND("-",KR164,FIND("|",KR164))+1,10)))))*$D$50)))))*INDEX($I$164:$I$179,MATCH(LEFT(KR164,FIND("·",KR164)-1),$K$164:$K$179,0)),0),0),0)+IFERROR(IF(COUNTIF($C$164:$C$179,LEFT(KR164,FIND("·",KR164)-1))&gt;0,IF(INDEX($D$164:$D$179,MATCH(LEFT(KR164,FIND("·",KR164)-1),$C$164:$C$179,0))=IFERROR(VALUE(MID(KR164,FIND("·",KR164)+1,1)),0),($D$16+(INDEX($E$164:$E$179,MATCH(LEFT(KR164,FIND("·",KR164)-1),$C$164:$C$179,0))=MID(KR164,FIND("|",KR164)+1,10))*$D$18+MAX(0,IF($D$50=1,$D$17*(1-(ABS(INDEX($Q$164:$Q$179,MATCH(LEFT(KR164,FIND("·",KR164)-1),$C$164:$C$179,0))-(VALUE(MID(KR164,FIND("|",KR164)+1,FIND("-",KR164,FIND("|",KR164))-FIND("|",KR164)-1))-VALUE(MID(KR164,FIND("-",KR164,FIND("|",KR164))+1,10)))))*$D$50),$D$17*(1-(IF(INDEX($D$164:$D$179,MATCH(LEFT(KR164,FIND("·",KR164)-1),$C$164:$C$179,0))=0,ABS(INDEX($A$164:$A$179,MATCH(LEFT(KR164,FIND("·",KR164)-1),$C$164:$C$179,0))-VALUE(MID(KR164,FIND("|",KR164)+1,FIND("-",KR164,FIND("|",KR164))-FIND("|",KR164)-1))),ABS(INDEX($Q$164:$Q$179,MATCH(LEFT(KR164,FIND("·",KR164)-1),$C$164:$C$179,0))-(VALUE(MID(KR164,FIND("|",KR164)+1,FIND("-",KR164,FIND("|",KR164))-FIND("|",KR164)-1))-VALUE(MID(KR164,FIND("-",KR164,FIND("|",KR164))+1,10)))))*$D$50)))))*INDEX($I$164:$I$179,MATCH(LEFT(KR164,FIND("·",KR164)-1),$C$164:$C$179,0)),0),0),0)</f>
        <v>0</v>
      </c>
      <c r="KT164" s="108"/>
      <c r="KU164" s="75" t="str">
        <f>Idiomas!$D$367</f>
        <v>Pegar Valores Dieciseisavos</v>
      </c>
      <c r="KV164" s="76">
        <f t="shared" ref="KV164:KV179" ca="1" si="5536">IFERROR(IF(COUNTIF($K$164:$K$179,LEFT(KU164,FIND("·",KU164)-1))&gt;0,IF(INDEX($L$164:$L$179,MATCH(LEFT(KU164,FIND("·",KU164)-1),$K$164:$K$179,0))=IFERROR(VALUE(MID(KU164,FIND("·",KU164)+1,1)),0),($D$16+(INDEX($M$164:$M$179,MATCH(LEFT(KU164,FIND("·",KU164)-1),$K$164:$K$179,0))=MID(KU164,FIND("|",KU164)+1,10))*$D$18+MAX(0,IF($D$50=1,$D$17*(1-(ABS(INDEX($P$164:$P$179,MATCH(LEFT(KU164,FIND("·",KU164)-1),$K$164:$K$179,0))-(VALUE(MID(KU164,FIND("|",KU164)+1,FIND("-",KU164,FIND("|",KU164))-FIND("|",KU164)-1))-VALUE(MID(KU164,FIND("-",KU164,FIND("|",KU164))+1,10)))))*$D$50),$D$17*(1-(IF(INDEX($L$164:$L$179,MATCH(LEFT(KU164,FIND("·",KU164)-1),$K$164:$K$179,0))=0,ABS(INDEX($N$164:$N$179,MATCH(LEFT(KU164,FIND("·",KU164)-1),$K$164:$K$179,0))-VALUE(MID(KU164,FIND("|",KU164)+1,FIND("-",KU164,FIND("|",KU164))-FIND("|",KU164)-1))),ABS(INDEX($P$164:$P$179,MATCH(LEFT(KU164,FIND("·",KU164)-1),$K$164:$K$179,0))-(VALUE(MID(KU164,FIND("|",KU164)+1,FIND("-",KU164,FIND("|",KU164))-FIND("|",KU164)-1))-VALUE(MID(KU164,FIND("-",KU164,FIND("|",KU164))+1,10)))))*$D$50)))))*INDEX($I$164:$I$179,MATCH(LEFT(KU164,FIND("·",KU164)-1),$K$164:$K$179,0)),0),0),0)+IFERROR(IF(COUNTIF($C$164:$C$179,LEFT(KU164,FIND("·",KU164)-1))&gt;0,IF(INDEX($D$164:$D$179,MATCH(LEFT(KU164,FIND("·",KU164)-1),$C$164:$C$179,0))=IFERROR(VALUE(MID(KU164,FIND("·",KU164)+1,1)),0),($D$16+(INDEX($E$164:$E$179,MATCH(LEFT(KU164,FIND("·",KU164)-1),$C$164:$C$179,0))=MID(KU164,FIND("|",KU164)+1,10))*$D$18+MAX(0,IF($D$50=1,$D$17*(1-(ABS(INDEX($Q$164:$Q$179,MATCH(LEFT(KU164,FIND("·",KU164)-1),$C$164:$C$179,0))-(VALUE(MID(KU164,FIND("|",KU164)+1,FIND("-",KU164,FIND("|",KU164))-FIND("|",KU164)-1))-VALUE(MID(KU164,FIND("-",KU164,FIND("|",KU164))+1,10)))))*$D$50),$D$17*(1-(IF(INDEX($D$164:$D$179,MATCH(LEFT(KU164,FIND("·",KU164)-1),$C$164:$C$179,0))=0,ABS(INDEX($A$164:$A$179,MATCH(LEFT(KU164,FIND("·",KU164)-1),$C$164:$C$179,0))-VALUE(MID(KU164,FIND("|",KU164)+1,FIND("-",KU164,FIND("|",KU164))-FIND("|",KU164)-1))),ABS(INDEX($Q$164:$Q$179,MATCH(LEFT(KU164,FIND("·",KU164)-1),$C$164:$C$179,0))-(VALUE(MID(KU164,FIND("|",KU164)+1,FIND("-",KU164,FIND("|",KU164))-FIND("|",KU164)-1))-VALUE(MID(KU164,FIND("-",KU164,FIND("|",KU164))+1,10)))))*$D$50)))))*INDEX($I$164:$I$179,MATCH(LEFT(KU164,FIND("·",KU164)-1),$C$164:$C$179,0)),0),0),0)</f>
        <v>0</v>
      </c>
      <c r="KW164" s="108"/>
      <c r="KX164" s="75" t="str">
        <f>Idiomas!$D$367</f>
        <v>Pegar Valores Dieciseisavos</v>
      </c>
      <c r="KY164" s="76">
        <f t="shared" ref="KY164:KY179" ca="1" si="5537">IFERROR(IF(COUNTIF($K$164:$K$179,LEFT(KX164,FIND("·",KX164)-1))&gt;0,IF(INDEX($L$164:$L$179,MATCH(LEFT(KX164,FIND("·",KX164)-1),$K$164:$K$179,0))=IFERROR(VALUE(MID(KX164,FIND("·",KX164)+1,1)),0),($D$16+(INDEX($M$164:$M$179,MATCH(LEFT(KX164,FIND("·",KX164)-1),$K$164:$K$179,0))=MID(KX164,FIND("|",KX164)+1,10))*$D$18+MAX(0,IF($D$50=1,$D$17*(1-(ABS(INDEX($P$164:$P$179,MATCH(LEFT(KX164,FIND("·",KX164)-1),$K$164:$K$179,0))-(VALUE(MID(KX164,FIND("|",KX164)+1,FIND("-",KX164,FIND("|",KX164))-FIND("|",KX164)-1))-VALUE(MID(KX164,FIND("-",KX164,FIND("|",KX164))+1,10)))))*$D$50),$D$17*(1-(IF(INDEX($L$164:$L$179,MATCH(LEFT(KX164,FIND("·",KX164)-1),$K$164:$K$179,0))=0,ABS(INDEX($N$164:$N$179,MATCH(LEFT(KX164,FIND("·",KX164)-1),$K$164:$K$179,0))-VALUE(MID(KX164,FIND("|",KX164)+1,FIND("-",KX164,FIND("|",KX164))-FIND("|",KX164)-1))),ABS(INDEX($P$164:$P$179,MATCH(LEFT(KX164,FIND("·",KX164)-1),$K$164:$K$179,0))-(VALUE(MID(KX164,FIND("|",KX164)+1,FIND("-",KX164,FIND("|",KX164))-FIND("|",KX164)-1))-VALUE(MID(KX164,FIND("-",KX164,FIND("|",KX164))+1,10)))))*$D$50)))))*INDEX($I$164:$I$179,MATCH(LEFT(KX164,FIND("·",KX164)-1),$K$164:$K$179,0)),0),0),0)+IFERROR(IF(COUNTIF($C$164:$C$179,LEFT(KX164,FIND("·",KX164)-1))&gt;0,IF(INDEX($D$164:$D$179,MATCH(LEFT(KX164,FIND("·",KX164)-1),$C$164:$C$179,0))=IFERROR(VALUE(MID(KX164,FIND("·",KX164)+1,1)),0),($D$16+(INDEX($E$164:$E$179,MATCH(LEFT(KX164,FIND("·",KX164)-1),$C$164:$C$179,0))=MID(KX164,FIND("|",KX164)+1,10))*$D$18+MAX(0,IF($D$50=1,$D$17*(1-(ABS(INDEX($Q$164:$Q$179,MATCH(LEFT(KX164,FIND("·",KX164)-1),$C$164:$C$179,0))-(VALUE(MID(KX164,FIND("|",KX164)+1,FIND("-",KX164,FIND("|",KX164))-FIND("|",KX164)-1))-VALUE(MID(KX164,FIND("-",KX164,FIND("|",KX164))+1,10)))))*$D$50),$D$17*(1-(IF(INDEX($D$164:$D$179,MATCH(LEFT(KX164,FIND("·",KX164)-1),$C$164:$C$179,0))=0,ABS(INDEX($A$164:$A$179,MATCH(LEFT(KX164,FIND("·",KX164)-1),$C$164:$C$179,0))-VALUE(MID(KX164,FIND("|",KX164)+1,FIND("-",KX164,FIND("|",KX164))-FIND("|",KX164)-1))),ABS(INDEX($Q$164:$Q$179,MATCH(LEFT(KX164,FIND("·",KX164)-1),$C$164:$C$179,0))-(VALUE(MID(KX164,FIND("|",KX164)+1,FIND("-",KX164,FIND("|",KX164))-FIND("|",KX164)-1))-VALUE(MID(KX164,FIND("-",KX164,FIND("|",KX164))+1,10)))))*$D$50)))))*INDEX($I$164:$I$179,MATCH(LEFT(KX164,FIND("·",KX164)-1),$C$164:$C$179,0)),0),0),0)</f>
        <v>0</v>
      </c>
      <c r="KZ164" s="108"/>
      <c r="LA164" s="75" t="str">
        <f>Idiomas!$D$367</f>
        <v>Pegar Valores Dieciseisavos</v>
      </c>
      <c r="LB164" s="76">
        <f t="shared" ref="LB164:LB179" ca="1" si="5538">IFERROR(IF(COUNTIF($K$164:$K$179,LEFT(LA164,FIND("·",LA164)-1))&gt;0,IF(INDEX($L$164:$L$179,MATCH(LEFT(LA164,FIND("·",LA164)-1),$K$164:$K$179,0))=IFERROR(VALUE(MID(LA164,FIND("·",LA164)+1,1)),0),($D$16+(INDEX($M$164:$M$179,MATCH(LEFT(LA164,FIND("·",LA164)-1),$K$164:$K$179,0))=MID(LA164,FIND("|",LA164)+1,10))*$D$18+MAX(0,IF($D$50=1,$D$17*(1-(ABS(INDEX($P$164:$P$179,MATCH(LEFT(LA164,FIND("·",LA164)-1),$K$164:$K$179,0))-(VALUE(MID(LA164,FIND("|",LA164)+1,FIND("-",LA164,FIND("|",LA164))-FIND("|",LA164)-1))-VALUE(MID(LA164,FIND("-",LA164,FIND("|",LA164))+1,10)))))*$D$50),$D$17*(1-(IF(INDEX($L$164:$L$179,MATCH(LEFT(LA164,FIND("·",LA164)-1),$K$164:$K$179,0))=0,ABS(INDEX($N$164:$N$179,MATCH(LEFT(LA164,FIND("·",LA164)-1),$K$164:$K$179,0))-VALUE(MID(LA164,FIND("|",LA164)+1,FIND("-",LA164,FIND("|",LA164))-FIND("|",LA164)-1))),ABS(INDEX($P$164:$P$179,MATCH(LEFT(LA164,FIND("·",LA164)-1),$K$164:$K$179,0))-(VALUE(MID(LA164,FIND("|",LA164)+1,FIND("-",LA164,FIND("|",LA164))-FIND("|",LA164)-1))-VALUE(MID(LA164,FIND("-",LA164,FIND("|",LA164))+1,10)))))*$D$50)))))*INDEX($I$164:$I$179,MATCH(LEFT(LA164,FIND("·",LA164)-1),$K$164:$K$179,0)),0),0),0)+IFERROR(IF(COUNTIF($C$164:$C$179,LEFT(LA164,FIND("·",LA164)-1))&gt;0,IF(INDEX($D$164:$D$179,MATCH(LEFT(LA164,FIND("·",LA164)-1),$C$164:$C$179,0))=IFERROR(VALUE(MID(LA164,FIND("·",LA164)+1,1)),0),($D$16+(INDEX($E$164:$E$179,MATCH(LEFT(LA164,FIND("·",LA164)-1),$C$164:$C$179,0))=MID(LA164,FIND("|",LA164)+1,10))*$D$18+MAX(0,IF($D$50=1,$D$17*(1-(ABS(INDEX($Q$164:$Q$179,MATCH(LEFT(LA164,FIND("·",LA164)-1),$C$164:$C$179,0))-(VALUE(MID(LA164,FIND("|",LA164)+1,FIND("-",LA164,FIND("|",LA164))-FIND("|",LA164)-1))-VALUE(MID(LA164,FIND("-",LA164,FIND("|",LA164))+1,10)))))*$D$50),$D$17*(1-(IF(INDEX($D$164:$D$179,MATCH(LEFT(LA164,FIND("·",LA164)-1),$C$164:$C$179,0))=0,ABS(INDEX($A$164:$A$179,MATCH(LEFT(LA164,FIND("·",LA164)-1),$C$164:$C$179,0))-VALUE(MID(LA164,FIND("|",LA164)+1,FIND("-",LA164,FIND("|",LA164))-FIND("|",LA164)-1))),ABS(INDEX($Q$164:$Q$179,MATCH(LEFT(LA164,FIND("·",LA164)-1),$C$164:$C$179,0))-(VALUE(MID(LA164,FIND("|",LA164)+1,FIND("-",LA164,FIND("|",LA164))-FIND("|",LA164)-1))-VALUE(MID(LA164,FIND("-",LA164,FIND("|",LA164))+1,10)))))*$D$50)))))*INDEX($I$164:$I$179,MATCH(LEFT(LA164,FIND("·",LA164)-1),$C$164:$C$179,0)),0),0),0)</f>
        <v>0</v>
      </c>
      <c r="LC164" s="108"/>
      <c r="LD164" s="75" t="str">
        <f>Idiomas!$D$367</f>
        <v>Pegar Valores Dieciseisavos</v>
      </c>
      <c r="LE164" s="76">
        <f t="shared" ref="LE164:LE179" ca="1" si="5539">IFERROR(IF(COUNTIF($K$164:$K$179,LEFT(LD164,FIND("·",LD164)-1))&gt;0,IF(INDEX($L$164:$L$179,MATCH(LEFT(LD164,FIND("·",LD164)-1),$K$164:$K$179,0))=IFERROR(VALUE(MID(LD164,FIND("·",LD164)+1,1)),0),($D$16+(INDEX($M$164:$M$179,MATCH(LEFT(LD164,FIND("·",LD164)-1),$K$164:$K$179,0))=MID(LD164,FIND("|",LD164)+1,10))*$D$18+MAX(0,IF($D$50=1,$D$17*(1-(ABS(INDEX($P$164:$P$179,MATCH(LEFT(LD164,FIND("·",LD164)-1),$K$164:$K$179,0))-(VALUE(MID(LD164,FIND("|",LD164)+1,FIND("-",LD164,FIND("|",LD164))-FIND("|",LD164)-1))-VALUE(MID(LD164,FIND("-",LD164,FIND("|",LD164))+1,10)))))*$D$50),$D$17*(1-(IF(INDEX($L$164:$L$179,MATCH(LEFT(LD164,FIND("·",LD164)-1),$K$164:$K$179,0))=0,ABS(INDEX($N$164:$N$179,MATCH(LEFT(LD164,FIND("·",LD164)-1),$K$164:$K$179,0))-VALUE(MID(LD164,FIND("|",LD164)+1,FIND("-",LD164,FIND("|",LD164))-FIND("|",LD164)-1))),ABS(INDEX($P$164:$P$179,MATCH(LEFT(LD164,FIND("·",LD164)-1),$K$164:$K$179,0))-(VALUE(MID(LD164,FIND("|",LD164)+1,FIND("-",LD164,FIND("|",LD164))-FIND("|",LD164)-1))-VALUE(MID(LD164,FIND("-",LD164,FIND("|",LD164))+1,10)))))*$D$50)))))*INDEX($I$164:$I$179,MATCH(LEFT(LD164,FIND("·",LD164)-1),$K$164:$K$179,0)),0),0),0)+IFERROR(IF(COUNTIF($C$164:$C$179,LEFT(LD164,FIND("·",LD164)-1))&gt;0,IF(INDEX($D$164:$D$179,MATCH(LEFT(LD164,FIND("·",LD164)-1),$C$164:$C$179,0))=IFERROR(VALUE(MID(LD164,FIND("·",LD164)+1,1)),0),($D$16+(INDEX($E$164:$E$179,MATCH(LEFT(LD164,FIND("·",LD164)-1),$C$164:$C$179,0))=MID(LD164,FIND("|",LD164)+1,10))*$D$18+MAX(0,IF($D$50=1,$D$17*(1-(ABS(INDEX($Q$164:$Q$179,MATCH(LEFT(LD164,FIND("·",LD164)-1),$C$164:$C$179,0))-(VALUE(MID(LD164,FIND("|",LD164)+1,FIND("-",LD164,FIND("|",LD164))-FIND("|",LD164)-1))-VALUE(MID(LD164,FIND("-",LD164,FIND("|",LD164))+1,10)))))*$D$50),$D$17*(1-(IF(INDEX($D$164:$D$179,MATCH(LEFT(LD164,FIND("·",LD164)-1),$C$164:$C$179,0))=0,ABS(INDEX($A$164:$A$179,MATCH(LEFT(LD164,FIND("·",LD164)-1),$C$164:$C$179,0))-VALUE(MID(LD164,FIND("|",LD164)+1,FIND("-",LD164,FIND("|",LD164))-FIND("|",LD164)-1))),ABS(INDEX($Q$164:$Q$179,MATCH(LEFT(LD164,FIND("·",LD164)-1),$C$164:$C$179,0))-(VALUE(MID(LD164,FIND("|",LD164)+1,FIND("-",LD164,FIND("|",LD164))-FIND("|",LD164)-1))-VALUE(MID(LD164,FIND("-",LD164,FIND("|",LD164))+1,10)))))*$D$50)))))*INDEX($I$164:$I$179,MATCH(LEFT(LD164,FIND("·",LD164)-1),$C$164:$C$179,0)),0),0),0)</f>
        <v>0</v>
      </c>
      <c r="LF164" s="108"/>
    </row>
    <row r="165" spans="1:318" s="784" customFormat="1">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6">
        <f t="shared" ref="F165:F179" si="5540">SUM($D$16:$D$18)*I165</f>
        <v>30</v>
      </c>
      <c r="G165" s="406">
        <f ca="1">VLOOKUP(H165,Equipos!$Q$1:$R$25,2,0)</f>
        <v>20</v>
      </c>
      <c r="H165" s="444" t="str">
        <f>Idiomas!$D$260</f>
        <v>Dieciseisavos de final</v>
      </c>
      <c r="I165" s="45">
        <v>1</v>
      </c>
      <c r="J165" s="843"/>
      <c r="K165" s="56" t="str">
        <f ca="1">CONCATENATE(WORLDCUP!AA102,"-",WORLDCUP!AF102)</f>
        <v>1C-2F</v>
      </c>
      <c r="L165" s="53" t="str">
        <f>IF(OR(WORLDCUP!AC102="",WORLDCUP!AD102=""),"PD",IF(WORLDCUP!AC102&gt;WORLDCUP!AD102,1,IF(WORLDCUP!AC102&lt;WORLDCUP!AD102,2,0)))</f>
        <v>PD</v>
      </c>
      <c r="M165" s="55" t="str">
        <f t="shared" ref="M165:M179" si="5541">IF(L165="PD","-",N165&amp;"-"&amp;O165)</f>
        <v>-</v>
      </c>
      <c r="N165" s="25">
        <f>WORLDCUP!AC102</f>
        <v>0</v>
      </c>
      <c r="O165" s="25">
        <f>WORLDCUP!AD102</f>
        <v>0</v>
      </c>
      <c r="P165" s="25">
        <f t="shared" ref="P165:P179" si="5542">N165-O165</f>
        <v>0</v>
      </c>
      <c r="Q165" s="25">
        <f t="shared" ref="Q165:Q179" si="5543">A165-B165</f>
        <v>0</v>
      </c>
      <c r="R165" s="108"/>
      <c r="S165" s="796" t="s">
        <v>1965</v>
      </c>
      <c r="T165" s="76">
        <f t="shared" ca="1" si="5440"/>
        <v>0</v>
      </c>
      <c r="U165" s="108"/>
      <c r="V165" s="73" t="s">
        <v>2010</v>
      </c>
      <c r="W165" s="76">
        <f t="shared" ca="1" si="5441"/>
        <v>0</v>
      </c>
      <c r="X165" s="108"/>
      <c r="Y165" s="796" t="s">
        <v>2053</v>
      </c>
      <c r="Z165" s="76">
        <f t="shared" ca="1" si="5442"/>
        <v>0</v>
      </c>
      <c r="AA165" s="108"/>
      <c r="AB165" s="796" t="s">
        <v>2010</v>
      </c>
      <c r="AC165" s="76">
        <f t="shared" ca="1" si="5443"/>
        <v>0</v>
      </c>
      <c r="AD165" s="108"/>
      <c r="AE165" s="796" t="s">
        <v>2127</v>
      </c>
      <c r="AF165" s="76">
        <f t="shared" ref="AF165:AF176" ca="1" si="5544">IFERROR(IF(COUNTIF($K$164:$K$179,LEFT(AE165,FIND("·",AE165)-1))&gt;0,IF(INDEX($L$164:$L$179,MATCH(LEFT(AE165,FIND("·",AE165)-1),$K$164:$K$179,0))=IFERROR(VALUE(MID(AE165,FIND("·",AE165)+1,1)),0),($D$16+(INDEX($M$164:$M$179,MATCH(LEFT(AE165,FIND("·",AE165)-1),$K$164:$K$179,0))=MID(AE165,FIND("|",AE165)+1,10))*$D$18+MAX(0,IF($D$50=1,$D$17*(1-(ABS(INDEX($P$164:$P$179,MATCH(LEFT(AE165,FIND("·",AE165)-1),$K$164:$K$179,0))-(VALUE(MID(AE165,FIND("|",AE165)+1,FIND("-",AE165,FIND("|",AE165))-FIND("|",AE165)-1))-VALUE(MID(AE165,FIND("-",AE165,FIND("|",AE165))+1,10)))))*$D$50),$D$17*(1-(IF(INDEX($L$164:$L$179,MATCH(LEFT(AE165,FIND("·",AE165)-1),$K$164:$K$179,0))=0,ABS(INDEX($N$164:$N$179,MATCH(LEFT(AE165,FIND("·",AE165)-1),$K$164:$K$179,0))-VALUE(MID(AE165,FIND("|",AE165)+1,FIND("-",AE165,FIND("|",AE165))-FIND("|",AE165)-1))),ABS(INDEX($P$164:$P$179,MATCH(LEFT(AE165,FIND("·",AE165)-1),$K$164:$K$179,0))-(VALUE(MID(AE165,FIND("|",AE165)+1,FIND("-",AE165,FIND("|",AE165))-FIND("|",AE165)-1))-VALUE(MID(AE165,FIND("-",AE165,FIND("|",AE165))+1,10)))))*$D$50)))))*INDEX($I$164:$I$179,MATCH(LEFT(AE165,FIND("·",AE165)-1),$K$164:$K$179,0)),0),0),0)+IFERROR(IF(COUNTIF($C$164:$C$179,LEFT(AE165,FIND("·",AE165)-1))&gt;0,IF(INDEX($D$164:$D$179,MATCH(LEFT(AE165,FIND("·",AE165)-1),$C$164:$C$179,0))=IFERROR(VALUE(MID(AE165,FIND("·",AE165)+1,1)),0),($D$16+(INDEX($E$164:$E$179,MATCH(LEFT(AE165,FIND("·",AE165)-1),$C$164:$C$179,0))=MID(AE165,FIND("|",AE165)+1,10))*$D$18+MAX(0,IF($D$50=1,$D$17*(1-(ABS(INDEX($Q$164:$Q$179,MATCH(LEFT(AE165,FIND("·",AE165)-1),$C$164:$C$179,0))-(VALUE(MID(AE165,FIND("|",AE165)+1,FIND("-",AE165,FIND("|",AE165))-FIND("|",AE165)-1))-VALUE(MID(AE165,FIND("-",AE165,FIND("|",AE165))+1,10)))))*$D$50),$D$17*(1-(IF(INDEX($D$164:$D$179,MATCH(LEFT(AE165,FIND("·",AE165)-1),$C$164:$C$179,0))=0,ABS(INDEX($A$164:$A$179,MATCH(LEFT(AE165,FIND("·",AE165)-1),$C$164:$C$179,0))-VALUE(MID(AE165,FIND("|",AE165)+1,FIND("-",AE165,FIND("|",AE165))-FIND("|",AE165)-1))),ABS(INDEX($Q$164:$Q$179,MATCH(LEFT(AE165,FIND("·",AE165)-1),$C$164:$C$179,0))-(VALUE(MID(AE165,FIND("|",AE165)+1,FIND("-",AE165,FIND("|",AE165))-FIND("|",AE165)-1))-VALUE(MID(AE165,FIND("-",AE165,FIND("|",AE165))+1,10)))))*$D$50)))))*INDEX($I$164:$I$179,MATCH(LEFT(AE165,FIND("·",AE165)-1),$C$164:$C$179,0)),0),0),0)</f>
        <v>0</v>
      </c>
      <c r="AG165" s="108"/>
      <c r="AH165" s="796" t="s">
        <v>2162</v>
      </c>
      <c r="AI165" s="76">
        <f t="shared" ca="1" si="5445"/>
        <v>0</v>
      </c>
      <c r="AJ165" s="108"/>
      <c r="AK165" s="806" t="s">
        <v>2198</v>
      </c>
      <c r="AL165" s="76">
        <f t="shared" ca="1" si="5446"/>
        <v>0</v>
      </c>
      <c r="AM165" s="108"/>
      <c r="AN165" s="796" t="s">
        <v>2228</v>
      </c>
      <c r="AO165" s="76">
        <f t="shared" ca="1" si="5447"/>
        <v>0</v>
      </c>
      <c r="AP165" s="108"/>
      <c r="AQ165" s="806" t="s">
        <v>2010</v>
      </c>
      <c r="AR165" s="76">
        <f t="shared" ca="1" si="5448"/>
        <v>0</v>
      </c>
      <c r="AS165" s="108"/>
      <c r="AT165" s="796" t="s">
        <v>1965</v>
      </c>
      <c r="AU165" s="76">
        <f t="shared" ca="1" si="5449"/>
        <v>0</v>
      </c>
      <c r="AV165" s="108"/>
      <c r="AW165" s="796" t="s">
        <v>2316</v>
      </c>
      <c r="AX165" s="76">
        <f t="shared" ca="1" si="5450"/>
        <v>0</v>
      </c>
      <c r="AY165" s="108"/>
      <c r="AZ165" s="796" t="s">
        <v>2353</v>
      </c>
      <c r="BA165" s="76">
        <f t="shared" ca="1" si="5451"/>
        <v>0</v>
      </c>
      <c r="BB165" s="108"/>
      <c r="BC165" s="796" t="s">
        <v>2391</v>
      </c>
      <c r="BD165" s="76">
        <f t="shared" ca="1" si="5452"/>
        <v>0</v>
      </c>
      <c r="BE165" s="108"/>
      <c r="BF165" s="796" t="s">
        <v>2316</v>
      </c>
      <c r="BG165" s="76">
        <f t="shared" ca="1" si="5453"/>
        <v>0</v>
      </c>
      <c r="BH165" s="108"/>
      <c r="BI165" s="796" t="s">
        <v>2452</v>
      </c>
      <c r="BJ165" s="76">
        <f t="shared" ca="1" si="5454"/>
        <v>0</v>
      </c>
      <c r="BK165" s="108"/>
      <c r="BL165" s="796" t="s">
        <v>2475</v>
      </c>
      <c r="BM165" s="76">
        <f t="shared" ca="1" si="5455"/>
        <v>0</v>
      </c>
      <c r="BN165" s="108"/>
      <c r="BO165" s="816" t="s">
        <v>2475</v>
      </c>
      <c r="BP165" s="76">
        <f t="shared" ca="1" si="5456"/>
        <v>0</v>
      </c>
      <c r="BQ165" s="108"/>
      <c r="BR165" s="796" t="s">
        <v>1965</v>
      </c>
      <c r="BS165" s="76">
        <f t="shared" ca="1" si="5457"/>
        <v>0</v>
      </c>
      <c r="BT165" s="108"/>
      <c r="BU165" s="796" t="s">
        <v>2533</v>
      </c>
      <c r="BV165" s="76">
        <f t="shared" ca="1" si="5458"/>
        <v>0</v>
      </c>
      <c r="BW165" s="108"/>
      <c r="BX165" s="73" t="s">
        <v>2391</v>
      </c>
      <c r="BY165" s="76">
        <f t="shared" ca="1" si="5459"/>
        <v>0</v>
      </c>
      <c r="BZ165" s="108"/>
      <c r="CA165" s="816" t="s">
        <v>2127</v>
      </c>
      <c r="CB165" s="76">
        <f t="shared" ca="1" si="5460"/>
        <v>0</v>
      </c>
      <c r="CC165" s="108"/>
      <c r="CD165" s="825" t="s">
        <v>2592</v>
      </c>
      <c r="CE165" s="76">
        <f t="shared" ca="1" si="5461"/>
        <v>0</v>
      </c>
      <c r="CF165" s="108"/>
      <c r="CG165" s="796" t="s">
        <v>2608</v>
      </c>
      <c r="CH165" s="76">
        <f t="shared" ca="1" si="5462"/>
        <v>0</v>
      </c>
      <c r="CI165" s="108"/>
      <c r="CJ165" s="796" t="s">
        <v>2127</v>
      </c>
      <c r="CK165" s="76">
        <f t="shared" ca="1" si="5463"/>
        <v>0</v>
      </c>
      <c r="CL165" s="108"/>
      <c r="CM165" s="796" t="s">
        <v>2162</v>
      </c>
      <c r="CN165" s="76">
        <f t="shared" ca="1" si="5464"/>
        <v>0</v>
      </c>
      <c r="CO165" s="108"/>
      <c r="CP165" s="796" t="s">
        <v>2316</v>
      </c>
      <c r="CQ165" s="76">
        <f t="shared" ca="1" si="5465"/>
        <v>0</v>
      </c>
      <c r="CR165" s="108"/>
      <c r="CS165" s="796" t="s">
        <v>2692</v>
      </c>
      <c r="CT165" s="76">
        <f t="shared" ca="1" si="5466"/>
        <v>0</v>
      </c>
      <c r="CU165" s="108"/>
      <c r="CV165" s="796" t="s">
        <v>2717</v>
      </c>
      <c r="CW165" s="76">
        <f t="shared" ca="1" si="5467"/>
        <v>0</v>
      </c>
      <c r="CX165" s="108"/>
      <c r="CY165" s="796" t="s">
        <v>2198</v>
      </c>
      <c r="CZ165" s="76">
        <f t="shared" ca="1" si="5468"/>
        <v>0</v>
      </c>
      <c r="DA165" s="108"/>
      <c r="DB165" s="796" t="s">
        <v>2767</v>
      </c>
      <c r="DC165" s="76">
        <f t="shared" ca="1" si="5469"/>
        <v>0</v>
      </c>
      <c r="DD165" s="108"/>
      <c r="DE165" s="796" t="s">
        <v>2794</v>
      </c>
      <c r="DF165" s="76">
        <f t="shared" ca="1" si="5470"/>
        <v>0</v>
      </c>
      <c r="DG165" s="108"/>
      <c r="DH165" s="796" t="s">
        <v>2851</v>
      </c>
      <c r="DI165" s="76">
        <f t="shared" ca="1" si="5471"/>
        <v>0</v>
      </c>
      <c r="DJ165" s="108"/>
      <c r="DK165" s="796" t="s">
        <v>1965</v>
      </c>
      <c r="DL165" s="76">
        <f t="shared" ca="1" si="5472"/>
        <v>0</v>
      </c>
      <c r="DM165" s="108"/>
      <c r="DN165" s="73"/>
      <c r="DO165" s="76">
        <f t="shared" ca="1" si="5473"/>
        <v>0</v>
      </c>
      <c r="DP165" s="108"/>
      <c r="DQ165" s="796" t="s">
        <v>1965</v>
      </c>
      <c r="DR165" s="76">
        <f t="shared" ca="1" si="5474"/>
        <v>0</v>
      </c>
      <c r="DS165" s="108"/>
      <c r="DT165" s="73" t="s">
        <v>2391</v>
      </c>
      <c r="DU165" s="76">
        <f t="shared" ca="1" si="5475"/>
        <v>0</v>
      </c>
      <c r="DV165" s="108"/>
      <c r="DW165" s="73"/>
      <c r="DX165" s="76">
        <f t="shared" ca="1" si="5476"/>
        <v>0</v>
      </c>
      <c r="DY165" s="108"/>
      <c r="DZ165" s="73"/>
      <c r="EA165" s="76">
        <f t="shared" ca="1" si="5477"/>
        <v>0</v>
      </c>
      <c r="EB165" s="108"/>
      <c r="EC165" s="79"/>
      <c r="ED165" s="76">
        <f t="shared" ca="1" si="5478"/>
        <v>0</v>
      </c>
      <c r="EE165" s="108"/>
      <c r="EF165" s="73"/>
      <c r="EG165" s="76">
        <f t="shared" ca="1" si="5479"/>
        <v>0</v>
      </c>
      <c r="EH165" s="108"/>
      <c r="EI165" s="73"/>
      <c r="EJ165" s="76">
        <f t="shared" ca="1" si="5480"/>
        <v>0</v>
      </c>
      <c r="EK165" s="108"/>
      <c r="EL165" s="73"/>
      <c r="EM165" s="76">
        <f t="shared" ca="1" si="5481"/>
        <v>0</v>
      </c>
      <c r="EN165" s="108"/>
      <c r="EO165" s="73"/>
      <c r="EP165" s="76">
        <f t="shared" ca="1" si="5482"/>
        <v>0</v>
      </c>
      <c r="EQ165" s="108"/>
      <c r="ER165" s="79"/>
      <c r="ES165" s="76">
        <f t="shared" ca="1" si="5483"/>
        <v>0</v>
      </c>
      <c r="ET165" s="108"/>
      <c r="EU165" s="73"/>
      <c r="EV165" s="76">
        <f t="shared" ca="1" si="5484"/>
        <v>0</v>
      </c>
      <c r="EW165" s="108"/>
      <c r="EX165" s="73"/>
      <c r="EY165" s="76">
        <f t="shared" ca="1" si="5485"/>
        <v>0</v>
      </c>
      <c r="EZ165" s="108"/>
      <c r="FA165" s="73"/>
      <c r="FB165" s="76">
        <f t="shared" ca="1" si="5486"/>
        <v>0</v>
      </c>
      <c r="FC165" s="108"/>
      <c r="FD165" s="73"/>
      <c r="FE165" s="76">
        <f t="shared" ca="1" si="5487"/>
        <v>0</v>
      </c>
      <c r="FF165" s="108"/>
      <c r="FG165" s="79"/>
      <c r="FH165" s="76">
        <f t="shared" ca="1" si="5488"/>
        <v>0</v>
      </c>
      <c r="FI165" s="108"/>
      <c r="FJ165" s="73"/>
      <c r="FK165" s="76">
        <f t="shared" ca="1" si="5489"/>
        <v>0</v>
      </c>
      <c r="FL165" s="108"/>
      <c r="FM165" s="73"/>
      <c r="FN165" s="76">
        <f t="shared" ca="1" si="5490"/>
        <v>0</v>
      </c>
      <c r="FO165" s="108"/>
      <c r="FP165" s="73"/>
      <c r="FQ165" s="76">
        <f t="shared" ca="1" si="5491"/>
        <v>0</v>
      </c>
      <c r="FR165" s="108"/>
      <c r="FS165" s="73"/>
      <c r="FT165" s="76">
        <f t="shared" ca="1" si="5492"/>
        <v>0</v>
      </c>
      <c r="FU165" s="108"/>
      <c r="FV165" s="79"/>
      <c r="FW165" s="76">
        <f t="shared" ca="1" si="5493"/>
        <v>0</v>
      </c>
      <c r="FX165" s="108"/>
      <c r="FY165" s="73"/>
      <c r="FZ165" s="76">
        <f t="shared" ca="1" si="5494"/>
        <v>0</v>
      </c>
      <c r="GA165" s="108"/>
      <c r="GB165" s="73"/>
      <c r="GC165" s="76">
        <f t="shared" ca="1" si="5495"/>
        <v>0</v>
      </c>
      <c r="GD165" s="108"/>
      <c r="GE165" s="73"/>
      <c r="GF165" s="76">
        <f t="shared" ca="1" si="5496"/>
        <v>0</v>
      </c>
      <c r="GG165" s="108"/>
      <c r="GH165" s="73"/>
      <c r="GI165" s="76">
        <f t="shared" ca="1" si="5497"/>
        <v>0</v>
      </c>
      <c r="GJ165" s="108"/>
      <c r="GK165" s="79"/>
      <c r="GL165" s="76">
        <f t="shared" ca="1" si="5498"/>
        <v>0</v>
      </c>
      <c r="GM165" s="108"/>
      <c r="GN165" s="73"/>
      <c r="GO165" s="76">
        <f t="shared" ca="1" si="5499"/>
        <v>0</v>
      </c>
      <c r="GP165" s="108"/>
      <c r="GQ165" s="73"/>
      <c r="GR165" s="76">
        <f t="shared" ca="1" si="5500"/>
        <v>0</v>
      </c>
      <c r="GS165" s="108"/>
      <c r="GT165" s="73"/>
      <c r="GU165" s="76">
        <f t="shared" ca="1" si="5501"/>
        <v>0</v>
      </c>
      <c r="GV165" s="108"/>
      <c r="GW165" s="73"/>
      <c r="GX165" s="76">
        <f t="shared" ca="1" si="5502"/>
        <v>0</v>
      </c>
      <c r="GY165" s="108"/>
      <c r="GZ165" s="79"/>
      <c r="HA165" s="76">
        <f t="shared" ca="1" si="5503"/>
        <v>0</v>
      </c>
      <c r="HB165" s="108"/>
      <c r="HC165" s="73"/>
      <c r="HD165" s="76">
        <f t="shared" ca="1" si="5504"/>
        <v>0</v>
      </c>
      <c r="HE165" s="108"/>
      <c r="HF165" s="73"/>
      <c r="HG165" s="76">
        <f t="shared" ca="1" si="5505"/>
        <v>0</v>
      </c>
      <c r="HH165" s="108"/>
      <c r="HI165" s="73"/>
      <c r="HJ165" s="76">
        <f t="shared" ca="1" si="5506"/>
        <v>0</v>
      </c>
      <c r="HK165" s="108"/>
      <c r="HL165" s="73"/>
      <c r="HM165" s="76">
        <f t="shared" ca="1" si="5507"/>
        <v>0</v>
      </c>
      <c r="HN165" s="108"/>
      <c r="HO165" s="79"/>
      <c r="HP165" s="76">
        <f t="shared" ca="1" si="5508"/>
        <v>0</v>
      </c>
      <c r="HQ165" s="108"/>
      <c r="HR165" s="73"/>
      <c r="HS165" s="76">
        <f t="shared" ca="1" si="5509"/>
        <v>0</v>
      </c>
      <c r="HT165" s="108"/>
      <c r="HU165" s="73"/>
      <c r="HV165" s="76">
        <f t="shared" ca="1" si="5510"/>
        <v>0</v>
      </c>
      <c r="HW165" s="108"/>
      <c r="HX165" s="73"/>
      <c r="HY165" s="76">
        <f t="shared" ca="1" si="5511"/>
        <v>0</v>
      </c>
      <c r="HZ165" s="108"/>
      <c r="IA165" s="73"/>
      <c r="IB165" s="76">
        <f t="shared" ca="1" si="5512"/>
        <v>0</v>
      </c>
      <c r="IC165" s="108"/>
      <c r="ID165" s="79"/>
      <c r="IE165" s="76">
        <f t="shared" ca="1" si="5513"/>
        <v>0</v>
      </c>
      <c r="IF165" s="108"/>
      <c r="IG165" s="73"/>
      <c r="IH165" s="76">
        <f t="shared" ca="1" si="5514"/>
        <v>0</v>
      </c>
      <c r="II165" s="108"/>
      <c r="IJ165" s="73"/>
      <c r="IK165" s="76">
        <f t="shared" ca="1" si="5515"/>
        <v>0</v>
      </c>
      <c r="IL165" s="108"/>
      <c r="IM165" s="73"/>
      <c r="IN165" s="76">
        <f t="shared" ca="1" si="5516"/>
        <v>0</v>
      </c>
      <c r="IO165" s="108"/>
      <c r="IP165" s="73"/>
      <c r="IQ165" s="76">
        <f t="shared" ca="1" si="5517"/>
        <v>0</v>
      </c>
      <c r="IR165" s="108"/>
      <c r="IS165" s="79"/>
      <c r="IT165" s="76">
        <f t="shared" ca="1" si="5518"/>
        <v>0</v>
      </c>
      <c r="IU165" s="108"/>
      <c r="IV165" s="73"/>
      <c r="IW165" s="76">
        <f t="shared" ca="1" si="5519"/>
        <v>0</v>
      </c>
      <c r="IX165" s="108"/>
      <c r="IY165" s="73"/>
      <c r="IZ165" s="76">
        <f t="shared" ca="1" si="5520"/>
        <v>0</v>
      </c>
      <c r="JA165" s="108"/>
      <c r="JB165" s="73"/>
      <c r="JC165" s="76">
        <f t="shared" ca="1" si="5521"/>
        <v>0</v>
      </c>
      <c r="JD165" s="108"/>
      <c r="JE165" s="73"/>
      <c r="JF165" s="76">
        <f t="shared" ca="1" si="5522"/>
        <v>0</v>
      </c>
      <c r="JG165" s="108"/>
      <c r="JH165" s="79"/>
      <c r="JI165" s="76">
        <f t="shared" ca="1" si="5523"/>
        <v>0</v>
      </c>
      <c r="JJ165" s="108"/>
      <c r="JK165" s="73"/>
      <c r="JL165" s="76">
        <f t="shared" ca="1" si="5524"/>
        <v>0</v>
      </c>
      <c r="JM165" s="108"/>
      <c r="JN165" s="73"/>
      <c r="JO165" s="76">
        <f t="shared" ca="1" si="5525"/>
        <v>0</v>
      </c>
      <c r="JP165" s="108"/>
      <c r="JQ165" s="73"/>
      <c r="JR165" s="76">
        <f t="shared" ca="1" si="5526"/>
        <v>0</v>
      </c>
      <c r="JS165" s="108"/>
      <c r="JT165" s="73"/>
      <c r="JU165" s="76">
        <f t="shared" ca="1" si="5527"/>
        <v>0</v>
      </c>
      <c r="JV165" s="108"/>
      <c r="JW165" s="79"/>
      <c r="JX165" s="76">
        <f t="shared" ca="1" si="5528"/>
        <v>0</v>
      </c>
      <c r="JY165" s="108"/>
      <c r="JZ165" s="73"/>
      <c r="KA165" s="76">
        <f t="shared" ca="1" si="5529"/>
        <v>0</v>
      </c>
      <c r="KB165" s="108"/>
      <c r="KC165" s="73"/>
      <c r="KD165" s="76">
        <f t="shared" ca="1" si="5530"/>
        <v>0</v>
      </c>
      <c r="KE165" s="108"/>
      <c r="KF165" s="73"/>
      <c r="KG165" s="76">
        <f t="shared" ca="1" si="5531"/>
        <v>0</v>
      </c>
      <c r="KH165" s="108"/>
      <c r="KI165" s="73"/>
      <c r="KJ165" s="76">
        <f t="shared" ca="1" si="5532"/>
        <v>0</v>
      </c>
      <c r="KK165" s="108"/>
      <c r="KL165" s="79"/>
      <c r="KM165" s="76">
        <f t="shared" ca="1" si="5533"/>
        <v>0</v>
      </c>
      <c r="KN165" s="108"/>
      <c r="KO165" s="73"/>
      <c r="KP165" s="76">
        <f t="shared" ca="1" si="5534"/>
        <v>0</v>
      </c>
      <c r="KQ165" s="108"/>
      <c r="KR165" s="73"/>
      <c r="KS165" s="76">
        <f t="shared" ca="1" si="5535"/>
        <v>0</v>
      </c>
      <c r="KT165" s="108"/>
      <c r="KU165" s="73"/>
      <c r="KV165" s="76">
        <f t="shared" ca="1" si="5536"/>
        <v>0</v>
      </c>
      <c r="KW165" s="108"/>
      <c r="KX165" s="73"/>
      <c r="KY165" s="76">
        <f t="shared" ca="1" si="5537"/>
        <v>0</v>
      </c>
      <c r="KZ165" s="108"/>
      <c r="LA165" s="79"/>
      <c r="LB165" s="76">
        <f t="shared" ca="1" si="5538"/>
        <v>0</v>
      </c>
      <c r="LC165" s="108"/>
      <c r="LD165" s="73"/>
      <c r="LE165" s="76">
        <f t="shared" ca="1" si="5539"/>
        <v>0</v>
      </c>
      <c r="LF165" s="108"/>
    </row>
    <row r="166" spans="1:318" s="784" customFormat="1">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6">
        <f t="shared" si="5540"/>
        <v>30</v>
      </c>
      <c r="G166" s="406">
        <f ca="1">VLOOKUP(H166,Equipos!$Q$1:$R$25,2,0)</f>
        <v>20</v>
      </c>
      <c r="H166" s="444" t="str">
        <f>Idiomas!$D$260</f>
        <v>Dieciseisavos de final</v>
      </c>
      <c r="I166" s="45">
        <v>1</v>
      </c>
      <c r="J166" s="843"/>
      <c r="K166" s="56" t="str">
        <f ca="1">CONCATENATE(WORLDCUP!AA103,"-",WORLDCUP!AF103)</f>
        <v>1E-3ABCDF</v>
      </c>
      <c r="L166" s="53" t="str">
        <f>IF(OR(WORLDCUP!AC103="",WORLDCUP!AD103=""),"PD",IF(WORLDCUP!AC103&gt;WORLDCUP!AD103,1,IF(WORLDCUP!AC103&lt;WORLDCUP!AD103,2,0)))</f>
        <v>PD</v>
      </c>
      <c r="M166" s="55" t="str">
        <f t="shared" si="5541"/>
        <v>-</v>
      </c>
      <c r="N166" s="25">
        <f>WORLDCUP!AC103</f>
        <v>0</v>
      </c>
      <c r="O166" s="25">
        <f>WORLDCUP!AD103</f>
        <v>0</v>
      </c>
      <c r="P166" s="25">
        <f t="shared" si="5542"/>
        <v>0</v>
      </c>
      <c r="Q166" s="25">
        <f t="shared" si="5543"/>
        <v>0</v>
      </c>
      <c r="R166" s="108"/>
      <c r="S166" s="796" t="s">
        <v>1966</v>
      </c>
      <c r="T166" s="76">
        <f t="shared" ca="1" si="5440"/>
        <v>0</v>
      </c>
      <c r="U166" s="108"/>
      <c r="V166" s="73" t="s">
        <v>2011</v>
      </c>
      <c r="W166" s="76">
        <f t="shared" ca="1" si="5441"/>
        <v>0</v>
      </c>
      <c r="X166" s="108"/>
      <c r="Y166" s="796" t="s">
        <v>2054</v>
      </c>
      <c r="Z166" s="76">
        <f t="shared" ca="1" si="5442"/>
        <v>0</v>
      </c>
      <c r="AA166" s="108"/>
      <c r="AB166" s="796" t="s">
        <v>2090</v>
      </c>
      <c r="AC166" s="76">
        <f t="shared" ca="1" si="5443"/>
        <v>0</v>
      </c>
      <c r="AD166" s="108"/>
      <c r="AE166" s="796" t="s">
        <v>2128</v>
      </c>
      <c r="AF166" s="76">
        <f t="shared" ca="1" si="5544"/>
        <v>0</v>
      </c>
      <c r="AG166" s="108"/>
      <c r="AH166" s="796" t="s">
        <v>2128</v>
      </c>
      <c r="AI166" s="76">
        <f t="shared" ca="1" si="5445"/>
        <v>0</v>
      </c>
      <c r="AJ166" s="108"/>
      <c r="AK166" s="806" t="s">
        <v>2199</v>
      </c>
      <c r="AL166" s="76">
        <f t="shared" ca="1" si="5446"/>
        <v>0</v>
      </c>
      <c r="AM166" s="108"/>
      <c r="AN166" s="796" t="s">
        <v>2229</v>
      </c>
      <c r="AO166" s="76">
        <f t="shared" ca="1" si="5447"/>
        <v>0</v>
      </c>
      <c r="AP166" s="108"/>
      <c r="AQ166" s="806" t="s">
        <v>2090</v>
      </c>
      <c r="AR166" s="76">
        <f t="shared" ca="1" si="5448"/>
        <v>0</v>
      </c>
      <c r="AS166" s="108"/>
      <c r="AT166" s="796" t="s">
        <v>2290</v>
      </c>
      <c r="AU166" s="76">
        <f t="shared" ca="1" si="5449"/>
        <v>0</v>
      </c>
      <c r="AV166" s="108"/>
      <c r="AW166" s="796" t="s">
        <v>2128</v>
      </c>
      <c r="AX166" s="76">
        <f t="shared" ca="1" si="5450"/>
        <v>0</v>
      </c>
      <c r="AY166" s="108"/>
      <c r="AZ166" s="796" t="s">
        <v>2354</v>
      </c>
      <c r="BA166" s="76">
        <f t="shared" ca="1" si="5451"/>
        <v>0</v>
      </c>
      <c r="BB166" s="108"/>
      <c r="BC166" s="796" t="s">
        <v>2392</v>
      </c>
      <c r="BD166" s="76">
        <f t="shared" ca="1" si="5452"/>
        <v>0</v>
      </c>
      <c r="BE166" s="108"/>
      <c r="BF166" s="796" t="s">
        <v>2417</v>
      </c>
      <c r="BG166" s="76">
        <f t="shared" ca="1" si="5453"/>
        <v>0</v>
      </c>
      <c r="BH166" s="108"/>
      <c r="BI166" s="796" t="s">
        <v>2453</v>
      </c>
      <c r="BJ166" s="76">
        <f t="shared" ca="1" si="5454"/>
        <v>0</v>
      </c>
      <c r="BK166" s="108"/>
      <c r="BL166" s="796" t="s">
        <v>2011</v>
      </c>
      <c r="BM166" s="76">
        <f t="shared" ca="1" si="5455"/>
        <v>0</v>
      </c>
      <c r="BN166" s="108"/>
      <c r="BO166" s="816" t="s">
        <v>2229</v>
      </c>
      <c r="BP166" s="76">
        <f t="shared" ca="1" si="5456"/>
        <v>0</v>
      </c>
      <c r="BQ166" s="108"/>
      <c r="BR166" s="796" t="s">
        <v>2128</v>
      </c>
      <c r="BS166" s="76">
        <f t="shared" ca="1" si="5457"/>
        <v>0</v>
      </c>
      <c r="BT166" s="108"/>
      <c r="BU166" s="796" t="s">
        <v>2011</v>
      </c>
      <c r="BV166" s="76">
        <f t="shared" ca="1" si="5458"/>
        <v>0</v>
      </c>
      <c r="BW166" s="108"/>
      <c r="BX166" s="73" t="s">
        <v>2557</v>
      </c>
      <c r="BY166" s="76">
        <f t="shared" ca="1" si="5459"/>
        <v>0</v>
      </c>
      <c r="BZ166" s="108"/>
      <c r="CA166" s="816" t="s">
        <v>2579</v>
      </c>
      <c r="CB166" s="76">
        <f t="shared" ca="1" si="5460"/>
        <v>0</v>
      </c>
      <c r="CC166" s="108"/>
      <c r="CD166" s="825" t="s">
        <v>2090</v>
      </c>
      <c r="CE166" s="76">
        <f t="shared" ca="1" si="5461"/>
        <v>0</v>
      </c>
      <c r="CF166" s="108"/>
      <c r="CG166" s="796" t="s">
        <v>2609</v>
      </c>
      <c r="CH166" s="76">
        <f t="shared" ca="1" si="5462"/>
        <v>0</v>
      </c>
      <c r="CI166" s="108"/>
      <c r="CJ166" s="796" t="s">
        <v>2090</v>
      </c>
      <c r="CK166" s="76">
        <f t="shared" ca="1" si="5463"/>
        <v>0</v>
      </c>
      <c r="CL166" s="108"/>
      <c r="CM166" s="796" t="s">
        <v>2128</v>
      </c>
      <c r="CN166" s="76">
        <f t="shared" ca="1" si="5464"/>
        <v>0</v>
      </c>
      <c r="CO166" s="108"/>
      <c r="CP166" s="796" t="s">
        <v>2670</v>
      </c>
      <c r="CQ166" s="76">
        <f t="shared" ca="1" si="5465"/>
        <v>0</v>
      </c>
      <c r="CR166" s="108"/>
      <c r="CS166" s="796" t="s">
        <v>2693</v>
      </c>
      <c r="CT166" s="76">
        <f t="shared" ca="1" si="5466"/>
        <v>0</v>
      </c>
      <c r="CU166" s="108"/>
      <c r="CV166" s="796" t="s">
        <v>2718</v>
      </c>
      <c r="CW166" s="76">
        <f t="shared" ca="1" si="5467"/>
        <v>0</v>
      </c>
      <c r="CX166" s="108"/>
      <c r="CY166" s="796" t="s">
        <v>2744</v>
      </c>
      <c r="CZ166" s="76">
        <f t="shared" ca="1" si="5468"/>
        <v>0</v>
      </c>
      <c r="DA166" s="108"/>
      <c r="DB166" s="796" t="s">
        <v>2768</v>
      </c>
      <c r="DC166" s="76">
        <f t="shared" ca="1" si="5469"/>
        <v>0</v>
      </c>
      <c r="DD166" s="108"/>
      <c r="DE166" s="796" t="s">
        <v>2090</v>
      </c>
      <c r="DF166" s="76">
        <f t="shared" ca="1" si="5470"/>
        <v>0</v>
      </c>
      <c r="DG166" s="108"/>
      <c r="DH166" s="796" t="s">
        <v>2392</v>
      </c>
      <c r="DI166" s="76">
        <f t="shared" ca="1" si="5471"/>
        <v>0</v>
      </c>
      <c r="DJ166" s="108"/>
      <c r="DK166" s="796" t="s">
        <v>1966</v>
      </c>
      <c r="DL166" s="76">
        <f t="shared" ca="1" si="5472"/>
        <v>0</v>
      </c>
      <c r="DM166" s="108"/>
      <c r="DN166" s="73"/>
      <c r="DO166" s="76">
        <f t="shared" ca="1" si="5473"/>
        <v>0</v>
      </c>
      <c r="DP166" s="108"/>
      <c r="DQ166" s="796" t="s">
        <v>2128</v>
      </c>
      <c r="DR166" s="76">
        <f t="shared" ca="1" si="5474"/>
        <v>0</v>
      </c>
      <c r="DS166" s="108"/>
      <c r="DT166" s="73" t="s">
        <v>2128</v>
      </c>
      <c r="DU166" s="76">
        <f t="shared" ca="1" si="5475"/>
        <v>0</v>
      </c>
      <c r="DV166" s="108"/>
      <c r="DW166" s="73"/>
      <c r="DX166" s="76">
        <f t="shared" ca="1" si="5476"/>
        <v>0</v>
      </c>
      <c r="DY166" s="108"/>
      <c r="DZ166" s="73"/>
      <c r="EA166" s="76">
        <f t="shared" ca="1" si="5477"/>
        <v>0</v>
      </c>
      <c r="EB166" s="108"/>
      <c r="EC166" s="79"/>
      <c r="ED166" s="76">
        <f t="shared" ca="1" si="5478"/>
        <v>0</v>
      </c>
      <c r="EE166" s="108"/>
      <c r="EF166" s="73"/>
      <c r="EG166" s="76">
        <f t="shared" ca="1" si="5479"/>
        <v>0</v>
      </c>
      <c r="EH166" s="108"/>
      <c r="EI166" s="73"/>
      <c r="EJ166" s="76">
        <f t="shared" ca="1" si="5480"/>
        <v>0</v>
      </c>
      <c r="EK166" s="108"/>
      <c r="EL166" s="73"/>
      <c r="EM166" s="76">
        <f t="shared" ca="1" si="5481"/>
        <v>0</v>
      </c>
      <c r="EN166" s="108"/>
      <c r="EO166" s="73"/>
      <c r="EP166" s="76">
        <f t="shared" ca="1" si="5482"/>
        <v>0</v>
      </c>
      <c r="EQ166" s="108"/>
      <c r="ER166" s="79"/>
      <c r="ES166" s="76">
        <f t="shared" ca="1" si="5483"/>
        <v>0</v>
      </c>
      <c r="ET166" s="108"/>
      <c r="EU166" s="73"/>
      <c r="EV166" s="76">
        <f t="shared" ca="1" si="5484"/>
        <v>0</v>
      </c>
      <c r="EW166" s="108"/>
      <c r="EX166" s="73"/>
      <c r="EY166" s="76">
        <f t="shared" ca="1" si="5485"/>
        <v>0</v>
      </c>
      <c r="EZ166" s="108"/>
      <c r="FA166" s="73"/>
      <c r="FB166" s="76">
        <f t="shared" ca="1" si="5486"/>
        <v>0</v>
      </c>
      <c r="FC166" s="108"/>
      <c r="FD166" s="73"/>
      <c r="FE166" s="76">
        <f t="shared" ca="1" si="5487"/>
        <v>0</v>
      </c>
      <c r="FF166" s="108"/>
      <c r="FG166" s="79"/>
      <c r="FH166" s="76">
        <f t="shared" ca="1" si="5488"/>
        <v>0</v>
      </c>
      <c r="FI166" s="108"/>
      <c r="FJ166" s="73"/>
      <c r="FK166" s="76">
        <f t="shared" ca="1" si="5489"/>
        <v>0</v>
      </c>
      <c r="FL166" s="108"/>
      <c r="FM166" s="73"/>
      <c r="FN166" s="76">
        <f t="shared" ca="1" si="5490"/>
        <v>0</v>
      </c>
      <c r="FO166" s="108"/>
      <c r="FP166" s="73"/>
      <c r="FQ166" s="76">
        <f t="shared" ca="1" si="5491"/>
        <v>0</v>
      </c>
      <c r="FR166" s="108"/>
      <c r="FS166" s="73"/>
      <c r="FT166" s="76">
        <f t="shared" ca="1" si="5492"/>
        <v>0</v>
      </c>
      <c r="FU166" s="108"/>
      <c r="FV166" s="79"/>
      <c r="FW166" s="76">
        <f t="shared" ca="1" si="5493"/>
        <v>0</v>
      </c>
      <c r="FX166" s="108"/>
      <c r="FY166" s="73"/>
      <c r="FZ166" s="76">
        <f t="shared" ca="1" si="5494"/>
        <v>0</v>
      </c>
      <c r="GA166" s="108"/>
      <c r="GB166" s="73"/>
      <c r="GC166" s="76">
        <f t="shared" ca="1" si="5495"/>
        <v>0</v>
      </c>
      <c r="GD166" s="108"/>
      <c r="GE166" s="73"/>
      <c r="GF166" s="76">
        <f t="shared" ca="1" si="5496"/>
        <v>0</v>
      </c>
      <c r="GG166" s="108"/>
      <c r="GH166" s="73"/>
      <c r="GI166" s="76">
        <f t="shared" ca="1" si="5497"/>
        <v>0</v>
      </c>
      <c r="GJ166" s="108"/>
      <c r="GK166" s="79"/>
      <c r="GL166" s="76">
        <f t="shared" ca="1" si="5498"/>
        <v>0</v>
      </c>
      <c r="GM166" s="108"/>
      <c r="GN166" s="73"/>
      <c r="GO166" s="76">
        <f t="shared" ca="1" si="5499"/>
        <v>0</v>
      </c>
      <c r="GP166" s="108"/>
      <c r="GQ166" s="73"/>
      <c r="GR166" s="76">
        <f t="shared" ca="1" si="5500"/>
        <v>0</v>
      </c>
      <c r="GS166" s="108"/>
      <c r="GT166" s="73"/>
      <c r="GU166" s="76">
        <f t="shared" ca="1" si="5501"/>
        <v>0</v>
      </c>
      <c r="GV166" s="108"/>
      <c r="GW166" s="73"/>
      <c r="GX166" s="76">
        <f t="shared" ca="1" si="5502"/>
        <v>0</v>
      </c>
      <c r="GY166" s="108"/>
      <c r="GZ166" s="79"/>
      <c r="HA166" s="76">
        <f t="shared" ca="1" si="5503"/>
        <v>0</v>
      </c>
      <c r="HB166" s="108"/>
      <c r="HC166" s="73"/>
      <c r="HD166" s="76">
        <f t="shared" ca="1" si="5504"/>
        <v>0</v>
      </c>
      <c r="HE166" s="108"/>
      <c r="HF166" s="73"/>
      <c r="HG166" s="76">
        <f t="shared" ca="1" si="5505"/>
        <v>0</v>
      </c>
      <c r="HH166" s="108"/>
      <c r="HI166" s="73"/>
      <c r="HJ166" s="76">
        <f t="shared" ca="1" si="5506"/>
        <v>0</v>
      </c>
      <c r="HK166" s="108"/>
      <c r="HL166" s="73"/>
      <c r="HM166" s="76">
        <f t="shared" ca="1" si="5507"/>
        <v>0</v>
      </c>
      <c r="HN166" s="108"/>
      <c r="HO166" s="79"/>
      <c r="HP166" s="76">
        <f t="shared" ca="1" si="5508"/>
        <v>0</v>
      </c>
      <c r="HQ166" s="108"/>
      <c r="HR166" s="73"/>
      <c r="HS166" s="76">
        <f t="shared" ca="1" si="5509"/>
        <v>0</v>
      </c>
      <c r="HT166" s="108"/>
      <c r="HU166" s="73"/>
      <c r="HV166" s="76">
        <f t="shared" ca="1" si="5510"/>
        <v>0</v>
      </c>
      <c r="HW166" s="108"/>
      <c r="HX166" s="73"/>
      <c r="HY166" s="76">
        <f t="shared" ca="1" si="5511"/>
        <v>0</v>
      </c>
      <c r="HZ166" s="108"/>
      <c r="IA166" s="73"/>
      <c r="IB166" s="76">
        <f t="shared" ca="1" si="5512"/>
        <v>0</v>
      </c>
      <c r="IC166" s="108"/>
      <c r="ID166" s="79"/>
      <c r="IE166" s="76">
        <f t="shared" ca="1" si="5513"/>
        <v>0</v>
      </c>
      <c r="IF166" s="108"/>
      <c r="IG166" s="73"/>
      <c r="IH166" s="76">
        <f t="shared" ca="1" si="5514"/>
        <v>0</v>
      </c>
      <c r="II166" s="108"/>
      <c r="IJ166" s="73"/>
      <c r="IK166" s="76">
        <f t="shared" ca="1" si="5515"/>
        <v>0</v>
      </c>
      <c r="IL166" s="108"/>
      <c r="IM166" s="73"/>
      <c r="IN166" s="76">
        <f t="shared" ca="1" si="5516"/>
        <v>0</v>
      </c>
      <c r="IO166" s="108"/>
      <c r="IP166" s="73"/>
      <c r="IQ166" s="76">
        <f t="shared" ca="1" si="5517"/>
        <v>0</v>
      </c>
      <c r="IR166" s="108"/>
      <c r="IS166" s="79"/>
      <c r="IT166" s="76">
        <f t="shared" ca="1" si="5518"/>
        <v>0</v>
      </c>
      <c r="IU166" s="108"/>
      <c r="IV166" s="73"/>
      <c r="IW166" s="76">
        <f t="shared" ca="1" si="5519"/>
        <v>0</v>
      </c>
      <c r="IX166" s="108"/>
      <c r="IY166" s="73"/>
      <c r="IZ166" s="76">
        <f t="shared" ca="1" si="5520"/>
        <v>0</v>
      </c>
      <c r="JA166" s="108"/>
      <c r="JB166" s="73"/>
      <c r="JC166" s="76">
        <f t="shared" ca="1" si="5521"/>
        <v>0</v>
      </c>
      <c r="JD166" s="108"/>
      <c r="JE166" s="73"/>
      <c r="JF166" s="76">
        <f t="shared" ca="1" si="5522"/>
        <v>0</v>
      </c>
      <c r="JG166" s="108"/>
      <c r="JH166" s="79"/>
      <c r="JI166" s="76">
        <f t="shared" ca="1" si="5523"/>
        <v>0</v>
      </c>
      <c r="JJ166" s="108"/>
      <c r="JK166" s="73"/>
      <c r="JL166" s="76">
        <f t="shared" ca="1" si="5524"/>
        <v>0</v>
      </c>
      <c r="JM166" s="108"/>
      <c r="JN166" s="73"/>
      <c r="JO166" s="76">
        <f t="shared" ca="1" si="5525"/>
        <v>0</v>
      </c>
      <c r="JP166" s="108"/>
      <c r="JQ166" s="73"/>
      <c r="JR166" s="76">
        <f t="shared" ca="1" si="5526"/>
        <v>0</v>
      </c>
      <c r="JS166" s="108"/>
      <c r="JT166" s="73"/>
      <c r="JU166" s="76">
        <f t="shared" ca="1" si="5527"/>
        <v>0</v>
      </c>
      <c r="JV166" s="108"/>
      <c r="JW166" s="79"/>
      <c r="JX166" s="76">
        <f t="shared" ca="1" si="5528"/>
        <v>0</v>
      </c>
      <c r="JY166" s="108"/>
      <c r="JZ166" s="73"/>
      <c r="KA166" s="76">
        <f t="shared" ca="1" si="5529"/>
        <v>0</v>
      </c>
      <c r="KB166" s="108"/>
      <c r="KC166" s="73"/>
      <c r="KD166" s="76">
        <f t="shared" ca="1" si="5530"/>
        <v>0</v>
      </c>
      <c r="KE166" s="108"/>
      <c r="KF166" s="73"/>
      <c r="KG166" s="76">
        <f t="shared" ca="1" si="5531"/>
        <v>0</v>
      </c>
      <c r="KH166" s="108"/>
      <c r="KI166" s="73"/>
      <c r="KJ166" s="76">
        <f t="shared" ca="1" si="5532"/>
        <v>0</v>
      </c>
      <c r="KK166" s="108"/>
      <c r="KL166" s="79"/>
      <c r="KM166" s="76">
        <f t="shared" ca="1" si="5533"/>
        <v>0</v>
      </c>
      <c r="KN166" s="108"/>
      <c r="KO166" s="73"/>
      <c r="KP166" s="76">
        <f t="shared" ca="1" si="5534"/>
        <v>0</v>
      </c>
      <c r="KQ166" s="108"/>
      <c r="KR166" s="73"/>
      <c r="KS166" s="76">
        <f t="shared" ca="1" si="5535"/>
        <v>0</v>
      </c>
      <c r="KT166" s="108"/>
      <c r="KU166" s="73"/>
      <c r="KV166" s="76">
        <f t="shared" ca="1" si="5536"/>
        <v>0</v>
      </c>
      <c r="KW166" s="108"/>
      <c r="KX166" s="73"/>
      <c r="KY166" s="76">
        <f t="shared" ca="1" si="5537"/>
        <v>0</v>
      </c>
      <c r="KZ166" s="108"/>
      <c r="LA166" s="79"/>
      <c r="LB166" s="76">
        <f t="shared" ca="1" si="5538"/>
        <v>0</v>
      </c>
      <c r="LC166" s="108"/>
      <c r="LD166" s="73"/>
      <c r="LE166" s="76">
        <f t="shared" ca="1" si="5539"/>
        <v>0</v>
      </c>
      <c r="LF166" s="108"/>
    </row>
    <row r="167" spans="1:318" s="784" customFormat="1">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6">
        <f t="shared" si="5540"/>
        <v>30</v>
      </c>
      <c r="G167" s="406">
        <f ca="1">VLOOKUP(H167,Equipos!$Q$1:$R$25,2,0)</f>
        <v>20</v>
      </c>
      <c r="H167" s="444" t="str">
        <f>Idiomas!$D$260</f>
        <v>Dieciseisavos de final</v>
      </c>
      <c r="I167" s="45">
        <v>1</v>
      </c>
      <c r="J167" s="843"/>
      <c r="K167" s="56" t="str">
        <f ca="1">CONCATENATE(WORLDCUP!AA104,"-",WORLDCUP!AF104)</f>
        <v>1F-2C</v>
      </c>
      <c r="L167" s="53" t="str">
        <f>IF(OR(WORLDCUP!AC104="",WORLDCUP!AD104=""),"PD",IF(WORLDCUP!AC104&gt;WORLDCUP!AD104,1,IF(WORLDCUP!AC104&lt;WORLDCUP!AD104,2,0)))</f>
        <v>PD</v>
      </c>
      <c r="M167" s="55" t="str">
        <f t="shared" si="5541"/>
        <v>-</v>
      </c>
      <c r="N167" s="25">
        <f>WORLDCUP!AC104</f>
        <v>0</v>
      </c>
      <c r="O167" s="25">
        <f>WORLDCUP!AD104</f>
        <v>0</v>
      </c>
      <c r="P167" s="25">
        <f t="shared" si="5542"/>
        <v>0</v>
      </c>
      <c r="Q167" s="25">
        <f t="shared" si="5543"/>
        <v>0</v>
      </c>
      <c r="R167" s="108"/>
      <c r="S167" s="796" t="s">
        <v>1967</v>
      </c>
      <c r="T167" s="76">
        <f t="shared" ca="1" si="5440"/>
        <v>0</v>
      </c>
      <c r="U167" s="108"/>
      <c r="V167" s="73" t="s">
        <v>2012</v>
      </c>
      <c r="W167" s="76">
        <f t="shared" ca="1" si="5441"/>
        <v>0</v>
      </c>
      <c r="X167" s="108"/>
      <c r="Y167" s="796" t="s">
        <v>2055</v>
      </c>
      <c r="Z167" s="76">
        <f t="shared" ca="1" si="5442"/>
        <v>0</v>
      </c>
      <c r="AA167" s="108"/>
      <c r="AB167" s="796" t="s">
        <v>2091</v>
      </c>
      <c r="AC167" s="76">
        <f t="shared" ca="1" si="5443"/>
        <v>0</v>
      </c>
      <c r="AD167" s="108"/>
      <c r="AE167" s="796" t="s">
        <v>2129</v>
      </c>
      <c r="AF167" s="76">
        <f t="shared" ca="1" si="5544"/>
        <v>0</v>
      </c>
      <c r="AG167" s="108"/>
      <c r="AH167" s="796" t="s">
        <v>2163</v>
      </c>
      <c r="AI167" s="76">
        <f t="shared" ca="1" si="5445"/>
        <v>0</v>
      </c>
      <c r="AJ167" s="108"/>
      <c r="AK167" s="806" t="s">
        <v>2200</v>
      </c>
      <c r="AL167" s="76">
        <f t="shared" ca="1" si="5446"/>
        <v>0</v>
      </c>
      <c r="AM167" s="108"/>
      <c r="AN167" s="796" t="s">
        <v>2230</v>
      </c>
      <c r="AO167" s="76">
        <f t="shared" ca="1" si="5447"/>
        <v>0</v>
      </c>
      <c r="AP167" s="108"/>
      <c r="AQ167" s="806" t="s">
        <v>2255</v>
      </c>
      <c r="AR167" s="76">
        <f t="shared" ca="1" si="5448"/>
        <v>0</v>
      </c>
      <c r="AS167" s="108"/>
      <c r="AT167" s="796" t="s">
        <v>2291</v>
      </c>
      <c r="AU167" s="76">
        <f t="shared" ca="1" si="5449"/>
        <v>0</v>
      </c>
      <c r="AV167" s="108"/>
      <c r="AW167" s="796" t="s">
        <v>2291</v>
      </c>
      <c r="AX167" s="76">
        <f t="shared" ca="1" si="5450"/>
        <v>0</v>
      </c>
      <c r="AY167" s="108"/>
      <c r="AZ167" s="796" t="s">
        <v>2355</v>
      </c>
      <c r="BA167" s="76">
        <f t="shared" ca="1" si="5451"/>
        <v>0</v>
      </c>
      <c r="BB167" s="108"/>
      <c r="BC167" s="796" t="s">
        <v>2091</v>
      </c>
      <c r="BD167" s="76">
        <f t="shared" ca="1" si="5452"/>
        <v>0</v>
      </c>
      <c r="BE167" s="108"/>
      <c r="BF167" s="796" t="s">
        <v>2418</v>
      </c>
      <c r="BG167" s="76">
        <f t="shared" ca="1" si="5453"/>
        <v>0</v>
      </c>
      <c r="BH167" s="108"/>
      <c r="BI167" s="796" t="s">
        <v>2454</v>
      </c>
      <c r="BJ167" s="76">
        <f t="shared" ca="1" si="5454"/>
        <v>0</v>
      </c>
      <c r="BK167" s="108"/>
      <c r="BL167" s="796" t="s">
        <v>2129</v>
      </c>
      <c r="BM167" s="76">
        <f t="shared" ca="1" si="5455"/>
        <v>0</v>
      </c>
      <c r="BN167" s="108"/>
      <c r="BO167" s="816" t="s">
        <v>2500</v>
      </c>
      <c r="BP167" s="76">
        <f t="shared" ca="1" si="5456"/>
        <v>0</v>
      </c>
      <c r="BQ167" s="108"/>
      <c r="BR167" s="796" t="s">
        <v>1967</v>
      </c>
      <c r="BS167" s="76">
        <f t="shared" ca="1" si="5457"/>
        <v>0</v>
      </c>
      <c r="BT167" s="108"/>
      <c r="BU167" s="796" t="s">
        <v>2534</v>
      </c>
      <c r="BV167" s="76">
        <f t="shared" ca="1" si="5458"/>
        <v>0</v>
      </c>
      <c r="BW167" s="108"/>
      <c r="BX167" s="73" t="s">
        <v>2255</v>
      </c>
      <c r="BY167" s="76">
        <f t="shared" ca="1" si="5459"/>
        <v>0</v>
      </c>
      <c r="BZ167" s="108"/>
      <c r="CA167" s="816" t="s">
        <v>2580</v>
      </c>
      <c r="CB167" s="76">
        <f t="shared" ca="1" si="5460"/>
        <v>0</v>
      </c>
      <c r="CC167" s="108"/>
      <c r="CD167" s="825" t="s">
        <v>2593</v>
      </c>
      <c r="CE167" s="76">
        <f t="shared" ca="1" si="5461"/>
        <v>0</v>
      </c>
      <c r="CF167" s="108"/>
      <c r="CG167" s="796" t="s">
        <v>2012</v>
      </c>
      <c r="CH167" s="76">
        <f t="shared" ca="1" si="5462"/>
        <v>0</v>
      </c>
      <c r="CI167" s="108"/>
      <c r="CJ167" s="796" t="s">
        <v>2291</v>
      </c>
      <c r="CK167" s="76">
        <f t="shared" ca="1" si="5463"/>
        <v>0</v>
      </c>
      <c r="CL167" s="108"/>
      <c r="CM167" s="796" t="s">
        <v>2330</v>
      </c>
      <c r="CN167" s="76">
        <f t="shared" ca="1" si="5464"/>
        <v>0</v>
      </c>
      <c r="CO167" s="108"/>
      <c r="CP167" s="796" t="s">
        <v>2671</v>
      </c>
      <c r="CQ167" s="76">
        <f t="shared" ca="1" si="5465"/>
        <v>0</v>
      </c>
      <c r="CR167" s="108"/>
      <c r="CS167" s="796" t="s">
        <v>2694</v>
      </c>
      <c r="CT167" s="76">
        <f t="shared" ca="1" si="5466"/>
        <v>0</v>
      </c>
      <c r="CU167" s="108"/>
      <c r="CV167" s="796" t="s">
        <v>2719</v>
      </c>
      <c r="CW167" s="76">
        <f t="shared" ca="1" si="5467"/>
        <v>0</v>
      </c>
      <c r="CX167" s="108"/>
      <c r="CY167" s="796" t="s">
        <v>2418</v>
      </c>
      <c r="CZ167" s="76">
        <f t="shared" ca="1" si="5468"/>
        <v>0</v>
      </c>
      <c r="DA167" s="108"/>
      <c r="DB167" s="796" t="s">
        <v>2454</v>
      </c>
      <c r="DC167" s="76">
        <f t="shared" ca="1" si="5469"/>
        <v>0</v>
      </c>
      <c r="DD167" s="108"/>
      <c r="DE167" s="796" t="s">
        <v>2795</v>
      </c>
      <c r="DF167" s="76">
        <f t="shared" ca="1" si="5470"/>
        <v>0</v>
      </c>
      <c r="DG167" s="108"/>
      <c r="DH167" s="796" t="s">
        <v>2852</v>
      </c>
      <c r="DI167" s="76">
        <f t="shared" ca="1" si="5471"/>
        <v>0</v>
      </c>
      <c r="DJ167" s="108"/>
      <c r="DK167" s="796" t="s">
        <v>2291</v>
      </c>
      <c r="DL167" s="76">
        <f t="shared" ca="1" si="5472"/>
        <v>0</v>
      </c>
      <c r="DM167" s="108"/>
      <c r="DN167" s="73"/>
      <c r="DO167" s="76">
        <f t="shared" ca="1" si="5473"/>
        <v>0</v>
      </c>
      <c r="DP167" s="108"/>
      <c r="DQ167" s="796" t="s">
        <v>2091</v>
      </c>
      <c r="DR167" s="76">
        <f t="shared" ca="1" si="5474"/>
        <v>0</v>
      </c>
      <c r="DS167" s="108"/>
      <c r="DT167" s="73" t="s">
        <v>2418</v>
      </c>
      <c r="DU167" s="76">
        <f t="shared" ca="1" si="5475"/>
        <v>0</v>
      </c>
      <c r="DV167" s="108"/>
      <c r="DW167" s="73"/>
      <c r="DX167" s="76">
        <f t="shared" ca="1" si="5476"/>
        <v>0</v>
      </c>
      <c r="DY167" s="108"/>
      <c r="DZ167" s="73"/>
      <c r="EA167" s="76">
        <f t="shared" ca="1" si="5477"/>
        <v>0</v>
      </c>
      <c r="EB167" s="108"/>
      <c r="EC167" s="79"/>
      <c r="ED167" s="76">
        <f t="shared" ca="1" si="5478"/>
        <v>0</v>
      </c>
      <c r="EE167" s="108"/>
      <c r="EF167" s="73"/>
      <c r="EG167" s="76">
        <f t="shared" ca="1" si="5479"/>
        <v>0</v>
      </c>
      <c r="EH167" s="108"/>
      <c r="EI167" s="73"/>
      <c r="EJ167" s="76">
        <f t="shared" ca="1" si="5480"/>
        <v>0</v>
      </c>
      <c r="EK167" s="108"/>
      <c r="EL167" s="73"/>
      <c r="EM167" s="76">
        <f t="shared" ca="1" si="5481"/>
        <v>0</v>
      </c>
      <c r="EN167" s="108"/>
      <c r="EO167" s="73"/>
      <c r="EP167" s="76">
        <f t="shared" ca="1" si="5482"/>
        <v>0</v>
      </c>
      <c r="EQ167" s="108"/>
      <c r="ER167" s="79"/>
      <c r="ES167" s="76">
        <f t="shared" ca="1" si="5483"/>
        <v>0</v>
      </c>
      <c r="ET167" s="108"/>
      <c r="EU167" s="73"/>
      <c r="EV167" s="76">
        <f t="shared" ca="1" si="5484"/>
        <v>0</v>
      </c>
      <c r="EW167" s="108"/>
      <c r="EX167" s="73"/>
      <c r="EY167" s="76">
        <f t="shared" ca="1" si="5485"/>
        <v>0</v>
      </c>
      <c r="EZ167" s="108"/>
      <c r="FA167" s="73"/>
      <c r="FB167" s="76">
        <f t="shared" ca="1" si="5486"/>
        <v>0</v>
      </c>
      <c r="FC167" s="108"/>
      <c r="FD167" s="73"/>
      <c r="FE167" s="76">
        <f t="shared" ca="1" si="5487"/>
        <v>0</v>
      </c>
      <c r="FF167" s="108"/>
      <c r="FG167" s="79"/>
      <c r="FH167" s="76">
        <f t="shared" ca="1" si="5488"/>
        <v>0</v>
      </c>
      <c r="FI167" s="108"/>
      <c r="FJ167" s="73"/>
      <c r="FK167" s="76">
        <f t="shared" ca="1" si="5489"/>
        <v>0</v>
      </c>
      <c r="FL167" s="108"/>
      <c r="FM167" s="73"/>
      <c r="FN167" s="76">
        <f t="shared" ca="1" si="5490"/>
        <v>0</v>
      </c>
      <c r="FO167" s="108"/>
      <c r="FP167" s="73"/>
      <c r="FQ167" s="76">
        <f t="shared" ca="1" si="5491"/>
        <v>0</v>
      </c>
      <c r="FR167" s="108"/>
      <c r="FS167" s="73"/>
      <c r="FT167" s="76">
        <f t="shared" ca="1" si="5492"/>
        <v>0</v>
      </c>
      <c r="FU167" s="108"/>
      <c r="FV167" s="79"/>
      <c r="FW167" s="76">
        <f t="shared" ca="1" si="5493"/>
        <v>0</v>
      </c>
      <c r="FX167" s="108"/>
      <c r="FY167" s="73"/>
      <c r="FZ167" s="76">
        <f t="shared" ca="1" si="5494"/>
        <v>0</v>
      </c>
      <c r="GA167" s="108"/>
      <c r="GB167" s="73"/>
      <c r="GC167" s="76">
        <f t="shared" ca="1" si="5495"/>
        <v>0</v>
      </c>
      <c r="GD167" s="108"/>
      <c r="GE167" s="73"/>
      <c r="GF167" s="76">
        <f t="shared" ca="1" si="5496"/>
        <v>0</v>
      </c>
      <c r="GG167" s="108"/>
      <c r="GH167" s="73"/>
      <c r="GI167" s="76">
        <f t="shared" ca="1" si="5497"/>
        <v>0</v>
      </c>
      <c r="GJ167" s="108"/>
      <c r="GK167" s="79"/>
      <c r="GL167" s="76">
        <f t="shared" ca="1" si="5498"/>
        <v>0</v>
      </c>
      <c r="GM167" s="108"/>
      <c r="GN167" s="73"/>
      <c r="GO167" s="76">
        <f t="shared" ca="1" si="5499"/>
        <v>0</v>
      </c>
      <c r="GP167" s="108"/>
      <c r="GQ167" s="73"/>
      <c r="GR167" s="76">
        <f t="shared" ca="1" si="5500"/>
        <v>0</v>
      </c>
      <c r="GS167" s="108"/>
      <c r="GT167" s="73"/>
      <c r="GU167" s="76">
        <f t="shared" ca="1" si="5501"/>
        <v>0</v>
      </c>
      <c r="GV167" s="108"/>
      <c r="GW167" s="73"/>
      <c r="GX167" s="76">
        <f t="shared" ca="1" si="5502"/>
        <v>0</v>
      </c>
      <c r="GY167" s="108"/>
      <c r="GZ167" s="79"/>
      <c r="HA167" s="76">
        <f t="shared" ca="1" si="5503"/>
        <v>0</v>
      </c>
      <c r="HB167" s="108"/>
      <c r="HC167" s="73"/>
      <c r="HD167" s="76">
        <f t="shared" ca="1" si="5504"/>
        <v>0</v>
      </c>
      <c r="HE167" s="108"/>
      <c r="HF167" s="73"/>
      <c r="HG167" s="76">
        <f t="shared" ca="1" si="5505"/>
        <v>0</v>
      </c>
      <c r="HH167" s="108"/>
      <c r="HI167" s="73"/>
      <c r="HJ167" s="76">
        <f t="shared" ca="1" si="5506"/>
        <v>0</v>
      </c>
      <c r="HK167" s="108"/>
      <c r="HL167" s="73"/>
      <c r="HM167" s="76">
        <f t="shared" ca="1" si="5507"/>
        <v>0</v>
      </c>
      <c r="HN167" s="108"/>
      <c r="HO167" s="79"/>
      <c r="HP167" s="76">
        <f t="shared" ca="1" si="5508"/>
        <v>0</v>
      </c>
      <c r="HQ167" s="108"/>
      <c r="HR167" s="73"/>
      <c r="HS167" s="76">
        <f t="shared" ca="1" si="5509"/>
        <v>0</v>
      </c>
      <c r="HT167" s="108"/>
      <c r="HU167" s="73"/>
      <c r="HV167" s="76">
        <f t="shared" ca="1" si="5510"/>
        <v>0</v>
      </c>
      <c r="HW167" s="108"/>
      <c r="HX167" s="73"/>
      <c r="HY167" s="76">
        <f t="shared" ca="1" si="5511"/>
        <v>0</v>
      </c>
      <c r="HZ167" s="108"/>
      <c r="IA167" s="73"/>
      <c r="IB167" s="76">
        <f t="shared" ca="1" si="5512"/>
        <v>0</v>
      </c>
      <c r="IC167" s="108"/>
      <c r="ID167" s="79"/>
      <c r="IE167" s="76">
        <f t="shared" ca="1" si="5513"/>
        <v>0</v>
      </c>
      <c r="IF167" s="108"/>
      <c r="IG167" s="73"/>
      <c r="IH167" s="76">
        <f t="shared" ca="1" si="5514"/>
        <v>0</v>
      </c>
      <c r="II167" s="108"/>
      <c r="IJ167" s="73"/>
      <c r="IK167" s="76">
        <f t="shared" ca="1" si="5515"/>
        <v>0</v>
      </c>
      <c r="IL167" s="108"/>
      <c r="IM167" s="73"/>
      <c r="IN167" s="76">
        <f t="shared" ca="1" si="5516"/>
        <v>0</v>
      </c>
      <c r="IO167" s="108"/>
      <c r="IP167" s="73"/>
      <c r="IQ167" s="76">
        <f t="shared" ca="1" si="5517"/>
        <v>0</v>
      </c>
      <c r="IR167" s="108"/>
      <c r="IS167" s="79"/>
      <c r="IT167" s="76">
        <f t="shared" ca="1" si="5518"/>
        <v>0</v>
      </c>
      <c r="IU167" s="108"/>
      <c r="IV167" s="73"/>
      <c r="IW167" s="76">
        <f t="shared" ca="1" si="5519"/>
        <v>0</v>
      </c>
      <c r="IX167" s="108"/>
      <c r="IY167" s="73"/>
      <c r="IZ167" s="76">
        <f t="shared" ca="1" si="5520"/>
        <v>0</v>
      </c>
      <c r="JA167" s="108"/>
      <c r="JB167" s="73"/>
      <c r="JC167" s="76">
        <f t="shared" ca="1" si="5521"/>
        <v>0</v>
      </c>
      <c r="JD167" s="108"/>
      <c r="JE167" s="73"/>
      <c r="JF167" s="76">
        <f t="shared" ca="1" si="5522"/>
        <v>0</v>
      </c>
      <c r="JG167" s="108"/>
      <c r="JH167" s="79"/>
      <c r="JI167" s="76">
        <f t="shared" ca="1" si="5523"/>
        <v>0</v>
      </c>
      <c r="JJ167" s="108"/>
      <c r="JK167" s="73"/>
      <c r="JL167" s="76">
        <f t="shared" ca="1" si="5524"/>
        <v>0</v>
      </c>
      <c r="JM167" s="108"/>
      <c r="JN167" s="73"/>
      <c r="JO167" s="76">
        <f t="shared" ca="1" si="5525"/>
        <v>0</v>
      </c>
      <c r="JP167" s="108"/>
      <c r="JQ167" s="73"/>
      <c r="JR167" s="76">
        <f t="shared" ca="1" si="5526"/>
        <v>0</v>
      </c>
      <c r="JS167" s="108"/>
      <c r="JT167" s="73"/>
      <c r="JU167" s="76">
        <f t="shared" ca="1" si="5527"/>
        <v>0</v>
      </c>
      <c r="JV167" s="108"/>
      <c r="JW167" s="79"/>
      <c r="JX167" s="76">
        <f t="shared" ca="1" si="5528"/>
        <v>0</v>
      </c>
      <c r="JY167" s="108"/>
      <c r="JZ167" s="73"/>
      <c r="KA167" s="76">
        <f t="shared" ca="1" si="5529"/>
        <v>0</v>
      </c>
      <c r="KB167" s="108"/>
      <c r="KC167" s="73"/>
      <c r="KD167" s="76">
        <f t="shared" ca="1" si="5530"/>
        <v>0</v>
      </c>
      <c r="KE167" s="108"/>
      <c r="KF167" s="73"/>
      <c r="KG167" s="76">
        <f t="shared" ca="1" si="5531"/>
        <v>0</v>
      </c>
      <c r="KH167" s="108"/>
      <c r="KI167" s="73"/>
      <c r="KJ167" s="76">
        <f t="shared" ca="1" si="5532"/>
        <v>0</v>
      </c>
      <c r="KK167" s="108"/>
      <c r="KL167" s="79"/>
      <c r="KM167" s="76">
        <f t="shared" ca="1" si="5533"/>
        <v>0</v>
      </c>
      <c r="KN167" s="108"/>
      <c r="KO167" s="73"/>
      <c r="KP167" s="76">
        <f t="shared" ca="1" si="5534"/>
        <v>0</v>
      </c>
      <c r="KQ167" s="108"/>
      <c r="KR167" s="73"/>
      <c r="KS167" s="76">
        <f t="shared" ca="1" si="5535"/>
        <v>0</v>
      </c>
      <c r="KT167" s="108"/>
      <c r="KU167" s="73"/>
      <c r="KV167" s="76">
        <f t="shared" ca="1" si="5536"/>
        <v>0</v>
      </c>
      <c r="KW167" s="108"/>
      <c r="KX167" s="73"/>
      <c r="KY167" s="76">
        <f t="shared" ca="1" si="5537"/>
        <v>0</v>
      </c>
      <c r="KZ167" s="108"/>
      <c r="LA167" s="79"/>
      <c r="LB167" s="76">
        <f t="shared" ca="1" si="5538"/>
        <v>0</v>
      </c>
      <c r="LC167" s="108"/>
      <c r="LD167" s="73"/>
      <c r="LE167" s="76">
        <f t="shared" ca="1" si="5539"/>
        <v>0</v>
      </c>
      <c r="LF167" s="108"/>
    </row>
    <row r="168" spans="1:318" s="784" customFormat="1">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6">
        <f t="shared" si="5540"/>
        <v>30</v>
      </c>
      <c r="G168" s="406">
        <f ca="1">VLOOKUP(H168,Equipos!$Q$1:$R$25,2,0)</f>
        <v>20</v>
      </c>
      <c r="H168" s="444" t="str">
        <f>Idiomas!$D$260</f>
        <v>Dieciseisavos de final</v>
      </c>
      <c r="I168" s="45">
        <v>1</v>
      </c>
      <c r="J168" s="843"/>
      <c r="K168" s="56" t="str">
        <f ca="1">CONCATENATE(WORLDCUP!AA105,"-",WORLDCUP!AF105)</f>
        <v>2E-2I</v>
      </c>
      <c r="L168" s="53" t="str">
        <f>IF(OR(WORLDCUP!AC105="",WORLDCUP!AD105=""),"PD",IF(WORLDCUP!AC105&gt;WORLDCUP!AD105,1,IF(WORLDCUP!AC105&lt;WORLDCUP!AD105,2,0)))</f>
        <v>PD</v>
      </c>
      <c r="M168" s="55" t="str">
        <f t="shared" si="5541"/>
        <v>-</v>
      </c>
      <c r="N168" s="25">
        <f>WORLDCUP!AC105</f>
        <v>0</v>
      </c>
      <c r="O168" s="25">
        <f>WORLDCUP!AD105</f>
        <v>0</v>
      </c>
      <c r="P168" s="25">
        <f t="shared" si="5542"/>
        <v>0</v>
      </c>
      <c r="Q168" s="25">
        <f t="shared" si="5543"/>
        <v>0</v>
      </c>
      <c r="R168" s="108"/>
      <c r="S168" s="796" t="s">
        <v>1968</v>
      </c>
      <c r="T168" s="76">
        <f t="shared" ca="1" si="5440"/>
        <v>0</v>
      </c>
      <c r="U168" s="108"/>
      <c r="V168" s="73" t="s">
        <v>2013</v>
      </c>
      <c r="W168" s="76">
        <f t="shared" ca="1" si="5441"/>
        <v>0</v>
      </c>
      <c r="X168" s="108"/>
      <c r="Y168" s="796" t="s">
        <v>2056</v>
      </c>
      <c r="Z168" s="76">
        <f t="shared" ca="1" si="5442"/>
        <v>0</v>
      </c>
      <c r="AA168" s="108"/>
      <c r="AB168" s="796" t="s">
        <v>2092</v>
      </c>
      <c r="AC168" s="76">
        <f t="shared" ca="1" si="5443"/>
        <v>0</v>
      </c>
      <c r="AD168" s="108"/>
      <c r="AE168" s="796" t="s">
        <v>2130</v>
      </c>
      <c r="AF168" s="76">
        <f t="shared" ca="1" si="5544"/>
        <v>0</v>
      </c>
      <c r="AG168" s="108"/>
      <c r="AH168" s="796" t="s">
        <v>2164</v>
      </c>
      <c r="AI168" s="76">
        <f t="shared" ca="1" si="5445"/>
        <v>0</v>
      </c>
      <c r="AJ168" s="108"/>
      <c r="AK168" s="806" t="s">
        <v>2130</v>
      </c>
      <c r="AL168" s="76">
        <f t="shared" ca="1" si="5446"/>
        <v>0</v>
      </c>
      <c r="AM168" s="108"/>
      <c r="AN168" s="796" t="s">
        <v>2130</v>
      </c>
      <c r="AO168" s="76">
        <f t="shared" ca="1" si="5447"/>
        <v>0</v>
      </c>
      <c r="AP168" s="108"/>
      <c r="AQ168" s="806" t="s">
        <v>2256</v>
      </c>
      <c r="AR168" s="76">
        <f t="shared" ca="1" si="5448"/>
        <v>0</v>
      </c>
      <c r="AS168" s="108"/>
      <c r="AT168" s="796" t="s">
        <v>2292</v>
      </c>
      <c r="AU168" s="76">
        <f t="shared" ca="1" si="5449"/>
        <v>0</v>
      </c>
      <c r="AV168" s="108"/>
      <c r="AW168" s="796" t="s">
        <v>2130</v>
      </c>
      <c r="AX168" s="76">
        <f t="shared" ca="1" si="5450"/>
        <v>0</v>
      </c>
      <c r="AY168" s="108"/>
      <c r="AZ168" s="796" t="s">
        <v>2356</v>
      </c>
      <c r="BA168" s="76">
        <f t="shared" ca="1" si="5451"/>
        <v>0</v>
      </c>
      <c r="BB168" s="108"/>
      <c r="BC168" s="796" t="s">
        <v>2393</v>
      </c>
      <c r="BD168" s="76">
        <f t="shared" ca="1" si="5452"/>
        <v>0</v>
      </c>
      <c r="BE168" s="108"/>
      <c r="BF168" s="796" t="s">
        <v>2142</v>
      </c>
      <c r="BG168" s="76">
        <f t="shared" ca="1" si="5453"/>
        <v>0</v>
      </c>
      <c r="BH168" s="108"/>
      <c r="BI168" s="796" t="s">
        <v>2455</v>
      </c>
      <c r="BJ168" s="76">
        <f t="shared" ca="1" si="5454"/>
        <v>0</v>
      </c>
      <c r="BK168" s="108"/>
      <c r="BL168" s="796" t="s">
        <v>2476</v>
      </c>
      <c r="BM168" s="76">
        <f t="shared" ca="1" si="5455"/>
        <v>0</v>
      </c>
      <c r="BN168" s="108"/>
      <c r="BO168" s="816" t="s">
        <v>2501</v>
      </c>
      <c r="BP168" s="76">
        <f t="shared" ca="1" si="5456"/>
        <v>0</v>
      </c>
      <c r="BQ168" s="108"/>
      <c r="BR168" s="796" t="s">
        <v>2517</v>
      </c>
      <c r="BS168" s="76">
        <f t="shared" ca="1" si="5457"/>
        <v>0</v>
      </c>
      <c r="BT168" s="108"/>
      <c r="BU168" s="796" t="s">
        <v>2535</v>
      </c>
      <c r="BV168" s="76">
        <f t="shared" ca="1" si="5458"/>
        <v>0</v>
      </c>
      <c r="BW168" s="108"/>
      <c r="BX168" s="73" t="s">
        <v>2130</v>
      </c>
      <c r="BY168" s="76">
        <f t="shared" ca="1" si="5459"/>
        <v>0</v>
      </c>
      <c r="BZ168" s="108"/>
      <c r="CA168" s="816" t="s">
        <v>2393</v>
      </c>
      <c r="CB168" s="76">
        <f t="shared" ca="1" si="5460"/>
        <v>0</v>
      </c>
      <c r="CC168" s="108"/>
      <c r="CD168" s="825" t="s">
        <v>2594</v>
      </c>
      <c r="CE168" s="76">
        <f t="shared" ca="1" si="5461"/>
        <v>0</v>
      </c>
      <c r="CF168" s="108"/>
      <c r="CG168" s="796" t="s">
        <v>2517</v>
      </c>
      <c r="CH168" s="76">
        <f t="shared" ca="1" si="5462"/>
        <v>0</v>
      </c>
      <c r="CI168" s="108"/>
      <c r="CJ168" s="796" t="s">
        <v>2627</v>
      </c>
      <c r="CK168" s="76">
        <f t="shared" ca="1" si="5463"/>
        <v>0</v>
      </c>
      <c r="CL168" s="108"/>
      <c r="CM168" s="796" t="s">
        <v>2594</v>
      </c>
      <c r="CN168" s="76">
        <f t="shared" ca="1" si="5464"/>
        <v>0</v>
      </c>
      <c r="CO168" s="108"/>
      <c r="CP168" s="796" t="s">
        <v>2535</v>
      </c>
      <c r="CQ168" s="76">
        <f t="shared" ca="1" si="5465"/>
        <v>0</v>
      </c>
      <c r="CR168" s="108"/>
      <c r="CS168" s="796" t="s">
        <v>2256</v>
      </c>
      <c r="CT168" s="76">
        <f t="shared" ca="1" si="5466"/>
        <v>0</v>
      </c>
      <c r="CU168" s="108"/>
      <c r="CV168" s="796" t="s">
        <v>2720</v>
      </c>
      <c r="CW168" s="76">
        <f t="shared" ca="1" si="5467"/>
        <v>0</v>
      </c>
      <c r="CX168" s="108"/>
      <c r="CY168" s="796" t="s">
        <v>2745</v>
      </c>
      <c r="CZ168" s="76">
        <f t="shared" ca="1" si="5468"/>
        <v>0</v>
      </c>
      <c r="DA168" s="108"/>
      <c r="DB168" s="796" t="s">
        <v>2769</v>
      </c>
      <c r="DC168" s="76">
        <f t="shared" ca="1" si="5469"/>
        <v>0</v>
      </c>
      <c r="DD168" s="108"/>
      <c r="DE168" s="796" t="s">
        <v>2796</v>
      </c>
      <c r="DF168" s="76">
        <f t="shared" ca="1" si="5470"/>
        <v>0</v>
      </c>
      <c r="DG168" s="108"/>
      <c r="DH168" s="796" t="s">
        <v>2594</v>
      </c>
      <c r="DI168" s="76">
        <f t="shared" ca="1" si="5471"/>
        <v>0</v>
      </c>
      <c r="DJ168" s="108"/>
      <c r="DK168" s="796" t="s">
        <v>2130</v>
      </c>
      <c r="DL168" s="76">
        <f t="shared" ca="1" si="5472"/>
        <v>0</v>
      </c>
      <c r="DM168" s="108"/>
      <c r="DN168" s="73"/>
      <c r="DO168" s="76">
        <f t="shared" ca="1" si="5473"/>
        <v>0</v>
      </c>
      <c r="DP168" s="108"/>
      <c r="DQ168" s="796" t="s">
        <v>2832</v>
      </c>
      <c r="DR168" s="76">
        <f t="shared" ca="1" si="5474"/>
        <v>0</v>
      </c>
      <c r="DS168" s="108"/>
      <c r="DT168" s="73" t="s">
        <v>2256</v>
      </c>
      <c r="DU168" s="76">
        <f t="shared" ca="1" si="5475"/>
        <v>0</v>
      </c>
      <c r="DV168" s="108"/>
      <c r="DW168" s="73"/>
      <c r="DX168" s="76">
        <f t="shared" ca="1" si="5476"/>
        <v>0</v>
      </c>
      <c r="DY168" s="108"/>
      <c r="DZ168" s="73"/>
      <c r="EA168" s="76">
        <f t="shared" ca="1" si="5477"/>
        <v>0</v>
      </c>
      <c r="EB168" s="108"/>
      <c r="EC168" s="79"/>
      <c r="ED168" s="76">
        <f t="shared" ca="1" si="5478"/>
        <v>0</v>
      </c>
      <c r="EE168" s="108"/>
      <c r="EF168" s="73"/>
      <c r="EG168" s="76">
        <f t="shared" ca="1" si="5479"/>
        <v>0</v>
      </c>
      <c r="EH168" s="108"/>
      <c r="EI168" s="73"/>
      <c r="EJ168" s="76">
        <f t="shared" ca="1" si="5480"/>
        <v>0</v>
      </c>
      <c r="EK168" s="108"/>
      <c r="EL168" s="73"/>
      <c r="EM168" s="76">
        <f t="shared" ca="1" si="5481"/>
        <v>0</v>
      </c>
      <c r="EN168" s="108"/>
      <c r="EO168" s="73"/>
      <c r="EP168" s="76">
        <f t="shared" ca="1" si="5482"/>
        <v>0</v>
      </c>
      <c r="EQ168" s="108"/>
      <c r="ER168" s="79"/>
      <c r="ES168" s="76">
        <f t="shared" ca="1" si="5483"/>
        <v>0</v>
      </c>
      <c r="ET168" s="108"/>
      <c r="EU168" s="73"/>
      <c r="EV168" s="76">
        <f t="shared" ca="1" si="5484"/>
        <v>0</v>
      </c>
      <c r="EW168" s="108"/>
      <c r="EX168" s="73"/>
      <c r="EY168" s="76">
        <f t="shared" ca="1" si="5485"/>
        <v>0</v>
      </c>
      <c r="EZ168" s="108"/>
      <c r="FA168" s="73"/>
      <c r="FB168" s="76">
        <f t="shared" ca="1" si="5486"/>
        <v>0</v>
      </c>
      <c r="FC168" s="108"/>
      <c r="FD168" s="73"/>
      <c r="FE168" s="76">
        <f t="shared" ca="1" si="5487"/>
        <v>0</v>
      </c>
      <c r="FF168" s="108"/>
      <c r="FG168" s="79"/>
      <c r="FH168" s="76">
        <f t="shared" ca="1" si="5488"/>
        <v>0</v>
      </c>
      <c r="FI168" s="108"/>
      <c r="FJ168" s="73"/>
      <c r="FK168" s="76">
        <f t="shared" ca="1" si="5489"/>
        <v>0</v>
      </c>
      <c r="FL168" s="108"/>
      <c r="FM168" s="73"/>
      <c r="FN168" s="76">
        <f t="shared" ca="1" si="5490"/>
        <v>0</v>
      </c>
      <c r="FO168" s="108"/>
      <c r="FP168" s="73"/>
      <c r="FQ168" s="76">
        <f t="shared" ca="1" si="5491"/>
        <v>0</v>
      </c>
      <c r="FR168" s="108"/>
      <c r="FS168" s="73"/>
      <c r="FT168" s="76">
        <f t="shared" ca="1" si="5492"/>
        <v>0</v>
      </c>
      <c r="FU168" s="108"/>
      <c r="FV168" s="79"/>
      <c r="FW168" s="76">
        <f t="shared" ca="1" si="5493"/>
        <v>0</v>
      </c>
      <c r="FX168" s="108"/>
      <c r="FY168" s="73"/>
      <c r="FZ168" s="76">
        <f t="shared" ca="1" si="5494"/>
        <v>0</v>
      </c>
      <c r="GA168" s="108"/>
      <c r="GB168" s="73"/>
      <c r="GC168" s="76">
        <f t="shared" ca="1" si="5495"/>
        <v>0</v>
      </c>
      <c r="GD168" s="108"/>
      <c r="GE168" s="73"/>
      <c r="GF168" s="76">
        <f t="shared" ca="1" si="5496"/>
        <v>0</v>
      </c>
      <c r="GG168" s="108"/>
      <c r="GH168" s="73"/>
      <c r="GI168" s="76">
        <f t="shared" ca="1" si="5497"/>
        <v>0</v>
      </c>
      <c r="GJ168" s="108"/>
      <c r="GK168" s="79"/>
      <c r="GL168" s="76">
        <f t="shared" ca="1" si="5498"/>
        <v>0</v>
      </c>
      <c r="GM168" s="108"/>
      <c r="GN168" s="73"/>
      <c r="GO168" s="76">
        <f t="shared" ca="1" si="5499"/>
        <v>0</v>
      </c>
      <c r="GP168" s="108"/>
      <c r="GQ168" s="73"/>
      <c r="GR168" s="76">
        <f t="shared" ca="1" si="5500"/>
        <v>0</v>
      </c>
      <c r="GS168" s="108"/>
      <c r="GT168" s="73"/>
      <c r="GU168" s="76">
        <f t="shared" ca="1" si="5501"/>
        <v>0</v>
      </c>
      <c r="GV168" s="108"/>
      <c r="GW168" s="73"/>
      <c r="GX168" s="76">
        <f t="shared" ca="1" si="5502"/>
        <v>0</v>
      </c>
      <c r="GY168" s="108"/>
      <c r="GZ168" s="79"/>
      <c r="HA168" s="76">
        <f t="shared" ca="1" si="5503"/>
        <v>0</v>
      </c>
      <c r="HB168" s="108"/>
      <c r="HC168" s="73"/>
      <c r="HD168" s="76">
        <f t="shared" ca="1" si="5504"/>
        <v>0</v>
      </c>
      <c r="HE168" s="108"/>
      <c r="HF168" s="73"/>
      <c r="HG168" s="76">
        <f t="shared" ca="1" si="5505"/>
        <v>0</v>
      </c>
      <c r="HH168" s="108"/>
      <c r="HI168" s="73"/>
      <c r="HJ168" s="76">
        <f t="shared" ca="1" si="5506"/>
        <v>0</v>
      </c>
      <c r="HK168" s="108"/>
      <c r="HL168" s="73"/>
      <c r="HM168" s="76">
        <f t="shared" ca="1" si="5507"/>
        <v>0</v>
      </c>
      <c r="HN168" s="108"/>
      <c r="HO168" s="79"/>
      <c r="HP168" s="76">
        <f t="shared" ca="1" si="5508"/>
        <v>0</v>
      </c>
      <c r="HQ168" s="108"/>
      <c r="HR168" s="73"/>
      <c r="HS168" s="76">
        <f t="shared" ca="1" si="5509"/>
        <v>0</v>
      </c>
      <c r="HT168" s="108"/>
      <c r="HU168" s="73"/>
      <c r="HV168" s="76">
        <f t="shared" ca="1" si="5510"/>
        <v>0</v>
      </c>
      <c r="HW168" s="108"/>
      <c r="HX168" s="73"/>
      <c r="HY168" s="76">
        <f t="shared" ca="1" si="5511"/>
        <v>0</v>
      </c>
      <c r="HZ168" s="108"/>
      <c r="IA168" s="73"/>
      <c r="IB168" s="76">
        <f t="shared" ca="1" si="5512"/>
        <v>0</v>
      </c>
      <c r="IC168" s="108"/>
      <c r="ID168" s="79"/>
      <c r="IE168" s="76">
        <f t="shared" ca="1" si="5513"/>
        <v>0</v>
      </c>
      <c r="IF168" s="108"/>
      <c r="IG168" s="73"/>
      <c r="IH168" s="76">
        <f t="shared" ca="1" si="5514"/>
        <v>0</v>
      </c>
      <c r="II168" s="108"/>
      <c r="IJ168" s="73"/>
      <c r="IK168" s="76">
        <f t="shared" ca="1" si="5515"/>
        <v>0</v>
      </c>
      <c r="IL168" s="108"/>
      <c r="IM168" s="73"/>
      <c r="IN168" s="76">
        <f t="shared" ca="1" si="5516"/>
        <v>0</v>
      </c>
      <c r="IO168" s="108"/>
      <c r="IP168" s="73"/>
      <c r="IQ168" s="76">
        <f t="shared" ca="1" si="5517"/>
        <v>0</v>
      </c>
      <c r="IR168" s="108"/>
      <c r="IS168" s="79"/>
      <c r="IT168" s="76">
        <f t="shared" ca="1" si="5518"/>
        <v>0</v>
      </c>
      <c r="IU168" s="108"/>
      <c r="IV168" s="73"/>
      <c r="IW168" s="76">
        <f t="shared" ca="1" si="5519"/>
        <v>0</v>
      </c>
      <c r="IX168" s="108"/>
      <c r="IY168" s="73"/>
      <c r="IZ168" s="76">
        <f t="shared" ca="1" si="5520"/>
        <v>0</v>
      </c>
      <c r="JA168" s="108"/>
      <c r="JB168" s="73"/>
      <c r="JC168" s="76">
        <f t="shared" ca="1" si="5521"/>
        <v>0</v>
      </c>
      <c r="JD168" s="108"/>
      <c r="JE168" s="73"/>
      <c r="JF168" s="76">
        <f t="shared" ca="1" si="5522"/>
        <v>0</v>
      </c>
      <c r="JG168" s="108"/>
      <c r="JH168" s="79"/>
      <c r="JI168" s="76">
        <f t="shared" ca="1" si="5523"/>
        <v>0</v>
      </c>
      <c r="JJ168" s="108"/>
      <c r="JK168" s="73"/>
      <c r="JL168" s="76">
        <f t="shared" ca="1" si="5524"/>
        <v>0</v>
      </c>
      <c r="JM168" s="108"/>
      <c r="JN168" s="73"/>
      <c r="JO168" s="76">
        <f t="shared" ca="1" si="5525"/>
        <v>0</v>
      </c>
      <c r="JP168" s="108"/>
      <c r="JQ168" s="73"/>
      <c r="JR168" s="76">
        <f t="shared" ca="1" si="5526"/>
        <v>0</v>
      </c>
      <c r="JS168" s="108"/>
      <c r="JT168" s="73"/>
      <c r="JU168" s="76">
        <f t="shared" ca="1" si="5527"/>
        <v>0</v>
      </c>
      <c r="JV168" s="108"/>
      <c r="JW168" s="79"/>
      <c r="JX168" s="76">
        <f t="shared" ca="1" si="5528"/>
        <v>0</v>
      </c>
      <c r="JY168" s="108"/>
      <c r="JZ168" s="73"/>
      <c r="KA168" s="76">
        <f t="shared" ca="1" si="5529"/>
        <v>0</v>
      </c>
      <c r="KB168" s="108"/>
      <c r="KC168" s="73"/>
      <c r="KD168" s="76">
        <f t="shared" ca="1" si="5530"/>
        <v>0</v>
      </c>
      <c r="KE168" s="108"/>
      <c r="KF168" s="73"/>
      <c r="KG168" s="76">
        <f t="shared" ca="1" si="5531"/>
        <v>0</v>
      </c>
      <c r="KH168" s="108"/>
      <c r="KI168" s="73"/>
      <c r="KJ168" s="76">
        <f t="shared" ca="1" si="5532"/>
        <v>0</v>
      </c>
      <c r="KK168" s="108"/>
      <c r="KL168" s="79"/>
      <c r="KM168" s="76">
        <f t="shared" ca="1" si="5533"/>
        <v>0</v>
      </c>
      <c r="KN168" s="108"/>
      <c r="KO168" s="73"/>
      <c r="KP168" s="76">
        <f t="shared" ca="1" si="5534"/>
        <v>0</v>
      </c>
      <c r="KQ168" s="108"/>
      <c r="KR168" s="73"/>
      <c r="KS168" s="76">
        <f t="shared" ca="1" si="5535"/>
        <v>0</v>
      </c>
      <c r="KT168" s="108"/>
      <c r="KU168" s="73"/>
      <c r="KV168" s="76">
        <f t="shared" ca="1" si="5536"/>
        <v>0</v>
      </c>
      <c r="KW168" s="108"/>
      <c r="KX168" s="73"/>
      <c r="KY168" s="76">
        <f t="shared" ca="1" si="5537"/>
        <v>0</v>
      </c>
      <c r="KZ168" s="108"/>
      <c r="LA168" s="79"/>
      <c r="LB168" s="76">
        <f t="shared" ca="1" si="5538"/>
        <v>0</v>
      </c>
      <c r="LC168" s="108"/>
      <c r="LD168" s="73"/>
      <c r="LE168" s="76">
        <f t="shared" ca="1" si="5539"/>
        <v>0</v>
      </c>
      <c r="LF168" s="108"/>
    </row>
    <row r="169" spans="1:318" s="784" customFormat="1">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6">
        <f t="shared" si="5540"/>
        <v>30</v>
      </c>
      <c r="G169" s="406">
        <f ca="1">VLOOKUP(H169,Equipos!$Q$1:$R$25,2,0)</f>
        <v>20</v>
      </c>
      <c r="H169" s="444" t="str">
        <f>Idiomas!$D$260</f>
        <v>Dieciseisavos de final</v>
      </c>
      <c r="I169" s="45">
        <v>1</v>
      </c>
      <c r="J169" s="843"/>
      <c r="K169" s="56" t="str">
        <f ca="1">CONCATENATE(WORLDCUP!AA106,"-",WORLDCUP!AF106)</f>
        <v>1I-3CDFGH</v>
      </c>
      <c r="L169" s="53" t="str">
        <f>IF(OR(WORLDCUP!AC106="",WORLDCUP!AD106=""),"PD",IF(WORLDCUP!AC106&gt;WORLDCUP!AD106,1,IF(WORLDCUP!AC106&lt;WORLDCUP!AD106,2,0)))</f>
        <v>PD</v>
      </c>
      <c r="M169" s="55" t="str">
        <f t="shared" si="5541"/>
        <v>-</v>
      </c>
      <c r="N169" s="25">
        <f>WORLDCUP!AC106</f>
        <v>0</v>
      </c>
      <c r="O169" s="25">
        <f>WORLDCUP!AD106</f>
        <v>0</v>
      </c>
      <c r="P169" s="25">
        <f t="shared" si="5542"/>
        <v>0</v>
      </c>
      <c r="Q169" s="25">
        <f t="shared" si="5543"/>
        <v>0</v>
      </c>
      <c r="R169" s="108"/>
      <c r="S169" s="796" t="s">
        <v>1969</v>
      </c>
      <c r="T169" s="76">
        <f t="shared" ca="1" si="5440"/>
        <v>0</v>
      </c>
      <c r="U169" s="108"/>
      <c r="V169" s="73" t="s">
        <v>2014</v>
      </c>
      <c r="W169" s="76">
        <f t="shared" ca="1" si="5441"/>
        <v>0</v>
      </c>
      <c r="X169" s="108"/>
      <c r="Y169" s="796" t="s">
        <v>2057</v>
      </c>
      <c r="Z169" s="76">
        <f t="shared" ca="1" si="5442"/>
        <v>0</v>
      </c>
      <c r="AA169" s="108"/>
      <c r="AB169" s="796" t="s">
        <v>2093</v>
      </c>
      <c r="AC169" s="76">
        <f t="shared" ca="1" si="5443"/>
        <v>0</v>
      </c>
      <c r="AD169" s="108"/>
      <c r="AE169" s="796" t="s">
        <v>2131</v>
      </c>
      <c r="AF169" s="76">
        <f t="shared" ca="1" si="5544"/>
        <v>0</v>
      </c>
      <c r="AG169" s="108"/>
      <c r="AH169" s="796" t="s">
        <v>2165</v>
      </c>
      <c r="AI169" s="76">
        <f t="shared" ca="1" si="5445"/>
        <v>0</v>
      </c>
      <c r="AJ169" s="108"/>
      <c r="AK169" s="806" t="s">
        <v>2201</v>
      </c>
      <c r="AL169" s="76">
        <f t="shared" ca="1" si="5446"/>
        <v>0</v>
      </c>
      <c r="AM169" s="108"/>
      <c r="AN169" s="796" t="s">
        <v>2231</v>
      </c>
      <c r="AO169" s="76">
        <f t="shared" ca="1" si="5447"/>
        <v>0</v>
      </c>
      <c r="AP169" s="108"/>
      <c r="AQ169" s="806" t="s">
        <v>2257</v>
      </c>
      <c r="AR169" s="76">
        <f t="shared" ca="1" si="5448"/>
        <v>0</v>
      </c>
      <c r="AS169" s="108"/>
      <c r="AT169" s="796" t="s">
        <v>2293</v>
      </c>
      <c r="AU169" s="76">
        <f t="shared" ca="1" si="5449"/>
        <v>0</v>
      </c>
      <c r="AV169" s="108"/>
      <c r="AW169" s="796" t="s">
        <v>2317</v>
      </c>
      <c r="AX169" s="76">
        <f t="shared" ca="1" si="5450"/>
        <v>0</v>
      </c>
      <c r="AY169" s="108"/>
      <c r="AZ169" s="796" t="s">
        <v>2357</v>
      </c>
      <c r="BA169" s="76">
        <f t="shared" ca="1" si="5451"/>
        <v>0</v>
      </c>
      <c r="BB169" s="108"/>
      <c r="BC169" s="796" t="s">
        <v>2394</v>
      </c>
      <c r="BD169" s="76">
        <f t="shared" ca="1" si="5452"/>
        <v>0</v>
      </c>
      <c r="BE169" s="108"/>
      <c r="BF169" s="796" t="s">
        <v>2419</v>
      </c>
      <c r="BG169" s="76">
        <f t="shared" ca="1" si="5453"/>
        <v>0</v>
      </c>
      <c r="BH169" s="108"/>
      <c r="BI169" s="796" t="s">
        <v>2131</v>
      </c>
      <c r="BJ169" s="76">
        <f t="shared" ca="1" si="5454"/>
        <v>0</v>
      </c>
      <c r="BK169" s="108"/>
      <c r="BL169" s="796" t="s">
        <v>2477</v>
      </c>
      <c r="BM169" s="76">
        <f t="shared" ca="1" si="5455"/>
        <v>0</v>
      </c>
      <c r="BN169" s="108"/>
      <c r="BO169" s="816" t="s">
        <v>2502</v>
      </c>
      <c r="BP169" s="76">
        <f t="shared" ca="1" si="5456"/>
        <v>0</v>
      </c>
      <c r="BQ169" s="108"/>
      <c r="BR169" s="796" t="s">
        <v>2518</v>
      </c>
      <c r="BS169" s="76">
        <f t="shared" ca="1" si="5457"/>
        <v>0</v>
      </c>
      <c r="BT169" s="108"/>
      <c r="BU169" s="796" t="s">
        <v>2131</v>
      </c>
      <c r="BV169" s="76">
        <f t="shared" ca="1" si="5458"/>
        <v>0</v>
      </c>
      <c r="BW169" s="108"/>
      <c r="BX169" s="73" t="s">
        <v>2558</v>
      </c>
      <c r="BY169" s="76">
        <f t="shared" ca="1" si="5459"/>
        <v>0</v>
      </c>
      <c r="BZ169" s="108"/>
      <c r="CA169" s="816" t="s">
        <v>2581</v>
      </c>
      <c r="CB169" s="76">
        <f t="shared" ca="1" si="5460"/>
        <v>0</v>
      </c>
      <c r="CC169" s="108"/>
      <c r="CD169" s="825" t="s">
        <v>2231</v>
      </c>
      <c r="CE169" s="76">
        <f t="shared" ca="1" si="5461"/>
        <v>0</v>
      </c>
      <c r="CF169" s="108"/>
      <c r="CG169" s="796" t="s">
        <v>2610</v>
      </c>
      <c r="CH169" s="76">
        <f t="shared" ca="1" si="5462"/>
        <v>0</v>
      </c>
      <c r="CI169" s="108"/>
      <c r="CJ169" s="796" t="s">
        <v>2131</v>
      </c>
      <c r="CK169" s="76">
        <f t="shared" ca="1" si="5463"/>
        <v>0</v>
      </c>
      <c r="CL169" s="108"/>
      <c r="CM169" s="796" t="s">
        <v>2646</v>
      </c>
      <c r="CN169" s="76">
        <f t="shared" ca="1" si="5464"/>
        <v>0</v>
      </c>
      <c r="CO169" s="108"/>
      <c r="CP169" s="796" t="s">
        <v>2672</v>
      </c>
      <c r="CQ169" s="76">
        <f t="shared" ca="1" si="5465"/>
        <v>0</v>
      </c>
      <c r="CR169" s="108"/>
      <c r="CS169" s="796" t="s">
        <v>2695</v>
      </c>
      <c r="CT169" s="76">
        <f t="shared" ca="1" si="5466"/>
        <v>0</v>
      </c>
      <c r="CU169" s="108"/>
      <c r="CV169" s="796" t="s">
        <v>2721</v>
      </c>
      <c r="CW169" s="76">
        <f t="shared" ca="1" si="5467"/>
        <v>0</v>
      </c>
      <c r="CX169" s="108"/>
      <c r="CY169" s="796" t="s">
        <v>2131</v>
      </c>
      <c r="CZ169" s="76">
        <f t="shared" ca="1" si="5468"/>
        <v>0</v>
      </c>
      <c r="DA169" s="108"/>
      <c r="DB169" s="796" t="s">
        <v>2131</v>
      </c>
      <c r="DC169" s="76">
        <f t="shared" ca="1" si="5469"/>
        <v>0</v>
      </c>
      <c r="DD169" s="108"/>
      <c r="DE169" s="796" t="s">
        <v>2502</v>
      </c>
      <c r="DF169" s="76">
        <f t="shared" ca="1" si="5470"/>
        <v>0</v>
      </c>
      <c r="DG169" s="108"/>
      <c r="DH169" s="796" t="s">
        <v>2853</v>
      </c>
      <c r="DI169" s="76">
        <f t="shared" ca="1" si="5471"/>
        <v>0</v>
      </c>
      <c r="DJ169" s="108"/>
      <c r="DK169" s="796" t="s">
        <v>2131</v>
      </c>
      <c r="DL169" s="76">
        <f t="shared" ca="1" si="5472"/>
        <v>0</v>
      </c>
      <c r="DM169" s="108"/>
      <c r="DN169" s="73"/>
      <c r="DO169" s="76">
        <f t="shared" ca="1" si="5473"/>
        <v>0</v>
      </c>
      <c r="DP169" s="108"/>
      <c r="DQ169" s="796" t="s">
        <v>2131</v>
      </c>
      <c r="DR169" s="76">
        <f t="shared" ca="1" si="5474"/>
        <v>0</v>
      </c>
      <c r="DS169" s="108"/>
      <c r="DT169" s="73" t="s">
        <v>2131</v>
      </c>
      <c r="DU169" s="76">
        <f t="shared" ca="1" si="5475"/>
        <v>0</v>
      </c>
      <c r="DV169" s="108"/>
      <c r="DW169" s="73"/>
      <c r="DX169" s="76">
        <f t="shared" ca="1" si="5476"/>
        <v>0</v>
      </c>
      <c r="DY169" s="108"/>
      <c r="DZ169" s="73"/>
      <c r="EA169" s="76">
        <f t="shared" ca="1" si="5477"/>
        <v>0</v>
      </c>
      <c r="EB169" s="108"/>
      <c r="EC169" s="79"/>
      <c r="ED169" s="76">
        <f t="shared" ca="1" si="5478"/>
        <v>0</v>
      </c>
      <c r="EE169" s="108"/>
      <c r="EF169" s="73"/>
      <c r="EG169" s="76">
        <f t="shared" ca="1" si="5479"/>
        <v>0</v>
      </c>
      <c r="EH169" s="108"/>
      <c r="EI169" s="73"/>
      <c r="EJ169" s="76">
        <f t="shared" ca="1" si="5480"/>
        <v>0</v>
      </c>
      <c r="EK169" s="108"/>
      <c r="EL169" s="73"/>
      <c r="EM169" s="76">
        <f t="shared" ca="1" si="5481"/>
        <v>0</v>
      </c>
      <c r="EN169" s="108"/>
      <c r="EO169" s="73"/>
      <c r="EP169" s="76">
        <f t="shared" ca="1" si="5482"/>
        <v>0</v>
      </c>
      <c r="EQ169" s="108"/>
      <c r="ER169" s="79"/>
      <c r="ES169" s="76">
        <f t="shared" ca="1" si="5483"/>
        <v>0</v>
      </c>
      <c r="ET169" s="108"/>
      <c r="EU169" s="73"/>
      <c r="EV169" s="76">
        <f t="shared" ca="1" si="5484"/>
        <v>0</v>
      </c>
      <c r="EW169" s="108"/>
      <c r="EX169" s="73"/>
      <c r="EY169" s="76">
        <f t="shared" ca="1" si="5485"/>
        <v>0</v>
      </c>
      <c r="EZ169" s="108"/>
      <c r="FA169" s="73"/>
      <c r="FB169" s="76">
        <f t="shared" ca="1" si="5486"/>
        <v>0</v>
      </c>
      <c r="FC169" s="108"/>
      <c r="FD169" s="73"/>
      <c r="FE169" s="76">
        <f t="shared" ca="1" si="5487"/>
        <v>0</v>
      </c>
      <c r="FF169" s="108"/>
      <c r="FG169" s="79"/>
      <c r="FH169" s="76">
        <f t="shared" ca="1" si="5488"/>
        <v>0</v>
      </c>
      <c r="FI169" s="108"/>
      <c r="FJ169" s="73"/>
      <c r="FK169" s="76">
        <f t="shared" ca="1" si="5489"/>
        <v>0</v>
      </c>
      <c r="FL169" s="108"/>
      <c r="FM169" s="73"/>
      <c r="FN169" s="76">
        <f t="shared" ca="1" si="5490"/>
        <v>0</v>
      </c>
      <c r="FO169" s="108"/>
      <c r="FP169" s="73"/>
      <c r="FQ169" s="76">
        <f t="shared" ca="1" si="5491"/>
        <v>0</v>
      </c>
      <c r="FR169" s="108"/>
      <c r="FS169" s="73"/>
      <c r="FT169" s="76">
        <f t="shared" ca="1" si="5492"/>
        <v>0</v>
      </c>
      <c r="FU169" s="108"/>
      <c r="FV169" s="79"/>
      <c r="FW169" s="76">
        <f t="shared" ca="1" si="5493"/>
        <v>0</v>
      </c>
      <c r="FX169" s="108"/>
      <c r="FY169" s="73"/>
      <c r="FZ169" s="76">
        <f t="shared" ca="1" si="5494"/>
        <v>0</v>
      </c>
      <c r="GA169" s="108"/>
      <c r="GB169" s="73"/>
      <c r="GC169" s="76">
        <f t="shared" ca="1" si="5495"/>
        <v>0</v>
      </c>
      <c r="GD169" s="108"/>
      <c r="GE169" s="73"/>
      <c r="GF169" s="76">
        <f t="shared" ca="1" si="5496"/>
        <v>0</v>
      </c>
      <c r="GG169" s="108"/>
      <c r="GH169" s="73"/>
      <c r="GI169" s="76">
        <f t="shared" ca="1" si="5497"/>
        <v>0</v>
      </c>
      <c r="GJ169" s="108"/>
      <c r="GK169" s="79"/>
      <c r="GL169" s="76">
        <f t="shared" ca="1" si="5498"/>
        <v>0</v>
      </c>
      <c r="GM169" s="108"/>
      <c r="GN169" s="73"/>
      <c r="GO169" s="76">
        <f t="shared" ca="1" si="5499"/>
        <v>0</v>
      </c>
      <c r="GP169" s="108"/>
      <c r="GQ169" s="73"/>
      <c r="GR169" s="76">
        <f t="shared" ca="1" si="5500"/>
        <v>0</v>
      </c>
      <c r="GS169" s="108"/>
      <c r="GT169" s="73"/>
      <c r="GU169" s="76">
        <f t="shared" ca="1" si="5501"/>
        <v>0</v>
      </c>
      <c r="GV169" s="108"/>
      <c r="GW169" s="73"/>
      <c r="GX169" s="76">
        <f t="shared" ca="1" si="5502"/>
        <v>0</v>
      </c>
      <c r="GY169" s="108"/>
      <c r="GZ169" s="79"/>
      <c r="HA169" s="76">
        <f t="shared" ca="1" si="5503"/>
        <v>0</v>
      </c>
      <c r="HB169" s="108"/>
      <c r="HC169" s="73"/>
      <c r="HD169" s="76">
        <f t="shared" ca="1" si="5504"/>
        <v>0</v>
      </c>
      <c r="HE169" s="108"/>
      <c r="HF169" s="73"/>
      <c r="HG169" s="76">
        <f t="shared" ca="1" si="5505"/>
        <v>0</v>
      </c>
      <c r="HH169" s="108"/>
      <c r="HI169" s="73"/>
      <c r="HJ169" s="76">
        <f t="shared" ca="1" si="5506"/>
        <v>0</v>
      </c>
      <c r="HK169" s="108"/>
      <c r="HL169" s="73"/>
      <c r="HM169" s="76">
        <f t="shared" ca="1" si="5507"/>
        <v>0</v>
      </c>
      <c r="HN169" s="108"/>
      <c r="HO169" s="79"/>
      <c r="HP169" s="76">
        <f t="shared" ca="1" si="5508"/>
        <v>0</v>
      </c>
      <c r="HQ169" s="108"/>
      <c r="HR169" s="73"/>
      <c r="HS169" s="76">
        <f t="shared" ca="1" si="5509"/>
        <v>0</v>
      </c>
      <c r="HT169" s="108"/>
      <c r="HU169" s="73"/>
      <c r="HV169" s="76">
        <f t="shared" ca="1" si="5510"/>
        <v>0</v>
      </c>
      <c r="HW169" s="108"/>
      <c r="HX169" s="73"/>
      <c r="HY169" s="76">
        <f t="shared" ca="1" si="5511"/>
        <v>0</v>
      </c>
      <c r="HZ169" s="108"/>
      <c r="IA169" s="73"/>
      <c r="IB169" s="76">
        <f t="shared" ca="1" si="5512"/>
        <v>0</v>
      </c>
      <c r="IC169" s="108"/>
      <c r="ID169" s="79"/>
      <c r="IE169" s="76">
        <f t="shared" ca="1" si="5513"/>
        <v>0</v>
      </c>
      <c r="IF169" s="108"/>
      <c r="IG169" s="73"/>
      <c r="IH169" s="76">
        <f t="shared" ca="1" si="5514"/>
        <v>0</v>
      </c>
      <c r="II169" s="108"/>
      <c r="IJ169" s="73"/>
      <c r="IK169" s="76">
        <f t="shared" ca="1" si="5515"/>
        <v>0</v>
      </c>
      <c r="IL169" s="108"/>
      <c r="IM169" s="73"/>
      <c r="IN169" s="76">
        <f t="shared" ca="1" si="5516"/>
        <v>0</v>
      </c>
      <c r="IO169" s="108"/>
      <c r="IP169" s="73"/>
      <c r="IQ169" s="76">
        <f t="shared" ca="1" si="5517"/>
        <v>0</v>
      </c>
      <c r="IR169" s="108"/>
      <c r="IS169" s="79"/>
      <c r="IT169" s="76">
        <f t="shared" ca="1" si="5518"/>
        <v>0</v>
      </c>
      <c r="IU169" s="108"/>
      <c r="IV169" s="73"/>
      <c r="IW169" s="76">
        <f t="shared" ca="1" si="5519"/>
        <v>0</v>
      </c>
      <c r="IX169" s="108"/>
      <c r="IY169" s="73"/>
      <c r="IZ169" s="76">
        <f t="shared" ca="1" si="5520"/>
        <v>0</v>
      </c>
      <c r="JA169" s="108"/>
      <c r="JB169" s="73"/>
      <c r="JC169" s="76">
        <f t="shared" ca="1" si="5521"/>
        <v>0</v>
      </c>
      <c r="JD169" s="108"/>
      <c r="JE169" s="73"/>
      <c r="JF169" s="76">
        <f t="shared" ca="1" si="5522"/>
        <v>0</v>
      </c>
      <c r="JG169" s="108"/>
      <c r="JH169" s="79"/>
      <c r="JI169" s="76">
        <f t="shared" ca="1" si="5523"/>
        <v>0</v>
      </c>
      <c r="JJ169" s="108"/>
      <c r="JK169" s="73"/>
      <c r="JL169" s="76">
        <f t="shared" ca="1" si="5524"/>
        <v>0</v>
      </c>
      <c r="JM169" s="108"/>
      <c r="JN169" s="73"/>
      <c r="JO169" s="76">
        <f t="shared" ca="1" si="5525"/>
        <v>0</v>
      </c>
      <c r="JP169" s="108"/>
      <c r="JQ169" s="73"/>
      <c r="JR169" s="76">
        <f t="shared" ca="1" si="5526"/>
        <v>0</v>
      </c>
      <c r="JS169" s="108"/>
      <c r="JT169" s="73"/>
      <c r="JU169" s="76">
        <f t="shared" ca="1" si="5527"/>
        <v>0</v>
      </c>
      <c r="JV169" s="108"/>
      <c r="JW169" s="79"/>
      <c r="JX169" s="76">
        <f t="shared" ca="1" si="5528"/>
        <v>0</v>
      </c>
      <c r="JY169" s="108"/>
      <c r="JZ169" s="73"/>
      <c r="KA169" s="76">
        <f t="shared" ca="1" si="5529"/>
        <v>0</v>
      </c>
      <c r="KB169" s="108"/>
      <c r="KC169" s="73"/>
      <c r="KD169" s="76">
        <f t="shared" ca="1" si="5530"/>
        <v>0</v>
      </c>
      <c r="KE169" s="108"/>
      <c r="KF169" s="73"/>
      <c r="KG169" s="76">
        <f t="shared" ca="1" si="5531"/>
        <v>0</v>
      </c>
      <c r="KH169" s="108"/>
      <c r="KI169" s="73"/>
      <c r="KJ169" s="76">
        <f t="shared" ca="1" si="5532"/>
        <v>0</v>
      </c>
      <c r="KK169" s="108"/>
      <c r="KL169" s="79"/>
      <c r="KM169" s="76">
        <f t="shared" ca="1" si="5533"/>
        <v>0</v>
      </c>
      <c r="KN169" s="108"/>
      <c r="KO169" s="73"/>
      <c r="KP169" s="76">
        <f t="shared" ca="1" si="5534"/>
        <v>0</v>
      </c>
      <c r="KQ169" s="108"/>
      <c r="KR169" s="73"/>
      <c r="KS169" s="76">
        <f t="shared" ca="1" si="5535"/>
        <v>0</v>
      </c>
      <c r="KT169" s="108"/>
      <c r="KU169" s="73"/>
      <c r="KV169" s="76">
        <f t="shared" ca="1" si="5536"/>
        <v>0</v>
      </c>
      <c r="KW169" s="108"/>
      <c r="KX169" s="73"/>
      <c r="KY169" s="76">
        <f t="shared" ca="1" si="5537"/>
        <v>0</v>
      </c>
      <c r="KZ169" s="108"/>
      <c r="LA169" s="79"/>
      <c r="LB169" s="76">
        <f t="shared" ca="1" si="5538"/>
        <v>0</v>
      </c>
      <c r="LC169" s="108"/>
      <c r="LD169" s="73"/>
      <c r="LE169" s="76">
        <f t="shared" ca="1" si="5539"/>
        <v>0</v>
      </c>
      <c r="LF169" s="108"/>
    </row>
    <row r="170" spans="1:318" s="784" customFormat="1">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6">
        <f t="shared" si="5540"/>
        <v>30</v>
      </c>
      <c r="G170" s="406">
        <f ca="1">VLOOKUP(H170,Equipos!$Q$1:$R$25,2,0)</f>
        <v>20</v>
      </c>
      <c r="H170" s="444" t="str">
        <f>Idiomas!$D$260</f>
        <v>Dieciseisavos de final</v>
      </c>
      <c r="I170" s="45">
        <v>1</v>
      </c>
      <c r="J170" s="843"/>
      <c r="K170" s="56" t="str">
        <f ca="1">CONCATENATE(WORLDCUP!AA107,"-",WORLDCUP!AF107)</f>
        <v>1A-3CEFHI</v>
      </c>
      <c r="L170" s="53" t="str">
        <f>IF(OR(WORLDCUP!AC107="",WORLDCUP!AD107=""),"PD",IF(WORLDCUP!AC107&gt;WORLDCUP!AD107,1,IF(WORLDCUP!AC107&lt;WORLDCUP!AD107,2,0)))</f>
        <v>PD</v>
      </c>
      <c r="M170" s="55" t="str">
        <f t="shared" si="5541"/>
        <v>-</v>
      </c>
      <c r="N170" s="25">
        <f>WORLDCUP!AC107</f>
        <v>0</v>
      </c>
      <c r="O170" s="25">
        <f>WORLDCUP!AD107</f>
        <v>0</v>
      </c>
      <c r="P170" s="25">
        <f t="shared" si="5542"/>
        <v>0</v>
      </c>
      <c r="Q170" s="25">
        <f t="shared" si="5543"/>
        <v>0</v>
      </c>
      <c r="R170" s="108"/>
      <c r="S170" s="796" t="s">
        <v>1970</v>
      </c>
      <c r="T170" s="76">
        <f t="shared" ca="1" si="5440"/>
        <v>0</v>
      </c>
      <c r="U170" s="108"/>
      <c r="V170" s="73" t="s">
        <v>2015</v>
      </c>
      <c r="W170" s="76">
        <f t="shared" ca="1" si="5441"/>
        <v>0</v>
      </c>
      <c r="X170" s="108"/>
      <c r="Y170" s="796" t="s">
        <v>2058</v>
      </c>
      <c r="Z170" s="76">
        <f t="shared" ca="1" si="5442"/>
        <v>0</v>
      </c>
      <c r="AA170" s="108"/>
      <c r="AB170" s="796" t="s">
        <v>2094</v>
      </c>
      <c r="AC170" s="76">
        <f t="shared" ca="1" si="5443"/>
        <v>0</v>
      </c>
      <c r="AD170" s="108"/>
      <c r="AE170" s="796" t="s">
        <v>2132</v>
      </c>
      <c r="AF170" s="76">
        <f t="shared" ca="1" si="5544"/>
        <v>0</v>
      </c>
      <c r="AG170" s="108"/>
      <c r="AH170" s="796" t="s">
        <v>2166</v>
      </c>
      <c r="AI170" s="76">
        <f t="shared" ca="1" si="5445"/>
        <v>0</v>
      </c>
      <c r="AJ170" s="108"/>
      <c r="AK170" s="806" t="s">
        <v>2202</v>
      </c>
      <c r="AL170" s="76">
        <f t="shared" ca="1" si="5446"/>
        <v>0</v>
      </c>
      <c r="AM170" s="108"/>
      <c r="AN170" s="796" t="s">
        <v>2232</v>
      </c>
      <c r="AO170" s="76">
        <f t="shared" ca="1" si="5447"/>
        <v>0</v>
      </c>
      <c r="AP170" s="108"/>
      <c r="AQ170" s="806" t="s">
        <v>2258</v>
      </c>
      <c r="AR170" s="76">
        <f t="shared" ca="1" si="5448"/>
        <v>0</v>
      </c>
      <c r="AS170" s="108"/>
      <c r="AT170" s="796" t="s">
        <v>2294</v>
      </c>
      <c r="AU170" s="76">
        <f t="shared" ca="1" si="5449"/>
        <v>0</v>
      </c>
      <c r="AV170" s="108"/>
      <c r="AW170" s="796" t="s">
        <v>2318</v>
      </c>
      <c r="AX170" s="76">
        <f t="shared" ca="1" si="5450"/>
        <v>0</v>
      </c>
      <c r="AY170" s="108"/>
      <c r="AZ170" s="796" t="s">
        <v>2358</v>
      </c>
      <c r="BA170" s="76">
        <f t="shared" ca="1" si="5451"/>
        <v>0</v>
      </c>
      <c r="BB170" s="108"/>
      <c r="BC170" s="796" t="s">
        <v>2395</v>
      </c>
      <c r="BD170" s="76">
        <f t="shared" ca="1" si="5452"/>
        <v>0</v>
      </c>
      <c r="BE170" s="108"/>
      <c r="BF170" s="796" t="s">
        <v>2420</v>
      </c>
      <c r="BG170" s="76">
        <f t="shared" ca="1" si="5453"/>
        <v>0</v>
      </c>
      <c r="BH170" s="108"/>
      <c r="BI170" s="796" t="s">
        <v>2456</v>
      </c>
      <c r="BJ170" s="76">
        <f t="shared" ca="1" si="5454"/>
        <v>0</v>
      </c>
      <c r="BK170" s="108"/>
      <c r="BL170" s="796" t="s">
        <v>2478</v>
      </c>
      <c r="BM170" s="76">
        <f t="shared" ca="1" si="5455"/>
        <v>0</v>
      </c>
      <c r="BN170" s="108"/>
      <c r="BO170" s="816" t="s">
        <v>2232</v>
      </c>
      <c r="BP170" s="76">
        <f t="shared" ca="1" si="5456"/>
        <v>0</v>
      </c>
      <c r="BQ170" s="108"/>
      <c r="BR170" s="796" t="s">
        <v>2519</v>
      </c>
      <c r="BS170" s="76">
        <f t="shared" ca="1" si="5457"/>
        <v>0</v>
      </c>
      <c r="BT170" s="108"/>
      <c r="BU170" s="796" t="s">
        <v>2420</v>
      </c>
      <c r="BV170" s="76">
        <f t="shared" ca="1" si="5458"/>
        <v>0</v>
      </c>
      <c r="BW170" s="108"/>
      <c r="BX170" s="73" t="s">
        <v>2294</v>
      </c>
      <c r="BY170" s="76">
        <f t="shared" ca="1" si="5459"/>
        <v>0</v>
      </c>
      <c r="BZ170" s="108"/>
      <c r="CA170" s="816" t="s">
        <v>2202</v>
      </c>
      <c r="CB170" s="76">
        <f t="shared" ca="1" si="5460"/>
        <v>0</v>
      </c>
      <c r="CC170" s="108"/>
      <c r="CD170" s="825" t="s">
        <v>2595</v>
      </c>
      <c r="CE170" s="76">
        <f t="shared" ca="1" si="5461"/>
        <v>0</v>
      </c>
      <c r="CF170" s="108"/>
      <c r="CG170" s="796" t="s">
        <v>2611</v>
      </c>
      <c r="CH170" s="76">
        <f t="shared" ca="1" si="5462"/>
        <v>0</v>
      </c>
      <c r="CI170" s="108"/>
      <c r="CJ170" s="796" t="s">
        <v>2628</v>
      </c>
      <c r="CK170" s="76">
        <f t="shared" ca="1" si="5463"/>
        <v>0</v>
      </c>
      <c r="CL170" s="108"/>
      <c r="CM170" s="796" t="s">
        <v>2094</v>
      </c>
      <c r="CN170" s="76">
        <f t="shared" ca="1" si="5464"/>
        <v>0</v>
      </c>
      <c r="CO170" s="108"/>
      <c r="CP170" s="796" t="s">
        <v>2294</v>
      </c>
      <c r="CQ170" s="76">
        <f t="shared" ca="1" si="5465"/>
        <v>0</v>
      </c>
      <c r="CR170" s="108"/>
      <c r="CS170" s="796" t="s">
        <v>2696</v>
      </c>
      <c r="CT170" s="76">
        <f t="shared" ca="1" si="5466"/>
        <v>0</v>
      </c>
      <c r="CU170" s="108"/>
      <c r="CV170" s="796" t="s">
        <v>2722</v>
      </c>
      <c r="CW170" s="76">
        <f t="shared" ca="1" si="5467"/>
        <v>0</v>
      </c>
      <c r="CX170" s="108"/>
      <c r="CY170" s="796" t="s">
        <v>1970</v>
      </c>
      <c r="CZ170" s="76">
        <f t="shared" ca="1" si="5468"/>
        <v>0</v>
      </c>
      <c r="DA170" s="108"/>
      <c r="DB170" s="796" t="s">
        <v>2770</v>
      </c>
      <c r="DC170" s="76">
        <f t="shared" ca="1" si="5469"/>
        <v>0</v>
      </c>
      <c r="DD170" s="108"/>
      <c r="DE170" s="796" t="s">
        <v>2797</v>
      </c>
      <c r="DF170" s="76">
        <f t="shared" ca="1" si="5470"/>
        <v>0</v>
      </c>
      <c r="DG170" s="108"/>
      <c r="DH170" s="796" t="s">
        <v>2854</v>
      </c>
      <c r="DI170" s="76">
        <f t="shared" ca="1" si="5471"/>
        <v>0</v>
      </c>
      <c r="DJ170" s="108"/>
      <c r="DK170" s="796" t="s">
        <v>2814</v>
      </c>
      <c r="DL170" s="76">
        <f t="shared" ca="1" si="5472"/>
        <v>0</v>
      </c>
      <c r="DM170" s="108"/>
      <c r="DN170" s="73"/>
      <c r="DO170" s="76">
        <f t="shared" ca="1" si="5473"/>
        <v>0</v>
      </c>
      <c r="DP170" s="108"/>
      <c r="DQ170" s="796" t="s">
        <v>2058</v>
      </c>
      <c r="DR170" s="76">
        <f t="shared" ca="1" si="5474"/>
        <v>0</v>
      </c>
      <c r="DS170" s="108"/>
      <c r="DT170" s="73" t="s">
        <v>2869</v>
      </c>
      <c r="DU170" s="76">
        <f t="shared" ca="1" si="5475"/>
        <v>0</v>
      </c>
      <c r="DV170" s="108"/>
      <c r="DW170" s="73"/>
      <c r="DX170" s="76">
        <f t="shared" ca="1" si="5476"/>
        <v>0</v>
      </c>
      <c r="DY170" s="108"/>
      <c r="DZ170" s="73"/>
      <c r="EA170" s="76">
        <f t="shared" ca="1" si="5477"/>
        <v>0</v>
      </c>
      <c r="EB170" s="108"/>
      <c r="EC170" s="79"/>
      <c r="ED170" s="76">
        <f t="shared" ca="1" si="5478"/>
        <v>0</v>
      </c>
      <c r="EE170" s="108"/>
      <c r="EF170" s="73"/>
      <c r="EG170" s="76">
        <f t="shared" ca="1" si="5479"/>
        <v>0</v>
      </c>
      <c r="EH170" s="108"/>
      <c r="EI170" s="73"/>
      <c r="EJ170" s="76">
        <f t="shared" ca="1" si="5480"/>
        <v>0</v>
      </c>
      <c r="EK170" s="108"/>
      <c r="EL170" s="73"/>
      <c r="EM170" s="76">
        <f t="shared" ca="1" si="5481"/>
        <v>0</v>
      </c>
      <c r="EN170" s="108"/>
      <c r="EO170" s="73"/>
      <c r="EP170" s="76">
        <f t="shared" ca="1" si="5482"/>
        <v>0</v>
      </c>
      <c r="EQ170" s="108"/>
      <c r="ER170" s="79"/>
      <c r="ES170" s="76">
        <f t="shared" ca="1" si="5483"/>
        <v>0</v>
      </c>
      <c r="ET170" s="108"/>
      <c r="EU170" s="73"/>
      <c r="EV170" s="76">
        <f t="shared" ca="1" si="5484"/>
        <v>0</v>
      </c>
      <c r="EW170" s="108"/>
      <c r="EX170" s="73"/>
      <c r="EY170" s="76">
        <f t="shared" ca="1" si="5485"/>
        <v>0</v>
      </c>
      <c r="EZ170" s="108"/>
      <c r="FA170" s="73"/>
      <c r="FB170" s="76">
        <f t="shared" ca="1" si="5486"/>
        <v>0</v>
      </c>
      <c r="FC170" s="108"/>
      <c r="FD170" s="73"/>
      <c r="FE170" s="76">
        <f t="shared" ca="1" si="5487"/>
        <v>0</v>
      </c>
      <c r="FF170" s="108"/>
      <c r="FG170" s="79"/>
      <c r="FH170" s="76">
        <f t="shared" ca="1" si="5488"/>
        <v>0</v>
      </c>
      <c r="FI170" s="108"/>
      <c r="FJ170" s="73"/>
      <c r="FK170" s="76">
        <f t="shared" ca="1" si="5489"/>
        <v>0</v>
      </c>
      <c r="FL170" s="108"/>
      <c r="FM170" s="73"/>
      <c r="FN170" s="76">
        <f t="shared" ca="1" si="5490"/>
        <v>0</v>
      </c>
      <c r="FO170" s="108"/>
      <c r="FP170" s="73"/>
      <c r="FQ170" s="76">
        <f t="shared" ca="1" si="5491"/>
        <v>0</v>
      </c>
      <c r="FR170" s="108"/>
      <c r="FS170" s="73"/>
      <c r="FT170" s="76">
        <f t="shared" ca="1" si="5492"/>
        <v>0</v>
      </c>
      <c r="FU170" s="108"/>
      <c r="FV170" s="79"/>
      <c r="FW170" s="76">
        <f t="shared" ca="1" si="5493"/>
        <v>0</v>
      </c>
      <c r="FX170" s="108"/>
      <c r="FY170" s="73"/>
      <c r="FZ170" s="76">
        <f t="shared" ca="1" si="5494"/>
        <v>0</v>
      </c>
      <c r="GA170" s="108"/>
      <c r="GB170" s="73"/>
      <c r="GC170" s="76">
        <f t="shared" ca="1" si="5495"/>
        <v>0</v>
      </c>
      <c r="GD170" s="108"/>
      <c r="GE170" s="73"/>
      <c r="GF170" s="76">
        <f t="shared" ca="1" si="5496"/>
        <v>0</v>
      </c>
      <c r="GG170" s="108"/>
      <c r="GH170" s="73"/>
      <c r="GI170" s="76">
        <f t="shared" ca="1" si="5497"/>
        <v>0</v>
      </c>
      <c r="GJ170" s="108"/>
      <c r="GK170" s="79"/>
      <c r="GL170" s="76">
        <f t="shared" ca="1" si="5498"/>
        <v>0</v>
      </c>
      <c r="GM170" s="108"/>
      <c r="GN170" s="73"/>
      <c r="GO170" s="76">
        <f t="shared" ca="1" si="5499"/>
        <v>0</v>
      </c>
      <c r="GP170" s="108"/>
      <c r="GQ170" s="73"/>
      <c r="GR170" s="76">
        <f t="shared" ca="1" si="5500"/>
        <v>0</v>
      </c>
      <c r="GS170" s="108"/>
      <c r="GT170" s="73"/>
      <c r="GU170" s="76">
        <f t="shared" ca="1" si="5501"/>
        <v>0</v>
      </c>
      <c r="GV170" s="108"/>
      <c r="GW170" s="73"/>
      <c r="GX170" s="76">
        <f t="shared" ca="1" si="5502"/>
        <v>0</v>
      </c>
      <c r="GY170" s="108"/>
      <c r="GZ170" s="79"/>
      <c r="HA170" s="76">
        <f t="shared" ca="1" si="5503"/>
        <v>0</v>
      </c>
      <c r="HB170" s="108"/>
      <c r="HC170" s="73"/>
      <c r="HD170" s="76">
        <f t="shared" ca="1" si="5504"/>
        <v>0</v>
      </c>
      <c r="HE170" s="108"/>
      <c r="HF170" s="73"/>
      <c r="HG170" s="76">
        <f t="shared" ca="1" si="5505"/>
        <v>0</v>
      </c>
      <c r="HH170" s="108"/>
      <c r="HI170" s="73"/>
      <c r="HJ170" s="76">
        <f t="shared" ca="1" si="5506"/>
        <v>0</v>
      </c>
      <c r="HK170" s="108"/>
      <c r="HL170" s="73"/>
      <c r="HM170" s="76">
        <f t="shared" ca="1" si="5507"/>
        <v>0</v>
      </c>
      <c r="HN170" s="108"/>
      <c r="HO170" s="79"/>
      <c r="HP170" s="76">
        <f t="shared" ca="1" si="5508"/>
        <v>0</v>
      </c>
      <c r="HQ170" s="108"/>
      <c r="HR170" s="73"/>
      <c r="HS170" s="76">
        <f t="shared" ca="1" si="5509"/>
        <v>0</v>
      </c>
      <c r="HT170" s="108"/>
      <c r="HU170" s="73"/>
      <c r="HV170" s="76">
        <f t="shared" ca="1" si="5510"/>
        <v>0</v>
      </c>
      <c r="HW170" s="108"/>
      <c r="HX170" s="73"/>
      <c r="HY170" s="76">
        <f t="shared" ca="1" si="5511"/>
        <v>0</v>
      </c>
      <c r="HZ170" s="108"/>
      <c r="IA170" s="73"/>
      <c r="IB170" s="76">
        <f t="shared" ca="1" si="5512"/>
        <v>0</v>
      </c>
      <c r="IC170" s="108"/>
      <c r="ID170" s="79"/>
      <c r="IE170" s="76">
        <f t="shared" ca="1" si="5513"/>
        <v>0</v>
      </c>
      <c r="IF170" s="108"/>
      <c r="IG170" s="73"/>
      <c r="IH170" s="76">
        <f t="shared" ca="1" si="5514"/>
        <v>0</v>
      </c>
      <c r="II170" s="108"/>
      <c r="IJ170" s="73"/>
      <c r="IK170" s="76">
        <f t="shared" ca="1" si="5515"/>
        <v>0</v>
      </c>
      <c r="IL170" s="108"/>
      <c r="IM170" s="73"/>
      <c r="IN170" s="76">
        <f t="shared" ca="1" si="5516"/>
        <v>0</v>
      </c>
      <c r="IO170" s="108"/>
      <c r="IP170" s="73"/>
      <c r="IQ170" s="76">
        <f t="shared" ca="1" si="5517"/>
        <v>0</v>
      </c>
      <c r="IR170" s="108"/>
      <c r="IS170" s="79"/>
      <c r="IT170" s="76">
        <f t="shared" ca="1" si="5518"/>
        <v>0</v>
      </c>
      <c r="IU170" s="108"/>
      <c r="IV170" s="73"/>
      <c r="IW170" s="76">
        <f t="shared" ca="1" si="5519"/>
        <v>0</v>
      </c>
      <c r="IX170" s="108"/>
      <c r="IY170" s="73"/>
      <c r="IZ170" s="76">
        <f t="shared" ca="1" si="5520"/>
        <v>0</v>
      </c>
      <c r="JA170" s="108"/>
      <c r="JB170" s="73"/>
      <c r="JC170" s="76">
        <f t="shared" ca="1" si="5521"/>
        <v>0</v>
      </c>
      <c r="JD170" s="108"/>
      <c r="JE170" s="73"/>
      <c r="JF170" s="76">
        <f t="shared" ca="1" si="5522"/>
        <v>0</v>
      </c>
      <c r="JG170" s="108"/>
      <c r="JH170" s="79"/>
      <c r="JI170" s="76">
        <f t="shared" ca="1" si="5523"/>
        <v>0</v>
      </c>
      <c r="JJ170" s="108"/>
      <c r="JK170" s="73"/>
      <c r="JL170" s="76">
        <f t="shared" ca="1" si="5524"/>
        <v>0</v>
      </c>
      <c r="JM170" s="108"/>
      <c r="JN170" s="73"/>
      <c r="JO170" s="76">
        <f t="shared" ca="1" si="5525"/>
        <v>0</v>
      </c>
      <c r="JP170" s="108"/>
      <c r="JQ170" s="73"/>
      <c r="JR170" s="76">
        <f t="shared" ca="1" si="5526"/>
        <v>0</v>
      </c>
      <c r="JS170" s="108"/>
      <c r="JT170" s="73"/>
      <c r="JU170" s="76">
        <f t="shared" ca="1" si="5527"/>
        <v>0</v>
      </c>
      <c r="JV170" s="108"/>
      <c r="JW170" s="79"/>
      <c r="JX170" s="76">
        <f t="shared" ca="1" si="5528"/>
        <v>0</v>
      </c>
      <c r="JY170" s="108"/>
      <c r="JZ170" s="73"/>
      <c r="KA170" s="76">
        <f t="shared" ca="1" si="5529"/>
        <v>0</v>
      </c>
      <c r="KB170" s="108"/>
      <c r="KC170" s="73"/>
      <c r="KD170" s="76">
        <f t="shared" ca="1" si="5530"/>
        <v>0</v>
      </c>
      <c r="KE170" s="108"/>
      <c r="KF170" s="73"/>
      <c r="KG170" s="76">
        <f t="shared" ca="1" si="5531"/>
        <v>0</v>
      </c>
      <c r="KH170" s="108"/>
      <c r="KI170" s="73"/>
      <c r="KJ170" s="76">
        <f t="shared" ca="1" si="5532"/>
        <v>0</v>
      </c>
      <c r="KK170" s="108"/>
      <c r="KL170" s="79"/>
      <c r="KM170" s="76">
        <f t="shared" ca="1" si="5533"/>
        <v>0</v>
      </c>
      <c r="KN170" s="108"/>
      <c r="KO170" s="73"/>
      <c r="KP170" s="76">
        <f t="shared" ca="1" si="5534"/>
        <v>0</v>
      </c>
      <c r="KQ170" s="108"/>
      <c r="KR170" s="73"/>
      <c r="KS170" s="76">
        <f t="shared" ca="1" si="5535"/>
        <v>0</v>
      </c>
      <c r="KT170" s="108"/>
      <c r="KU170" s="73"/>
      <c r="KV170" s="76">
        <f t="shared" ca="1" si="5536"/>
        <v>0</v>
      </c>
      <c r="KW170" s="108"/>
      <c r="KX170" s="73"/>
      <c r="KY170" s="76">
        <f t="shared" ca="1" si="5537"/>
        <v>0</v>
      </c>
      <c r="KZ170" s="108"/>
      <c r="LA170" s="79"/>
      <c r="LB170" s="76">
        <f t="shared" ca="1" si="5538"/>
        <v>0</v>
      </c>
      <c r="LC170" s="108"/>
      <c r="LD170" s="73"/>
      <c r="LE170" s="76">
        <f t="shared" ca="1" si="5539"/>
        <v>0</v>
      </c>
      <c r="LF170" s="108"/>
    </row>
    <row r="171" spans="1:318" s="784" customFormat="1">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6">
        <f t="shared" si="5540"/>
        <v>30</v>
      </c>
      <c r="G171" s="406">
        <f ca="1">VLOOKUP(H171,Equipos!$Q$1:$R$25,2,0)</f>
        <v>20</v>
      </c>
      <c r="H171" s="444" t="str">
        <f>Idiomas!$D$260</f>
        <v>Dieciseisavos de final</v>
      </c>
      <c r="I171" s="45">
        <v>1</v>
      </c>
      <c r="J171" s="843"/>
      <c r="K171" s="56" t="str">
        <f ca="1">CONCATENATE(WORLDCUP!AA108,"-",WORLDCUP!AF108)</f>
        <v>1L-3EHIJK</v>
      </c>
      <c r="L171" s="53" t="str">
        <f>IF(OR(WORLDCUP!AC108="",WORLDCUP!AD108=""),"PD",IF(WORLDCUP!AC108&gt;WORLDCUP!AD108,1,IF(WORLDCUP!AC108&lt;WORLDCUP!AD108,2,0)))</f>
        <v>PD</v>
      </c>
      <c r="M171" s="55" t="str">
        <f t="shared" si="5541"/>
        <v>-</v>
      </c>
      <c r="N171" s="25">
        <f>WORLDCUP!AC108</f>
        <v>0</v>
      </c>
      <c r="O171" s="25">
        <f>WORLDCUP!AD108</f>
        <v>0</v>
      </c>
      <c r="P171" s="25">
        <f t="shared" si="5542"/>
        <v>0</v>
      </c>
      <c r="Q171" s="25">
        <f t="shared" si="5543"/>
        <v>0</v>
      </c>
      <c r="R171" s="108"/>
      <c r="S171" s="796" t="s">
        <v>1971</v>
      </c>
      <c r="T171" s="76">
        <f t="shared" ca="1" si="5440"/>
        <v>0</v>
      </c>
      <c r="U171" s="108"/>
      <c r="V171" s="73" t="s">
        <v>2016</v>
      </c>
      <c r="W171" s="76">
        <f t="shared" ca="1" si="5441"/>
        <v>0</v>
      </c>
      <c r="X171" s="108"/>
      <c r="Y171" s="796" t="s">
        <v>2059</v>
      </c>
      <c r="Z171" s="76">
        <f t="shared" ca="1" si="5442"/>
        <v>0</v>
      </c>
      <c r="AA171" s="108"/>
      <c r="AB171" s="796" t="s">
        <v>2095</v>
      </c>
      <c r="AC171" s="76">
        <f t="shared" ca="1" si="5443"/>
        <v>0</v>
      </c>
      <c r="AD171" s="108"/>
      <c r="AE171" s="796" t="s">
        <v>2133</v>
      </c>
      <c r="AF171" s="76">
        <f t="shared" ca="1" si="5544"/>
        <v>0</v>
      </c>
      <c r="AG171" s="108"/>
      <c r="AH171" s="796" t="s">
        <v>2167</v>
      </c>
      <c r="AI171" s="76">
        <f t="shared" ca="1" si="5445"/>
        <v>0</v>
      </c>
      <c r="AJ171" s="108"/>
      <c r="AK171" s="806" t="s">
        <v>2016</v>
      </c>
      <c r="AL171" s="76">
        <f t="shared" ca="1" si="5446"/>
        <v>0</v>
      </c>
      <c r="AM171" s="108"/>
      <c r="AN171" s="796" t="s">
        <v>2133</v>
      </c>
      <c r="AO171" s="76">
        <f t="shared" ca="1" si="5447"/>
        <v>0</v>
      </c>
      <c r="AP171" s="108"/>
      <c r="AQ171" s="806" t="s">
        <v>2259</v>
      </c>
      <c r="AR171" s="76">
        <f t="shared" ca="1" si="5448"/>
        <v>0</v>
      </c>
      <c r="AS171" s="108"/>
      <c r="AT171" s="796" t="s">
        <v>2295</v>
      </c>
      <c r="AU171" s="76">
        <f t="shared" ca="1" si="5449"/>
        <v>0</v>
      </c>
      <c r="AV171" s="108"/>
      <c r="AW171" s="796" t="s">
        <v>2095</v>
      </c>
      <c r="AX171" s="76">
        <f t="shared" ca="1" si="5450"/>
        <v>0</v>
      </c>
      <c r="AY171" s="108"/>
      <c r="AZ171" s="796" t="s">
        <v>2359</v>
      </c>
      <c r="BA171" s="76">
        <f t="shared" ca="1" si="5451"/>
        <v>0</v>
      </c>
      <c r="BB171" s="108"/>
      <c r="BC171" s="796" t="s">
        <v>2396</v>
      </c>
      <c r="BD171" s="76">
        <f t="shared" ca="1" si="5452"/>
        <v>0</v>
      </c>
      <c r="BE171" s="108"/>
      <c r="BF171" s="796" t="s">
        <v>2421</v>
      </c>
      <c r="BG171" s="76">
        <f t="shared" ca="1" si="5453"/>
        <v>0</v>
      </c>
      <c r="BH171" s="108"/>
      <c r="BI171" s="796" t="s">
        <v>2457</v>
      </c>
      <c r="BJ171" s="76">
        <f t="shared" ca="1" si="5454"/>
        <v>0</v>
      </c>
      <c r="BK171" s="108"/>
      <c r="BL171" s="796" t="s">
        <v>2059</v>
      </c>
      <c r="BM171" s="76">
        <f t="shared" ca="1" si="5455"/>
        <v>0</v>
      </c>
      <c r="BN171" s="108"/>
      <c r="BO171" s="816" t="s">
        <v>2503</v>
      </c>
      <c r="BP171" s="76">
        <f t="shared" ca="1" si="5456"/>
        <v>0</v>
      </c>
      <c r="BQ171" s="108"/>
      <c r="BR171" s="796" t="s">
        <v>2520</v>
      </c>
      <c r="BS171" s="76">
        <f t="shared" ca="1" si="5457"/>
        <v>0</v>
      </c>
      <c r="BT171" s="108"/>
      <c r="BU171" s="796" t="s">
        <v>1971</v>
      </c>
      <c r="BV171" s="76">
        <f t="shared" ca="1" si="5458"/>
        <v>0</v>
      </c>
      <c r="BW171" s="108"/>
      <c r="BX171" s="73" t="s">
        <v>2095</v>
      </c>
      <c r="BY171" s="76">
        <f t="shared" ca="1" si="5459"/>
        <v>0</v>
      </c>
      <c r="BZ171" s="108"/>
      <c r="CA171" s="816" t="s">
        <v>2582</v>
      </c>
      <c r="CB171" s="76">
        <f t="shared" ca="1" si="5460"/>
        <v>0</v>
      </c>
      <c r="CC171" s="108"/>
      <c r="CD171" s="825" t="s">
        <v>2596</v>
      </c>
      <c r="CE171" s="76">
        <f t="shared" ca="1" si="5461"/>
        <v>0</v>
      </c>
      <c r="CF171" s="108"/>
      <c r="CG171" s="796" t="s">
        <v>2612</v>
      </c>
      <c r="CH171" s="76">
        <f t="shared" ca="1" si="5462"/>
        <v>0</v>
      </c>
      <c r="CI171" s="108"/>
      <c r="CJ171" s="796" t="s">
        <v>2629</v>
      </c>
      <c r="CK171" s="76">
        <f t="shared" ca="1" si="5463"/>
        <v>0</v>
      </c>
      <c r="CL171" s="108"/>
      <c r="CM171" s="796" t="s">
        <v>2647</v>
      </c>
      <c r="CN171" s="76">
        <f t="shared" ca="1" si="5464"/>
        <v>0</v>
      </c>
      <c r="CO171" s="108"/>
      <c r="CP171" s="796" t="s">
        <v>2612</v>
      </c>
      <c r="CQ171" s="76">
        <f t="shared" ca="1" si="5465"/>
        <v>0</v>
      </c>
      <c r="CR171" s="108"/>
      <c r="CS171" s="796" t="s">
        <v>1971</v>
      </c>
      <c r="CT171" s="76">
        <f t="shared" ca="1" si="5466"/>
        <v>0</v>
      </c>
      <c r="CU171" s="108"/>
      <c r="CV171" s="796" t="s">
        <v>1971</v>
      </c>
      <c r="CW171" s="76">
        <f t="shared" ca="1" si="5467"/>
        <v>0</v>
      </c>
      <c r="CX171" s="108"/>
      <c r="CY171" s="796" t="s">
        <v>2295</v>
      </c>
      <c r="CZ171" s="76">
        <f t="shared" ca="1" si="5468"/>
        <v>0</v>
      </c>
      <c r="DA171" s="108"/>
      <c r="DB171" s="796" t="s">
        <v>2771</v>
      </c>
      <c r="DC171" s="76">
        <f t="shared" ca="1" si="5469"/>
        <v>0</v>
      </c>
      <c r="DD171" s="108"/>
      <c r="DE171" s="796" t="s">
        <v>2016</v>
      </c>
      <c r="DF171" s="76">
        <f t="shared" ca="1" si="5470"/>
        <v>0</v>
      </c>
      <c r="DG171" s="108"/>
      <c r="DH171" s="796" t="s">
        <v>2016</v>
      </c>
      <c r="DI171" s="76">
        <f t="shared" ca="1" si="5471"/>
        <v>0</v>
      </c>
      <c r="DJ171" s="108"/>
      <c r="DK171" s="796" t="s">
        <v>1971</v>
      </c>
      <c r="DL171" s="76">
        <f t="shared" ca="1" si="5472"/>
        <v>0</v>
      </c>
      <c r="DM171" s="108"/>
      <c r="DN171" s="73"/>
      <c r="DO171" s="76">
        <f t="shared" ca="1" si="5473"/>
        <v>0</v>
      </c>
      <c r="DP171" s="108"/>
      <c r="DQ171" s="796" t="s">
        <v>2833</v>
      </c>
      <c r="DR171" s="76">
        <f t="shared" ca="1" si="5474"/>
        <v>0</v>
      </c>
      <c r="DS171" s="108"/>
      <c r="DT171" s="73" t="s">
        <v>2870</v>
      </c>
      <c r="DU171" s="76">
        <f t="shared" ca="1" si="5475"/>
        <v>0</v>
      </c>
      <c r="DV171" s="108"/>
      <c r="DW171" s="73"/>
      <c r="DX171" s="76">
        <f t="shared" ca="1" si="5476"/>
        <v>0</v>
      </c>
      <c r="DY171" s="108"/>
      <c r="DZ171" s="73"/>
      <c r="EA171" s="76">
        <f t="shared" ca="1" si="5477"/>
        <v>0</v>
      </c>
      <c r="EB171" s="108"/>
      <c r="EC171" s="79"/>
      <c r="ED171" s="76">
        <f t="shared" ca="1" si="5478"/>
        <v>0</v>
      </c>
      <c r="EE171" s="108"/>
      <c r="EF171" s="73"/>
      <c r="EG171" s="76">
        <f t="shared" ca="1" si="5479"/>
        <v>0</v>
      </c>
      <c r="EH171" s="108"/>
      <c r="EI171" s="73"/>
      <c r="EJ171" s="76">
        <f t="shared" ca="1" si="5480"/>
        <v>0</v>
      </c>
      <c r="EK171" s="108"/>
      <c r="EL171" s="73"/>
      <c r="EM171" s="76">
        <f t="shared" ca="1" si="5481"/>
        <v>0</v>
      </c>
      <c r="EN171" s="108"/>
      <c r="EO171" s="73"/>
      <c r="EP171" s="76">
        <f t="shared" ca="1" si="5482"/>
        <v>0</v>
      </c>
      <c r="EQ171" s="108"/>
      <c r="ER171" s="79"/>
      <c r="ES171" s="76">
        <f t="shared" ca="1" si="5483"/>
        <v>0</v>
      </c>
      <c r="ET171" s="108"/>
      <c r="EU171" s="73"/>
      <c r="EV171" s="76">
        <f t="shared" ca="1" si="5484"/>
        <v>0</v>
      </c>
      <c r="EW171" s="108"/>
      <c r="EX171" s="73"/>
      <c r="EY171" s="76">
        <f t="shared" ca="1" si="5485"/>
        <v>0</v>
      </c>
      <c r="EZ171" s="108"/>
      <c r="FA171" s="73"/>
      <c r="FB171" s="76">
        <f t="shared" ca="1" si="5486"/>
        <v>0</v>
      </c>
      <c r="FC171" s="108"/>
      <c r="FD171" s="73"/>
      <c r="FE171" s="76">
        <f t="shared" ca="1" si="5487"/>
        <v>0</v>
      </c>
      <c r="FF171" s="108"/>
      <c r="FG171" s="79"/>
      <c r="FH171" s="76">
        <f t="shared" ca="1" si="5488"/>
        <v>0</v>
      </c>
      <c r="FI171" s="108"/>
      <c r="FJ171" s="73"/>
      <c r="FK171" s="76">
        <f t="shared" ca="1" si="5489"/>
        <v>0</v>
      </c>
      <c r="FL171" s="108"/>
      <c r="FM171" s="73"/>
      <c r="FN171" s="76">
        <f t="shared" ca="1" si="5490"/>
        <v>0</v>
      </c>
      <c r="FO171" s="108"/>
      <c r="FP171" s="73"/>
      <c r="FQ171" s="76">
        <f t="shared" ca="1" si="5491"/>
        <v>0</v>
      </c>
      <c r="FR171" s="108"/>
      <c r="FS171" s="73"/>
      <c r="FT171" s="76">
        <f t="shared" ca="1" si="5492"/>
        <v>0</v>
      </c>
      <c r="FU171" s="108"/>
      <c r="FV171" s="79"/>
      <c r="FW171" s="76">
        <f t="shared" ca="1" si="5493"/>
        <v>0</v>
      </c>
      <c r="FX171" s="108"/>
      <c r="FY171" s="73"/>
      <c r="FZ171" s="76">
        <f t="shared" ca="1" si="5494"/>
        <v>0</v>
      </c>
      <c r="GA171" s="108"/>
      <c r="GB171" s="73"/>
      <c r="GC171" s="76">
        <f t="shared" ca="1" si="5495"/>
        <v>0</v>
      </c>
      <c r="GD171" s="108"/>
      <c r="GE171" s="73"/>
      <c r="GF171" s="76">
        <f t="shared" ca="1" si="5496"/>
        <v>0</v>
      </c>
      <c r="GG171" s="108"/>
      <c r="GH171" s="73"/>
      <c r="GI171" s="76">
        <f t="shared" ca="1" si="5497"/>
        <v>0</v>
      </c>
      <c r="GJ171" s="108"/>
      <c r="GK171" s="79"/>
      <c r="GL171" s="76">
        <f t="shared" ca="1" si="5498"/>
        <v>0</v>
      </c>
      <c r="GM171" s="108"/>
      <c r="GN171" s="73"/>
      <c r="GO171" s="76">
        <f t="shared" ca="1" si="5499"/>
        <v>0</v>
      </c>
      <c r="GP171" s="108"/>
      <c r="GQ171" s="73"/>
      <c r="GR171" s="76">
        <f t="shared" ca="1" si="5500"/>
        <v>0</v>
      </c>
      <c r="GS171" s="108"/>
      <c r="GT171" s="73"/>
      <c r="GU171" s="76">
        <f t="shared" ca="1" si="5501"/>
        <v>0</v>
      </c>
      <c r="GV171" s="108"/>
      <c r="GW171" s="73"/>
      <c r="GX171" s="76">
        <f t="shared" ca="1" si="5502"/>
        <v>0</v>
      </c>
      <c r="GY171" s="108"/>
      <c r="GZ171" s="79"/>
      <c r="HA171" s="76">
        <f t="shared" ca="1" si="5503"/>
        <v>0</v>
      </c>
      <c r="HB171" s="108"/>
      <c r="HC171" s="73"/>
      <c r="HD171" s="76">
        <f t="shared" ca="1" si="5504"/>
        <v>0</v>
      </c>
      <c r="HE171" s="108"/>
      <c r="HF171" s="73"/>
      <c r="HG171" s="76">
        <f t="shared" ca="1" si="5505"/>
        <v>0</v>
      </c>
      <c r="HH171" s="108"/>
      <c r="HI171" s="73"/>
      <c r="HJ171" s="76">
        <f t="shared" ca="1" si="5506"/>
        <v>0</v>
      </c>
      <c r="HK171" s="108"/>
      <c r="HL171" s="73"/>
      <c r="HM171" s="76">
        <f t="shared" ca="1" si="5507"/>
        <v>0</v>
      </c>
      <c r="HN171" s="108"/>
      <c r="HO171" s="79"/>
      <c r="HP171" s="76">
        <f t="shared" ca="1" si="5508"/>
        <v>0</v>
      </c>
      <c r="HQ171" s="108"/>
      <c r="HR171" s="73"/>
      <c r="HS171" s="76">
        <f t="shared" ca="1" si="5509"/>
        <v>0</v>
      </c>
      <c r="HT171" s="108"/>
      <c r="HU171" s="73"/>
      <c r="HV171" s="76">
        <f t="shared" ca="1" si="5510"/>
        <v>0</v>
      </c>
      <c r="HW171" s="108"/>
      <c r="HX171" s="73"/>
      <c r="HY171" s="76">
        <f t="shared" ca="1" si="5511"/>
        <v>0</v>
      </c>
      <c r="HZ171" s="108"/>
      <c r="IA171" s="73"/>
      <c r="IB171" s="76">
        <f t="shared" ca="1" si="5512"/>
        <v>0</v>
      </c>
      <c r="IC171" s="108"/>
      <c r="ID171" s="79"/>
      <c r="IE171" s="76">
        <f t="shared" ca="1" si="5513"/>
        <v>0</v>
      </c>
      <c r="IF171" s="108"/>
      <c r="IG171" s="73"/>
      <c r="IH171" s="76">
        <f t="shared" ca="1" si="5514"/>
        <v>0</v>
      </c>
      <c r="II171" s="108"/>
      <c r="IJ171" s="73"/>
      <c r="IK171" s="76">
        <f t="shared" ca="1" si="5515"/>
        <v>0</v>
      </c>
      <c r="IL171" s="108"/>
      <c r="IM171" s="73"/>
      <c r="IN171" s="76">
        <f t="shared" ca="1" si="5516"/>
        <v>0</v>
      </c>
      <c r="IO171" s="108"/>
      <c r="IP171" s="73"/>
      <c r="IQ171" s="76">
        <f t="shared" ca="1" si="5517"/>
        <v>0</v>
      </c>
      <c r="IR171" s="108"/>
      <c r="IS171" s="79"/>
      <c r="IT171" s="76">
        <f t="shared" ca="1" si="5518"/>
        <v>0</v>
      </c>
      <c r="IU171" s="108"/>
      <c r="IV171" s="73"/>
      <c r="IW171" s="76">
        <f t="shared" ca="1" si="5519"/>
        <v>0</v>
      </c>
      <c r="IX171" s="108"/>
      <c r="IY171" s="73"/>
      <c r="IZ171" s="76">
        <f t="shared" ca="1" si="5520"/>
        <v>0</v>
      </c>
      <c r="JA171" s="108"/>
      <c r="JB171" s="73"/>
      <c r="JC171" s="76">
        <f t="shared" ca="1" si="5521"/>
        <v>0</v>
      </c>
      <c r="JD171" s="108"/>
      <c r="JE171" s="73"/>
      <c r="JF171" s="76">
        <f t="shared" ca="1" si="5522"/>
        <v>0</v>
      </c>
      <c r="JG171" s="108"/>
      <c r="JH171" s="79"/>
      <c r="JI171" s="76">
        <f t="shared" ca="1" si="5523"/>
        <v>0</v>
      </c>
      <c r="JJ171" s="108"/>
      <c r="JK171" s="73"/>
      <c r="JL171" s="76">
        <f t="shared" ca="1" si="5524"/>
        <v>0</v>
      </c>
      <c r="JM171" s="108"/>
      <c r="JN171" s="73"/>
      <c r="JO171" s="76">
        <f t="shared" ca="1" si="5525"/>
        <v>0</v>
      </c>
      <c r="JP171" s="108"/>
      <c r="JQ171" s="73"/>
      <c r="JR171" s="76">
        <f t="shared" ca="1" si="5526"/>
        <v>0</v>
      </c>
      <c r="JS171" s="108"/>
      <c r="JT171" s="73"/>
      <c r="JU171" s="76">
        <f t="shared" ca="1" si="5527"/>
        <v>0</v>
      </c>
      <c r="JV171" s="108"/>
      <c r="JW171" s="79"/>
      <c r="JX171" s="76">
        <f t="shared" ca="1" si="5528"/>
        <v>0</v>
      </c>
      <c r="JY171" s="108"/>
      <c r="JZ171" s="73"/>
      <c r="KA171" s="76">
        <f t="shared" ca="1" si="5529"/>
        <v>0</v>
      </c>
      <c r="KB171" s="108"/>
      <c r="KC171" s="73"/>
      <c r="KD171" s="76">
        <f t="shared" ca="1" si="5530"/>
        <v>0</v>
      </c>
      <c r="KE171" s="108"/>
      <c r="KF171" s="73"/>
      <c r="KG171" s="76">
        <f t="shared" ca="1" si="5531"/>
        <v>0</v>
      </c>
      <c r="KH171" s="108"/>
      <c r="KI171" s="73"/>
      <c r="KJ171" s="76">
        <f t="shared" ca="1" si="5532"/>
        <v>0</v>
      </c>
      <c r="KK171" s="108"/>
      <c r="KL171" s="79"/>
      <c r="KM171" s="76">
        <f t="shared" ca="1" si="5533"/>
        <v>0</v>
      </c>
      <c r="KN171" s="108"/>
      <c r="KO171" s="73"/>
      <c r="KP171" s="76">
        <f t="shared" ca="1" si="5534"/>
        <v>0</v>
      </c>
      <c r="KQ171" s="108"/>
      <c r="KR171" s="73"/>
      <c r="KS171" s="76">
        <f t="shared" ca="1" si="5535"/>
        <v>0</v>
      </c>
      <c r="KT171" s="108"/>
      <c r="KU171" s="73"/>
      <c r="KV171" s="76">
        <f t="shared" ca="1" si="5536"/>
        <v>0</v>
      </c>
      <c r="KW171" s="108"/>
      <c r="KX171" s="73"/>
      <c r="KY171" s="76">
        <f t="shared" ca="1" si="5537"/>
        <v>0</v>
      </c>
      <c r="KZ171" s="108"/>
      <c r="LA171" s="79"/>
      <c r="LB171" s="76">
        <f t="shared" ca="1" si="5538"/>
        <v>0</v>
      </c>
      <c r="LC171" s="108"/>
      <c r="LD171" s="73"/>
      <c r="LE171" s="76">
        <f t="shared" ca="1" si="5539"/>
        <v>0</v>
      </c>
      <c r="LF171" s="108"/>
    </row>
    <row r="172" spans="1:318" s="784" customFormat="1">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6">
        <f t="shared" si="5540"/>
        <v>30</v>
      </c>
      <c r="G172" s="406">
        <f ca="1">VLOOKUP(H172,Equipos!$Q$1:$R$25,2,0)</f>
        <v>20</v>
      </c>
      <c r="H172" s="444" t="str">
        <f>Idiomas!$D$260</f>
        <v>Dieciseisavos de final</v>
      </c>
      <c r="I172" s="45">
        <v>1</v>
      </c>
      <c r="J172" s="843"/>
      <c r="K172" s="56" t="str">
        <f ca="1">CONCATENATE(WORLDCUP!AA109,"-",WORLDCUP!AF109)</f>
        <v>1G-3AEHIJ</v>
      </c>
      <c r="L172" s="53" t="str">
        <f>IF(OR(WORLDCUP!AC109="",WORLDCUP!AD109=""),"PD",IF(WORLDCUP!AC109&gt;WORLDCUP!AD109,1,IF(WORLDCUP!AC109&lt;WORLDCUP!AD109,2,0)))</f>
        <v>PD</v>
      </c>
      <c r="M172" s="55" t="str">
        <f t="shared" si="5541"/>
        <v>-</v>
      </c>
      <c r="N172" s="25">
        <f>WORLDCUP!AC109</f>
        <v>0</v>
      </c>
      <c r="O172" s="25">
        <f>WORLDCUP!AD109</f>
        <v>0</v>
      </c>
      <c r="P172" s="25">
        <f t="shared" si="5542"/>
        <v>0</v>
      </c>
      <c r="Q172" s="25">
        <f t="shared" si="5543"/>
        <v>0</v>
      </c>
      <c r="R172" s="108"/>
      <c r="S172" s="796" t="s">
        <v>1972</v>
      </c>
      <c r="T172" s="76">
        <f t="shared" ca="1" si="5440"/>
        <v>0</v>
      </c>
      <c r="U172" s="108"/>
      <c r="V172" s="73" t="s">
        <v>2017</v>
      </c>
      <c r="W172" s="76">
        <f t="shared" ca="1" si="5441"/>
        <v>0</v>
      </c>
      <c r="X172" s="108"/>
      <c r="Y172" s="796" t="s">
        <v>2060</v>
      </c>
      <c r="Z172" s="76">
        <f t="shared" ca="1" si="5442"/>
        <v>0</v>
      </c>
      <c r="AA172" s="108"/>
      <c r="AB172" s="796" t="s">
        <v>2096</v>
      </c>
      <c r="AC172" s="76">
        <f t="shared" ca="1" si="5443"/>
        <v>0</v>
      </c>
      <c r="AD172" s="108"/>
      <c r="AE172" s="796" t="s">
        <v>2134</v>
      </c>
      <c r="AF172" s="76">
        <f t="shared" ca="1" si="5544"/>
        <v>0</v>
      </c>
      <c r="AG172" s="108"/>
      <c r="AH172" s="796" t="s">
        <v>2168</v>
      </c>
      <c r="AI172" s="76">
        <f t="shared" ca="1" si="5445"/>
        <v>0</v>
      </c>
      <c r="AJ172" s="108"/>
      <c r="AK172" s="806" t="s">
        <v>2203</v>
      </c>
      <c r="AL172" s="76">
        <f t="shared" ca="1" si="5446"/>
        <v>0</v>
      </c>
      <c r="AM172" s="108"/>
      <c r="AN172" s="796" t="s">
        <v>2233</v>
      </c>
      <c r="AO172" s="76">
        <f t="shared" ca="1" si="5447"/>
        <v>0</v>
      </c>
      <c r="AP172" s="108"/>
      <c r="AQ172" s="806" t="s">
        <v>2260</v>
      </c>
      <c r="AR172" s="76">
        <f t="shared" ca="1" si="5448"/>
        <v>0</v>
      </c>
      <c r="AS172" s="108"/>
      <c r="AT172" s="796" t="s">
        <v>2017</v>
      </c>
      <c r="AU172" s="76">
        <f t="shared" ca="1" si="5449"/>
        <v>0</v>
      </c>
      <c r="AV172" s="108"/>
      <c r="AW172" s="796" t="s">
        <v>2096</v>
      </c>
      <c r="AX172" s="76">
        <f t="shared" ca="1" si="5450"/>
        <v>0</v>
      </c>
      <c r="AY172" s="108"/>
      <c r="AZ172" s="796" t="s">
        <v>2360</v>
      </c>
      <c r="BA172" s="76">
        <f t="shared" ca="1" si="5451"/>
        <v>0</v>
      </c>
      <c r="BB172" s="108"/>
      <c r="BC172" s="796" t="s">
        <v>2397</v>
      </c>
      <c r="BD172" s="76">
        <f t="shared" ca="1" si="5452"/>
        <v>0</v>
      </c>
      <c r="BE172" s="108"/>
      <c r="BF172" s="796" t="s">
        <v>2060</v>
      </c>
      <c r="BG172" s="76">
        <f t="shared" ca="1" si="5453"/>
        <v>0</v>
      </c>
      <c r="BH172" s="108"/>
      <c r="BI172" s="796" t="s">
        <v>2458</v>
      </c>
      <c r="BJ172" s="76">
        <f t="shared" ca="1" si="5454"/>
        <v>0</v>
      </c>
      <c r="BK172" s="108"/>
      <c r="BL172" s="796" t="s">
        <v>2479</v>
      </c>
      <c r="BM172" s="76">
        <f t="shared" ca="1" si="5455"/>
        <v>0</v>
      </c>
      <c r="BN172" s="108"/>
      <c r="BO172" s="816" t="s">
        <v>2479</v>
      </c>
      <c r="BP172" s="76">
        <f t="shared" ca="1" si="5456"/>
        <v>0</v>
      </c>
      <c r="BQ172" s="108"/>
      <c r="BR172" s="796" t="s">
        <v>2134</v>
      </c>
      <c r="BS172" s="76">
        <f t="shared" ca="1" si="5457"/>
        <v>0</v>
      </c>
      <c r="BT172" s="108"/>
      <c r="BU172" s="796" t="s">
        <v>2536</v>
      </c>
      <c r="BV172" s="76">
        <f t="shared" ca="1" si="5458"/>
        <v>0</v>
      </c>
      <c r="BW172" s="108"/>
      <c r="BX172" s="73" t="s">
        <v>2559</v>
      </c>
      <c r="BY172" s="76">
        <f t="shared" ca="1" si="5459"/>
        <v>0</v>
      </c>
      <c r="BZ172" s="108"/>
      <c r="CA172" s="816" t="s">
        <v>2233</v>
      </c>
      <c r="CB172" s="76">
        <f t="shared" ca="1" si="5460"/>
        <v>0</v>
      </c>
      <c r="CC172" s="108"/>
      <c r="CD172" s="825" t="s">
        <v>2168</v>
      </c>
      <c r="CE172" s="76">
        <f t="shared" ca="1" si="5461"/>
        <v>0</v>
      </c>
      <c r="CF172" s="108"/>
      <c r="CG172" s="796" t="s">
        <v>2613</v>
      </c>
      <c r="CH172" s="76">
        <f t="shared" ca="1" si="5462"/>
        <v>0</v>
      </c>
      <c r="CI172" s="108"/>
      <c r="CJ172" s="796" t="s">
        <v>2096</v>
      </c>
      <c r="CK172" s="76">
        <f t="shared" ca="1" si="5463"/>
        <v>0</v>
      </c>
      <c r="CL172" s="108"/>
      <c r="CM172" s="796" t="s">
        <v>2260</v>
      </c>
      <c r="CN172" s="76">
        <f t="shared" ca="1" si="5464"/>
        <v>0</v>
      </c>
      <c r="CO172" s="108"/>
      <c r="CP172" s="796" t="s">
        <v>2673</v>
      </c>
      <c r="CQ172" s="76">
        <f t="shared" ca="1" si="5465"/>
        <v>0</v>
      </c>
      <c r="CR172" s="108"/>
      <c r="CS172" s="796" t="s">
        <v>2613</v>
      </c>
      <c r="CT172" s="76">
        <f t="shared" ca="1" si="5466"/>
        <v>0</v>
      </c>
      <c r="CU172" s="108"/>
      <c r="CV172" s="796" t="s">
        <v>2723</v>
      </c>
      <c r="CW172" s="76">
        <f t="shared" ca="1" si="5467"/>
        <v>0</v>
      </c>
      <c r="CX172" s="108"/>
      <c r="CY172" s="796" t="s">
        <v>2746</v>
      </c>
      <c r="CZ172" s="76">
        <f t="shared" ca="1" si="5468"/>
        <v>0</v>
      </c>
      <c r="DA172" s="108"/>
      <c r="DB172" s="796" t="s">
        <v>2772</v>
      </c>
      <c r="DC172" s="76">
        <f t="shared" ca="1" si="5469"/>
        <v>0</v>
      </c>
      <c r="DD172" s="108"/>
      <c r="DE172" s="796" t="s">
        <v>2203</v>
      </c>
      <c r="DF172" s="76">
        <f t="shared" ca="1" si="5470"/>
        <v>0</v>
      </c>
      <c r="DG172" s="108"/>
      <c r="DH172" s="796" t="s">
        <v>2855</v>
      </c>
      <c r="DI172" s="76">
        <f t="shared" ca="1" si="5471"/>
        <v>0</v>
      </c>
      <c r="DJ172" s="108"/>
      <c r="DK172" s="796" t="s">
        <v>2134</v>
      </c>
      <c r="DL172" s="76">
        <f t="shared" ca="1" si="5472"/>
        <v>0</v>
      </c>
      <c r="DM172" s="108"/>
      <c r="DN172" s="73"/>
      <c r="DO172" s="76">
        <f t="shared" ca="1" si="5473"/>
        <v>0</v>
      </c>
      <c r="DP172" s="108"/>
      <c r="DQ172" s="796" t="s">
        <v>2834</v>
      </c>
      <c r="DR172" s="76">
        <f t="shared" ca="1" si="5474"/>
        <v>0</v>
      </c>
      <c r="DS172" s="108"/>
      <c r="DT172" s="73" t="s">
        <v>2871</v>
      </c>
      <c r="DU172" s="76">
        <f t="shared" ca="1" si="5475"/>
        <v>0</v>
      </c>
      <c r="DV172" s="108"/>
      <c r="DW172" s="73"/>
      <c r="DX172" s="76">
        <f t="shared" ca="1" si="5476"/>
        <v>0</v>
      </c>
      <c r="DY172" s="108"/>
      <c r="DZ172" s="73"/>
      <c r="EA172" s="76">
        <f t="shared" ca="1" si="5477"/>
        <v>0</v>
      </c>
      <c r="EB172" s="108"/>
      <c r="EC172" s="79"/>
      <c r="ED172" s="76">
        <f t="shared" ca="1" si="5478"/>
        <v>0</v>
      </c>
      <c r="EE172" s="108"/>
      <c r="EF172" s="73"/>
      <c r="EG172" s="76">
        <f t="shared" ca="1" si="5479"/>
        <v>0</v>
      </c>
      <c r="EH172" s="108"/>
      <c r="EI172" s="73"/>
      <c r="EJ172" s="76">
        <f t="shared" ca="1" si="5480"/>
        <v>0</v>
      </c>
      <c r="EK172" s="108"/>
      <c r="EL172" s="73"/>
      <c r="EM172" s="76">
        <f t="shared" ca="1" si="5481"/>
        <v>0</v>
      </c>
      <c r="EN172" s="108"/>
      <c r="EO172" s="73"/>
      <c r="EP172" s="76">
        <f t="shared" ca="1" si="5482"/>
        <v>0</v>
      </c>
      <c r="EQ172" s="108"/>
      <c r="ER172" s="79"/>
      <c r="ES172" s="76">
        <f t="shared" ca="1" si="5483"/>
        <v>0</v>
      </c>
      <c r="ET172" s="108"/>
      <c r="EU172" s="73"/>
      <c r="EV172" s="76">
        <f t="shared" ca="1" si="5484"/>
        <v>0</v>
      </c>
      <c r="EW172" s="108"/>
      <c r="EX172" s="73"/>
      <c r="EY172" s="76">
        <f t="shared" ca="1" si="5485"/>
        <v>0</v>
      </c>
      <c r="EZ172" s="108"/>
      <c r="FA172" s="73"/>
      <c r="FB172" s="76">
        <f t="shared" ca="1" si="5486"/>
        <v>0</v>
      </c>
      <c r="FC172" s="108"/>
      <c r="FD172" s="73"/>
      <c r="FE172" s="76">
        <f t="shared" ca="1" si="5487"/>
        <v>0</v>
      </c>
      <c r="FF172" s="108"/>
      <c r="FG172" s="79"/>
      <c r="FH172" s="76">
        <f t="shared" ca="1" si="5488"/>
        <v>0</v>
      </c>
      <c r="FI172" s="108"/>
      <c r="FJ172" s="73"/>
      <c r="FK172" s="76">
        <f t="shared" ca="1" si="5489"/>
        <v>0</v>
      </c>
      <c r="FL172" s="108"/>
      <c r="FM172" s="73"/>
      <c r="FN172" s="76">
        <f t="shared" ca="1" si="5490"/>
        <v>0</v>
      </c>
      <c r="FO172" s="108"/>
      <c r="FP172" s="73"/>
      <c r="FQ172" s="76">
        <f t="shared" ca="1" si="5491"/>
        <v>0</v>
      </c>
      <c r="FR172" s="108"/>
      <c r="FS172" s="73"/>
      <c r="FT172" s="76">
        <f t="shared" ca="1" si="5492"/>
        <v>0</v>
      </c>
      <c r="FU172" s="108"/>
      <c r="FV172" s="79"/>
      <c r="FW172" s="76">
        <f t="shared" ca="1" si="5493"/>
        <v>0</v>
      </c>
      <c r="FX172" s="108"/>
      <c r="FY172" s="73"/>
      <c r="FZ172" s="76">
        <f t="shared" ca="1" si="5494"/>
        <v>0</v>
      </c>
      <c r="GA172" s="108"/>
      <c r="GB172" s="73"/>
      <c r="GC172" s="76">
        <f t="shared" ca="1" si="5495"/>
        <v>0</v>
      </c>
      <c r="GD172" s="108"/>
      <c r="GE172" s="73"/>
      <c r="GF172" s="76">
        <f t="shared" ca="1" si="5496"/>
        <v>0</v>
      </c>
      <c r="GG172" s="108"/>
      <c r="GH172" s="73"/>
      <c r="GI172" s="76">
        <f t="shared" ca="1" si="5497"/>
        <v>0</v>
      </c>
      <c r="GJ172" s="108"/>
      <c r="GK172" s="79"/>
      <c r="GL172" s="76">
        <f t="shared" ca="1" si="5498"/>
        <v>0</v>
      </c>
      <c r="GM172" s="108"/>
      <c r="GN172" s="73"/>
      <c r="GO172" s="76">
        <f t="shared" ca="1" si="5499"/>
        <v>0</v>
      </c>
      <c r="GP172" s="108"/>
      <c r="GQ172" s="73"/>
      <c r="GR172" s="76">
        <f t="shared" ca="1" si="5500"/>
        <v>0</v>
      </c>
      <c r="GS172" s="108"/>
      <c r="GT172" s="73"/>
      <c r="GU172" s="76">
        <f t="shared" ca="1" si="5501"/>
        <v>0</v>
      </c>
      <c r="GV172" s="108"/>
      <c r="GW172" s="73"/>
      <c r="GX172" s="76">
        <f t="shared" ca="1" si="5502"/>
        <v>0</v>
      </c>
      <c r="GY172" s="108"/>
      <c r="GZ172" s="79"/>
      <c r="HA172" s="76">
        <f t="shared" ca="1" si="5503"/>
        <v>0</v>
      </c>
      <c r="HB172" s="108"/>
      <c r="HC172" s="73"/>
      <c r="HD172" s="76">
        <f t="shared" ca="1" si="5504"/>
        <v>0</v>
      </c>
      <c r="HE172" s="108"/>
      <c r="HF172" s="73"/>
      <c r="HG172" s="76">
        <f t="shared" ca="1" si="5505"/>
        <v>0</v>
      </c>
      <c r="HH172" s="108"/>
      <c r="HI172" s="73"/>
      <c r="HJ172" s="76">
        <f t="shared" ca="1" si="5506"/>
        <v>0</v>
      </c>
      <c r="HK172" s="108"/>
      <c r="HL172" s="73"/>
      <c r="HM172" s="76">
        <f t="shared" ca="1" si="5507"/>
        <v>0</v>
      </c>
      <c r="HN172" s="108"/>
      <c r="HO172" s="79"/>
      <c r="HP172" s="76">
        <f t="shared" ca="1" si="5508"/>
        <v>0</v>
      </c>
      <c r="HQ172" s="108"/>
      <c r="HR172" s="73"/>
      <c r="HS172" s="76">
        <f t="shared" ca="1" si="5509"/>
        <v>0</v>
      </c>
      <c r="HT172" s="108"/>
      <c r="HU172" s="73"/>
      <c r="HV172" s="76">
        <f t="shared" ca="1" si="5510"/>
        <v>0</v>
      </c>
      <c r="HW172" s="108"/>
      <c r="HX172" s="73"/>
      <c r="HY172" s="76">
        <f t="shared" ca="1" si="5511"/>
        <v>0</v>
      </c>
      <c r="HZ172" s="108"/>
      <c r="IA172" s="73"/>
      <c r="IB172" s="76">
        <f t="shared" ca="1" si="5512"/>
        <v>0</v>
      </c>
      <c r="IC172" s="108"/>
      <c r="ID172" s="79"/>
      <c r="IE172" s="76">
        <f t="shared" ca="1" si="5513"/>
        <v>0</v>
      </c>
      <c r="IF172" s="108"/>
      <c r="IG172" s="73"/>
      <c r="IH172" s="76">
        <f t="shared" ca="1" si="5514"/>
        <v>0</v>
      </c>
      <c r="II172" s="108"/>
      <c r="IJ172" s="73"/>
      <c r="IK172" s="76">
        <f t="shared" ca="1" si="5515"/>
        <v>0</v>
      </c>
      <c r="IL172" s="108"/>
      <c r="IM172" s="73"/>
      <c r="IN172" s="76">
        <f t="shared" ca="1" si="5516"/>
        <v>0</v>
      </c>
      <c r="IO172" s="108"/>
      <c r="IP172" s="73"/>
      <c r="IQ172" s="76">
        <f t="shared" ca="1" si="5517"/>
        <v>0</v>
      </c>
      <c r="IR172" s="108"/>
      <c r="IS172" s="79"/>
      <c r="IT172" s="76">
        <f t="shared" ca="1" si="5518"/>
        <v>0</v>
      </c>
      <c r="IU172" s="108"/>
      <c r="IV172" s="73"/>
      <c r="IW172" s="76">
        <f t="shared" ca="1" si="5519"/>
        <v>0</v>
      </c>
      <c r="IX172" s="108"/>
      <c r="IY172" s="73"/>
      <c r="IZ172" s="76">
        <f t="shared" ca="1" si="5520"/>
        <v>0</v>
      </c>
      <c r="JA172" s="108"/>
      <c r="JB172" s="73"/>
      <c r="JC172" s="76">
        <f t="shared" ca="1" si="5521"/>
        <v>0</v>
      </c>
      <c r="JD172" s="108"/>
      <c r="JE172" s="73"/>
      <c r="JF172" s="76">
        <f t="shared" ca="1" si="5522"/>
        <v>0</v>
      </c>
      <c r="JG172" s="108"/>
      <c r="JH172" s="79"/>
      <c r="JI172" s="76">
        <f t="shared" ca="1" si="5523"/>
        <v>0</v>
      </c>
      <c r="JJ172" s="108"/>
      <c r="JK172" s="73"/>
      <c r="JL172" s="76">
        <f t="shared" ca="1" si="5524"/>
        <v>0</v>
      </c>
      <c r="JM172" s="108"/>
      <c r="JN172" s="73"/>
      <c r="JO172" s="76">
        <f t="shared" ca="1" si="5525"/>
        <v>0</v>
      </c>
      <c r="JP172" s="108"/>
      <c r="JQ172" s="73"/>
      <c r="JR172" s="76">
        <f t="shared" ca="1" si="5526"/>
        <v>0</v>
      </c>
      <c r="JS172" s="108"/>
      <c r="JT172" s="73"/>
      <c r="JU172" s="76">
        <f t="shared" ca="1" si="5527"/>
        <v>0</v>
      </c>
      <c r="JV172" s="108"/>
      <c r="JW172" s="79"/>
      <c r="JX172" s="76">
        <f t="shared" ca="1" si="5528"/>
        <v>0</v>
      </c>
      <c r="JY172" s="108"/>
      <c r="JZ172" s="73"/>
      <c r="KA172" s="76">
        <f t="shared" ca="1" si="5529"/>
        <v>0</v>
      </c>
      <c r="KB172" s="108"/>
      <c r="KC172" s="73"/>
      <c r="KD172" s="76">
        <f t="shared" ca="1" si="5530"/>
        <v>0</v>
      </c>
      <c r="KE172" s="108"/>
      <c r="KF172" s="73"/>
      <c r="KG172" s="76">
        <f t="shared" ca="1" si="5531"/>
        <v>0</v>
      </c>
      <c r="KH172" s="108"/>
      <c r="KI172" s="73"/>
      <c r="KJ172" s="76">
        <f t="shared" ca="1" si="5532"/>
        <v>0</v>
      </c>
      <c r="KK172" s="108"/>
      <c r="KL172" s="79"/>
      <c r="KM172" s="76">
        <f t="shared" ca="1" si="5533"/>
        <v>0</v>
      </c>
      <c r="KN172" s="108"/>
      <c r="KO172" s="73"/>
      <c r="KP172" s="76">
        <f t="shared" ca="1" si="5534"/>
        <v>0</v>
      </c>
      <c r="KQ172" s="108"/>
      <c r="KR172" s="73"/>
      <c r="KS172" s="76">
        <f t="shared" ca="1" si="5535"/>
        <v>0</v>
      </c>
      <c r="KT172" s="108"/>
      <c r="KU172" s="73"/>
      <c r="KV172" s="76">
        <f t="shared" ca="1" si="5536"/>
        <v>0</v>
      </c>
      <c r="KW172" s="108"/>
      <c r="KX172" s="73"/>
      <c r="KY172" s="76">
        <f t="shared" ca="1" si="5537"/>
        <v>0</v>
      </c>
      <c r="KZ172" s="108"/>
      <c r="LA172" s="79"/>
      <c r="LB172" s="76">
        <f t="shared" ca="1" si="5538"/>
        <v>0</v>
      </c>
      <c r="LC172" s="108"/>
      <c r="LD172" s="73"/>
      <c r="LE172" s="76">
        <f t="shared" ca="1" si="5539"/>
        <v>0</v>
      </c>
      <c r="LF172" s="108"/>
    </row>
    <row r="173" spans="1:318" s="784" customFormat="1">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6">
        <f t="shared" si="5540"/>
        <v>30</v>
      </c>
      <c r="G173" s="406">
        <f ca="1">VLOOKUP(H173,Equipos!$Q$1:$R$25,2,0)</f>
        <v>20</v>
      </c>
      <c r="H173" s="444" t="str">
        <f>Idiomas!$D$260</f>
        <v>Dieciseisavos de final</v>
      </c>
      <c r="I173" s="45">
        <v>1</v>
      </c>
      <c r="J173" s="843"/>
      <c r="K173" s="56" t="str">
        <f ca="1">CONCATENATE(WORLDCUP!AA110,"-",WORLDCUP!AF110)</f>
        <v>1D-3BEFIJ</v>
      </c>
      <c r="L173" s="53" t="str">
        <f>IF(OR(WORLDCUP!AC110="",WORLDCUP!AD110=""),"PD",IF(WORLDCUP!AC110&gt;WORLDCUP!AD110,1,IF(WORLDCUP!AC110&lt;WORLDCUP!AD110,2,0)))</f>
        <v>PD</v>
      </c>
      <c r="M173" s="55" t="str">
        <f t="shared" si="5541"/>
        <v>-</v>
      </c>
      <c r="N173" s="25">
        <f>WORLDCUP!AC110</f>
        <v>0</v>
      </c>
      <c r="O173" s="25">
        <f>WORLDCUP!AD110</f>
        <v>0</v>
      </c>
      <c r="P173" s="25">
        <f t="shared" si="5542"/>
        <v>0</v>
      </c>
      <c r="Q173" s="25">
        <f t="shared" si="5543"/>
        <v>0</v>
      </c>
      <c r="R173" s="108"/>
      <c r="S173" s="796" t="s">
        <v>1973</v>
      </c>
      <c r="T173" s="76">
        <f t="shared" ca="1" si="5440"/>
        <v>0</v>
      </c>
      <c r="U173" s="108"/>
      <c r="V173" s="73" t="s">
        <v>2018</v>
      </c>
      <c r="W173" s="76">
        <f t="shared" ca="1" si="5441"/>
        <v>0</v>
      </c>
      <c r="X173" s="108"/>
      <c r="Y173" s="796" t="s">
        <v>2061</v>
      </c>
      <c r="Z173" s="76">
        <f t="shared" ca="1" si="5442"/>
        <v>0</v>
      </c>
      <c r="AA173" s="108"/>
      <c r="AB173" s="796" t="s">
        <v>2097</v>
      </c>
      <c r="AC173" s="76">
        <f t="shared" ca="1" si="5443"/>
        <v>0</v>
      </c>
      <c r="AD173" s="108"/>
      <c r="AE173" s="796" t="s">
        <v>2135</v>
      </c>
      <c r="AF173" s="76">
        <f t="shared" ca="1" si="5544"/>
        <v>0</v>
      </c>
      <c r="AG173" s="108"/>
      <c r="AH173" s="796" t="s">
        <v>2169</v>
      </c>
      <c r="AI173" s="76">
        <f t="shared" ca="1" si="5445"/>
        <v>0</v>
      </c>
      <c r="AJ173" s="108"/>
      <c r="AK173" s="806" t="s">
        <v>2204</v>
      </c>
      <c r="AL173" s="76">
        <f t="shared" ca="1" si="5446"/>
        <v>0</v>
      </c>
      <c r="AM173" s="108"/>
      <c r="AN173" s="796" t="s">
        <v>2234</v>
      </c>
      <c r="AO173" s="76">
        <f t="shared" ca="1" si="5447"/>
        <v>0</v>
      </c>
      <c r="AP173" s="108"/>
      <c r="AQ173" s="806" t="s">
        <v>2261</v>
      </c>
      <c r="AR173" s="76">
        <f t="shared" ca="1" si="5448"/>
        <v>0</v>
      </c>
      <c r="AS173" s="108"/>
      <c r="AT173" s="796" t="s">
        <v>2296</v>
      </c>
      <c r="AU173" s="76">
        <f t="shared" ca="1" si="5449"/>
        <v>0</v>
      </c>
      <c r="AV173" s="108"/>
      <c r="AW173" s="796" t="s">
        <v>2319</v>
      </c>
      <c r="AX173" s="76">
        <f t="shared" ca="1" si="5450"/>
        <v>0</v>
      </c>
      <c r="AY173" s="108"/>
      <c r="AZ173" s="796" t="s">
        <v>2361</v>
      </c>
      <c r="BA173" s="76">
        <f t="shared" ca="1" si="5451"/>
        <v>0</v>
      </c>
      <c r="BB173" s="108"/>
      <c r="BC173" s="796" t="s">
        <v>2398</v>
      </c>
      <c r="BD173" s="76">
        <f t="shared" ca="1" si="5452"/>
        <v>0</v>
      </c>
      <c r="BE173" s="108"/>
      <c r="BF173" s="796" t="s">
        <v>2422</v>
      </c>
      <c r="BG173" s="76">
        <f t="shared" ca="1" si="5453"/>
        <v>0</v>
      </c>
      <c r="BH173" s="108"/>
      <c r="BI173" s="796" t="s">
        <v>2018</v>
      </c>
      <c r="BJ173" s="76">
        <f t="shared" ca="1" si="5454"/>
        <v>0</v>
      </c>
      <c r="BK173" s="108"/>
      <c r="BL173" s="796" t="s">
        <v>2480</v>
      </c>
      <c r="BM173" s="76">
        <f t="shared" ca="1" si="5455"/>
        <v>0</v>
      </c>
      <c r="BN173" s="108"/>
      <c r="BO173" s="816" t="s">
        <v>2504</v>
      </c>
      <c r="BP173" s="76">
        <f t="shared" ca="1" si="5456"/>
        <v>0</v>
      </c>
      <c r="BQ173" s="108"/>
      <c r="BR173" s="796" t="s">
        <v>2018</v>
      </c>
      <c r="BS173" s="76">
        <f t="shared" ca="1" si="5457"/>
        <v>0</v>
      </c>
      <c r="BT173" s="108"/>
      <c r="BU173" s="796" t="s">
        <v>2537</v>
      </c>
      <c r="BV173" s="76">
        <f t="shared" ca="1" si="5458"/>
        <v>0</v>
      </c>
      <c r="BW173" s="108"/>
      <c r="BX173" s="73" t="s">
        <v>2560</v>
      </c>
      <c r="BY173" s="76">
        <f t="shared" ca="1" si="5459"/>
        <v>0</v>
      </c>
      <c r="BZ173" s="108"/>
      <c r="CA173" s="816" t="s">
        <v>2583</v>
      </c>
      <c r="CB173" s="76">
        <f t="shared" ca="1" si="5460"/>
        <v>0</v>
      </c>
      <c r="CC173" s="108"/>
      <c r="CD173" s="825" t="s">
        <v>2422</v>
      </c>
      <c r="CE173" s="76">
        <f t="shared" ca="1" si="5461"/>
        <v>0</v>
      </c>
      <c r="CF173" s="108"/>
      <c r="CG173" s="796" t="s">
        <v>2614</v>
      </c>
      <c r="CH173" s="76">
        <f t="shared" ca="1" si="5462"/>
        <v>0</v>
      </c>
      <c r="CI173" s="108"/>
      <c r="CJ173" s="796" t="s">
        <v>2614</v>
      </c>
      <c r="CK173" s="76">
        <f t="shared" ca="1" si="5463"/>
        <v>0</v>
      </c>
      <c r="CL173" s="108"/>
      <c r="CM173" s="796" t="s">
        <v>2648</v>
      </c>
      <c r="CN173" s="76">
        <f t="shared" ca="1" si="5464"/>
        <v>0</v>
      </c>
      <c r="CO173" s="108"/>
      <c r="CP173" s="796" t="s">
        <v>2674</v>
      </c>
      <c r="CQ173" s="76">
        <f t="shared" ca="1" si="5465"/>
        <v>0</v>
      </c>
      <c r="CR173" s="108"/>
      <c r="CS173" s="796" t="s">
        <v>2697</v>
      </c>
      <c r="CT173" s="76">
        <f t="shared" ca="1" si="5466"/>
        <v>0</v>
      </c>
      <c r="CU173" s="108"/>
      <c r="CV173" s="796" t="s">
        <v>2724</v>
      </c>
      <c r="CW173" s="76">
        <f t="shared" ca="1" si="5467"/>
        <v>0</v>
      </c>
      <c r="CX173" s="108"/>
      <c r="CY173" s="796" t="s">
        <v>2747</v>
      </c>
      <c r="CZ173" s="76">
        <f t="shared" ca="1" si="5468"/>
        <v>0</v>
      </c>
      <c r="DA173" s="108"/>
      <c r="DB173" s="796" t="s">
        <v>2018</v>
      </c>
      <c r="DC173" s="76">
        <f t="shared" ca="1" si="5469"/>
        <v>0</v>
      </c>
      <c r="DD173" s="108"/>
      <c r="DE173" s="796" t="s">
        <v>2614</v>
      </c>
      <c r="DF173" s="76">
        <f t="shared" ca="1" si="5470"/>
        <v>0</v>
      </c>
      <c r="DG173" s="108"/>
      <c r="DH173" s="796" t="s">
        <v>2856</v>
      </c>
      <c r="DI173" s="76">
        <f t="shared" ca="1" si="5471"/>
        <v>0</v>
      </c>
      <c r="DJ173" s="108"/>
      <c r="DK173" s="796" t="s">
        <v>2815</v>
      </c>
      <c r="DL173" s="76">
        <f t="shared" ca="1" si="5472"/>
        <v>0</v>
      </c>
      <c r="DM173" s="108"/>
      <c r="DN173" s="73"/>
      <c r="DO173" s="76">
        <f t="shared" ca="1" si="5473"/>
        <v>0</v>
      </c>
      <c r="DP173" s="108"/>
      <c r="DQ173" s="796" t="s">
        <v>2835</v>
      </c>
      <c r="DR173" s="76">
        <f t="shared" ca="1" si="5474"/>
        <v>0</v>
      </c>
      <c r="DS173" s="108"/>
      <c r="DT173" s="73" t="s">
        <v>2422</v>
      </c>
      <c r="DU173" s="76">
        <f t="shared" ca="1" si="5475"/>
        <v>0</v>
      </c>
      <c r="DV173" s="108"/>
      <c r="DW173" s="73"/>
      <c r="DX173" s="76">
        <f t="shared" ca="1" si="5476"/>
        <v>0</v>
      </c>
      <c r="DY173" s="108"/>
      <c r="DZ173" s="73"/>
      <c r="EA173" s="76">
        <f t="shared" ca="1" si="5477"/>
        <v>0</v>
      </c>
      <c r="EB173" s="108"/>
      <c r="EC173" s="73"/>
      <c r="ED173" s="76">
        <f t="shared" ca="1" si="5478"/>
        <v>0</v>
      </c>
      <c r="EE173" s="108"/>
      <c r="EF173" s="73"/>
      <c r="EG173" s="76">
        <f t="shared" ca="1" si="5479"/>
        <v>0</v>
      </c>
      <c r="EH173" s="108"/>
      <c r="EI173" s="73"/>
      <c r="EJ173" s="76">
        <f t="shared" ca="1" si="5480"/>
        <v>0</v>
      </c>
      <c r="EK173" s="108"/>
      <c r="EL173" s="73"/>
      <c r="EM173" s="76">
        <f t="shared" ca="1" si="5481"/>
        <v>0</v>
      </c>
      <c r="EN173" s="108"/>
      <c r="EO173" s="73"/>
      <c r="EP173" s="76">
        <f t="shared" ca="1" si="5482"/>
        <v>0</v>
      </c>
      <c r="EQ173" s="108"/>
      <c r="ER173" s="73"/>
      <c r="ES173" s="76">
        <f t="shared" ca="1" si="5483"/>
        <v>0</v>
      </c>
      <c r="ET173" s="108"/>
      <c r="EU173" s="73"/>
      <c r="EV173" s="76">
        <f t="shared" ca="1" si="5484"/>
        <v>0</v>
      </c>
      <c r="EW173" s="108"/>
      <c r="EX173" s="73"/>
      <c r="EY173" s="76">
        <f t="shared" ca="1" si="5485"/>
        <v>0</v>
      </c>
      <c r="EZ173" s="108"/>
      <c r="FA173" s="73"/>
      <c r="FB173" s="76">
        <f t="shared" ca="1" si="5486"/>
        <v>0</v>
      </c>
      <c r="FC173" s="108"/>
      <c r="FD173" s="73"/>
      <c r="FE173" s="76">
        <f t="shared" ca="1" si="5487"/>
        <v>0</v>
      </c>
      <c r="FF173" s="108"/>
      <c r="FG173" s="73"/>
      <c r="FH173" s="76">
        <f t="shared" ca="1" si="5488"/>
        <v>0</v>
      </c>
      <c r="FI173" s="108"/>
      <c r="FJ173" s="73"/>
      <c r="FK173" s="76">
        <f t="shared" ca="1" si="5489"/>
        <v>0</v>
      </c>
      <c r="FL173" s="108"/>
      <c r="FM173" s="73"/>
      <c r="FN173" s="76">
        <f t="shared" ca="1" si="5490"/>
        <v>0</v>
      </c>
      <c r="FO173" s="108"/>
      <c r="FP173" s="73"/>
      <c r="FQ173" s="76">
        <f t="shared" ca="1" si="5491"/>
        <v>0</v>
      </c>
      <c r="FR173" s="108"/>
      <c r="FS173" s="73"/>
      <c r="FT173" s="76">
        <f t="shared" ca="1" si="5492"/>
        <v>0</v>
      </c>
      <c r="FU173" s="108"/>
      <c r="FV173" s="73"/>
      <c r="FW173" s="76">
        <f t="shared" ca="1" si="5493"/>
        <v>0</v>
      </c>
      <c r="FX173" s="108"/>
      <c r="FY173" s="73"/>
      <c r="FZ173" s="76">
        <f t="shared" ca="1" si="5494"/>
        <v>0</v>
      </c>
      <c r="GA173" s="108"/>
      <c r="GB173" s="73"/>
      <c r="GC173" s="76">
        <f t="shared" ca="1" si="5495"/>
        <v>0</v>
      </c>
      <c r="GD173" s="108"/>
      <c r="GE173" s="73"/>
      <c r="GF173" s="76">
        <f t="shared" ca="1" si="5496"/>
        <v>0</v>
      </c>
      <c r="GG173" s="108"/>
      <c r="GH173" s="73"/>
      <c r="GI173" s="76">
        <f t="shared" ca="1" si="5497"/>
        <v>0</v>
      </c>
      <c r="GJ173" s="108"/>
      <c r="GK173" s="73"/>
      <c r="GL173" s="76">
        <f t="shared" ca="1" si="5498"/>
        <v>0</v>
      </c>
      <c r="GM173" s="108"/>
      <c r="GN173" s="73"/>
      <c r="GO173" s="76">
        <f t="shared" ca="1" si="5499"/>
        <v>0</v>
      </c>
      <c r="GP173" s="108"/>
      <c r="GQ173" s="73"/>
      <c r="GR173" s="76">
        <f t="shared" ca="1" si="5500"/>
        <v>0</v>
      </c>
      <c r="GS173" s="108"/>
      <c r="GT173" s="73"/>
      <c r="GU173" s="76">
        <f t="shared" ca="1" si="5501"/>
        <v>0</v>
      </c>
      <c r="GV173" s="108"/>
      <c r="GW173" s="73"/>
      <c r="GX173" s="76">
        <f t="shared" ca="1" si="5502"/>
        <v>0</v>
      </c>
      <c r="GY173" s="108"/>
      <c r="GZ173" s="73"/>
      <c r="HA173" s="76">
        <f t="shared" ca="1" si="5503"/>
        <v>0</v>
      </c>
      <c r="HB173" s="108"/>
      <c r="HC173" s="73"/>
      <c r="HD173" s="76">
        <f t="shared" ca="1" si="5504"/>
        <v>0</v>
      </c>
      <c r="HE173" s="108"/>
      <c r="HF173" s="73"/>
      <c r="HG173" s="76">
        <f t="shared" ca="1" si="5505"/>
        <v>0</v>
      </c>
      <c r="HH173" s="108"/>
      <c r="HI173" s="73"/>
      <c r="HJ173" s="76">
        <f t="shared" ca="1" si="5506"/>
        <v>0</v>
      </c>
      <c r="HK173" s="108"/>
      <c r="HL173" s="73"/>
      <c r="HM173" s="76">
        <f t="shared" ca="1" si="5507"/>
        <v>0</v>
      </c>
      <c r="HN173" s="108"/>
      <c r="HO173" s="73"/>
      <c r="HP173" s="76">
        <f t="shared" ca="1" si="5508"/>
        <v>0</v>
      </c>
      <c r="HQ173" s="108"/>
      <c r="HR173" s="73"/>
      <c r="HS173" s="76">
        <f t="shared" ca="1" si="5509"/>
        <v>0</v>
      </c>
      <c r="HT173" s="108"/>
      <c r="HU173" s="73"/>
      <c r="HV173" s="76">
        <f t="shared" ca="1" si="5510"/>
        <v>0</v>
      </c>
      <c r="HW173" s="108"/>
      <c r="HX173" s="73"/>
      <c r="HY173" s="76">
        <f t="shared" ca="1" si="5511"/>
        <v>0</v>
      </c>
      <c r="HZ173" s="108"/>
      <c r="IA173" s="73"/>
      <c r="IB173" s="76">
        <f t="shared" ca="1" si="5512"/>
        <v>0</v>
      </c>
      <c r="IC173" s="108"/>
      <c r="ID173" s="73"/>
      <c r="IE173" s="76">
        <f t="shared" ca="1" si="5513"/>
        <v>0</v>
      </c>
      <c r="IF173" s="108"/>
      <c r="IG173" s="73"/>
      <c r="IH173" s="76">
        <f t="shared" ca="1" si="5514"/>
        <v>0</v>
      </c>
      <c r="II173" s="108"/>
      <c r="IJ173" s="73"/>
      <c r="IK173" s="76">
        <f t="shared" ca="1" si="5515"/>
        <v>0</v>
      </c>
      <c r="IL173" s="108"/>
      <c r="IM173" s="73"/>
      <c r="IN173" s="76">
        <f t="shared" ca="1" si="5516"/>
        <v>0</v>
      </c>
      <c r="IO173" s="108"/>
      <c r="IP173" s="73"/>
      <c r="IQ173" s="76">
        <f t="shared" ca="1" si="5517"/>
        <v>0</v>
      </c>
      <c r="IR173" s="108"/>
      <c r="IS173" s="73"/>
      <c r="IT173" s="76">
        <f t="shared" ca="1" si="5518"/>
        <v>0</v>
      </c>
      <c r="IU173" s="108"/>
      <c r="IV173" s="73"/>
      <c r="IW173" s="76">
        <f t="shared" ca="1" si="5519"/>
        <v>0</v>
      </c>
      <c r="IX173" s="108"/>
      <c r="IY173" s="73"/>
      <c r="IZ173" s="76">
        <f t="shared" ca="1" si="5520"/>
        <v>0</v>
      </c>
      <c r="JA173" s="108"/>
      <c r="JB173" s="73"/>
      <c r="JC173" s="76">
        <f t="shared" ca="1" si="5521"/>
        <v>0</v>
      </c>
      <c r="JD173" s="108"/>
      <c r="JE173" s="73"/>
      <c r="JF173" s="76">
        <f t="shared" ca="1" si="5522"/>
        <v>0</v>
      </c>
      <c r="JG173" s="108"/>
      <c r="JH173" s="73"/>
      <c r="JI173" s="76">
        <f t="shared" ca="1" si="5523"/>
        <v>0</v>
      </c>
      <c r="JJ173" s="108"/>
      <c r="JK173" s="73"/>
      <c r="JL173" s="76">
        <f t="shared" ca="1" si="5524"/>
        <v>0</v>
      </c>
      <c r="JM173" s="108"/>
      <c r="JN173" s="73"/>
      <c r="JO173" s="76">
        <f t="shared" ca="1" si="5525"/>
        <v>0</v>
      </c>
      <c r="JP173" s="108"/>
      <c r="JQ173" s="73"/>
      <c r="JR173" s="76">
        <f t="shared" ca="1" si="5526"/>
        <v>0</v>
      </c>
      <c r="JS173" s="108"/>
      <c r="JT173" s="73"/>
      <c r="JU173" s="76">
        <f t="shared" ca="1" si="5527"/>
        <v>0</v>
      </c>
      <c r="JV173" s="108"/>
      <c r="JW173" s="73"/>
      <c r="JX173" s="76">
        <f t="shared" ca="1" si="5528"/>
        <v>0</v>
      </c>
      <c r="JY173" s="108"/>
      <c r="JZ173" s="73"/>
      <c r="KA173" s="76">
        <f t="shared" ca="1" si="5529"/>
        <v>0</v>
      </c>
      <c r="KB173" s="108"/>
      <c r="KC173" s="73"/>
      <c r="KD173" s="76">
        <f t="shared" ca="1" si="5530"/>
        <v>0</v>
      </c>
      <c r="KE173" s="108"/>
      <c r="KF173" s="73"/>
      <c r="KG173" s="76">
        <f t="shared" ca="1" si="5531"/>
        <v>0</v>
      </c>
      <c r="KH173" s="108"/>
      <c r="KI173" s="73"/>
      <c r="KJ173" s="76">
        <f t="shared" ca="1" si="5532"/>
        <v>0</v>
      </c>
      <c r="KK173" s="108"/>
      <c r="KL173" s="73"/>
      <c r="KM173" s="76">
        <f t="shared" ca="1" si="5533"/>
        <v>0</v>
      </c>
      <c r="KN173" s="108"/>
      <c r="KO173" s="73"/>
      <c r="KP173" s="76">
        <f t="shared" ca="1" si="5534"/>
        <v>0</v>
      </c>
      <c r="KQ173" s="108"/>
      <c r="KR173" s="73"/>
      <c r="KS173" s="76">
        <f t="shared" ca="1" si="5535"/>
        <v>0</v>
      </c>
      <c r="KT173" s="108"/>
      <c r="KU173" s="73"/>
      <c r="KV173" s="76">
        <f t="shared" ca="1" si="5536"/>
        <v>0</v>
      </c>
      <c r="KW173" s="108"/>
      <c r="KX173" s="73"/>
      <c r="KY173" s="76">
        <f t="shared" ca="1" si="5537"/>
        <v>0</v>
      </c>
      <c r="KZ173" s="108"/>
      <c r="LA173" s="73"/>
      <c r="LB173" s="76">
        <f t="shared" ca="1" si="5538"/>
        <v>0</v>
      </c>
      <c r="LC173" s="108"/>
      <c r="LD173" s="73"/>
      <c r="LE173" s="76">
        <f t="shared" ca="1" si="5539"/>
        <v>0</v>
      </c>
      <c r="LF173" s="108"/>
    </row>
    <row r="174" spans="1:318" s="784" customFormat="1">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6">
        <f t="shared" si="5540"/>
        <v>30</v>
      </c>
      <c r="G174" s="406">
        <f ca="1">VLOOKUP(H174,Equipos!$Q$1:$R$25,2,0)</f>
        <v>20</v>
      </c>
      <c r="H174" s="444" t="str">
        <f>Idiomas!$D$260</f>
        <v>Dieciseisavos de final</v>
      </c>
      <c r="I174" s="45">
        <v>1</v>
      </c>
      <c r="J174" s="843"/>
      <c r="K174" s="56" t="str">
        <f ca="1">CONCATENATE(WORLDCUP!AA111,"-",WORLDCUP!AF111)</f>
        <v>1H-2J</v>
      </c>
      <c r="L174" s="53" t="str">
        <f>IF(OR(WORLDCUP!AC111="",WORLDCUP!AD111=""),"PD",IF(WORLDCUP!AC111&gt;WORLDCUP!AD111,1,IF(WORLDCUP!AC111&lt;WORLDCUP!AD111,2,0)))</f>
        <v>PD</v>
      </c>
      <c r="M174" s="55" t="str">
        <f t="shared" si="5541"/>
        <v>-</v>
      </c>
      <c r="N174" s="25">
        <f>WORLDCUP!AC111</f>
        <v>0</v>
      </c>
      <c r="O174" s="25">
        <f>WORLDCUP!AD111</f>
        <v>0</v>
      </c>
      <c r="P174" s="25">
        <f t="shared" si="5542"/>
        <v>0</v>
      </c>
      <c r="Q174" s="25">
        <f t="shared" si="5543"/>
        <v>0</v>
      </c>
      <c r="R174" s="108"/>
      <c r="S174" s="796" t="s">
        <v>1974</v>
      </c>
      <c r="T174" s="76">
        <f t="shared" ca="1" si="5440"/>
        <v>0</v>
      </c>
      <c r="U174" s="108"/>
      <c r="V174" s="73" t="s">
        <v>2019</v>
      </c>
      <c r="W174" s="76">
        <f t="shared" ca="1" si="5441"/>
        <v>0</v>
      </c>
      <c r="X174" s="108"/>
      <c r="Y174" s="796" t="s">
        <v>2062</v>
      </c>
      <c r="Z174" s="76">
        <f t="shared" ca="1" si="5442"/>
        <v>0</v>
      </c>
      <c r="AA174" s="108"/>
      <c r="AB174" s="796" t="s">
        <v>2098</v>
      </c>
      <c r="AC174" s="76">
        <f t="shared" ca="1" si="5443"/>
        <v>0</v>
      </c>
      <c r="AD174" s="108"/>
      <c r="AE174" s="796" t="s">
        <v>2136</v>
      </c>
      <c r="AF174" s="76">
        <f t="shared" ca="1" si="5544"/>
        <v>0</v>
      </c>
      <c r="AG174" s="108"/>
      <c r="AH174" s="796" t="s">
        <v>2098</v>
      </c>
      <c r="AI174" s="76">
        <f t="shared" ca="1" si="5445"/>
        <v>0</v>
      </c>
      <c r="AJ174" s="108"/>
      <c r="AK174" s="806" t="s">
        <v>2205</v>
      </c>
      <c r="AL174" s="76">
        <f t="shared" ca="1" si="5446"/>
        <v>0</v>
      </c>
      <c r="AM174" s="108"/>
      <c r="AN174" s="796" t="s">
        <v>2098</v>
      </c>
      <c r="AO174" s="76">
        <f t="shared" ca="1" si="5447"/>
        <v>0</v>
      </c>
      <c r="AP174" s="108"/>
      <c r="AQ174" s="806" t="s">
        <v>2019</v>
      </c>
      <c r="AR174" s="76">
        <f t="shared" ca="1" si="5448"/>
        <v>0</v>
      </c>
      <c r="AS174" s="108"/>
      <c r="AT174" s="796" t="s">
        <v>2297</v>
      </c>
      <c r="AU174" s="76">
        <f t="shared" ca="1" si="5449"/>
        <v>0</v>
      </c>
      <c r="AV174" s="108"/>
      <c r="AW174" s="796" t="s">
        <v>2205</v>
      </c>
      <c r="AX174" s="76">
        <f t="shared" ca="1" si="5450"/>
        <v>0</v>
      </c>
      <c r="AY174" s="108"/>
      <c r="AZ174" s="796" t="s">
        <v>2362</v>
      </c>
      <c r="BA174" s="76">
        <f t="shared" ca="1" si="5451"/>
        <v>0</v>
      </c>
      <c r="BB174" s="108"/>
      <c r="BC174" s="796" t="s">
        <v>2399</v>
      </c>
      <c r="BD174" s="76">
        <f t="shared" ca="1" si="5452"/>
        <v>0</v>
      </c>
      <c r="BE174" s="108"/>
      <c r="BF174" s="796" t="s">
        <v>2423</v>
      </c>
      <c r="BG174" s="76">
        <f t="shared" ca="1" si="5453"/>
        <v>0</v>
      </c>
      <c r="BH174" s="108"/>
      <c r="BI174" s="796" t="s">
        <v>2459</v>
      </c>
      <c r="BJ174" s="76">
        <f t="shared" ca="1" si="5454"/>
        <v>0</v>
      </c>
      <c r="BK174" s="108"/>
      <c r="BL174" s="796" t="s">
        <v>1974</v>
      </c>
      <c r="BM174" s="76">
        <f t="shared" ca="1" si="5455"/>
        <v>0</v>
      </c>
      <c r="BN174" s="108"/>
      <c r="BO174" s="816" t="s">
        <v>2019</v>
      </c>
      <c r="BP174" s="76">
        <f t="shared" ca="1" si="5456"/>
        <v>0</v>
      </c>
      <c r="BQ174" s="108"/>
      <c r="BR174" s="796" t="s">
        <v>2205</v>
      </c>
      <c r="BS174" s="76">
        <f t="shared" ca="1" si="5457"/>
        <v>0</v>
      </c>
      <c r="BT174" s="108"/>
      <c r="BU174" s="796" t="s">
        <v>2459</v>
      </c>
      <c r="BV174" s="76">
        <f t="shared" ca="1" si="5458"/>
        <v>0</v>
      </c>
      <c r="BW174" s="108"/>
      <c r="BX174" s="73" t="s">
        <v>2297</v>
      </c>
      <c r="BY174" s="76">
        <f t="shared" ca="1" si="5459"/>
        <v>0</v>
      </c>
      <c r="BZ174" s="108"/>
      <c r="CA174" s="816" t="s">
        <v>2019</v>
      </c>
      <c r="CB174" s="76">
        <f t="shared" ca="1" si="5460"/>
        <v>0</v>
      </c>
      <c r="CC174" s="108"/>
      <c r="CD174" s="825" t="s">
        <v>1974</v>
      </c>
      <c r="CE174" s="76">
        <f t="shared" ca="1" si="5461"/>
        <v>0</v>
      </c>
      <c r="CF174" s="108"/>
      <c r="CG174" s="796" t="s">
        <v>1974</v>
      </c>
      <c r="CH174" s="76">
        <f t="shared" ca="1" si="5462"/>
        <v>0</v>
      </c>
      <c r="CI174" s="108"/>
      <c r="CJ174" s="796" t="s">
        <v>2205</v>
      </c>
      <c r="CK174" s="76">
        <f t="shared" ca="1" si="5463"/>
        <v>0</v>
      </c>
      <c r="CL174" s="108"/>
      <c r="CM174" s="796" t="s">
        <v>2062</v>
      </c>
      <c r="CN174" s="76">
        <f t="shared" ca="1" si="5464"/>
        <v>0</v>
      </c>
      <c r="CO174" s="108"/>
      <c r="CP174" s="796" t="s">
        <v>2675</v>
      </c>
      <c r="CQ174" s="76">
        <f t="shared" ca="1" si="5465"/>
        <v>0</v>
      </c>
      <c r="CR174" s="108"/>
      <c r="CS174" s="796" t="s">
        <v>2459</v>
      </c>
      <c r="CT174" s="76">
        <f t="shared" ca="1" si="5466"/>
        <v>0</v>
      </c>
      <c r="CU174" s="108"/>
      <c r="CV174" s="796" t="s">
        <v>2297</v>
      </c>
      <c r="CW174" s="76">
        <f t="shared" ca="1" si="5467"/>
        <v>0</v>
      </c>
      <c r="CX174" s="108"/>
      <c r="CY174" s="796" t="s">
        <v>2297</v>
      </c>
      <c r="CZ174" s="76">
        <f t="shared" ca="1" si="5468"/>
        <v>0</v>
      </c>
      <c r="DA174" s="108"/>
      <c r="DB174" s="796" t="s">
        <v>2019</v>
      </c>
      <c r="DC174" s="76">
        <f t="shared" ca="1" si="5469"/>
        <v>0</v>
      </c>
      <c r="DD174" s="108"/>
      <c r="DE174" s="796" t="s">
        <v>2098</v>
      </c>
      <c r="DF174" s="76">
        <f t="shared" ca="1" si="5470"/>
        <v>0</v>
      </c>
      <c r="DG174" s="108"/>
      <c r="DH174" s="796" t="s">
        <v>2019</v>
      </c>
      <c r="DI174" s="76">
        <f t="shared" ca="1" si="5471"/>
        <v>0</v>
      </c>
      <c r="DJ174" s="108"/>
      <c r="DK174" s="796" t="s">
        <v>2816</v>
      </c>
      <c r="DL174" s="76">
        <f t="shared" ca="1" si="5472"/>
        <v>0</v>
      </c>
      <c r="DM174" s="108"/>
      <c r="DN174" s="73"/>
      <c r="DO174" s="76">
        <f t="shared" ca="1" si="5473"/>
        <v>0</v>
      </c>
      <c r="DP174" s="108"/>
      <c r="DQ174" s="796" t="s">
        <v>2816</v>
      </c>
      <c r="DR174" s="76">
        <f t="shared" ca="1" si="5474"/>
        <v>0</v>
      </c>
      <c r="DS174" s="108"/>
      <c r="DT174" s="73" t="s">
        <v>1974</v>
      </c>
      <c r="DU174" s="76">
        <f t="shared" ca="1" si="5475"/>
        <v>0</v>
      </c>
      <c r="DV174" s="108"/>
      <c r="DW174" s="73"/>
      <c r="DX174" s="76">
        <f t="shared" ca="1" si="5476"/>
        <v>0</v>
      </c>
      <c r="DY174" s="108"/>
      <c r="DZ174" s="73"/>
      <c r="EA174" s="76">
        <f t="shared" ca="1" si="5477"/>
        <v>0</v>
      </c>
      <c r="EB174" s="108"/>
      <c r="EC174" s="73"/>
      <c r="ED174" s="76">
        <f t="shared" ca="1" si="5478"/>
        <v>0</v>
      </c>
      <c r="EE174" s="108"/>
      <c r="EF174" s="73"/>
      <c r="EG174" s="76">
        <f t="shared" ca="1" si="5479"/>
        <v>0</v>
      </c>
      <c r="EH174" s="108"/>
      <c r="EI174" s="73"/>
      <c r="EJ174" s="76">
        <f t="shared" ca="1" si="5480"/>
        <v>0</v>
      </c>
      <c r="EK174" s="108"/>
      <c r="EL174" s="73"/>
      <c r="EM174" s="76">
        <f t="shared" ca="1" si="5481"/>
        <v>0</v>
      </c>
      <c r="EN174" s="108"/>
      <c r="EO174" s="73"/>
      <c r="EP174" s="76">
        <f t="shared" ca="1" si="5482"/>
        <v>0</v>
      </c>
      <c r="EQ174" s="108"/>
      <c r="ER174" s="73"/>
      <c r="ES174" s="76">
        <f t="shared" ca="1" si="5483"/>
        <v>0</v>
      </c>
      <c r="ET174" s="108"/>
      <c r="EU174" s="73"/>
      <c r="EV174" s="76">
        <f t="shared" ca="1" si="5484"/>
        <v>0</v>
      </c>
      <c r="EW174" s="108"/>
      <c r="EX174" s="73"/>
      <c r="EY174" s="76">
        <f t="shared" ca="1" si="5485"/>
        <v>0</v>
      </c>
      <c r="EZ174" s="108"/>
      <c r="FA174" s="73"/>
      <c r="FB174" s="76">
        <f t="shared" ca="1" si="5486"/>
        <v>0</v>
      </c>
      <c r="FC174" s="108"/>
      <c r="FD174" s="73"/>
      <c r="FE174" s="76">
        <f t="shared" ca="1" si="5487"/>
        <v>0</v>
      </c>
      <c r="FF174" s="108"/>
      <c r="FG174" s="73"/>
      <c r="FH174" s="76">
        <f t="shared" ca="1" si="5488"/>
        <v>0</v>
      </c>
      <c r="FI174" s="108"/>
      <c r="FJ174" s="73"/>
      <c r="FK174" s="76">
        <f t="shared" ca="1" si="5489"/>
        <v>0</v>
      </c>
      <c r="FL174" s="108"/>
      <c r="FM174" s="73"/>
      <c r="FN174" s="76">
        <f t="shared" ca="1" si="5490"/>
        <v>0</v>
      </c>
      <c r="FO174" s="108"/>
      <c r="FP174" s="73"/>
      <c r="FQ174" s="76">
        <f t="shared" ca="1" si="5491"/>
        <v>0</v>
      </c>
      <c r="FR174" s="108"/>
      <c r="FS174" s="73"/>
      <c r="FT174" s="76">
        <f t="shared" ca="1" si="5492"/>
        <v>0</v>
      </c>
      <c r="FU174" s="108"/>
      <c r="FV174" s="73"/>
      <c r="FW174" s="76">
        <f t="shared" ca="1" si="5493"/>
        <v>0</v>
      </c>
      <c r="FX174" s="108"/>
      <c r="FY174" s="73"/>
      <c r="FZ174" s="76">
        <f t="shared" ca="1" si="5494"/>
        <v>0</v>
      </c>
      <c r="GA174" s="108"/>
      <c r="GB174" s="73"/>
      <c r="GC174" s="76">
        <f t="shared" ca="1" si="5495"/>
        <v>0</v>
      </c>
      <c r="GD174" s="108"/>
      <c r="GE174" s="73"/>
      <c r="GF174" s="76">
        <f t="shared" ca="1" si="5496"/>
        <v>0</v>
      </c>
      <c r="GG174" s="108"/>
      <c r="GH174" s="73"/>
      <c r="GI174" s="76">
        <f t="shared" ca="1" si="5497"/>
        <v>0</v>
      </c>
      <c r="GJ174" s="108"/>
      <c r="GK174" s="73"/>
      <c r="GL174" s="76">
        <f t="shared" ca="1" si="5498"/>
        <v>0</v>
      </c>
      <c r="GM174" s="108"/>
      <c r="GN174" s="73"/>
      <c r="GO174" s="76">
        <f t="shared" ca="1" si="5499"/>
        <v>0</v>
      </c>
      <c r="GP174" s="108"/>
      <c r="GQ174" s="73"/>
      <c r="GR174" s="76">
        <f t="shared" ca="1" si="5500"/>
        <v>0</v>
      </c>
      <c r="GS174" s="108"/>
      <c r="GT174" s="73"/>
      <c r="GU174" s="76">
        <f t="shared" ca="1" si="5501"/>
        <v>0</v>
      </c>
      <c r="GV174" s="108"/>
      <c r="GW174" s="73"/>
      <c r="GX174" s="76">
        <f t="shared" ca="1" si="5502"/>
        <v>0</v>
      </c>
      <c r="GY174" s="108"/>
      <c r="GZ174" s="73"/>
      <c r="HA174" s="76">
        <f t="shared" ca="1" si="5503"/>
        <v>0</v>
      </c>
      <c r="HB174" s="108"/>
      <c r="HC174" s="73"/>
      <c r="HD174" s="76">
        <f t="shared" ca="1" si="5504"/>
        <v>0</v>
      </c>
      <c r="HE174" s="108"/>
      <c r="HF174" s="73"/>
      <c r="HG174" s="76">
        <f t="shared" ca="1" si="5505"/>
        <v>0</v>
      </c>
      <c r="HH174" s="108"/>
      <c r="HI174" s="73"/>
      <c r="HJ174" s="76">
        <f t="shared" ca="1" si="5506"/>
        <v>0</v>
      </c>
      <c r="HK174" s="108"/>
      <c r="HL174" s="73"/>
      <c r="HM174" s="76">
        <f t="shared" ca="1" si="5507"/>
        <v>0</v>
      </c>
      <c r="HN174" s="108"/>
      <c r="HO174" s="73"/>
      <c r="HP174" s="76">
        <f t="shared" ca="1" si="5508"/>
        <v>0</v>
      </c>
      <c r="HQ174" s="108"/>
      <c r="HR174" s="73"/>
      <c r="HS174" s="76">
        <f t="shared" ca="1" si="5509"/>
        <v>0</v>
      </c>
      <c r="HT174" s="108"/>
      <c r="HU174" s="73"/>
      <c r="HV174" s="76">
        <f t="shared" ca="1" si="5510"/>
        <v>0</v>
      </c>
      <c r="HW174" s="108"/>
      <c r="HX174" s="73"/>
      <c r="HY174" s="76">
        <f t="shared" ca="1" si="5511"/>
        <v>0</v>
      </c>
      <c r="HZ174" s="108"/>
      <c r="IA174" s="73"/>
      <c r="IB174" s="76">
        <f t="shared" ca="1" si="5512"/>
        <v>0</v>
      </c>
      <c r="IC174" s="108"/>
      <c r="ID174" s="73"/>
      <c r="IE174" s="76">
        <f t="shared" ca="1" si="5513"/>
        <v>0</v>
      </c>
      <c r="IF174" s="108"/>
      <c r="IG174" s="73"/>
      <c r="IH174" s="76">
        <f t="shared" ca="1" si="5514"/>
        <v>0</v>
      </c>
      <c r="II174" s="108"/>
      <c r="IJ174" s="73"/>
      <c r="IK174" s="76">
        <f t="shared" ca="1" si="5515"/>
        <v>0</v>
      </c>
      <c r="IL174" s="108"/>
      <c r="IM174" s="73"/>
      <c r="IN174" s="76">
        <f t="shared" ca="1" si="5516"/>
        <v>0</v>
      </c>
      <c r="IO174" s="108"/>
      <c r="IP174" s="73"/>
      <c r="IQ174" s="76">
        <f t="shared" ca="1" si="5517"/>
        <v>0</v>
      </c>
      <c r="IR174" s="108"/>
      <c r="IS174" s="73"/>
      <c r="IT174" s="76">
        <f t="shared" ca="1" si="5518"/>
        <v>0</v>
      </c>
      <c r="IU174" s="108"/>
      <c r="IV174" s="73"/>
      <c r="IW174" s="76">
        <f t="shared" ca="1" si="5519"/>
        <v>0</v>
      </c>
      <c r="IX174" s="108"/>
      <c r="IY174" s="73"/>
      <c r="IZ174" s="76">
        <f t="shared" ca="1" si="5520"/>
        <v>0</v>
      </c>
      <c r="JA174" s="108"/>
      <c r="JB174" s="73"/>
      <c r="JC174" s="76">
        <f t="shared" ca="1" si="5521"/>
        <v>0</v>
      </c>
      <c r="JD174" s="108"/>
      <c r="JE174" s="73"/>
      <c r="JF174" s="76">
        <f t="shared" ca="1" si="5522"/>
        <v>0</v>
      </c>
      <c r="JG174" s="108"/>
      <c r="JH174" s="73"/>
      <c r="JI174" s="76">
        <f t="shared" ca="1" si="5523"/>
        <v>0</v>
      </c>
      <c r="JJ174" s="108"/>
      <c r="JK174" s="73"/>
      <c r="JL174" s="76">
        <f t="shared" ca="1" si="5524"/>
        <v>0</v>
      </c>
      <c r="JM174" s="108"/>
      <c r="JN174" s="73"/>
      <c r="JO174" s="76">
        <f t="shared" ca="1" si="5525"/>
        <v>0</v>
      </c>
      <c r="JP174" s="108"/>
      <c r="JQ174" s="73"/>
      <c r="JR174" s="76">
        <f t="shared" ca="1" si="5526"/>
        <v>0</v>
      </c>
      <c r="JS174" s="108"/>
      <c r="JT174" s="73"/>
      <c r="JU174" s="76">
        <f t="shared" ca="1" si="5527"/>
        <v>0</v>
      </c>
      <c r="JV174" s="108"/>
      <c r="JW174" s="73"/>
      <c r="JX174" s="76">
        <f t="shared" ca="1" si="5528"/>
        <v>0</v>
      </c>
      <c r="JY174" s="108"/>
      <c r="JZ174" s="73"/>
      <c r="KA174" s="76">
        <f t="shared" ca="1" si="5529"/>
        <v>0</v>
      </c>
      <c r="KB174" s="108"/>
      <c r="KC174" s="73"/>
      <c r="KD174" s="76">
        <f t="shared" ca="1" si="5530"/>
        <v>0</v>
      </c>
      <c r="KE174" s="108"/>
      <c r="KF174" s="73"/>
      <c r="KG174" s="76">
        <f t="shared" ca="1" si="5531"/>
        <v>0</v>
      </c>
      <c r="KH174" s="108"/>
      <c r="KI174" s="73"/>
      <c r="KJ174" s="76">
        <f t="shared" ca="1" si="5532"/>
        <v>0</v>
      </c>
      <c r="KK174" s="108"/>
      <c r="KL174" s="73"/>
      <c r="KM174" s="76">
        <f t="shared" ca="1" si="5533"/>
        <v>0</v>
      </c>
      <c r="KN174" s="108"/>
      <c r="KO174" s="73"/>
      <c r="KP174" s="76">
        <f t="shared" ca="1" si="5534"/>
        <v>0</v>
      </c>
      <c r="KQ174" s="108"/>
      <c r="KR174" s="73"/>
      <c r="KS174" s="76">
        <f t="shared" ca="1" si="5535"/>
        <v>0</v>
      </c>
      <c r="KT174" s="108"/>
      <c r="KU174" s="73"/>
      <c r="KV174" s="76">
        <f t="shared" ca="1" si="5536"/>
        <v>0</v>
      </c>
      <c r="KW174" s="108"/>
      <c r="KX174" s="73"/>
      <c r="KY174" s="76">
        <f t="shared" ca="1" si="5537"/>
        <v>0</v>
      </c>
      <c r="KZ174" s="108"/>
      <c r="LA174" s="73"/>
      <c r="LB174" s="76">
        <f t="shared" ca="1" si="5538"/>
        <v>0</v>
      </c>
      <c r="LC174" s="108"/>
      <c r="LD174" s="73"/>
      <c r="LE174" s="76">
        <f t="shared" ca="1" si="5539"/>
        <v>0</v>
      </c>
      <c r="LF174" s="108"/>
    </row>
    <row r="175" spans="1:318" s="784" customFormat="1">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6">
        <f t="shared" si="5540"/>
        <v>30</v>
      </c>
      <c r="G175" s="406">
        <f ca="1">VLOOKUP(H175,Equipos!$Q$1:$R$25,2,0)</f>
        <v>20</v>
      </c>
      <c r="H175" s="444" t="str">
        <f>Idiomas!$D$260</f>
        <v>Dieciseisavos de final</v>
      </c>
      <c r="I175" s="45">
        <v>1</v>
      </c>
      <c r="J175" s="843"/>
      <c r="K175" s="56" t="str">
        <f ca="1">CONCATENATE(WORLDCUP!AA112,"-",WORLDCUP!AF112)</f>
        <v>2K-2L</v>
      </c>
      <c r="L175" s="53" t="str">
        <f>IF(OR(WORLDCUP!AC112="",WORLDCUP!AD112=""),"PD",IF(WORLDCUP!AC112&gt;WORLDCUP!AD112,1,IF(WORLDCUP!AC112&lt;WORLDCUP!AD112,2,0)))</f>
        <v>PD</v>
      </c>
      <c r="M175" s="55" t="str">
        <f t="shared" si="5541"/>
        <v>-</v>
      </c>
      <c r="N175" s="25">
        <f>WORLDCUP!AC112</f>
        <v>0</v>
      </c>
      <c r="O175" s="25">
        <f>WORLDCUP!AD112</f>
        <v>0</v>
      </c>
      <c r="P175" s="25">
        <f t="shared" si="5542"/>
        <v>0</v>
      </c>
      <c r="Q175" s="25">
        <f t="shared" si="5543"/>
        <v>0</v>
      </c>
      <c r="R175" s="108"/>
      <c r="S175" s="796" t="s">
        <v>1975</v>
      </c>
      <c r="T175" s="76">
        <f t="shared" ca="1" si="5440"/>
        <v>0</v>
      </c>
      <c r="U175" s="108"/>
      <c r="V175" s="73" t="s">
        <v>2020</v>
      </c>
      <c r="W175" s="76">
        <f t="shared" ca="1" si="5441"/>
        <v>0</v>
      </c>
      <c r="X175" s="108"/>
      <c r="Y175" s="796" t="s">
        <v>2063</v>
      </c>
      <c r="Z175" s="76">
        <f t="shared" ca="1" si="5442"/>
        <v>0</v>
      </c>
      <c r="AA175" s="108"/>
      <c r="AB175" s="796" t="s">
        <v>2099</v>
      </c>
      <c r="AC175" s="76">
        <f t="shared" ca="1" si="5443"/>
        <v>0</v>
      </c>
      <c r="AD175" s="108"/>
      <c r="AE175" s="796" t="s">
        <v>1975</v>
      </c>
      <c r="AF175" s="76">
        <f t="shared" ca="1" si="5544"/>
        <v>0</v>
      </c>
      <c r="AG175" s="108"/>
      <c r="AH175" s="796" t="s">
        <v>1975</v>
      </c>
      <c r="AI175" s="76">
        <f t="shared" ca="1" si="5445"/>
        <v>0</v>
      </c>
      <c r="AJ175" s="108"/>
      <c r="AK175" s="806" t="s">
        <v>2206</v>
      </c>
      <c r="AL175" s="76">
        <f t="shared" ca="1" si="5446"/>
        <v>0</v>
      </c>
      <c r="AM175" s="108"/>
      <c r="AN175" s="796" t="s">
        <v>2099</v>
      </c>
      <c r="AO175" s="76">
        <f t="shared" ca="1" si="5447"/>
        <v>0</v>
      </c>
      <c r="AP175" s="108"/>
      <c r="AQ175" s="806" t="s">
        <v>2262</v>
      </c>
      <c r="AR175" s="76">
        <f t="shared" ca="1" si="5448"/>
        <v>0</v>
      </c>
      <c r="AS175" s="108"/>
      <c r="AT175" s="796" t="s">
        <v>2298</v>
      </c>
      <c r="AU175" s="76">
        <f t="shared" ca="1" si="5449"/>
        <v>0</v>
      </c>
      <c r="AV175" s="108"/>
      <c r="AW175" s="796" t="s">
        <v>1975</v>
      </c>
      <c r="AX175" s="76">
        <f t="shared" ca="1" si="5450"/>
        <v>0</v>
      </c>
      <c r="AY175" s="108"/>
      <c r="AZ175" s="796" t="s">
        <v>2363</v>
      </c>
      <c r="BA175" s="76">
        <f t="shared" ca="1" si="5451"/>
        <v>0</v>
      </c>
      <c r="BB175" s="108"/>
      <c r="BC175" s="796" t="s">
        <v>2400</v>
      </c>
      <c r="BD175" s="76">
        <f t="shared" ca="1" si="5452"/>
        <v>0</v>
      </c>
      <c r="BE175" s="108"/>
      <c r="BF175" s="796" t="s">
        <v>2424</v>
      </c>
      <c r="BG175" s="76">
        <f t="shared" ca="1" si="5453"/>
        <v>0</v>
      </c>
      <c r="BH175" s="108"/>
      <c r="BI175" s="796" t="s">
        <v>1975</v>
      </c>
      <c r="BJ175" s="76">
        <f t="shared" ca="1" si="5454"/>
        <v>0</v>
      </c>
      <c r="BK175" s="108"/>
      <c r="BL175" s="796" t="s">
        <v>2424</v>
      </c>
      <c r="BM175" s="76">
        <f t="shared" ca="1" si="5455"/>
        <v>0</v>
      </c>
      <c r="BN175" s="108"/>
      <c r="BO175" s="816" t="s">
        <v>1975</v>
      </c>
      <c r="BP175" s="76">
        <f t="shared" ca="1" si="5456"/>
        <v>0</v>
      </c>
      <c r="BQ175" s="108"/>
      <c r="BR175" s="796" t="s">
        <v>2521</v>
      </c>
      <c r="BS175" s="76">
        <f t="shared" ca="1" si="5457"/>
        <v>0</v>
      </c>
      <c r="BT175" s="108"/>
      <c r="BU175" s="796" t="s">
        <v>2020</v>
      </c>
      <c r="BV175" s="76">
        <f t="shared" ca="1" si="5458"/>
        <v>0</v>
      </c>
      <c r="BW175" s="108"/>
      <c r="BX175" s="73" t="s">
        <v>2561</v>
      </c>
      <c r="BY175" s="76">
        <f t="shared" ca="1" si="5459"/>
        <v>0</v>
      </c>
      <c r="BZ175" s="108"/>
      <c r="CA175" s="816" t="s">
        <v>1975</v>
      </c>
      <c r="CB175" s="76">
        <f t="shared" ca="1" si="5460"/>
        <v>0</v>
      </c>
      <c r="CC175" s="108"/>
      <c r="CD175" s="825" t="s">
        <v>1975</v>
      </c>
      <c r="CE175" s="76">
        <f t="shared" ca="1" si="5461"/>
        <v>0</v>
      </c>
      <c r="CF175" s="108"/>
      <c r="CG175" s="796" t="s">
        <v>2561</v>
      </c>
      <c r="CH175" s="76">
        <f t="shared" ca="1" si="5462"/>
        <v>0</v>
      </c>
      <c r="CI175" s="108"/>
      <c r="CJ175" s="796" t="s">
        <v>2400</v>
      </c>
      <c r="CK175" s="76">
        <f t="shared" ca="1" si="5463"/>
        <v>0</v>
      </c>
      <c r="CL175" s="108"/>
      <c r="CM175" s="796" t="s">
        <v>2649</v>
      </c>
      <c r="CN175" s="76">
        <f t="shared" ca="1" si="5464"/>
        <v>0</v>
      </c>
      <c r="CO175" s="108"/>
      <c r="CP175" s="796" t="s">
        <v>2561</v>
      </c>
      <c r="CQ175" s="76">
        <f t="shared" ca="1" si="5465"/>
        <v>0</v>
      </c>
      <c r="CR175" s="108"/>
      <c r="CS175" s="796" t="s">
        <v>2698</v>
      </c>
      <c r="CT175" s="76">
        <f t="shared" ca="1" si="5466"/>
        <v>0</v>
      </c>
      <c r="CU175" s="108"/>
      <c r="CV175" s="796" t="s">
        <v>2725</v>
      </c>
      <c r="CW175" s="76">
        <f t="shared" ca="1" si="5467"/>
        <v>0</v>
      </c>
      <c r="CX175" s="108"/>
      <c r="CY175" s="796" t="s">
        <v>2748</v>
      </c>
      <c r="CZ175" s="76">
        <f t="shared" ca="1" si="5468"/>
        <v>0</v>
      </c>
      <c r="DA175" s="108"/>
      <c r="DB175" s="796" t="s">
        <v>2773</v>
      </c>
      <c r="DC175" s="76">
        <f t="shared" ca="1" si="5469"/>
        <v>0</v>
      </c>
      <c r="DD175" s="108"/>
      <c r="DE175" s="796" t="s">
        <v>1975</v>
      </c>
      <c r="DF175" s="76">
        <f t="shared" ca="1" si="5470"/>
        <v>0</v>
      </c>
      <c r="DG175" s="108"/>
      <c r="DH175" s="796" t="s">
        <v>1975</v>
      </c>
      <c r="DI175" s="76">
        <f t="shared" ca="1" si="5471"/>
        <v>0</v>
      </c>
      <c r="DJ175" s="108"/>
      <c r="DK175" s="796" t="s">
        <v>2020</v>
      </c>
      <c r="DL175" s="76">
        <f t="shared" ca="1" si="5472"/>
        <v>0</v>
      </c>
      <c r="DM175" s="108"/>
      <c r="DN175" s="73"/>
      <c r="DO175" s="76">
        <f t="shared" ca="1" si="5473"/>
        <v>0</v>
      </c>
      <c r="DP175" s="108"/>
      <c r="DQ175" s="796" t="s">
        <v>2653</v>
      </c>
      <c r="DR175" s="76">
        <f t="shared" ca="1" si="5474"/>
        <v>0</v>
      </c>
      <c r="DS175" s="108"/>
      <c r="DT175" s="73" t="s">
        <v>2020</v>
      </c>
      <c r="DU175" s="76">
        <f t="shared" ca="1" si="5475"/>
        <v>0</v>
      </c>
      <c r="DV175" s="108"/>
      <c r="DW175" s="73"/>
      <c r="DX175" s="76">
        <f t="shared" ca="1" si="5476"/>
        <v>0</v>
      </c>
      <c r="DY175" s="108"/>
      <c r="DZ175" s="73"/>
      <c r="EA175" s="76">
        <f t="shared" ca="1" si="5477"/>
        <v>0</v>
      </c>
      <c r="EB175" s="108"/>
      <c r="EC175" s="73"/>
      <c r="ED175" s="76">
        <f t="shared" ca="1" si="5478"/>
        <v>0</v>
      </c>
      <c r="EE175" s="108"/>
      <c r="EF175" s="73"/>
      <c r="EG175" s="76">
        <f t="shared" ca="1" si="5479"/>
        <v>0</v>
      </c>
      <c r="EH175" s="108"/>
      <c r="EI175" s="73"/>
      <c r="EJ175" s="76">
        <f t="shared" ca="1" si="5480"/>
        <v>0</v>
      </c>
      <c r="EK175" s="108"/>
      <c r="EL175" s="73"/>
      <c r="EM175" s="76">
        <f t="shared" ca="1" si="5481"/>
        <v>0</v>
      </c>
      <c r="EN175" s="108"/>
      <c r="EO175" s="73"/>
      <c r="EP175" s="76">
        <f t="shared" ca="1" si="5482"/>
        <v>0</v>
      </c>
      <c r="EQ175" s="108"/>
      <c r="ER175" s="73"/>
      <c r="ES175" s="76">
        <f t="shared" ca="1" si="5483"/>
        <v>0</v>
      </c>
      <c r="ET175" s="108"/>
      <c r="EU175" s="73"/>
      <c r="EV175" s="76">
        <f t="shared" ca="1" si="5484"/>
        <v>0</v>
      </c>
      <c r="EW175" s="108"/>
      <c r="EX175" s="73"/>
      <c r="EY175" s="76">
        <f t="shared" ca="1" si="5485"/>
        <v>0</v>
      </c>
      <c r="EZ175" s="108"/>
      <c r="FA175" s="73"/>
      <c r="FB175" s="76">
        <f t="shared" ca="1" si="5486"/>
        <v>0</v>
      </c>
      <c r="FC175" s="108"/>
      <c r="FD175" s="73"/>
      <c r="FE175" s="76">
        <f t="shared" ca="1" si="5487"/>
        <v>0</v>
      </c>
      <c r="FF175" s="108"/>
      <c r="FG175" s="73"/>
      <c r="FH175" s="76">
        <f t="shared" ca="1" si="5488"/>
        <v>0</v>
      </c>
      <c r="FI175" s="108"/>
      <c r="FJ175" s="73"/>
      <c r="FK175" s="76">
        <f t="shared" ca="1" si="5489"/>
        <v>0</v>
      </c>
      <c r="FL175" s="108"/>
      <c r="FM175" s="73"/>
      <c r="FN175" s="76">
        <f t="shared" ca="1" si="5490"/>
        <v>0</v>
      </c>
      <c r="FO175" s="108"/>
      <c r="FP175" s="73"/>
      <c r="FQ175" s="76">
        <f t="shared" ca="1" si="5491"/>
        <v>0</v>
      </c>
      <c r="FR175" s="108"/>
      <c r="FS175" s="73"/>
      <c r="FT175" s="76">
        <f t="shared" ca="1" si="5492"/>
        <v>0</v>
      </c>
      <c r="FU175" s="108"/>
      <c r="FV175" s="73"/>
      <c r="FW175" s="76">
        <f t="shared" ca="1" si="5493"/>
        <v>0</v>
      </c>
      <c r="FX175" s="108"/>
      <c r="FY175" s="73"/>
      <c r="FZ175" s="76">
        <f t="shared" ca="1" si="5494"/>
        <v>0</v>
      </c>
      <c r="GA175" s="108"/>
      <c r="GB175" s="73"/>
      <c r="GC175" s="76">
        <f t="shared" ca="1" si="5495"/>
        <v>0</v>
      </c>
      <c r="GD175" s="108"/>
      <c r="GE175" s="73"/>
      <c r="GF175" s="76">
        <f t="shared" ca="1" si="5496"/>
        <v>0</v>
      </c>
      <c r="GG175" s="108"/>
      <c r="GH175" s="73"/>
      <c r="GI175" s="76">
        <f t="shared" ca="1" si="5497"/>
        <v>0</v>
      </c>
      <c r="GJ175" s="108"/>
      <c r="GK175" s="73"/>
      <c r="GL175" s="76">
        <f t="shared" ca="1" si="5498"/>
        <v>0</v>
      </c>
      <c r="GM175" s="108"/>
      <c r="GN175" s="73"/>
      <c r="GO175" s="76">
        <f t="shared" ca="1" si="5499"/>
        <v>0</v>
      </c>
      <c r="GP175" s="108"/>
      <c r="GQ175" s="73"/>
      <c r="GR175" s="76">
        <f t="shared" ca="1" si="5500"/>
        <v>0</v>
      </c>
      <c r="GS175" s="108"/>
      <c r="GT175" s="73"/>
      <c r="GU175" s="76">
        <f t="shared" ca="1" si="5501"/>
        <v>0</v>
      </c>
      <c r="GV175" s="108"/>
      <c r="GW175" s="73"/>
      <c r="GX175" s="76">
        <f t="shared" ca="1" si="5502"/>
        <v>0</v>
      </c>
      <c r="GY175" s="108"/>
      <c r="GZ175" s="73"/>
      <c r="HA175" s="76">
        <f t="shared" ca="1" si="5503"/>
        <v>0</v>
      </c>
      <c r="HB175" s="108"/>
      <c r="HC175" s="73"/>
      <c r="HD175" s="76">
        <f t="shared" ca="1" si="5504"/>
        <v>0</v>
      </c>
      <c r="HE175" s="108"/>
      <c r="HF175" s="73"/>
      <c r="HG175" s="76">
        <f t="shared" ca="1" si="5505"/>
        <v>0</v>
      </c>
      <c r="HH175" s="108"/>
      <c r="HI175" s="73"/>
      <c r="HJ175" s="76">
        <f t="shared" ca="1" si="5506"/>
        <v>0</v>
      </c>
      <c r="HK175" s="108"/>
      <c r="HL175" s="73"/>
      <c r="HM175" s="76">
        <f t="shared" ca="1" si="5507"/>
        <v>0</v>
      </c>
      <c r="HN175" s="108"/>
      <c r="HO175" s="73"/>
      <c r="HP175" s="76">
        <f t="shared" ca="1" si="5508"/>
        <v>0</v>
      </c>
      <c r="HQ175" s="108"/>
      <c r="HR175" s="73"/>
      <c r="HS175" s="76">
        <f t="shared" ca="1" si="5509"/>
        <v>0</v>
      </c>
      <c r="HT175" s="108"/>
      <c r="HU175" s="73"/>
      <c r="HV175" s="76">
        <f t="shared" ca="1" si="5510"/>
        <v>0</v>
      </c>
      <c r="HW175" s="108"/>
      <c r="HX175" s="73"/>
      <c r="HY175" s="76">
        <f t="shared" ca="1" si="5511"/>
        <v>0</v>
      </c>
      <c r="HZ175" s="108"/>
      <c r="IA175" s="73"/>
      <c r="IB175" s="76">
        <f t="shared" ca="1" si="5512"/>
        <v>0</v>
      </c>
      <c r="IC175" s="108"/>
      <c r="ID175" s="73"/>
      <c r="IE175" s="76">
        <f t="shared" ca="1" si="5513"/>
        <v>0</v>
      </c>
      <c r="IF175" s="108"/>
      <c r="IG175" s="73"/>
      <c r="IH175" s="76">
        <f t="shared" ca="1" si="5514"/>
        <v>0</v>
      </c>
      <c r="II175" s="108"/>
      <c r="IJ175" s="73"/>
      <c r="IK175" s="76">
        <f t="shared" ca="1" si="5515"/>
        <v>0</v>
      </c>
      <c r="IL175" s="108"/>
      <c r="IM175" s="73"/>
      <c r="IN175" s="76">
        <f t="shared" ca="1" si="5516"/>
        <v>0</v>
      </c>
      <c r="IO175" s="108"/>
      <c r="IP175" s="73"/>
      <c r="IQ175" s="76">
        <f t="shared" ca="1" si="5517"/>
        <v>0</v>
      </c>
      <c r="IR175" s="108"/>
      <c r="IS175" s="73"/>
      <c r="IT175" s="76">
        <f t="shared" ca="1" si="5518"/>
        <v>0</v>
      </c>
      <c r="IU175" s="108"/>
      <c r="IV175" s="73"/>
      <c r="IW175" s="76">
        <f t="shared" ca="1" si="5519"/>
        <v>0</v>
      </c>
      <c r="IX175" s="108"/>
      <c r="IY175" s="73"/>
      <c r="IZ175" s="76">
        <f t="shared" ca="1" si="5520"/>
        <v>0</v>
      </c>
      <c r="JA175" s="108"/>
      <c r="JB175" s="73"/>
      <c r="JC175" s="76">
        <f t="shared" ca="1" si="5521"/>
        <v>0</v>
      </c>
      <c r="JD175" s="108"/>
      <c r="JE175" s="73"/>
      <c r="JF175" s="76">
        <f t="shared" ca="1" si="5522"/>
        <v>0</v>
      </c>
      <c r="JG175" s="108"/>
      <c r="JH175" s="73"/>
      <c r="JI175" s="76">
        <f t="shared" ca="1" si="5523"/>
        <v>0</v>
      </c>
      <c r="JJ175" s="108"/>
      <c r="JK175" s="73"/>
      <c r="JL175" s="76">
        <f t="shared" ca="1" si="5524"/>
        <v>0</v>
      </c>
      <c r="JM175" s="108"/>
      <c r="JN175" s="73"/>
      <c r="JO175" s="76">
        <f t="shared" ca="1" si="5525"/>
        <v>0</v>
      </c>
      <c r="JP175" s="108"/>
      <c r="JQ175" s="73"/>
      <c r="JR175" s="76">
        <f t="shared" ca="1" si="5526"/>
        <v>0</v>
      </c>
      <c r="JS175" s="108"/>
      <c r="JT175" s="73"/>
      <c r="JU175" s="76">
        <f t="shared" ca="1" si="5527"/>
        <v>0</v>
      </c>
      <c r="JV175" s="108"/>
      <c r="JW175" s="73"/>
      <c r="JX175" s="76">
        <f t="shared" ca="1" si="5528"/>
        <v>0</v>
      </c>
      <c r="JY175" s="108"/>
      <c r="JZ175" s="73"/>
      <c r="KA175" s="76">
        <f t="shared" ca="1" si="5529"/>
        <v>0</v>
      </c>
      <c r="KB175" s="108"/>
      <c r="KC175" s="73"/>
      <c r="KD175" s="76">
        <f t="shared" ca="1" si="5530"/>
        <v>0</v>
      </c>
      <c r="KE175" s="108"/>
      <c r="KF175" s="73"/>
      <c r="KG175" s="76">
        <f t="shared" ca="1" si="5531"/>
        <v>0</v>
      </c>
      <c r="KH175" s="108"/>
      <c r="KI175" s="73"/>
      <c r="KJ175" s="76">
        <f t="shared" ca="1" si="5532"/>
        <v>0</v>
      </c>
      <c r="KK175" s="108"/>
      <c r="KL175" s="73"/>
      <c r="KM175" s="76">
        <f t="shared" ca="1" si="5533"/>
        <v>0</v>
      </c>
      <c r="KN175" s="108"/>
      <c r="KO175" s="73"/>
      <c r="KP175" s="76">
        <f t="shared" ca="1" si="5534"/>
        <v>0</v>
      </c>
      <c r="KQ175" s="108"/>
      <c r="KR175" s="73"/>
      <c r="KS175" s="76">
        <f t="shared" ca="1" si="5535"/>
        <v>0</v>
      </c>
      <c r="KT175" s="108"/>
      <c r="KU175" s="73"/>
      <c r="KV175" s="76">
        <f t="shared" ca="1" si="5536"/>
        <v>0</v>
      </c>
      <c r="KW175" s="108"/>
      <c r="KX175" s="73"/>
      <c r="KY175" s="76">
        <f t="shared" ca="1" si="5537"/>
        <v>0</v>
      </c>
      <c r="KZ175" s="108"/>
      <c r="LA175" s="73"/>
      <c r="LB175" s="76">
        <f t="shared" ca="1" si="5538"/>
        <v>0</v>
      </c>
      <c r="LC175" s="108"/>
      <c r="LD175" s="73"/>
      <c r="LE175" s="76">
        <f t="shared" ca="1" si="5539"/>
        <v>0</v>
      </c>
      <c r="LF175" s="108"/>
    </row>
    <row r="176" spans="1:318" s="784" customFormat="1">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6">
        <f t="shared" si="5540"/>
        <v>30</v>
      </c>
      <c r="G176" s="406">
        <f ca="1">VLOOKUP(H176,Equipos!$Q$1:$R$25,2,0)</f>
        <v>20</v>
      </c>
      <c r="H176" s="444" t="str">
        <f>Idiomas!$D$260</f>
        <v>Dieciseisavos de final</v>
      </c>
      <c r="I176" s="45">
        <v>1</v>
      </c>
      <c r="J176" s="843"/>
      <c r="K176" s="56" t="str">
        <f ca="1">CONCATENATE(WORLDCUP!AA113,"-",WORLDCUP!AF113)</f>
        <v>1B-3EFGIJ</v>
      </c>
      <c r="L176" s="53" t="str">
        <f>IF(OR(WORLDCUP!AC113="",WORLDCUP!AD113=""),"PD",IF(WORLDCUP!AC113&gt;WORLDCUP!AD113,1,IF(WORLDCUP!AC113&lt;WORLDCUP!AD113,2,0)))</f>
        <v>PD</v>
      </c>
      <c r="M176" s="55" t="str">
        <f t="shared" si="5541"/>
        <v>-</v>
      </c>
      <c r="N176" s="25">
        <f>WORLDCUP!AC113</f>
        <v>0</v>
      </c>
      <c r="O176" s="25">
        <f>WORLDCUP!AD113</f>
        <v>0</v>
      </c>
      <c r="P176" s="25">
        <f t="shared" si="5542"/>
        <v>0</v>
      </c>
      <c r="Q176" s="25">
        <f t="shared" si="5543"/>
        <v>0</v>
      </c>
      <c r="R176" s="108"/>
      <c r="S176" s="796" t="s">
        <v>1976</v>
      </c>
      <c r="T176" s="76">
        <f t="shared" ca="1" si="5440"/>
        <v>0</v>
      </c>
      <c r="U176" s="108"/>
      <c r="V176" s="73" t="s">
        <v>2021</v>
      </c>
      <c r="W176" s="76">
        <f t="shared" ca="1" si="5441"/>
        <v>0</v>
      </c>
      <c r="X176" s="108"/>
      <c r="Y176" s="796" t="s">
        <v>2064</v>
      </c>
      <c r="Z176" s="76">
        <f t="shared" ca="1" si="5442"/>
        <v>0</v>
      </c>
      <c r="AA176" s="108"/>
      <c r="AB176" s="796" t="s">
        <v>2100</v>
      </c>
      <c r="AC176" s="76">
        <f t="shared" ca="1" si="5443"/>
        <v>0</v>
      </c>
      <c r="AD176" s="108"/>
      <c r="AE176" s="796" t="s">
        <v>2137</v>
      </c>
      <c r="AF176" s="76">
        <f t="shared" ca="1" si="5544"/>
        <v>0</v>
      </c>
      <c r="AG176" s="108"/>
      <c r="AH176" s="796" t="s">
        <v>2170</v>
      </c>
      <c r="AI176" s="76">
        <f t="shared" ca="1" si="5445"/>
        <v>0</v>
      </c>
      <c r="AJ176" s="108"/>
      <c r="AK176" s="806" t="s">
        <v>2207</v>
      </c>
      <c r="AL176" s="76">
        <f t="shared" ca="1" si="5446"/>
        <v>0</v>
      </c>
      <c r="AM176" s="108"/>
      <c r="AN176" s="796" t="s">
        <v>2235</v>
      </c>
      <c r="AO176" s="76">
        <f t="shared" ca="1" si="5447"/>
        <v>0</v>
      </c>
      <c r="AP176" s="108"/>
      <c r="AQ176" s="806" t="s">
        <v>2263</v>
      </c>
      <c r="AR176" s="76">
        <f t="shared" ca="1" si="5448"/>
        <v>0</v>
      </c>
      <c r="AS176" s="108"/>
      <c r="AT176" s="796" t="s">
        <v>2299</v>
      </c>
      <c r="AU176" s="76">
        <f t="shared" ca="1" si="5449"/>
        <v>0</v>
      </c>
      <c r="AV176" s="108"/>
      <c r="AW176" s="796" t="s">
        <v>2320</v>
      </c>
      <c r="AX176" s="76">
        <f t="shared" ca="1" si="5450"/>
        <v>0</v>
      </c>
      <c r="AY176" s="108"/>
      <c r="AZ176" s="796" t="s">
        <v>2364</v>
      </c>
      <c r="BA176" s="76">
        <f t="shared" ca="1" si="5451"/>
        <v>0</v>
      </c>
      <c r="BB176" s="108"/>
      <c r="BC176" s="796" t="s">
        <v>2401</v>
      </c>
      <c r="BD176" s="76">
        <f t="shared" ca="1" si="5452"/>
        <v>0</v>
      </c>
      <c r="BE176" s="108"/>
      <c r="BF176" s="796" t="s">
        <v>2425</v>
      </c>
      <c r="BG176" s="76">
        <f t="shared" ca="1" si="5453"/>
        <v>0</v>
      </c>
      <c r="BH176" s="108"/>
      <c r="BI176" s="796" t="s">
        <v>2460</v>
      </c>
      <c r="BJ176" s="76">
        <f t="shared" ca="1" si="5454"/>
        <v>0</v>
      </c>
      <c r="BK176" s="108"/>
      <c r="BL176" s="796" t="s">
        <v>2021</v>
      </c>
      <c r="BM176" s="76">
        <f t="shared" ca="1" si="5455"/>
        <v>0</v>
      </c>
      <c r="BN176" s="108"/>
      <c r="BO176" s="816" t="s">
        <v>2235</v>
      </c>
      <c r="BP176" s="76">
        <f t="shared" ca="1" si="5456"/>
        <v>0</v>
      </c>
      <c r="BQ176" s="108"/>
      <c r="BR176" s="796" t="s">
        <v>2299</v>
      </c>
      <c r="BS176" s="76">
        <f t="shared" ca="1" si="5457"/>
        <v>0</v>
      </c>
      <c r="BT176" s="108"/>
      <c r="BU176" s="796" t="s">
        <v>2538</v>
      </c>
      <c r="BV176" s="76">
        <f t="shared" ca="1" si="5458"/>
        <v>0</v>
      </c>
      <c r="BW176" s="108"/>
      <c r="BX176" s="73" t="s">
        <v>2562</v>
      </c>
      <c r="BY176" s="76">
        <f t="shared" ca="1" si="5459"/>
        <v>0</v>
      </c>
      <c r="BZ176" s="108"/>
      <c r="CA176" s="816" t="s">
        <v>2584</v>
      </c>
      <c r="CB176" s="76">
        <f t="shared" ca="1" si="5460"/>
        <v>0</v>
      </c>
      <c r="CC176" s="108"/>
      <c r="CD176" s="825" t="s">
        <v>2137</v>
      </c>
      <c r="CE176" s="76">
        <f t="shared" ca="1" si="5461"/>
        <v>0</v>
      </c>
      <c r="CF176" s="108"/>
      <c r="CG176" s="796" t="s">
        <v>2615</v>
      </c>
      <c r="CH176" s="76">
        <f t="shared" ca="1" si="5462"/>
        <v>0</v>
      </c>
      <c r="CI176" s="108"/>
      <c r="CJ176" s="796" t="s">
        <v>2630</v>
      </c>
      <c r="CK176" s="76">
        <f t="shared" ca="1" si="5463"/>
        <v>0</v>
      </c>
      <c r="CL176" s="108"/>
      <c r="CM176" s="796" t="s">
        <v>2650</v>
      </c>
      <c r="CN176" s="76">
        <f t="shared" ca="1" si="5464"/>
        <v>0</v>
      </c>
      <c r="CO176" s="108"/>
      <c r="CP176" s="796" t="s">
        <v>2676</v>
      </c>
      <c r="CQ176" s="76">
        <f t="shared" ca="1" si="5465"/>
        <v>0</v>
      </c>
      <c r="CR176" s="108"/>
      <c r="CS176" s="796" t="s">
        <v>2460</v>
      </c>
      <c r="CT176" s="76">
        <f t="shared" ca="1" si="5466"/>
        <v>0</v>
      </c>
      <c r="CU176" s="108"/>
      <c r="CV176" s="796" t="s">
        <v>2726</v>
      </c>
      <c r="CW176" s="76">
        <f t="shared" ca="1" si="5467"/>
        <v>0</v>
      </c>
      <c r="CX176" s="108"/>
      <c r="CY176" s="796" t="s">
        <v>2401</v>
      </c>
      <c r="CZ176" s="76">
        <f t="shared" ca="1" si="5468"/>
        <v>0</v>
      </c>
      <c r="DA176" s="108"/>
      <c r="DB176" s="796" t="s">
        <v>2774</v>
      </c>
      <c r="DC176" s="76">
        <f t="shared" ca="1" si="5469"/>
        <v>0</v>
      </c>
      <c r="DD176" s="108"/>
      <c r="DE176" s="796" t="s">
        <v>2798</v>
      </c>
      <c r="DF176" s="76">
        <f t="shared" ca="1" si="5470"/>
        <v>0</v>
      </c>
      <c r="DG176" s="108"/>
      <c r="DH176" s="796" t="s">
        <v>2235</v>
      </c>
      <c r="DI176" s="76">
        <f t="shared" ca="1" si="5471"/>
        <v>0</v>
      </c>
      <c r="DJ176" s="108"/>
      <c r="DK176" s="796" t="s">
        <v>2817</v>
      </c>
      <c r="DL176" s="76">
        <f t="shared" ca="1" si="5472"/>
        <v>0</v>
      </c>
      <c r="DM176" s="108"/>
      <c r="DN176" s="73"/>
      <c r="DO176" s="76">
        <f t="shared" ca="1" si="5473"/>
        <v>0</v>
      </c>
      <c r="DP176" s="108"/>
      <c r="DQ176" s="796" t="s">
        <v>2836</v>
      </c>
      <c r="DR176" s="76">
        <f t="shared" ca="1" si="5474"/>
        <v>0</v>
      </c>
      <c r="DS176" s="108"/>
      <c r="DT176" s="73" t="s">
        <v>2460</v>
      </c>
      <c r="DU176" s="76">
        <f t="shared" ca="1" si="5475"/>
        <v>0</v>
      </c>
      <c r="DV176" s="108"/>
      <c r="DW176" s="73"/>
      <c r="DX176" s="76">
        <f t="shared" ca="1" si="5476"/>
        <v>0</v>
      </c>
      <c r="DY176" s="108"/>
      <c r="DZ176" s="73"/>
      <c r="EA176" s="76">
        <f t="shared" ca="1" si="5477"/>
        <v>0</v>
      </c>
      <c r="EB176" s="108"/>
      <c r="EC176" s="73"/>
      <c r="ED176" s="76">
        <f t="shared" ca="1" si="5478"/>
        <v>0</v>
      </c>
      <c r="EE176" s="108"/>
      <c r="EF176" s="73"/>
      <c r="EG176" s="76">
        <f t="shared" ca="1" si="5479"/>
        <v>0</v>
      </c>
      <c r="EH176" s="108"/>
      <c r="EI176" s="73"/>
      <c r="EJ176" s="76">
        <f t="shared" ca="1" si="5480"/>
        <v>0</v>
      </c>
      <c r="EK176" s="108"/>
      <c r="EL176" s="73"/>
      <c r="EM176" s="76">
        <f t="shared" ca="1" si="5481"/>
        <v>0</v>
      </c>
      <c r="EN176" s="108"/>
      <c r="EO176" s="73"/>
      <c r="EP176" s="76">
        <f t="shared" ca="1" si="5482"/>
        <v>0</v>
      </c>
      <c r="EQ176" s="108"/>
      <c r="ER176" s="73"/>
      <c r="ES176" s="76">
        <f t="shared" ca="1" si="5483"/>
        <v>0</v>
      </c>
      <c r="ET176" s="108"/>
      <c r="EU176" s="73"/>
      <c r="EV176" s="76">
        <f t="shared" ca="1" si="5484"/>
        <v>0</v>
      </c>
      <c r="EW176" s="108"/>
      <c r="EX176" s="73"/>
      <c r="EY176" s="76">
        <f t="shared" ca="1" si="5485"/>
        <v>0</v>
      </c>
      <c r="EZ176" s="108"/>
      <c r="FA176" s="73"/>
      <c r="FB176" s="76">
        <f t="shared" ca="1" si="5486"/>
        <v>0</v>
      </c>
      <c r="FC176" s="108"/>
      <c r="FD176" s="73"/>
      <c r="FE176" s="76">
        <f t="shared" ca="1" si="5487"/>
        <v>0</v>
      </c>
      <c r="FF176" s="108"/>
      <c r="FG176" s="73"/>
      <c r="FH176" s="76">
        <f t="shared" ca="1" si="5488"/>
        <v>0</v>
      </c>
      <c r="FI176" s="108"/>
      <c r="FJ176" s="73"/>
      <c r="FK176" s="76">
        <f t="shared" ca="1" si="5489"/>
        <v>0</v>
      </c>
      <c r="FL176" s="108"/>
      <c r="FM176" s="73"/>
      <c r="FN176" s="76">
        <f t="shared" ca="1" si="5490"/>
        <v>0</v>
      </c>
      <c r="FO176" s="108"/>
      <c r="FP176" s="73"/>
      <c r="FQ176" s="76">
        <f t="shared" ca="1" si="5491"/>
        <v>0</v>
      </c>
      <c r="FR176" s="108"/>
      <c r="FS176" s="73"/>
      <c r="FT176" s="76">
        <f t="shared" ca="1" si="5492"/>
        <v>0</v>
      </c>
      <c r="FU176" s="108"/>
      <c r="FV176" s="73"/>
      <c r="FW176" s="76">
        <f t="shared" ca="1" si="5493"/>
        <v>0</v>
      </c>
      <c r="FX176" s="108"/>
      <c r="FY176" s="73"/>
      <c r="FZ176" s="76">
        <f t="shared" ca="1" si="5494"/>
        <v>0</v>
      </c>
      <c r="GA176" s="108"/>
      <c r="GB176" s="73"/>
      <c r="GC176" s="76">
        <f t="shared" ca="1" si="5495"/>
        <v>0</v>
      </c>
      <c r="GD176" s="108"/>
      <c r="GE176" s="73"/>
      <c r="GF176" s="76">
        <f t="shared" ca="1" si="5496"/>
        <v>0</v>
      </c>
      <c r="GG176" s="108"/>
      <c r="GH176" s="73"/>
      <c r="GI176" s="76">
        <f t="shared" ca="1" si="5497"/>
        <v>0</v>
      </c>
      <c r="GJ176" s="108"/>
      <c r="GK176" s="73"/>
      <c r="GL176" s="76">
        <f t="shared" ca="1" si="5498"/>
        <v>0</v>
      </c>
      <c r="GM176" s="108"/>
      <c r="GN176" s="73"/>
      <c r="GO176" s="76">
        <f t="shared" ca="1" si="5499"/>
        <v>0</v>
      </c>
      <c r="GP176" s="108"/>
      <c r="GQ176" s="73"/>
      <c r="GR176" s="76">
        <f t="shared" ca="1" si="5500"/>
        <v>0</v>
      </c>
      <c r="GS176" s="108"/>
      <c r="GT176" s="73"/>
      <c r="GU176" s="76">
        <f t="shared" ca="1" si="5501"/>
        <v>0</v>
      </c>
      <c r="GV176" s="108"/>
      <c r="GW176" s="73"/>
      <c r="GX176" s="76">
        <f t="shared" ca="1" si="5502"/>
        <v>0</v>
      </c>
      <c r="GY176" s="108"/>
      <c r="GZ176" s="73"/>
      <c r="HA176" s="76">
        <f t="shared" ca="1" si="5503"/>
        <v>0</v>
      </c>
      <c r="HB176" s="108"/>
      <c r="HC176" s="73"/>
      <c r="HD176" s="76">
        <f t="shared" ca="1" si="5504"/>
        <v>0</v>
      </c>
      <c r="HE176" s="108"/>
      <c r="HF176" s="73"/>
      <c r="HG176" s="76">
        <f t="shared" ca="1" si="5505"/>
        <v>0</v>
      </c>
      <c r="HH176" s="108"/>
      <c r="HI176" s="73"/>
      <c r="HJ176" s="76">
        <f t="shared" ca="1" si="5506"/>
        <v>0</v>
      </c>
      <c r="HK176" s="108"/>
      <c r="HL176" s="73"/>
      <c r="HM176" s="76">
        <f t="shared" ca="1" si="5507"/>
        <v>0</v>
      </c>
      <c r="HN176" s="108"/>
      <c r="HO176" s="73"/>
      <c r="HP176" s="76">
        <f t="shared" ca="1" si="5508"/>
        <v>0</v>
      </c>
      <c r="HQ176" s="108"/>
      <c r="HR176" s="73"/>
      <c r="HS176" s="76">
        <f t="shared" ca="1" si="5509"/>
        <v>0</v>
      </c>
      <c r="HT176" s="108"/>
      <c r="HU176" s="73"/>
      <c r="HV176" s="76">
        <f t="shared" ca="1" si="5510"/>
        <v>0</v>
      </c>
      <c r="HW176" s="108"/>
      <c r="HX176" s="73"/>
      <c r="HY176" s="76">
        <f t="shared" ca="1" si="5511"/>
        <v>0</v>
      </c>
      <c r="HZ176" s="108"/>
      <c r="IA176" s="73"/>
      <c r="IB176" s="76">
        <f t="shared" ca="1" si="5512"/>
        <v>0</v>
      </c>
      <c r="IC176" s="108"/>
      <c r="ID176" s="73"/>
      <c r="IE176" s="76">
        <f t="shared" ca="1" si="5513"/>
        <v>0</v>
      </c>
      <c r="IF176" s="108"/>
      <c r="IG176" s="73"/>
      <c r="IH176" s="76">
        <f t="shared" ca="1" si="5514"/>
        <v>0</v>
      </c>
      <c r="II176" s="108"/>
      <c r="IJ176" s="73"/>
      <c r="IK176" s="76">
        <f t="shared" ca="1" si="5515"/>
        <v>0</v>
      </c>
      <c r="IL176" s="108"/>
      <c r="IM176" s="73"/>
      <c r="IN176" s="76">
        <f t="shared" ca="1" si="5516"/>
        <v>0</v>
      </c>
      <c r="IO176" s="108"/>
      <c r="IP176" s="73"/>
      <c r="IQ176" s="76">
        <f t="shared" ca="1" si="5517"/>
        <v>0</v>
      </c>
      <c r="IR176" s="108"/>
      <c r="IS176" s="73"/>
      <c r="IT176" s="76">
        <f t="shared" ca="1" si="5518"/>
        <v>0</v>
      </c>
      <c r="IU176" s="108"/>
      <c r="IV176" s="73"/>
      <c r="IW176" s="76">
        <f t="shared" ca="1" si="5519"/>
        <v>0</v>
      </c>
      <c r="IX176" s="108"/>
      <c r="IY176" s="73"/>
      <c r="IZ176" s="76">
        <f t="shared" ca="1" si="5520"/>
        <v>0</v>
      </c>
      <c r="JA176" s="108"/>
      <c r="JB176" s="73"/>
      <c r="JC176" s="76">
        <f t="shared" ca="1" si="5521"/>
        <v>0</v>
      </c>
      <c r="JD176" s="108"/>
      <c r="JE176" s="73"/>
      <c r="JF176" s="76">
        <f t="shared" ca="1" si="5522"/>
        <v>0</v>
      </c>
      <c r="JG176" s="108"/>
      <c r="JH176" s="73"/>
      <c r="JI176" s="76">
        <f t="shared" ca="1" si="5523"/>
        <v>0</v>
      </c>
      <c r="JJ176" s="108"/>
      <c r="JK176" s="73"/>
      <c r="JL176" s="76">
        <f t="shared" ca="1" si="5524"/>
        <v>0</v>
      </c>
      <c r="JM176" s="108"/>
      <c r="JN176" s="73"/>
      <c r="JO176" s="76">
        <f t="shared" ca="1" si="5525"/>
        <v>0</v>
      </c>
      <c r="JP176" s="108"/>
      <c r="JQ176" s="73"/>
      <c r="JR176" s="76">
        <f t="shared" ca="1" si="5526"/>
        <v>0</v>
      </c>
      <c r="JS176" s="108"/>
      <c r="JT176" s="73"/>
      <c r="JU176" s="76">
        <f t="shared" ca="1" si="5527"/>
        <v>0</v>
      </c>
      <c r="JV176" s="108"/>
      <c r="JW176" s="73"/>
      <c r="JX176" s="76">
        <f t="shared" ca="1" si="5528"/>
        <v>0</v>
      </c>
      <c r="JY176" s="108"/>
      <c r="JZ176" s="73"/>
      <c r="KA176" s="76">
        <f t="shared" ca="1" si="5529"/>
        <v>0</v>
      </c>
      <c r="KB176" s="108"/>
      <c r="KC176" s="73"/>
      <c r="KD176" s="76">
        <f t="shared" ca="1" si="5530"/>
        <v>0</v>
      </c>
      <c r="KE176" s="108"/>
      <c r="KF176" s="73"/>
      <c r="KG176" s="76">
        <f t="shared" ca="1" si="5531"/>
        <v>0</v>
      </c>
      <c r="KH176" s="108"/>
      <c r="KI176" s="73"/>
      <c r="KJ176" s="76">
        <f t="shared" ca="1" si="5532"/>
        <v>0</v>
      </c>
      <c r="KK176" s="108"/>
      <c r="KL176" s="73"/>
      <c r="KM176" s="76">
        <f t="shared" ca="1" si="5533"/>
        <v>0</v>
      </c>
      <c r="KN176" s="108"/>
      <c r="KO176" s="73"/>
      <c r="KP176" s="76">
        <f t="shared" ca="1" si="5534"/>
        <v>0</v>
      </c>
      <c r="KQ176" s="108"/>
      <c r="KR176" s="73"/>
      <c r="KS176" s="76">
        <f t="shared" ca="1" si="5535"/>
        <v>0</v>
      </c>
      <c r="KT176" s="108"/>
      <c r="KU176" s="73"/>
      <c r="KV176" s="76">
        <f t="shared" ca="1" si="5536"/>
        <v>0</v>
      </c>
      <c r="KW176" s="108"/>
      <c r="KX176" s="73"/>
      <c r="KY176" s="76">
        <f t="shared" ca="1" si="5537"/>
        <v>0</v>
      </c>
      <c r="KZ176" s="108"/>
      <c r="LA176" s="73"/>
      <c r="LB176" s="76">
        <f t="shared" ca="1" si="5538"/>
        <v>0</v>
      </c>
      <c r="LC176" s="108"/>
      <c r="LD176" s="73"/>
      <c r="LE176" s="76">
        <f t="shared" ca="1" si="5539"/>
        <v>0</v>
      </c>
      <c r="LF176" s="108"/>
    </row>
    <row r="177" spans="1:318" s="784" customFormat="1">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6">
        <f t="shared" si="5540"/>
        <v>30</v>
      </c>
      <c r="G177" s="406">
        <f ca="1">VLOOKUP(H177,Equipos!$Q$1:$R$25,2,0)</f>
        <v>20</v>
      </c>
      <c r="H177" s="444" t="str">
        <f>Idiomas!$D$260</f>
        <v>Dieciseisavos de final</v>
      </c>
      <c r="I177" s="45">
        <v>1</v>
      </c>
      <c r="J177" s="843"/>
      <c r="K177" s="56" t="str">
        <f ca="1">CONCATENATE(WORLDCUP!AA114,"-",WORLDCUP!AF114)</f>
        <v>2D-2G</v>
      </c>
      <c r="L177" s="53" t="str">
        <f>IF(OR(WORLDCUP!AC114="",WORLDCUP!AD114=""),"PD",IF(WORLDCUP!AC114&gt;WORLDCUP!AD114,1,IF(WORLDCUP!AC114&lt;WORLDCUP!AD114,2,0)))</f>
        <v>PD</v>
      </c>
      <c r="M177" s="55" t="str">
        <f t="shared" si="5541"/>
        <v>-</v>
      </c>
      <c r="N177" s="25">
        <f>WORLDCUP!AC114</f>
        <v>0</v>
      </c>
      <c r="O177" s="25">
        <f>WORLDCUP!AD114</f>
        <v>0</v>
      </c>
      <c r="P177" s="25">
        <f t="shared" si="5542"/>
        <v>0</v>
      </c>
      <c r="Q177" s="25">
        <f t="shared" si="5543"/>
        <v>0</v>
      </c>
      <c r="R177" s="108"/>
      <c r="S177" s="796" t="s">
        <v>1977</v>
      </c>
      <c r="T177" s="76">
        <f t="shared" ca="1" si="5440"/>
        <v>0</v>
      </c>
      <c r="U177" s="108"/>
      <c r="V177" s="73" t="s">
        <v>2022</v>
      </c>
      <c r="W177" s="76">
        <f t="shared" ca="1" si="5441"/>
        <v>0</v>
      </c>
      <c r="X177" s="108"/>
      <c r="Y177" s="796" t="s">
        <v>2065</v>
      </c>
      <c r="Z177" s="76">
        <f t="shared" ca="1" si="5442"/>
        <v>0</v>
      </c>
      <c r="AA177" s="108"/>
      <c r="AB177" s="796" t="s">
        <v>2101</v>
      </c>
      <c r="AC177" s="76">
        <f t="shared" ca="1" si="5443"/>
        <v>0</v>
      </c>
      <c r="AD177" s="108"/>
      <c r="AE177" s="796" t="s">
        <v>2138</v>
      </c>
      <c r="AF177" s="76">
        <f t="shared" ref="AF177:AF179" ca="1" si="5545">IFERROR(IF(COUNTIF($K$164:$K$179,LEFT(AE177,FIND("·",AE177)-1))&gt;0,IF(INDEX($L$164:$L$179,MATCH(LEFT(AE177,FIND("·",AE177)-1),$K$164:$K$179,0))=IFERROR(VALUE(MID(AE177,FIND("·",AE177)+1,1)),0),($D$16+(INDEX($M$164:$M$179,MATCH(LEFT(AE177,FIND("·",AE177)-1),$K$164:$K$179,0))=MID(AE177,FIND("|",AE177)+1,10))*$D$18+MAX(0,IF($D$50=1,$D$17*(1-(ABS(INDEX($P$164:$P$179,MATCH(LEFT(AE177,FIND("·",AE177)-1),$K$164:$K$179,0))-(VALUE(MID(AE177,FIND("|",AE177)+1,FIND("-",AE177,FIND("|",AE177))-FIND("|",AE177)-1))-VALUE(MID(AE177,FIND("-",AE177,FIND("|",AE177))+1,10)))))*$D$50),$D$17*(1-(IF(INDEX($L$164:$L$179,MATCH(LEFT(AE177,FIND("·",AE177)-1),$K$164:$K$179,0))=0,ABS(INDEX($N$164:$N$179,MATCH(LEFT(AE177,FIND("·",AE177)-1),$K$164:$K$179,0))-VALUE(MID(AE177,FIND("|",AE177)+1,FIND("-",AE177,FIND("|",AE177))-FIND("|",AE177)-1))),ABS(INDEX($P$164:$P$179,MATCH(LEFT(AE177,FIND("·",AE177)-1),$K$164:$K$179,0))-(VALUE(MID(AE177,FIND("|",AE177)+1,FIND("-",AE177,FIND("|",AE177))-FIND("|",AE177)-1))-VALUE(MID(AE177,FIND("-",AE177,FIND("|",AE177))+1,10)))))*$D$50)))))*INDEX($I$164:$I$179,MATCH(LEFT(AE177,FIND("·",AE177)-1),$K$164:$K$179,0)),0),0),0)+IFERROR(IF(COUNTIF($C$164:$C$179,LEFT(AE177,FIND("·",AE177)-1))&gt;0,IF(INDEX($D$164:$D$179,MATCH(LEFT(AE177,FIND("·",AE177)-1),$C$164:$C$179,0))=IFERROR(VALUE(MID(AE177,FIND("·",AE177)+1,1)),0),($D$16+(INDEX($E$164:$E$179,MATCH(LEFT(AE177,FIND("·",AE177)-1),$C$164:$C$179,0))=MID(AE177,FIND("|",AE177)+1,10))*$D$18+MAX(0,IF($D$50=1,$D$17*(1-(ABS(INDEX($Q$164:$Q$179,MATCH(LEFT(AE177,FIND("·",AE177)-1),$C$164:$C$179,0))-(VALUE(MID(AE177,FIND("|",AE177)+1,FIND("-",AE177,FIND("|",AE177))-FIND("|",AE177)-1))-VALUE(MID(AE177,FIND("-",AE177,FIND("|",AE177))+1,10)))))*$D$50),$D$17*(1-(IF(INDEX($D$164:$D$179,MATCH(LEFT(AE177,FIND("·",AE177)-1),$C$164:$C$179,0))=0,ABS(INDEX($A$164:$A$179,MATCH(LEFT(AE177,FIND("·",AE177)-1),$C$164:$C$179,0))-VALUE(MID(AE177,FIND("|",AE177)+1,FIND("-",AE177,FIND("|",AE177))-FIND("|",AE177)-1))),ABS(INDEX($Q$164:$Q$179,MATCH(LEFT(AE177,FIND("·",AE177)-1),$C$164:$C$179,0))-(VALUE(MID(AE177,FIND("|",AE177)+1,FIND("-",AE177,FIND("|",AE177))-FIND("|",AE177)-1))-VALUE(MID(AE177,FIND("-",AE177,FIND("|",AE177))+1,10)))))*$D$50)))))*INDEX($I$164:$I$179,MATCH(LEFT(AE177,FIND("·",AE177)-1),$C$164:$C$179,0)),0),0),0)</f>
        <v>0</v>
      </c>
      <c r="AG177" s="108"/>
      <c r="AH177" s="796" t="s">
        <v>2171</v>
      </c>
      <c r="AI177" s="76">
        <f t="shared" ca="1" si="5445"/>
        <v>0</v>
      </c>
      <c r="AJ177" s="108"/>
      <c r="AK177" s="806" t="s">
        <v>2208</v>
      </c>
      <c r="AL177" s="76">
        <f t="shared" ca="1" si="5446"/>
        <v>0</v>
      </c>
      <c r="AM177" s="108"/>
      <c r="AN177" s="796" t="s">
        <v>2171</v>
      </c>
      <c r="AO177" s="76">
        <f t="shared" ca="1" si="5447"/>
        <v>0</v>
      </c>
      <c r="AP177" s="108"/>
      <c r="AQ177" s="806" t="s">
        <v>2264</v>
      </c>
      <c r="AR177" s="76">
        <f t="shared" ca="1" si="5448"/>
        <v>0</v>
      </c>
      <c r="AS177" s="108"/>
      <c r="AT177" s="796" t="s">
        <v>2300</v>
      </c>
      <c r="AU177" s="76">
        <f t="shared" ca="1" si="5449"/>
        <v>0</v>
      </c>
      <c r="AV177" s="108"/>
      <c r="AW177" s="796" t="s">
        <v>2321</v>
      </c>
      <c r="AX177" s="76">
        <f t="shared" ca="1" si="5450"/>
        <v>0</v>
      </c>
      <c r="AY177" s="108"/>
      <c r="AZ177" s="796" t="s">
        <v>2171</v>
      </c>
      <c r="BA177" s="76">
        <f t="shared" ca="1" si="5451"/>
        <v>0</v>
      </c>
      <c r="BB177" s="108"/>
      <c r="BC177" s="796" t="s">
        <v>2402</v>
      </c>
      <c r="BD177" s="76">
        <f t="shared" ca="1" si="5452"/>
        <v>0</v>
      </c>
      <c r="BE177" s="108"/>
      <c r="BF177" s="796" t="s">
        <v>2138</v>
      </c>
      <c r="BG177" s="76">
        <f t="shared" ca="1" si="5453"/>
        <v>0</v>
      </c>
      <c r="BH177" s="108"/>
      <c r="BI177" s="796" t="s">
        <v>2461</v>
      </c>
      <c r="BJ177" s="76">
        <f t="shared" ca="1" si="5454"/>
        <v>0</v>
      </c>
      <c r="BK177" s="108"/>
      <c r="BL177" s="796" t="s">
        <v>2481</v>
      </c>
      <c r="BM177" s="76">
        <f t="shared" ca="1" si="5455"/>
        <v>0</v>
      </c>
      <c r="BN177" s="108"/>
      <c r="BO177" s="816" t="s">
        <v>2505</v>
      </c>
      <c r="BP177" s="76">
        <f t="shared" ca="1" si="5456"/>
        <v>0</v>
      </c>
      <c r="BQ177" s="108"/>
      <c r="BR177" s="796" t="s">
        <v>2522</v>
      </c>
      <c r="BS177" s="76">
        <f t="shared" ca="1" si="5457"/>
        <v>0</v>
      </c>
      <c r="BT177" s="108"/>
      <c r="BU177" s="796" t="s">
        <v>2461</v>
      </c>
      <c r="BV177" s="76">
        <f t="shared" ca="1" si="5458"/>
        <v>0</v>
      </c>
      <c r="BW177" s="108"/>
      <c r="BX177" s="73" t="s">
        <v>2526</v>
      </c>
      <c r="BY177" s="76">
        <f t="shared" ca="1" si="5459"/>
        <v>0</v>
      </c>
      <c r="BZ177" s="108"/>
      <c r="CA177" s="816" t="s">
        <v>2585</v>
      </c>
      <c r="CB177" s="76">
        <f t="shared" ca="1" si="5460"/>
        <v>0</v>
      </c>
      <c r="CC177" s="108"/>
      <c r="CD177" s="825" t="s">
        <v>2597</v>
      </c>
      <c r="CE177" s="76">
        <f t="shared" ca="1" si="5461"/>
        <v>0</v>
      </c>
      <c r="CF177" s="108"/>
      <c r="CG177" s="796" t="s">
        <v>2522</v>
      </c>
      <c r="CH177" s="76">
        <f t="shared" ca="1" si="5462"/>
        <v>0</v>
      </c>
      <c r="CI177" s="108"/>
      <c r="CJ177" s="796" t="s">
        <v>2461</v>
      </c>
      <c r="CK177" s="76">
        <f t="shared" ca="1" si="5463"/>
        <v>0</v>
      </c>
      <c r="CL177" s="108"/>
      <c r="CM177" s="796" t="s">
        <v>2651</v>
      </c>
      <c r="CN177" s="76">
        <f t="shared" ca="1" si="5464"/>
        <v>0</v>
      </c>
      <c r="CO177" s="108"/>
      <c r="CP177" s="796" t="s">
        <v>2677</v>
      </c>
      <c r="CQ177" s="76">
        <f t="shared" ca="1" si="5465"/>
        <v>0</v>
      </c>
      <c r="CR177" s="108"/>
      <c r="CS177" s="796" t="s">
        <v>2699</v>
      </c>
      <c r="CT177" s="76">
        <f t="shared" ca="1" si="5466"/>
        <v>0</v>
      </c>
      <c r="CU177" s="108"/>
      <c r="CV177" s="796" t="s">
        <v>2727</v>
      </c>
      <c r="CW177" s="76">
        <f t="shared" ca="1" si="5467"/>
        <v>0</v>
      </c>
      <c r="CX177" s="108"/>
      <c r="CY177" s="796" t="s">
        <v>2749</v>
      </c>
      <c r="CZ177" s="76">
        <f t="shared" ca="1" si="5468"/>
        <v>0</v>
      </c>
      <c r="DA177" s="108"/>
      <c r="DB177" s="796" t="s">
        <v>2775</v>
      </c>
      <c r="DC177" s="76">
        <f t="shared" ca="1" si="5469"/>
        <v>0</v>
      </c>
      <c r="DD177" s="108"/>
      <c r="DE177" s="796" t="s">
        <v>2461</v>
      </c>
      <c r="DF177" s="76">
        <f t="shared" ca="1" si="5470"/>
        <v>0</v>
      </c>
      <c r="DG177" s="108"/>
      <c r="DH177" s="796" t="s">
        <v>2857</v>
      </c>
      <c r="DI177" s="76">
        <f t="shared" ca="1" si="5471"/>
        <v>0</v>
      </c>
      <c r="DJ177" s="108"/>
      <c r="DK177" s="796" t="s">
        <v>2461</v>
      </c>
      <c r="DL177" s="76">
        <f t="shared" ca="1" si="5472"/>
        <v>0</v>
      </c>
      <c r="DM177" s="108"/>
      <c r="DN177" s="73"/>
      <c r="DO177" s="76">
        <f t="shared" ca="1" si="5473"/>
        <v>0</v>
      </c>
      <c r="DP177" s="108"/>
      <c r="DQ177" s="796" t="s">
        <v>2837</v>
      </c>
      <c r="DR177" s="76">
        <f t="shared" ca="1" si="5474"/>
        <v>0</v>
      </c>
      <c r="DS177" s="108"/>
      <c r="DT177" s="73" t="s">
        <v>2837</v>
      </c>
      <c r="DU177" s="76">
        <f t="shared" ca="1" si="5475"/>
        <v>0</v>
      </c>
      <c r="DV177" s="108"/>
      <c r="DW177" s="73"/>
      <c r="DX177" s="76">
        <f t="shared" ca="1" si="5476"/>
        <v>0</v>
      </c>
      <c r="DY177" s="108"/>
      <c r="DZ177" s="73"/>
      <c r="EA177" s="76">
        <f t="shared" ca="1" si="5477"/>
        <v>0</v>
      </c>
      <c r="EB177" s="108"/>
      <c r="EC177" s="73"/>
      <c r="ED177" s="76">
        <f t="shared" ca="1" si="5478"/>
        <v>0</v>
      </c>
      <c r="EE177" s="108"/>
      <c r="EF177" s="73"/>
      <c r="EG177" s="76">
        <f t="shared" ca="1" si="5479"/>
        <v>0</v>
      </c>
      <c r="EH177" s="108"/>
      <c r="EI177" s="73"/>
      <c r="EJ177" s="76">
        <f t="shared" ca="1" si="5480"/>
        <v>0</v>
      </c>
      <c r="EK177" s="108"/>
      <c r="EL177" s="73"/>
      <c r="EM177" s="76">
        <f t="shared" ca="1" si="5481"/>
        <v>0</v>
      </c>
      <c r="EN177" s="108"/>
      <c r="EO177" s="73"/>
      <c r="EP177" s="76">
        <f t="shared" ca="1" si="5482"/>
        <v>0</v>
      </c>
      <c r="EQ177" s="108"/>
      <c r="ER177" s="73"/>
      <c r="ES177" s="76">
        <f t="shared" ca="1" si="5483"/>
        <v>0</v>
      </c>
      <c r="ET177" s="108"/>
      <c r="EU177" s="73"/>
      <c r="EV177" s="76">
        <f t="shared" ca="1" si="5484"/>
        <v>0</v>
      </c>
      <c r="EW177" s="108"/>
      <c r="EX177" s="73"/>
      <c r="EY177" s="76">
        <f t="shared" ca="1" si="5485"/>
        <v>0</v>
      </c>
      <c r="EZ177" s="108"/>
      <c r="FA177" s="73"/>
      <c r="FB177" s="76">
        <f t="shared" ca="1" si="5486"/>
        <v>0</v>
      </c>
      <c r="FC177" s="108"/>
      <c r="FD177" s="73"/>
      <c r="FE177" s="76">
        <f t="shared" ca="1" si="5487"/>
        <v>0</v>
      </c>
      <c r="FF177" s="108"/>
      <c r="FG177" s="73"/>
      <c r="FH177" s="76">
        <f t="shared" ca="1" si="5488"/>
        <v>0</v>
      </c>
      <c r="FI177" s="108"/>
      <c r="FJ177" s="73"/>
      <c r="FK177" s="76">
        <f t="shared" ca="1" si="5489"/>
        <v>0</v>
      </c>
      <c r="FL177" s="108"/>
      <c r="FM177" s="73"/>
      <c r="FN177" s="76">
        <f t="shared" ca="1" si="5490"/>
        <v>0</v>
      </c>
      <c r="FO177" s="108"/>
      <c r="FP177" s="73"/>
      <c r="FQ177" s="76">
        <f t="shared" ca="1" si="5491"/>
        <v>0</v>
      </c>
      <c r="FR177" s="108"/>
      <c r="FS177" s="73"/>
      <c r="FT177" s="76">
        <f t="shared" ca="1" si="5492"/>
        <v>0</v>
      </c>
      <c r="FU177" s="108"/>
      <c r="FV177" s="73"/>
      <c r="FW177" s="76">
        <f t="shared" ca="1" si="5493"/>
        <v>0</v>
      </c>
      <c r="FX177" s="108"/>
      <c r="FY177" s="73"/>
      <c r="FZ177" s="76">
        <f t="shared" ca="1" si="5494"/>
        <v>0</v>
      </c>
      <c r="GA177" s="108"/>
      <c r="GB177" s="73"/>
      <c r="GC177" s="76">
        <f t="shared" ca="1" si="5495"/>
        <v>0</v>
      </c>
      <c r="GD177" s="108"/>
      <c r="GE177" s="73"/>
      <c r="GF177" s="76">
        <f t="shared" ca="1" si="5496"/>
        <v>0</v>
      </c>
      <c r="GG177" s="108"/>
      <c r="GH177" s="73"/>
      <c r="GI177" s="76">
        <f t="shared" ca="1" si="5497"/>
        <v>0</v>
      </c>
      <c r="GJ177" s="108"/>
      <c r="GK177" s="73"/>
      <c r="GL177" s="76">
        <f t="shared" ca="1" si="5498"/>
        <v>0</v>
      </c>
      <c r="GM177" s="108"/>
      <c r="GN177" s="73"/>
      <c r="GO177" s="76">
        <f t="shared" ca="1" si="5499"/>
        <v>0</v>
      </c>
      <c r="GP177" s="108"/>
      <c r="GQ177" s="73"/>
      <c r="GR177" s="76">
        <f t="shared" ca="1" si="5500"/>
        <v>0</v>
      </c>
      <c r="GS177" s="108"/>
      <c r="GT177" s="73"/>
      <c r="GU177" s="76">
        <f t="shared" ca="1" si="5501"/>
        <v>0</v>
      </c>
      <c r="GV177" s="108"/>
      <c r="GW177" s="73"/>
      <c r="GX177" s="76">
        <f t="shared" ca="1" si="5502"/>
        <v>0</v>
      </c>
      <c r="GY177" s="108"/>
      <c r="GZ177" s="73"/>
      <c r="HA177" s="76">
        <f t="shared" ca="1" si="5503"/>
        <v>0</v>
      </c>
      <c r="HB177" s="108"/>
      <c r="HC177" s="73"/>
      <c r="HD177" s="76">
        <f t="shared" ca="1" si="5504"/>
        <v>0</v>
      </c>
      <c r="HE177" s="108"/>
      <c r="HF177" s="73"/>
      <c r="HG177" s="76">
        <f t="shared" ca="1" si="5505"/>
        <v>0</v>
      </c>
      <c r="HH177" s="108"/>
      <c r="HI177" s="73"/>
      <c r="HJ177" s="76">
        <f t="shared" ca="1" si="5506"/>
        <v>0</v>
      </c>
      <c r="HK177" s="108"/>
      <c r="HL177" s="73"/>
      <c r="HM177" s="76">
        <f t="shared" ca="1" si="5507"/>
        <v>0</v>
      </c>
      <c r="HN177" s="108"/>
      <c r="HO177" s="73"/>
      <c r="HP177" s="76">
        <f t="shared" ca="1" si="5508"/>
        <v>0</v>
      </c>
      <c r="HQ177" s="108"/>
      <c r="HR177" s="73"/>
      <c r="HS177" s="76">
        <f t="shared" ca="1" si="5509"/>
        <v>0</v>
      </c>
      <c r="HT177" s="108"/>
      <c r="HU177" s="73"/>
      <c r="HV177" s="76">
        <f t="shared" ca="1" si="5510"/>
        <v>0</v>
      </c>
      <c r="HW177" s="108"/>
      <c r="HX177" s="73"/>
      <c r="HY177" s="76">
        <f t="shared" ca="1" si="5511"/>
        <v>0</v>
      </c>
      <c r="HZ177" s="108"/>
      <c r="IA177" s="73"/>
      <c r="IB177" s="76">
        <f t="shared" ca="1" si="5512"/>
        <v>0</v>
      </c>
      <c r="IC177" s="108"/>
      <c r="ID177" s="73"/>
      <c r="IE177" s="76">
        <f t="shared" ca="1" si="5513"/>
        <v>0</v>
      </c>
      <c r="IF177" s="108"/>
      <c r="IG177" s="73"/>
      <c r="IH177" s="76">
        <f t="shared" ca="1" si="5514"/>
        <v>0</v>
      </c>
      <c r="II177" s="108"/>
      <c r="IJ177" s="73"/>
      <c r="IK177" s="76">
        <f t="shared" ca="1" si="5515"/>
        <v>0</v>
      </c>
      <c r="IL177" s="108"/>
      <c r="IM177" s="73"/>
      <c r="IN177" s="76">
        <f t="shared" ca="1" si="5516"/>
        <v>0</v>
      </c>
      <c r="IO177" s="108"/>
      <c r="IP177" s="73"/>
      <c r="IQ177" s="76">
        <f t="shared" ca="1" si="5517"/>
        <v>0</v>
      </c>
      <c r="IR177" s="108"/>
      <c r="IS177" s="73"/>
      <c r="IT177" s="76">
        <f t="shared" ca="1" si="5518"/>
        <v>0</v>
      </c>
      <c r="IU177" s="108"/>
      <c r="IV177" s="73"/>
      <c r="IW177" s="76">
        <f t="shared" ca="1" si="5519"/>
        <v>0</v>
      </c>
      <c r="IX177" s="108"/>
      <c r="IY177" s="73"/>
      <c r="IZ177" s="76">
        <f t="shared" ca="1" si="5520"/>
        <v>0</v>
      </c>
      <c r="JA177" s="108"/>
      <c r="JB177" s="73"/>
      <c r="JC177" s="76">
        <f t="shared" ca="1" si="5521"/>
        <v>0</v>
      </c>
      <c r="JD177" s="108"/>
      <c r="JE177" s="73"/>
      <c r="JF177" s="76">
        <f t="shared" ca="1" si="5522"/>
        <v>0</v>
      </c>
      <c r="JG177" s="108"/>
      <c r="JH177" s="73"/>
      <c r="JI177" s="76">
        <f t="shared" ca="1" si="5523"/>
        <v>0</v>
      </c>
      <c r="JJ177" s="108"/>
      <c r="JK177" s="73"/>
      <c r="JL177" s="76">
        <f t="shared" ca="1" si="5524"/>
        <v>0</v>
      </c>
      <c r="JM177" s="108"/>
      <c r="JN177" s="73"/>
      <c r="JO177" s="76">
        <f t="shared" ca="1" si="5525"/>
        <v>0</v>
      </c>
      <c r="JP177" s="108"/>
      <c r="JQ177" s="73"/>
      <c r="JR177" s="76">
        <f t="shared" ca="1" si="5526"/>
        <v>0</v>
      </c>
      <c r="JS177" s="108"/>
      <c r="JT177" s="73"/>
      <c r="JU177" s="76">
        <f t="shared" ca="1" si="5527"/>
        <v>0</v>
      </c>
      <c r="JV177" s="108"/>
      <c r="JW177" s="73"/>
      <c r="JX177" s="76">
        <f t="shared" ca="1" si="5528"/>
        <v>0</v>
      </c>
      <c r="JY177" s="108"/>
      <c r="JZ177" s="73"/>
      <c r="KA177" s="76">
        <f t="shared" ca="1" si="5529"/>
        <v>0</v>
      </c>
      <c r="KB177" s="108"/>
      <c r="KC177" s="73"/>
      <c r="KD177" s="76">
        <f t="shared" ca="1" si="5530"/>
        <v>0</v>
      </c>
      <c r="KE177" s="108"/>
      <c r="KF177" s="73"/>
      <c r="KG177" s="76">
        <f t="shared" ca="1" si="5531"/>
        <v>0</v>
      </c>
      <c r="KH177" s="108"/>
      <c r="KI177" s="73"/>
      <c r="KJ177" s="76">
        <f t="shared" ca="1" si="5532"/>
        <v>0</v>
      </c>
      <c r="KK177" s="108"/>
      <c r="KL177" s="73"/>
      <c r="KM177" s="76">
        <f t="shared" ca="1" si="5533"/>
        <v>0</v>
      </c>
      <c r="KN177" s="108"/>
      <c r="KO177" s="73"/>
      <c r="KP177" s="76">
        <f t="shared" ca="1" si="5534"/>
        <v>0</v>
      </c>
      <c r="KQ177" s="108"/>
      <c r="KR177" s="73"/>
      <c r="KS177" s="76">
        <f t="shared" ca="1" si="5535"/>
        <v>0</v>
      </c>
      <c r="KT177" s="108"/>
      <c r="KU177" s="73"/>
      <c r="KV177" s="76">
        <f t="shared" ca="1" si="5536"/>
        <v>0</v>
      </c>
      <c r="KW177" s="108"/>
      <c r="KX177" s="73"/>
      <c r="KY177" s="76">
        <f t="shared" ca="1" si="5537"/>
        <v>0</v>
      </c>
      <c r="KZ177" s="108"/>
      <c r="LA177" s="73"/>
      <c r="LB177" s="76">
        <f t="shared" ca="1" si="5538"/>
        <v>0</v>
      </c>
      <c r="LC177" s="108"/>
      <c r="LD177" s="73"/>
      <c r="LE177" s="76">
        <f t="shared" ca="1" si="5539"/>
        <v>0</v>
      </c>
      <c r="LF177" s="108"/>
    </row>
    <row r="178" spans="1:318" s="784" customFormat="1">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6">
        <f t="shared" si="5540"/>
        <v>30</v>
      </c>
      <c r="G178" s="406">
        <f ca="1">VLOOKUP(H178,Equipos!$Q$1:$R$25,2,0)</f>
        <v>20</v>
      </c>
      <c r="H178" s="444" t="str">
        <f>Idiomas!$D$260</f>
        <v>Dieciseisavos de final</v>
      </c>
      <c r="I178" s="45">
        <v>1</v>
      </c>
      <c r="J178" s="843"/>
      <c r="K178" s="56" t="str">
        <f ca="1">CONCATENATE(WORLDCUP!AA115,"-",WORLDCUP!AF115)</f>
        <v>1J-2H</v>
      </c>
      <c r="L178" s="53" t="str">
        <f>IF(OR(WORLDCUP!AC115="",WORLDCUP!AD115=""),"PD",IF(WORLDCUP!AC115&gt;WORLDCUP!AD115,1,IF(WORLDCUP!AC115&lt;WORLDCUP!AD115,2,0)))</f>
        <v>PD</v>
      </c>
      <c r="M178" s="55" t="str">
        <f t="shared" si="5541"/>
        <v>-</v>
      </c>
      <c r="N178" s="25">
        <f>WORLDCUP!AC115</f>
        <v>0</v>
      </c>
      <c r="O178" s="25">
        <f>WORLDCUP!AD115</f>
        <v>0</v>
      </c>
      <c r="P178" s="25">
        <f t="shared" si="5542"/>
        <v>0</v>
      </c>
      <c r="Q178" s="25">
        <f t="shared" si="5543"/>
        <v>0</v>
      </c>
      <c r="R178" s="108"/>
      <c r="S178" s="796" t="s">
        <v>1978</v>
      </c>
      <c r="T178" s="76">
        <f t="shared" ca="1" si="5440"/>
        <v>0</v>
      </c>
      <c r="U178" s="108"/>
      <c r="V178" s="73" t="s">
        <v>2023</v>
      </c>
      <c r="W178" s="76">
        <f t="shared" ca="1" si="5441"/>
        <v>0</v>
      </c>
      <c r="X178" s="108"/>
      <c r="Y178" s="796" t="s">
        <v>2066</v>
      </c>
      <c r="Z178" s="76">
        <f t="shared" ca="1" si="5442"/>
        <v>0</v>
      </c>
      <c r="AA178" s="108"/>
      <c r="AB178" s="796" t="s">
        <v>2023</v>
      </c>
      <c r="AC178" s="76">
        <f t="shared" ca="1" si="5443"/>
        <v>0</v>
      </c>
      <c r="AD178" s="108"/>
      <c r="AE178" s="796" t="s">
        <v>2139</v>
      </c>
      <c r="AF178" s="76">
        <f t="shared" ca="1" si="5545"/>
        <v>0</v>
      </c>
      <c r="AG178" s="108"/>
      <c r="AH178" s="796" t="s">
        <v>2023</v>
      </c>
      <c r="AI178" s="76">
        <f t="shared" ca="1" si="5445"/>
        <v>0</v>
      </c>
      <c r="AJ178" s="108"/>
      <c r="AK178" s="806" t="s">
        <v>2209</v>
      </c>
      <c r="AL178" s="76">
        <f t="shared" ca="1" si="5446"/>
        <v>0</v>
      </c>
      <c r="AM178" s="108"/>
      <c r="AN178" s="796" t="s">
        <v>2236</v>
      </c>
      <c r="AO178" s="76">
        <f t="shared" ca="1" si="5447"/>
        <v>0</v>
      </c>
      <c r="AP178" s="108"/>
      <c r="AQ178" s="806" t="s">
        <v>2236</v>
      </c>
      <c r="AR178" s="76">
        <f t="shared" ca="1" si="5448"/>
        <v>0</v>
      </c>
      <c r="AS178" s="108"/>
      <c r="AT178" s="796" t="s">
        <v>2139</v>
      </c>
      <c r="AU178" s="76">
        <f t="shared" ca="1" si="5449"/>
        <v>0</v>
      </c>
      <c r="AV178" s="108"/>
      <c r="AW178" s="796" t="s">
        <v>2023</v>
      </c>
      <c r="AX178" s="76">
        <f t="shared" ca="1" si="5450"/>
        <v>0</v>
      </c>
      <c r="AY178" s="108"/>
      <c r="AZ178" s="796" t="s">
        <v>2365</v>
      </c>
      <c r="BA178" s="76">
        <f t="shared" ca="1" si="5451"/>
        <v>0</v>
      </c>
      <c r="BB178" s="108"/>
      <c r="BC178" s="796" t="s">
        <v>2023</v>
      </c>
      <c r="BD178" s="76">
        <f t="shared" ca="1" si="5452"/>
        <v>0</v>
      </c>
      <c r="BE178" s="108"/>
      <c r="BF178" s="796" t="s">
        <v>2426</v>
      </c>
      <c r="BG178" s="76">
        <f t="shared" ca="1" si="5453"/>
        <v>0</v>
      </c>
      <c r="BH178" s="108"/>
      <c r="BI178" s="796" t="s">
        <v>2023</v>
      </c>
      <c r="BJ178" s="76">
        <f t="shared" ca="1" si="5454"/>
        <v>0</v>
      </c>
      <c r="BK178" s="108"/>
      <c r="BL178" s="796" t="s">
        <v>2209</v>
      </c>
      <c r="BM178" s="76">
        <f t="shared" ca="1" si="5455"/>
        <v>0</v>
      </c>
      <c r="BN178" s="108"/>
      <c r="BO178" s="816" t="s">
        <v>2066</v>
      </c>
      <c r="BP178" s="76">
        <f t="shared" ca="1" si="5456"/>
        <v>0</v>
      </c>
      <c r="BQ178" s="108"/>
      <c r="BR178" s="796" t="s">
        <v>2023</v>
      </c>
      <c r="BS178" s="76">
        <f t="shared" ca="1" si="5457"/>
        <v>0</v>
      </c>
      <c r="BT178" s="108"/>
      <c r="BU178" s="796" t="s">
        <v>2139</v>
      </c>
      <c r="BV178" s="76">
        <f t="shared" ca="1" si="5458"/>
        <v>0</v>
      </c>
      <c r="BW178" s="108"/>
      <c r="BX178" s="73" t="s">
        <v>2023</v>
      </c>
      <c r="BY178" s="76">
        <f t="shared" ca="1" si="5459"/>
        <v>0</v>
      </c>
      <c r="BZ178" s="108"/>
      <c r="CA178" s="816" t="s">
        <v>2066</v>
      </c>
      <c r="CB178" s="76">
        <f t="shared" ca="1" si="5460"/>
        <v>0</v>
      </c>
      <c r="CC178" s="108"/>
      <c r="CD178" s="825" t="s">
        <v>2023</v>
      </c>
      <c r="CE178" s="76">
        <f t="shared" ca="1" si="5461"/>
        <v>0</v>
      </c>
      <c r="CF178" s="108"/>
      <c r="CG178" s="796" t="s">
        <v>2066</v>
      </c>
      <c r="CH178" s="76">
        <f t="shared" ca="1" si="5462"/>
        <v>0</v>
      </c>
      <c r="CI178" s="108"/>
      <c r="CJ178" s="796" t="s">
        <v>2236</v>
      </c>
      <c r="CK178" s="76">
        <f t="shared" ca="1" si="5463"/>
        <v>0</v>
      </c>
      <c r="CL178" s="108"/>
      <c r="CM178" s="796" t="s">
        <v>2652</v>
      </c>
      <c r="CN178" s="76">
        <f t="shared" ca="1" si="5464"/>
        <v>0</v>
      </c>
      <c r="CO178" s="108"/>
      <c r="CP178" s="796" t="s">
        <v>2678</v>
      </c>
      <c r="CQ178" s="76">
        <f t="shared" ca="1" si="5465"/>
        <v>0</v>
      </c>
      <c r="CR178" s="108"/>
      <c r="CS178" s="796" t="s">
        <v>2700</v>
      </c>
      <c r="CT178" s="76">
        <f t="shared" ca="1" si="5466"/>
        <v>0</v>
      </c>
      <c r="CU178" s="108"/>
      <c r="CV178" s="796" t="s">
        <v>2139</v>
      </c>
      <c r="CW178" s="76">
        <f t="shared" ca="1" si="5467"/>
        <v>0</v>
      </c>
      <c r="CX178" s="108"/>
      <c r="CY178" s="796" t="s">
        <v>2139</v>
      </c>
      <c r="CZ178" s="76">
        <f t="shared" ca="1" si="5468"/>
        <v>0</v>
      </c>
      <c r="DA178" s="108"/>
      <c r="DB178" s="796" t="s">
        <v>2023</v>
      </c>
      <c r="DC178" s="76">
        <f t="shared" ca="1" si="5469"/>
        <v>0</v>
      </c>
      <c r="DD178" s="108"/>
      <c r="DE178" s="796" t="s">
        <v>2139</v>
      </c>
      <c r="DF178" s="76">
        <f t="shared" ca="1" si="5470"/>
        <v>0</v>
      </c>
      <c r="DG178" s="108"/>
      <c r="DH178" s="796" t="s">
        <v>2236</v>
      </c>
      <c r="DI178" s="76">
        <f t="shared" ca="1" si="5471"/>
        <v>0</v>
      </c>
      <c r="DJ178" s="108"/>
      <c r="DK178" s="796" t="s">
        <v>2236</v>
      </c>
      <c r="DL178" s="76">
        <f t="shared" ca="1" si="5472"/>
        <v>0</v>
      </c>
      <c r="DM178" s="108"/>
      <c r="DN178" s="73"/>
      <c r="DO178" s="76">
        <f t="shared" ca="1" si="5473"/>
        <v>0</v>
      </c>
      <c r="DP178" s="108"/>
      <c r="DQ178" s="796" t="s">
        <v>2700</v>
      </c>
      <c r="DR178" s="76">
        <f t="shared" ca="1" si="5474"/>
        <v>0</v>
      </c>
      <c r="DS178" s="108"/>
      <c r="DT178" s="73" t="s">
        <v>2066</v>
      </c>
      <c r="DU178" s="76">
        <f t="shared" ca="1" si="5475"/>
        <v>0</v>
      </c>
      <c r="DV178" s="108"/>
      <c r="DW178" s="73"/>
      <c r="DX178" s="76">
        <f t="shared" ca="1" si="5476"/>
        <v>0</v>
      </c>
      <c r="DY178" s="108"/>
      <c r="DZ178" s="73"/>
      <c r="EA178" s="76">
        <f t="shared" ca="1" si="5477"/>
        <v>0</v>
      </c>
      <c r="EB178" s="108"/>
      <c r="EC178" s="73"/>
      <c r="ED178" s="76">
        <f t="shared" ca="1" si="5478"/>
        <v>0</v>
      </c>
      <c r="EE178" s="108"/>
      <c r="EF178" s="73"/>
      <c r="EG178" s="76">
        <f t="shared" ca="1" si="5479"/>
        <v>0</v>
      </c>
      <c r="EH178" s="108"/>
      <c r="EI178" s="73"/>
      <c r="EJ178" s="76">
        <f t="shared" ca="1" si="5480"/>
        <v>0</v>
      </c>
      <c r="EK178" s="108"/>
      <c r="EL178" s="73"/>
      <c r="EM178" s="76">
        <f t="shared" ca="1" si="5481"/>
        <v>0</v>
      </c>
      <c r="EN178" s="108"/>
      <c r="EO178" s="73"/>
      <c r="EP178" s="76">
        <f t="shared" ca="1" si="5482"/>
        <v>0</v>
      </c>
      <c r="EQ178" s="108"/>
      <c r="ER178" s="73"/>
      <c r="ES178" s="76">
        <f t="shared" ca="1" si="5483"/>
        <v>0</v>
      </c>
      <c r="ET178" s="108"/>
      <c r="EU178" s="73"/>
      <c r="EV178" s="76">
        <f t="shared" ca="1" si="5484"/>
        <v>0</v>
      </c>
      <c r="EW178" s="108"/>
      <c r="EX178" s="73"/>
      <c r="EY178" s="76">
        <f t="shared" ca="1" si="5485"/>
        <v>0</v>
      </c>
      <c r="EZ178" s="108"/>
      <c r="FA178" s="73"/>
      <c r="FB178" s="76">
        <f t="shared" ca="1" si="5486"/>
        <v>0</v>
      </c>
      <c r="FC178" s="108"/>
      <c r="FD178" s="73"/>
      <c r="FE178" s="76">
        <f t="shared" ca="1" si="5487"/>
        <v>0</v>
      </c>
      <c r="FF178" s="108"/>
      <c r="FG178" s="73"/>
      <c r="FH178" s="76">
        <f t="shared" ca="1" si="5488"/>
        <v>0</v>
      </c>
      <c r="FI178" s="108"/>
      <c r="FJ178" s="73"/>
      <c r="FK178" s="76">
        <f t="shared" ca="1" si="5489"/>
        <v>0</v>
      </c>
      <c r="FL178" s="108"/>
      <c r="FM178" s="73"/>
      <c r="FN178" s="76">
        <f t="shared" ca="1" si="5490"/>
        <v>0</v>
      </c>
      <c r="FO178" s="108"/>
      <c r="FP178" s="73"/>
      <c r="FQ178" s="76">
        <f t="shared" ca="1" si="5491"/>
        <v>0</v>
      </c>
      <c r="FR178" s="108"/>
      <c r="FS178" s="73"/>
      <c r="FT178" s="76">
        <f t="shared" ca="1" si="5492"/>
        <v>0</v>
      </c>
      <c r="FU178" s="108"/>
      <c r="FV178" s="73"/>
      <c r="FW178" s="76">
        <f t="shared" ca="1" si="5493"/>
        <v>0</v>
      </c>
      <c r="FX178" s="108"/>
      <c r="FY178" s="73"/>
      <c r="FZ178" s="76">
        <f t="shared" ca="1" si="5494"/>
        <v>0</v>
      </c>
      <c r="GA178" s="108"/>
      <c r="GB178" s="73"/>
      <c r="GC178" s="76">
        <f t="shared" ca="1" si="5495"/>
        <v>0</v>
      </c>
      <c r="GD178" s="108"/>
      <c r="GE178" s="73"/>
      <c r="GF178" s="76">
        <f t="shared" ca="1" si="5496"/>
        <v>0</v>
      </c>
      <c r="GG178" s="108"/>
      <c r="GH178" s="73"/>
      <c r="GI178" s="76">
        <f t="shared" ca="1" si="5497"/>
        <v>0</v>
      </c>
      <c r="GJ178" s="108"/>
      <c r="GK178" s="73"/>
      <c r="GL178" s="76">
        <f t="shared" ca="1" si="5498"/>
        <v>0</v>
      </c>
      <c r="GM178" s="108"/>
      <c r="GN178" s="73"/>
      <c r="GO178" s="76">
        <f t="shared" ca="1" si="5499"/>
        <v>0</v>
      </c>
      <c r="GP178" s="108"/>
      <c r="GQ178" s="73"/>
      <c r="GR178" s="76">
        <f t="shared" ca="1" si="5500"/>
        <v>0</v>
      </c>
      <c r="GS178" s="108"/>
      <c r="GT178" s="73"/>
      <c r="GU178" s="76">
        <f t="shared" ca="1" si="5501"/>
        <v>0</v>
      </c>
      <c r="GV178" s="108"/>
      <c r="GW178" s="73"/>
      <c r="GX178" s="76">
        <f t="shared" ca="1" si="5502"/>
        <v>0</v>
      </c>
      <c r="GY178" s="108"/>
      <c r="GZ178" s="73"/>
      <c r="HA178" s="76">
        <f t="shared" ca="1" si="5503"/>
        <v>0</v>
      </c>
      <c r="HB178" s="108"/>
      <c r="HC178" s="73"/>
      <c r="HD178" s="76">
        <f t="shared" ca="1" si="5504"/>
        <v>0</v>
      </c>
      <c r="HE178" s="108"/>
      <c r="HF178" s="73"/>
      <c r="HG178" s="76">
        <f t="shared" ca="1" si="5505"/>
        <v>0</v>
      </c>
      <c r="HH178" s="108"/>
      <c r="HI178" s="73"/>
      <c r="HJ178" s="76">
        <f t="shared" ca="1" si="5506"/>
        <v>0</v>
      </c>
      <c r="HK178" s="108"/>
      <c r="HL178" s="73"/>
      <c r="HM178" s="76">
        <f t="shared" ca="1" si="5507"/>
        <v>0</v>
      </c>
      <c r="HN178" s="108"/>
      <c r="HO178" s="73"/>
      <c r="HP178" s="76">
        <f t="shared" ca="1" si="5508"/>
        <v>0</v>
      </c>
      <c r="HQ178" s="108"/>
      <c r="HR178" s="73"/>
      <c r="HS178" s="76">
        <f t="shared" ca="1" si="5509"/>
        <v>0</v>
      </c>
      <c r="HT178" s="108"/>
      <c r="HU178" s="73"/>
      <c r="HV178" s="76">
        <f t="shared" ca="1" si="5510"/>
        <v>0</v>
      </c>
      <c r="HW178" s="108"/>
      <c r="HX178" s="73"/>
      <c r="HY178" s="76">
        <f t="shared" ca="1" si="5511"/>
        <v>0</v>
      </c>
      <c r="HZ178" s="108"/>
      <c r="IA178" s="73"/>
      <c r="IB178" s="76">
        <f t="shared" ca="1" si="5512"/>
        <v>0</v>
      </c>
      <c r="IC178" s="108"/>
      <c r="ID178" s="73"/>
      <c r="IE178" s="76">
        <f t="shared" ca="1" si="5513"/>
        <v>0</v>
      </c>
      <c r="IF178" s="108"/>
      <c r="IG178" s="73"/>
      <c r="IH178" s="76">
        <f t="shared" ca="1" si="5514"/>
        <v>0</v>
      </c>
      <c r="II178" s="108"/>
      <c r="IJ178" s="73"/>
      <c r="IK178" s="76">
        <f t="shared" ca="1" si="5515"/>
        <v>0</v>
      </c>
      <c r="IL178" s="108"/>
      <c r="IM178" s="73"/>
      <c r="IN178" s="76">
        <f t="shared" ca="1" si="5516"/>
        <v>0</v>
      </c>
      <c r="IO178" s="108"/>
      <c r="IP178" s="73"/>
      <c r="IQ178" s="76">
        <f t="shared" ca="1" si="5517"/>
        <v>0</v>
      </c>
      <c r="IR178" s="108"/>
      <c r="IS178" s="73"/>
      <c r="IT178" s="76">
        <f t="shared" ca="1" si="5518"/>
        <v>0</v>
      </c>
      <c r="IU178" s="108"/>
      <c r="IV178" s="73"/>
      <c r="IW178" s="76">
        <f t="shared" ca="1" si="5519"/>
        <v>0</v>
      </c>
      <c r="IX178" s="108"/>
      <c r="IY178" s="73"/>
      <c r="IZ178" s="76">
        <f t="shared" ca="1" si="5520"/>
        <v>0</v>
      </c>
      <c r="JA178" s="108"/>
      <c r="JB178" s="73"/>
      <c r="JC178" s="76">
        <f t="shared" ca="1" si="5521"/>
        <v>0</v>
      </c>
      <c r="JD178" s="108"/>
      <c r="JE178" s="73"/>
      <c r="JF178" s="76">
        <f t="shared" ca="1" si="5522"/>
        <v>0</v>
      </c>
      <c r="JG178" s="108"/>
      <c r="JH178" s="73"/>
      <c r="JI178" s="76">
        <f t="shared" ca="1" si="5523"/>
        <v>0</v>
      </c>
      <c r="JJ178" s="108"/>
      <c r="JK178" s="73"/>
      <c r="JL178" s="76">
        <f t="shared" ca="1" si="5524"/>
        <v>0</v>
      </c>
      <c r="JM178" s="108"/>
      <c r="JN178" s="73"/>
      <c r="JO178" s="76">
        <f t="shared" ca="1" si="5525"/>
        <v>0</v>
      </c>
      <c r="JP178" s="108"/>
      <c r="JQ178" s="73"/>
      <c r="JR178" s="76">
        <f t="shared" ca="1" si="5526"/>
        <v>0</v>
      </c>
      <c r="JS178" s="108"/>
      <c r="JT178" s="73"/>
      <c r="JU178" s="76">
        <f t="shared" ca="1" si="5527"/>
        <v>0</v>
      </c>
      <c r="JV178" s="108"/>
      <c r="JW178" s="73"/>
      <c r="JX178" s="76">
        <f t="shared" ca="1" si="5528"/>
        <v>0</v>
      </c>
      <c r="JY178" s="108"/>
      <c r="JZ178" s="73"/>
      <c r="KA178" s="76">
        <f t="shared" ca="1" si="5529"/>
        <v>0</v>
      </c>
      <c r="KB178" s="108"/>
      <c r="KC178" s="73"/>
      <c r="KD178" s="76">
        <f t="shared" ca="1" si="5530"/>
        <v>0</v>
      </c>
      <c r="KE178" s="108"/>
      <c r="KF178" s="73"/>
      <c r="KG178" s="76">
        <f t="shared" ca="1" si="5531"/>
        <v>0</v>
      </c>
      <c r="KH178" s="108"/>
      <c r="KI178" s="73"/>
      <c r="KJ178" s="76">
        <f t="shared" ca="1" si="5532"/>
        <v>0</v>
      </c>
      <c r="KK178" s="108"/>
      <c r="KL178" s="73"/>
      <c r="KM178" s="76">
        <f t="shared" ca="1" si="5533"/>
        <v>0</v>
      </c>
      <c r="KN178" s="108"/>
      <c r="KO178" s="73"/>
      <c r="KP178" s="76">
        <f t="shared" ca="1" si="5534"/>
        <v>0</v>
      </c>
      <c r="KQ178" s="108"/>
      <c r="KR178" s="73"/>
      <c r="KS178" s="76">
        <f t="shared" ca="1" si="5535"/>
        <v>0</v>
      </c>
      <c r="KT178" s="108"/>
      <c r="KU178" s="73"/>
      <c r="KV178" s="76">
        <f t="shared" ca="1" si="5536"/>
        <v>0</v>
      </c>
      <c r="KW178" s="108"/>
      <c r="KX178" s="73"/>
      <c r="KY178" s="76">
        <f t="shared" ca="1" si="5537"/>
        <v>0</v>
      </c>
      <c r="KZ178" s="108"/>
      <c r="LA178" s="73"/>
      <c r="LB178" s="76">
        <f t="shared" ca="1" si="5538"/>
        <v>0</v>
      </c>
      <c r="LC178" s="108"/>
      <c r="LD178" s="73"/>
      <c r="LE178" s="76">
        <f t="shared" ca="1" si="5539"/>
        <v>0</v>
      </c>
      <c r="LF178" s="108"/>
    </row>
    <row r="179" spans="1:318" s="784" customFormat="1">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6">
        <f t="shared" si="5540"/>
        <v>30</v>
      </c>
      <c r="G179" s="406">
        <f ca="1">VLOOKUP(H179,Equipos!$Q$1:$R$25,2,0)</f>
        <v>20</v>
      </c>
      <c r="H179" s="444" t="str">
        <f>Idiomas!$D$260</f>
        <v>Dieciseisavos de final</v>
      </c>
      <c r="I179" s="45">
        <v>1</v>
      </c>
      <c r="J179" s="843"/>
      <c r="K179" s="113" t="str">
        <f ca="1">CONCATENATE(WORLDCUP!AA116,"-",WORLDCUP!AF116)</f>
        <v>1K-3DEIJL</v>
      </c>
      <c r="L179" s="113" t="str">
        <f>IF(OR(WORLDCUP!AC116="",WORLDCUP!AD116=""),"PD",IF(WORLDCUP!AC116&gt;WORLDCUP!AD116,1,IF(WORLDCUP!AC116&lt;WORLDCUP!AD116,2,0)))</f>
        <v>PD</v>
      </c>
      <c r="M179" s="114" t="str">
        <f t="shared" si="5541"/>
        <v>-</v>
      </c>
      <c r="N179" s="25">
        <f>WORLDCUP!AC116</f>
        <v>0</v>
      </c>
      <c r="O179" s="25">
        <f>WORLDCUP!AD116</f>
        <v>0</v>
      </c>
      <c r="P179" s="25">
        <f t="shared" si="5542"/>
        <v>0</v>
      </c>
      <c r="Q179" s="25">
        <f t="shared" si="5543"/>
        <v>0</v>
      </c>
      <c r="R179" s="108"/>
      <c r="S179" s="796" t="s">
        <v>1979</v>
      </c>
      <c r="T179" s="80">
        <f t="shared" ca="1" si="5440"/>
        <v>0</v>
      </c>
      <c r="U179" s="108"/>
      <c r="V179" s="79" t="s">
        <v>2024</v>
      </c>
      <c r="W179" s="80">
        <f t="shared" ca="1" si="5441"/>
        <v>0</v>
      </c>
      <c r="X179" s="108"/>
      <c r="Y179" s="796" t="s">
        <v>2067</v>
      </c>
      <c r="Z179" s="80">
        <f t="shared" ca="1" si="5442"/>
        <v>0</v>
      </c>
      <c r="AA179" s="108"/>
      <c r="AB179" s="796" t="s">
        <v>2102</v>
      </c>
      <c r="AC179" s="80">
        <f t="shared" ca="1" si="5443"/>
        <v>0</v>
      </c>
      <c r="AD179" s="108"/>
      <c r="AE179" s="796" t="s">
        <v>2140</v>
      </c>
      <c r="AF179" s="80">
        <f t="shared" ca="1" si="5545"/>
        <v>0</v>
      </c>
      <c r="AG179" s="108"/>
      <c r="AH179" s="796" t="s">
        <v>2172</v>
      </c>
      <c r="AI179" s="80">
        <f t="shared" ca="1" si="5445"/>
        <v>0</v>
      </c>
      <c r="AJ179" s="108"/>
      <c r="AK179" s="806" t="s">
        <v>2210</v>
      </c>
      <c r="AL179" s="80">
        <f t="shared" ca="1" si="5446"/>
        <v>0</v>
      </c>
      <c r="AM179" s="108"/>
      <c r="AN179" s="796" t="s">
        <v>2237</v>
      </c>
      <c r="AO179" s="80">
        <f t="shared" ca="1" si="5447"/>
        <v>0</v>
      </c>
      <c r="AP179" s="108"/>
      <c r="AQ179" s="806" t="s">
        <v>2265</v>
      </c>
      <c r="AR179" s="80">
        <f t="shared" ca="1" si="5448"/>
        <v>0</v>
      </c>
      <c r="AS179" s="108"/>
      <c r="AT179" s="796" t="s">
        <v>2102</v>
      </c>
      <c r="AU179" s="80">
        <f t="shared" ca="1" si="5449"/>
        <v>0</v>
      </c>
      <c r="AV179" s="108"/>
      <c r="AW179" s="796" t="s">
        <v>2102</v>
      </c>
      <c r="AX179" s="80">
        <f t="shared" ca="1" si="5450"/>
        <v>0</v>
      </c>
      <c r="AY179" s="108"/>
      <c r="AZ179" s="796" t="s">
        <v>2366</v>
      </c>
      <c r="BA179" s="80">
        <f t="shared" ca="1" si="5451"/>
        <v>0</v>
      </c>
      <c r="BB179" s="108"/>
      <c r="BC179" s="796" t="s">
        <v>2140</v>
      </c>
      <c r="BD179" s="80">
        <f t="shared" ca="1" si="5452"/>
        <v>0</v>
      </c>
      <c r="BE179" s="108"/>
      <c r="BF179" s="796" t="s">
        <v>2024</v>
      </c>
      <c r="BG179" s="80">
        <f t="shared" ca="1" si="5453"/>
        <v>0</v>
      </c>
      <c r="BH179" s="108"/>
      <c r="BI179" s="796" t="s">
        <v>2067</v>
      </c>
      <c r="BJ179" s="80">
        <f t="shared" ca="1" si="5454"/>
        <v>0</v>
      </c>
      <c r="BK179" s="108"/>
      <c r="BL179" s="796" t="s">
        <v>2140</v>
      </c>
      <c r="BM179" s="80">
        <f t="shared" ca="1" si="5455"/>
        <v>0</v>
      </c>
      <c r="BN179" s="108"/>
      <c r="BO179" s="816" t="s">
        <v>2102</v>
      </c>
      <c r="BP179" s="80">
        <f t="shared" ca="1" si="5456"/>
        <v>0</v>
      </c>
      <c r="BQ179" s="108"/>
      <c r="BR179" s="796" t="s">
        <v>2172</v>
      </c>
      <c r="BS179" s="80">
        <f t="shared" ca="1" si="5457"/>
        <v>0</v>
      </c>
      <c r="BT179" s="108"/>
      <c r="BU179" s="796" t="s">
        <v>2539</v>
      </c>
      <c r="BV179" s="80">
        <f t="shared" ca="1" si="5458"/>
        <v>0</v>
      </c>
      <c r="BW179" s="108"/>
      <c r="BX179" s="79" t="s">
        <v>2024</v>
      </c>
      <c r="BY179" s="80">
        <f t="shared" ca="1" si="5459"/>
        <v>0</v>
      </c>
      <c r="BZ179" s="108"/>
      <c r="CA179" s="816" t="s">
        <v>2172</v>
      </c>
      <c r="CB179" s="80">
        <f t="shared" ca="1" si="5460"/>
        <v>0</v>
      </c>
      <c r="CC179" s="108"/>
      <c r="CD179" s="825" t="s">
        <v>2598</v>
      </c>
      <c r="CE179" s="80">
        <f t="shared" ca="1" si="5461"/>
        <v>0</v>
      </c>
      <c r="CF179" s="108"/>
      <c r="CG179" s="796" t="s">
        <v>2024</v>
      </c>
      <c r="CH179" s="80">
        <f t="shared" ca="1" si="5462"/>
        <v>0</v>
      </c>
      <c r="CI179" s="108"/>
      <c r="CJ179" s="796" t="s">
        <v>2631</v>
      </c>
      <c r="CK179" s="80">
        <f t="shared" ca="1" si="5463"/>
        <v>0</v>
      </c>
      <c r="CL179" s="108"/>
      <c r="CM179" s="796" t="s">
        <v>2653</v>
      </c>
      <c r="CN179" s="80">
        <f t="shared" ca="1" si="5464"/>
        <v>0</v>
      </c>
      <c r="CO179" s="108"/>
      <c r="CP179" s="796" t="s">
        <v>2679</v>
      </c>
      <c r="CQ179" s="80">
        <f t="shared" ca="1" si="5465"/>
        <v>0</v>
      </c>
      <c r="CR179" s="108"/>
      <c r="CS179" s="796" t="s">
        <v>2701</v>
      </c>
      <c r="CT179" s="80">
        <f t="shared" ca="1" si="5466"/>
        <v>0</v>
      </c>
      <c r="CU179" s="108"/>
      <c r="CV179" s="796" t="s">
        <v>2140</v>
      </c>
      <c r="CW179" s="80">
        <f t="shared" ca="1" si="5467"/>
        <v>0</v>
      </c>
      <c r="CX179" s="108"/>
      <c r="CY179" s="796" t="s">
        <v>2750</v>
      </c>
      <c r="CZ179" s="80">
        <f t="shared" ca="1" si="5468"/>
        <v>0</v>
      </c>
      <c r="DA179" s="108"/>
      <c r="DB179" s="796" t="s">
        <v>2776</v>
      </c>
      <c r="DC179" s="80">
        <f t="shared" ca="1" si="5469"/>
        <v>0</v>
      </c>
      <c r="DD179" s="108"/>
      <c r="DE179" s="796" t="s">
        <v>2799</v>
      </c>
      <c r="DF179" s="80">
        <f t="shared" ca="1" si="5470"/>
        <v>0</v>
      </c>
      <c r="DG179" s="108"/>
      <c r="DH179" s="796" t="s">
        <v>2140</v>
      </c>
      <c r="DI179" s="80">
        <f t="shared" ca="1" si="5471"/>
        <v>0</v>
      </c>
      <c r="DJ179" s="108"/>
      <c r="DK179" s="796" t="s">
        <v>2140</v>
      </c>
      <c r="DL179" s="80">
        <f t="shared" ca="1" si="5472"/>
        <v>0</v>
      </c>
      <c r="DM179" s="108"/>
      <c r="DN179" s="79"/>
      <c r="DO179" s="80">
        <f t="shared" ca="1" si="5473"/>
        <v>0</v>
      </c>
      <c r="DP179" s="108"/>
      <c r="DQ179" s="796" t="s">
        <v>2067</v>
      </c>
      <c r="DR179" s="80">
        <f t="shared" ca="1" si="5474"/>
        <v>0</v>
      </c>
      <c r="DS179" s="108"/>
      <c r="DT179" s="79" t="s">
        <v>2872</v>
      </c>
      <c r="DU179" s="80">
        <f t="shared" ca="1" si="5475"/>
        <v>0</v>
      </c>
      <c r="DV179" s="108"/>
      <c r="DW179" s="79"/>
      <c r="DX179" s="80">
        <f t="shared" ca="1" si="5476"/>
        <v>0</v>
      </c>
      <c r="DY179" s="108"/>
      <c r="DZ179" s="79"/>
      <c r="EA179" s="80">
        <f t="shared" ca="1" si="5477"/>
        <v>0</v>
      </c>
      <c r="EB179" s="108"/>
      <c r="EC179" s="79"/>
      <c r="ED179" s="80">
        <f t="shared" ca="1" si="5478"/>
        <v>0</v>
      </c>
      <c r="EE179" s="108"/>
      <c r="EF179" s="79"/>
      <c r="EG179" s="80">
        <f t="shared" ca="1" si="5479"/>
        <v>0</v>
      </c>
      <c r="EH179" s="108"/>
      <c r="EI179" s="79"/>
      <c r="EJ179" s="80">
        <f t="shared" ca="1" si="5480"/>
        <v>0</v>
      </c>
      <c r="EK179" s="108"/>
      <c r="EL179" s="79"/>
      <c r="EM179" s="80">
        <f t="shared" ca="1" si="5481"/>
        <v>0</v>
      </c>
      <c r="EN179" s="108"/>
      <c r="EO179" s="79"/>
      <c r="EP179" s="80">
        <f t="shared" ca="1" si="5482"/>
        <v>0</v>
      </c>
      <c r="EQ179" s="108"/>
      <c r="ER179" s="79"/>
      <c r="ES179" s="80">
        <f t="shared" ca="1" si="5483"/>
        <v>0</v>
      </c>
      <c r="ET179" s="108"/>
      <c r="EU179" s="79"/>
      <c r="EV179" s="80">
        <f t="shared" ca="1" si="5484"/>
        <v>0</v>
      </c>
      <c r="EW179" s="108"/>
      <c r="EX179" s="79"/>
      <c r="EY179" s="80">
        <f t="shared" ca="1" si="5485"/>
        <v>0</v>
      </c>
      <c r="EZ179" s="108"/>
      <c r="FA179" s="79"/>
      <c r="FB179" s="80">
        <f t="shared" ca="1" si="5486"/>
        <v>0</v>
      </c>
      <c r="FC179" s="108"/>
      <c r="FD179" s="79"/>
      <c r="FE179" s="80">
        <f t="shared" ca="1" si="5487"/>
        <v>0</v>
      </c>
      <c r="FF179" s="108"/>
      <c r="FG179" s="79"/>
      <c r="FH179" s="80">
        <f t="shared" ca="1" si="5488"/>
        <v>0</v>
      </c>
      <c r="FI179" s="108"/>
      <c r="FJ179" s="79"/>
      <c r="FK179" s="80">
        <f t="shared" ca="1" si="5489"/>
        <v>0</v>
      </c>
      <c r="FL179" s="108"/>
      <c r="FM179" s="79"/>
      <c r="FN179" s="80">
        <f t="shared" ca="1" si="5490"/>
        <v>0</v>
      </c>
      <c r="FO179" s="108"/>
      <c r="FP179" s="79"/>
      <c r="FQ179" s="80">
        <f t="shared" ca="1" si="5491"/>
        <v>0</v>
      </c>
      <c r="FR179" s="108"/>
      <c r="FS179" s="79"/>
      <c r="FT179" s="80">
        <f t="shared" ca="1" si="5492"/>
        <v>0</v>
      </c>
      <c r="FU179" s="108"/>
      <c r="FV179" s="79"/>
      <c r="FW179" s="80">
        <f t="shared" ca="1" si="5493"/>
        <v>0</v>
      </c>
      <c r="FX179" s="108"/>
      <c r="FY179" s="79"/>
      <c r="FZ179" s="80">
        <f t="shared" ca="1" si="5494"/>
        <v>0</v>
      </c>
      <c r="GA179" s="108"/>
      <c r="GB179" s="79"/>
      <c r="GC179" s="80">
        <f t="shared" ca="1" si="5495"/>
        <v>0</v>
      </c>
      <c r="GD179" s="108"/>
      <c r="GE179" s="79"/>
      <c r="GF179" s="80">
        <f t="shared" ca="1" si="5496"/>
        <v>0</v>
      </c>
      <c r="GG179" s="108"/>
      <c r="GH179" s="79"/>
      <c r="GI179" s="80">
        <f t="shared" ca="1" si="5497"/>
        <v>0</v>
      </c>
      <c r="GJ179" s="108"/>
      <c r="GK179" s="79"/>
      <c r="GL179" s="80">
        <f t="shared" ca="1" si="5498"/>
        <v>0</v>
      </c>
      <c r="GM179" s="108"/>
      <c r="GN179" s="79"/>
      <c r="GO179" s="80">
        <f t="shared" ca="1" si="5499"/>
        <v>0</v>
      </c>
      <c r="GP179" s="108"/>
      <c r="GQ179" s="79"/>
      <c r="GR179" s="80">
        <f t="shared" ca="1" si="5500"/>
        <v>0</v>
      </c>
      <c r="GS179" s="108"/>
      <c r="GT179" s="79"/>
      <c r="GU179" s="80">
        <f t="shared" ca="1" si="5501"/>
        <v>0</v>
      </c>
      <c r="GV179" s="108"/>
      <c r="GW179" s="79"/>
      <c r="GX179" s="80">
        <f t="shared" ca="1" si="5502"/>
        <v>0</v>
      </c>
      <c r="GY179" s="108"/>
      <c r="GZ179" s="79"/>
      <c r="HA179" s="80">
        <f t="shared" ca="1" si="5503"/>
        <v>0</v>
      </c>
      <c r="HB179" s="108"/>
      <c r="HC179" s="79"/>
      <c r="HD179" s="80">
        <f t="shared" ca="1" si="5504"/>
        <v>0</v>
      </c>
      <c r="HE179" s="108"/>
      <c r="HF179" s="79"/>
      <c r="HG179" s="80">
        <f t="shared" ca="1" si="5505"/>
        <v>0</v>
      </c>
      <c r="HH179" s="108"/>
      <c r="HI179" s="79"/>
      <c r="HJ179" s="80">
        <f t="shared" ca="1" si="5506"/>
        <v>0</v>
      </c>
      <c r="HK179" s="108"/>
      <c r="HL179" s="79"/>
      <c r="HM179" s="80">
        <f t="shared" ca="1" si="5507"/>
        <v>0</v>
      </c>
      <c r="HN179" s="108"/>
      <c r="HO179" s="79"/>
      <c r="HP179" s="80">
        <f t="shared" ca="1" si="5508"/>
        <v>0</v>
      </c>
      <c r="HQ179" s="108"/>
      <c r="HR179" s="79"/>
      <c r="HS179" s="80">
        <f t="shared" ca="1" si="5509"/>
        <v>0</v>
      </c>
      <c r="HT179" s="108"/>
      <c r="HU179" s="79"/>
      <c r="HV179" s="80">
        <f t="shared" ca="1" si="5510"/>
        <v>0</v>
      </c>
      <c r="HW179" s="108"/>
      <c r="HX179" s="79"/>
      <c r="HY179" s="80">
        <f t="shared" ca="1" si="5511"/>
        <v>0</v>
      </c>
      <c r="HZ179" s="108"/>
      <c r="IA179" s="79"/>
      <c r="IB179" s="80">
        <f t="shared" ca="1" si="5512"/>
        <v>0</v>
      </c>
      <c r="IC179" s="108"/>
      <c r="ID179" s="79"/>
      <c r="IE179" s="80">
        <f t="shared" ca="1" si="5513"/>
        <v>0</v>
      </c>
      <c r="IF179" s="108"/>
      <c r="IG179" s="79"/>
      <c r="IH179" s="80">
        <f t="shared" ca="1" si="5514"/>
        <v>0</v>
      </c>
      <c r="II179" s="108"/>
      <c r="IJ179" s="79"/>
      <c r="IK179" s="80">
        <f t="shared" ca="1" si="5515"/>
        <v>0</v>
      </c>
      <c r="IL179" s="108"/>
      <c r="IM179" s="79"/>
      <c r="IN179" s="80">
        <f t="shared" ca="1" si="5516"/>
        <v>0</v>
      </c>
      <c r="IO179" s="108"/>
      <c r="IP179" s="79"/>
      <c r="IQ179" s="80">
        <f t="shared" ca="1" si="5517"/>
        <v>0</v>
      </c>
      <c r="IR179" s="108"/>
      <c r="IS179" s="79"/>
      <c r="IT179" s="80">
        <f t="shared" ca="1" si="5518"/>
        <v>0</v>
      </c>
      <c r="IU179" s="108"/>
      <c r="IV179" s="79"/>
      <c r="IW179" s="80">
        <f t="shared" ca="1" si="5519"/>
        <v>0</v>
      </c>
      <c r="IX179" s="108"/>
      <c r="IY179" s="79"/>
      <c r="IZ179" s="80">
        <f t="shared" ca="1" si="5520"/>
        <v>0</v>
      </c>
      <c r="JA179" s="108"/>
      <c r="JB179" s="79"/>
      <c r="JC179" s="80">
        <f t="shared" ca="1" si="5521"/>
        <v>0</v>
      </c>
      <c r="JD179" s="108"/>
      <c r="JE179" s="79"/>
      <c r="JF179" s="80">
        <f t="shared" ca="1" si="5522"/>
        <v>0</v>
      </c>
      <c r="JG179" s="108"/>
      <c r="JH179" s="79"/>
      <c r="JI179" s="80">
        <f t="shared" ca="1" si="5523"/>
        <v>0</v>
      </c>
      <c r="JJ179" s="108"/>
      <c r="JK179" s="79"/>
      <c r="JL179" s="80">
        <f t="shared" ca="1" si="5524"/>
        <v>0</v>
      </c>
      <c r="JM179" s="108"/>
      <c r="JN179" s="79"/>
      <c r="JO179" s="80">
        <f t="shared" ca="1" si="5525"/>
        <v>0</v>
      </c>
      <c r="JP179" s="108"/>
      <c r="JQ179" s="79"/>
      <c r="JR179" s="80">
        <f t="shared" ca="1" si="5526"/>
        <v>0</v>
      </c>
      <c r="JS179" s="108"/>
      <c r="JT179" s="79"/>
      <c r="JU179" s="80">
        <f t="shared" ca="1" si="5527"/>
        <v>0</v>
      </c>
      <c r="JV179" s="108"/>
      <c r="JW179" s="79"/>
      <c r="JX179" s="80">
        <f t="shared" ca="1" si="5528"/>
        <v>0</v>
      </c>
      <c r="JY179" s="108"/>
      <c r="JZ179" s="79"/>
      <c r="KA179" s="80">
        <f t="shared" ca="1" si="5529"/>
        <v>0</v>
      </c>
      <c r="KB179" s="108"/>
      <c r="KC179" s="79"/>
      <c r="KD179" s="80">
        <f t="shared" ca="1" si="5530"/>
        <v>0</v>
      </c>
      <c r="KE179" s="108"/>
      <c r="KF179" s="79"/>
      <c r="KG179" s="80">
        <f t="shared" ca="1" si="5531"/>
        <v>0</v>
      </c>
      <c r="KH179" s="108"/>
      <c r="KI179" s="79"/>
      <c r="KJ179" s="80">
        <f t="shared" ca="1" si="5532"/>
        <v>0</v>
      </c>
      <c r="KK179" s="108"/>
      <c r="KL179" s="79"/>
      <c r="KM179" s="80">
        <f t="shared" ca="1" si="5533"/>
        <v>0</v>
      </c>
      <c r="KN179" s="108"/>
      <c r="KO179" s="79"/>
      <c r="KP179" s="80">
        <f t="shared" ca="1" si="5534"/>
        <v>0</v>
      </c>
      <c r="KQ179" s="108"/>
      <c r="KR179" s="79"/>
      <c r="KS179" s="80">
        <f t="shared" ca="1" si="5535"/>
        <v>0</v>
      </c>
      <c r="KT179" s="108"/>
      <c r="KU179" s="79"/>
      <c r="KV179" s="80">
        <f t="shared" ca="1" si="5536"/>
        <v>0</v>
      </c>
      <c r="KW179" s="108"/>
      <c r="KX179" s="79"/>
      <c r="KY179" s="80">
        <f t="shared" ca="1" si="5537"/>
        <v>0</v>
      </c>
      <c r="KZ179" s="108"/>
      <c r="LA179" s="79"/>
      <c r="LB179" s="80">
        <f t="shared" ca="1" si="5538"/>
        <v>0</v>
      </c>
      <c r="LC179" s="108"/>
      <c r="LD179" s="79"/>
      <c r="LE179" s="80">
        <f t="shared" ca="1" si="5539"/>
        <v>0</v>
      </c>
      <c r="LF179" s="108"/>
    </row>
    <row r="180" spans="1:318" s="784" customFormat="1">
      <c r="A180" s="25"/>
      <c r="B180" s="25"/>
      <c r="C180" s="25"/>
      <c r="D180" s="25"/>
      <c r="E180" s="25"/>
      <c r="F180" s="406"/>
      <c r="G180" s="406"/>
      <c r="H180" s="444"/>
      <c r="I180" s="50"/>
      <c r="J180" s="92"/>
      <c r="K180" s="432" t="str">
        <f>Idiomas!D458</f>
        <v>Partidos 1/16</v>
      </c>
      <c r="L180" s="433"/>
      <c r="M180" s="432" t="str">
        <f>"Max: "&amp;SUM($D$16:$D$18)*SUM($I$164:$I$179)</f>
        <v>Max: 480</v>
      </c>
      <c r="N180" s="25"/>
      <c r="O180" s="25"/>
      <c r="P180" s="25"/>
      <c r="Q180" s="25"/>
      <c r="R180" s="49"/>
      <c r="S180" s="797"/>
      <c r="T180" s="70">
        <f t="shared" ref="T180" ca="1" si="5546">SUM(T164:T179)</f>
        <v>0</v>
      </c>
      <c r="U180" s="64"/>
      <c r="V180" s="83"/>
      <c r="W180" s="70">
        <f t="shared" ref="W180" ca="1" si="5547">SUM(W164:W179)</f>
        <v>0</v>
      </c>
      <c r="X180" s="64"/>
      <c r="Y180" s="797"/>
      <c r="Z180" s="70">
        <f t="shared" ref="Z180" ca="1" si="5548">SUM(Z164:Z179)</f>
        <v>0</v>
      </c>
      <c r="AA180" s="64"/>
      <c r="AB180" s="797"/>
      <c r="AC180" s="70">
        <f t="shared" ref="AC180" ca="1" si="5549">SUM(AC164:AC179)</f>
        <v>0</v>
      </c>
      <c r="AD180" s="64"/>
      <c r="AE180" s="797"/>
      <c r="AF180" s="70">
        <f t="shared" ref="AF180" ca="1" si="5550">SUM(AF164:AF179)</f>
        <v>0</v>
      </c>
      <c r="AG180" s="64"/>
      <c r="AH180" s="797"/>
      <c r="AI180" s="70">
        <f t="shared" ref="AI180" ca="1" si="5551">SUM(AI164:AI179)</f>
        <v>0</v>
      </c>
      <c r="AJ180" s="64"/>
      <c r="AK180" s="802"/>
      <c r="AL180" s="70">
        <f t="shared" ref="AL180" ca="1" si="5552">SUM(AL164:AL179)</f>
        <v>0</v>
      </c>
      <c r="AM180" s="64"/>
      <c r="AN180" s="797"/>
      <c r="AO180" s="70">
        <f t="shared" ref="AO180" ca="1" si="5553">SUM(AO164:AO179)</f>
        <v>0</v>
      </c>
      <c r="AP180" s="64"/>
      <c r="AQ180" s="802"/>
      <c r="AR180" s="70">
        <f t="shared" ref="AR180" ca="1" si="5554">SUM(AR164:AR179)</f>
        <v>0</v>
      </c>
      <c r="AS180" s="64"/>
      <c r="AT180" s="797"/>
      <c r="AU180" s="70">
        <f t="shared" ref="AU180" ca="1" si="5555">SUM(AU164:AU179)</f>
        <v>0</v>
      </c>
      <c r="AV180" s="64"/>
      <c r="AW180" s="797"/>
      <c r="AX180" s="70">
        <f t="shared" ref="AX180" ca="1" si="5556">SUM(AX164:AX179)</f>
        <v>0</v>
      </c>
      <c r="AY180" s="64"/>
      <c r="AZ180" s="797"/>
      <c r="BA180" s="70">
        <f t="shared" ref="BA180" ca="1" si="5557">SUM(BA164:BA179)</f>
        <v>0</v>
      </c>
      <c r="BB180" s="64"/>
      <c r="BC180" s="797"/>
      <c r="BD180" s="70">
        <f t="shared" ref="BD180" ca="1" si="5558">SUM(BD164:BD179)</f>
        <v>0</v>
      </c>
      <c r="BE180" s="64"/>
      <c r="BF180" s="797"/>
      <c r="BG180" s="70">
        <f t="shared" ref="BG180" ca="1" si="5559">SUM(BG164:BG179)</f>
        <v>0</v>
      </c>
      <c r="BH180" s="64"/>
      <c r="BI180" s="797"/>
      <c r="BJ180" s="70">
        <f t="shared" ref="BJ180" ca="1" si="5560">SUM(BJ164:BJ179)</f>
        <v>0</v>
      </c>
      <c r="BK180" s="64"/>
      <c r="BL180" s="797"/>
      <c r="BM180" s="70">
        <f t="shared" ref="BM180" ca="1" si="5561">SUM(BM164:BM179)</f>
        <v>0</v>
      </c>
      <c r="BN180" s="64"/>
      <c r="BO180" s="812"/>
      <c r="BP180" s="70">
        <f t="shared" ref="BP180" ca="1" si="5562">SUM(BP164:BP179)</f>
        <v>0</v>
      </c>
      <c r="BQ180" s="64"/>
      <c r="BR180" s="797"/>
      <c r="BS180" s="70">
        <f t="shared" ref="BS180" ca="1" si="5563">SUM(BS164:BS179)</f>
        <v>0</v>
      </c>
      <c r="BT180" s="64"/>
      <c r="BU180" s="797"/>
      <c r="BV180" s="70">
        <f t="shared" ref="BV180" ca="1" si="5564">SUM(BV164:BV179)</f>
        <v>0</v>
      </c>
      <c r="BW180" s="64"/>
      <c r="BX180" s="83"/>
      <c r="BY180" s="70">
        <f t="shared" ref="BY180" ca="1" si="5565">SUM(BY164:BY179)</f>
        <v>0</v>
      </c>
      <c r="BZ180" s="64"/>
      <c r="CA180" s="812"/>
      <c r="CB180" s="70">
        <f t="shared" ref="CB180" ca="1" si="5566">SUM(CB164:CB179)</f>
        <v>0</v>
      </c>
      <c r="CC180" s="64"/>
      <c r="CD180" s="821"/>
      <c r="CE180" s="70">
        <f t="shared" ref="CE180" ca="1" si="5567">SUM(CE164:CE179)</f>
        <v>0</v>
      </c>
      <c r="CF180" s="64"/>
      <c r="CG180" s="797"/>
      <c r="CH180" s="70">
        <f t="shared" ref="CH180" ca="1" si="5568">SUM(CH164:CH179)</f>
        <v>0</v>
      </c>
      <c r="CI180" s="64"/>
      <c r="CJ180" s="797"/>
      <c r="CK180" s="70">
        <f t="shared" ref="CK180" ca="1" si="5569">SUM(CK164:CK179)</f>
        <v>0</v>
      </c>
      <c r="CL180" s="64"/>
      <c r="CM180" s="797"/>
      <c r="CN180" s="70">
        <f t="shared" ref="CN180" ca="1" si="5570">SUM(CN164:CN179)</f>
        <v>0</v>
      </c>
      <c r="CO180" s="64"/>
      <c r="CP180" s="797"/>
      <c r="CQ180" s="70">
        <f t="shared" ref="CQ180" ca="1" si="5571">SUM(CQ164:CQ179)</f>
        <v>0</v>
      </c>
      <c r="CR180" s="64"/>
      <c r="CS180" s="797"/>
      <c r="CT180" s="70">
        <f t="shared" ref="CT180" ca="1" si="5572">SUM(CT164:CT179)</f>
        <v>0</v>
      </c>
      <c r="CU180" s="64"/>
      <c r="CV180" s="797"/>
      <c r="CW180" s="70">
        <f t="shared" ref="CW180" ca="1" si="5573">SUM(CW164:CW179)</f>
        <v>0</v>
      </c>
      <c r="CX180" s="64"/>
      <c r="CY180" s="797"/>
      <c r="CZ180" s="70">
        <f t="shared" ref="CZ180" ca="1" si="5574">SUM(CZ164:CZ179)</f>
        <v>0</v>
      </c>
      <c r="DA180" s="64"/>
      <c r="DB180" s="797"/>
      <c r="DC180" s="70">
        <f t="shared" ref="DC180" ca="1" si="5575">SUM(DC164:DC179)</f>
        <v>0</v>
      </c>
      <c r="DD180" s="64"/>
      <c r="DE180" s="797"/>
      <c r="DF180" s="70">
        <f t="shared" ref="DF180" ca="1" si="5576">SUM(DF164:DF179)</f>
        <v>0</v>
      </c>
      <c r="DG180" s="64"/>
      <c r="DH180" s="797"/>
      <c r="DI180" s="70">
        <f t="shared" ref="DI180" ca="1" si="5577">SUM(DI164:DI179)</f>
        <v>0</v>
      </c>
      <c r="DJ180" s="64"/>
      <c r="DK180" s="797"/>
      <c r="DL180" s="70">
        <f t="shared" ref="DL180" ca="1" si="5578">SUM(DL164:DL179)</f>
        <v>0</v>
      </c>
      <c r="DM180" s="64"/>
      <c r="DN180" s="83"/>
      <c r="DO180" s="70">
        <f t="shared" ref="DO180" ca="1" si="5579">SUM(DO164:DO179)</f>
        <v>0</v>
      </c>
      <c r="DP180" s="64"/>
      <c r="DQ180" s="797"/>
      <c r="DR180" s="70">
        <f t="shared" ref="DR180" ca="1" si="5580">SUM(DR164:DR179)</f>
        <v>0</v>
      </c>
      <c r="DS180" s="64"/>
      <c r="DT180" s="83"/>
      <c r="DU180" s="70">
        <f t="shared" ref="DU180" ca="1" si="5581">SUM(DU164:DU179)</f>
        <v>0</v>
      </c>
      <c r="DV180" s="64"/>
      <c r="DW180" s="83"/>
      <c r="DX180" s="70">
        <f t="shared" ref="DX180" ca="1" si="5582">SUM(DX164:DX179)</f>
        <v>0</v>
      </c>
      <c r="DY180" s="64"/>
      <c r="DZ180" s="83"/>
      <c r="EA180" s="70">
        <f t="shared" ref="EA180" ca="1" si="5583">SUM(EA164:EA179)</f>
        <v>0</v>
      </c>
      <c r="EB180" s="64"/>
      <c r="EC180" s="83"/>
      <c r="ED180" s="70">
        <f t="shared" ref="ED180" ca="1" si="5584">SUM(ED164:ED179)</f>
        <v>0</v>
      </c>
      <c r="EE180" s="64"/>
      <c r="EF180" s="83"/>
      <c r="EG180" s="70">
        <f t="shared" ref="EG180" ca="1" si="5585">SUM(EG164:EG179)</f>
        <v>0</v>
      </c>
      <c r="EH180" s="64"/>
      <c r="EI180" s="83"/>
      <c r="EJ180" s="70">
        <f t="shared" ref="EJ180" ca="1" si="5586">SUM(EJ164:EJ179)</f>
        <v>0</v>
      </c>
      <c r="EK180" s="64"/>
      <c r="EL180" s="83"/>
      <c r="EM180" s="70">
        <f t="shared" ref="EM180" ca="1" si="5587">SUM(EM164:EM179)</f>
        <v>0</v>
      </c>
      <c r="EN180" s="64"/>
      <c r="EO180" s="83"/>
      <c r="EP180" s="70">
        <f t="shared" ref="EP180" ca="1" si="5588">SUM(EP164:EP179)</f>
        <v>0</v>
      </c>
      <c r="EQ180" s="64"/>
      <c r="ER180" s="83"/>
      <c r="ES180" s="70">
        <f t="shared" ref="ES180" ca="1" si="5589">SUM(ES164:ES179)</f>
        <v>0</v>
      </c>
      <c r="ET180" s="64"/>
      <c r="EU180" s="83"/>
      <c r="EV180" s="70">
        <f t="shared" ref="EV180" ca="1" si="5590">SUM(EV164:EV179)</f>
        <v>0</v>
      </c>
      <c r="EW180" s="64"/>
      <c r="EX180" s="83"/>
      <c r="EY180" s="70">
        <f t="shared" ref="EY180" ca="1" si="5591">SUM(EY164:EY179)</f>
        <v>0</v>
      </c>
      <c r="EZ180" s="64"/>
      <c r="FA180" s="83"/>
      <c r="FB180" s="70">
        <f t="shared" ref="FB180" ca="1" si="5592">SUM(FB164:FB179)</f>
        <v>0</v>
      </c>
      <c r="FC180" s="64"/>
      <c r="FD180" s="83"/>
      <c r="FE180" s="70">
        <f t="shared" ref="FE180" ca="1" si="5593">SUM(FE164:FE179)</f>
        <v>0</v>
      </c>
      <c r="FF180" s="64"/>
      <c r="FG180" s="83"/>
      <c r="FH180" s="70">
        <f t="shared" ref="FH180" ca="1" si="5594">SUM(FH164:FH179)</f>
        <v>0</v>
      </c>
      <c r="FI180" s="64"/>
      <c r="FJ180" s="83"/>
      <c r="FK180" s="70">
        <f t="shared" ref="FK180" ca="1" si="5595">SUM(FK164:FK179)</f>
        <v>0</v>
      </c>
      <c r="FL180" s="64"/>
      <c r="FM180" s="83"/>
      <c r="FN180" s="70">
        <f t="shared" ref="FN180" ca="1" si="5596">SUM(FN164:FN179)</f>
        <v>0</v>
      </c>
      <c r="FO180" s="64"/>
      <c r="FP180" s="83"/>
      <c r="FQ180" s="70">
        <f t="shared" ref="FQ180" ca="1" si="5597">SUM(FQ164:FQ179)</f>
        <v>0</v>
      </c>
      <c r="FR180" s="64"/>
      <c r="FS180" s="83"/>
      <c r="FT180" s="70">
        <f t="shared" ref="FT180" ca="1" si="5598">SUM(FT164:FT179)</f>
        <v>0</v>
      </c>
      <c r="FU180" s="64"/>
      <c r="FV180" s="83"/>
      <c r="FW180" s="70">
        <f t="shared" ref="FW180" ca="1" si="5599">SUM(FW164:FW179)</f>
        <v>0</v>
      </c>
      <c r="FX180" s="64"/>
      <c r="FY180" s="83"/>
      <c r="FZ180" s="70">
        <f t="shared" ref="FZ180" ca="1" si="5600">SUM(FZ164:FZ179)</f>
        <v>0</v>
      </c>
      <c r="GA180" s="64"/>
      <c r="GB180" s="83"/>
      <c r="GC180" s="70">
        <f t="shared" ref="GC180" ca="1" si="5601">SUM(GC164:GC179)</f>
        <v>0</v>
      </c>
      <c r="GD180" s="64"/>
      <c r="GE180" s="83"/>
      <c r="GF180" s="70">
        <f t="shared" ref="GF180" ca="1" si="5602">SUM(GF164:GF179)</f>
        <v>0</v>
      </c>
      <c r="GG180" s="64"/>
      <c r="GH180" s="83"/>
      <c r="GI180" s="70">
        <f t="shared" ref="GI180" ca="1" si="5603">SUM(GI164:GI179)</f>
        <v>0</v>
      </c>
      <c r="GJ180" s="64"/>
      <c r="GK180" s="83"/>
      <c r="GL180" s="70">
        <f t="shared" ref="GL180" ca="1" si="5604">SUM(GL164:GL179)</f>
        <v>0</v>
      </c>
      <c r="GM180" s="64"/>
      <c r="GN180" s="83"/>
      <c r="GO180" s="70">
        <f t="shared" ref="GO180" ca="1" si="5605">SUM(GO164:GO179)</f>
        <v>0</v>
      </c>
      <c r="GP180" s="64"/>
      <c r="GQ180" s="83"/>
      <c r="GR180" s="70">
        <f t="shared" ref="GR180" ca="1" si="5606">SUM(GR164:GR179)</f>
        <v>0</v>
      </c>
      <c r="GS180" s="64"/>
      <c r="GT180" s="83"/>
      <c r="GU180" s="70">
        <f t="shared" ref="GU180" ca="1" si="5607">SUM(GU164:GU179)</f>
        <v>0</v>
      </c>
      <c r="GV180" s="64"/>
      <c r="GW180" s="83"/>
      <c r="GX180" s="70">
        <f t="shared" ref="GX180" ca="1" si="5608">SUM(GX164:GX179)</f>
        <v>0</v>
      </c>
      <c r="GY180" s="64"/>
      <c r="GZ180" s="83"/>
      <c r="HA180" s="70">
        <f t="shared" ref="HA180" ca="1" si="5609">SUM(HA164:HA179)</f>
        <v>0</v>
      </c>
      <c r="HB180" s="64"/>
      <c r="HC180" s="83"/>
      <c r="HD180" s="70">
        <f t="shared" ref="HD180" ca="1" si="5610">SUM(HD164:HD179)</f>
        <v>0</v>
      </c>
      <c r="HE180" s="64"/>
      <c r="HF180" s="83"/>
      <c r="HG180" s="70">
        <f t="shared" ref="HG180" ca="1" si="5611">SUM(HG164:HG179)</f>
        <v>0</v>
      </c>
      <c r="HH180" s="64"/>
      <c r="HI180" s="83"/>
      <c r="HJ180" s="70">
        <f t="shared" ref="HJ180" ca="1" si="5612">SUM(HJ164:HJ179)</f>
        <v>0</v>
      </c>
      <c r="HK180" s="64"/>
      <c r="HL180" s="83"/>
      <c r="HM180" s="70">
        <f t="shared" ref="HM180" ca="1" si="5613">SUM(HM164:HM179)</f>
        <v>0</v>
      </c>
      <c r="HN180" s="64"/>
      <c r="HO180" s="83"/>
      <c r="HP180" s="70">
        <f t="shared" ref="HP180" ca="1" si="5614">SUM(HP164:HP179)</f>
        <v>0</v>
      </c>
      <c r="HQ180" s="64"/>
      <c r="HR180" s="83"/>
      <c r="HS180" s="70">
        <f t="shared" ref="HS180" ca="1" si="5615">SUM(HS164:HS179)</f>
        <v>0</v>
      </c>
      <c r="HT180" s="64"/>
      <c r="HU180" s="83"/>
      <c r="HV180" s="70">
        <f t="shared" ref="HV180" ca="1" si="5616">SUM(HV164:HV179)</f>
        <v>0</v>
      </c>
      <c r="HW180" s="64"/>
      <c r="HX180" s="83"/>
      <c r="HY180" s="70">
        <f t="shared" ref="HY180" ca="1" si="5617">SUM(HY164:HY179)</f>
        <v>0</v>
      </c>
      <c r="HZ180" s="64"/>
      <c r="IA180" s="83"/>
      <c r="IB180" s="70">
        <f t="shared" ref="IB180" ca="1" si="5618">SUM(IB164:IB179)</f>
        <v>0</v>
      </c>
      <c r="IC180" s="64"/>
      <c r="ID180" s="83"/>
      <c r="IE180" s="70">
        <f t="shared" ref="IE180" ca="1" si="5619">SUM(IE164:IE179)</f>
        <v>0</v>
      </c>
      <c r="IF180" s="64"/>
      <c r="IG180" s="83"/>
      <c r="IH180" s="70">
        <f t="shared" ref="IH180" ca="1" si="5620">SUM(IH164:IH179)</f>
        <v>0</v>
      </c>
      <c r="II180" s="64"/>
      <c r="IJ180" s="83"/>
      <c r="IK180" s="70">
        <f t="shared" ref="IK180" ca="1" si="5621">SUM(IK164:IK179)</f>
        <v>0</v>
      </c>
      <c r="IL180" s="64"/>
      <c r="IM180" s="83"/>
      <c r="IN180" s="70">
        <f t="shared" ref="IN180" ca="1" si="5622">SUM(IN164:IN179)</f>
        <v>0</v>
      </c>
      <c r="IO180" s="64"/>
      <c r="IP180" s="83"/>
      <c r="IQ180" s="70">
        <f t="shared" ref="IQ180" ca="1" si="5623">SUM(IQ164:IQ179)</f>
        <v>0</v>
      </c>
      <c r="IR180" s="64"/>
      <c r="IS180" s="83"/>
      <c r="IT180" s="70">
        <f t="shared" ref="IT180" ca="1" si="5624">SUM(IT164:IT179)</f>
        <v>0</v>
      </c>
      <c r="IU180" s="64"/>
      <c r="IV180" s="83"/>
      <c r="IW180" s="70">
        <f t="shared" ref="IW180" ca="1" si="5625">SUM(IW164:IW179)</f>
        <v>0</v>
      </c>
      <c r="IX180" s="64"/>
      <c r="IY180" s="83"/>
      <c r="IZ180" s="70">
        <f t="shared" ref="IZ180" ca="1" si="5626">SUM(IZ164:IZ179)</f>
        <v>0</v>
      </c>
      <c r="JA180" s="64"/>
      <c r="JB180" s="83"/>
      <c r="JC180" s="70">
        <f t="shared" ref="JC180" ca="1" si="5627">SUM(JC164:JC179)</f>
        <v>0</v>
      </c>
      <c r="JD180" s="64"/>
      <c r="JE180" s="83"/>
      <c r="JF180" s="70">
        <f t="shared" ref="JF180" ca="1" si="5628">SUM(JF164:JF179)</f>
        <v>0</v>
      </c>
      <c r="JG180" s="64"/>
      <c r="JH180" s="83"/>
      <c r="JI180" s="70">
        <f t="shared" ref="JI180" ca="1" si="5629">SUM(JI164:JI179)</f>
        <v>0</v>
      </c>
      <c r="JJ180" s="64"/>
      <c r="JK180" s="83"/>
      <c r="JL180" s="70">
        <f t="shared" ref="JL180" ca="1" si="5630">SUM(JL164:JL179)</f>
        <v>0</v>
      </c>
      <c r="JM180" s="64"/>
      <c r="JN180" s="83"/>
      <c r="JO180" s="70">
        <f t="shared" ref="JO180" ca="1" si="5631">SUM(JO164:JO179)</f>
        <v>0</v>
      </c>
      <c r="JP180" s="64"/>
      <c r="JQ180" s="83"/>
      <c r="JR180" s="70">
        <f t="shared" ref="JR180" ca="1" si="5632">SUM(JR164:JR179)</f>
        <v>0</v>
      </c>
      <c r="JS180" s="64"/>
      <c r="JT180" s="83"/>
      <c r="JU180" s="70">
        <f t="shared" ref="JU180" ca="1" si="5633">SUM(JU164:JU179)</f>
        <v>0</v>
      </c>
      <c r="JV180" s="64"/>
      <c r="JW180" s="83"/>
      <c r="JX180" s="70">
        <f t="shared" ref="JX180" ca="1" si="5634">SUM(JX164:JX179)</f>
        <v>0</v>
      </c>
      <c r="JY180" s="64"/>
      <c r="JZ180" s="83"/>
      <c r="KA180" s="70">
        <f t="shared" ref="KA180" ca="1" si="5635">SUM(KA164:KA179)</f>
        <v>0</v>
      </c>
      <c r="KB180" s="64"/>
      <c r="KC180" s="83"/>
      <c r="KD180" s="70">
        <f t="shared" ref="KD180" ca="1" si="5636">SUM(KD164:KD179)</f>
        <v>0</v>
      </c>
      <c r="KE180" s="64"/>
      <c r="KF180" s="83"/>
      <c r="KG180" s="70">
        <f t="shared" ref="KG180" ca="1" si="5637">SUM(KG164:KG179)</f>
        <v>0</v>
      </c>
      <c r="KH180" s="64"/>
      <c r="KI180" s="83"/>
      <c r="KJ180" s="70">
        <f t="shared" ref="KJ180" ca="1" si="5638">SUM(KJ164:KJ179)</f>
        <v>0</v>
      </c>
      <c r="KK180" s="64"/>
      <c r="KL180" s="83"/>
      <c r="KM180" s="70">
        <f t="shared" ref="KM180" ca="1" si="5639">SUM(KM164:KM179)</f>
        <v>0</v>
      </c>
      <c r="KN180" s="64"/>
      <c r="KO180" s="83"/>
      <c r="KP180" s="70">
        <f t="shared" ref="KP180" ca="1" si="5640">SUM(KP164:KP179)</f>
        <v>0</v>
      </c>
      <c r="KQ180" s="64"/>
      <c r="KR180" s="83"/>
      <c r="KS180" s="70">
        <f t="shared" ref="KS180" ca="1" si="5641">SUM(KS164:KS179)</f>
        <v>0</v>
      </c>
      <c r="KT180" s="64"/>
      <c r="KU180" s="83"/>
      <c r="KV180" s="70">
        <f t="shared" ref="KV180" ca="1" si="5642">SUM(KV164:KV179)</f>
        <v>0</v>
      </c>
      <c r="KW180" s="64"/>
      <c r="KX180" s="83"/>
      <c r="KY180" s="70">
        <f t="shared" ref="KY180" ca="1" si="5643">SUM(KY164:KY179)</f>
        <v>0</v>
      </c>
      <c r="KZ180" s="64"/>
      <c r="LA180" s="83"/>
      <c r="LB180" s="70">
        <f t="shared" ref="LB180" ca="1" si="5644">SUM(LB164:LB179)</f>
        <v>0</v>
      </c>
      <c r="LC180" s="64"/>
      <c r="LD180" s="83"/>
      <c r="LE180" s="70">
        <f t="shared" ref="LE180" ca="1" si="5645">SUM(LE164:LE179)</f>
        <v>0</v>
      </c>
      <c r="LF180" s="64"/>
    </row>
    <row r="181" spans="1:318" s="784" customFormat="1">
      <c r="A181" s="25"/>
      <c r="B181" s="25"/>
      <c r="C181" s="25"/>
      <c r="D181" s="25"/>
      <c r="E181" s="25"/>
      <c r="F181" s="406"/>
      <c r="G181" s="406"/>
      <c r="H181" s="444"/>
      <c r="I181" s="50"/>
      <c r="J181" s="92"/>
      <c r="K181" s="111" t="str">
        <f>Idiomas!D139</f>
        <v>CLASIFICADOS PARA OCTAVOS</v>
      </c>
      <c r="L181" s="50"/>
      <c r="M181" s="70"/>
      <c r="N181" s="25"/>
      <c r="O181" s="25"/>
      <c r="P181" s="25"/>
      <c r="Q181" s="25"/>
      <c r="R181" s="49"/>
      <c r="S181" s="797"/>
      <c r="T181" s="70"/>
      <c r="U181" s="64"/>
      <c r="V181" s="83"/>
      <c r="W181" s="70"/>
      <c r="X181" s="64"/>
      <c r="Y181" s="797"/>
      <c r="Z181" s="70"/>
      <c r="AA181" s="64"/>
      <c r="AB181" s="797"/>
      <c r="AC181" s="70"/>
      <c r="AD181" s="64"/>
      <c r="AE181" s="797"/>
      <c r="AF181" s="70"/>
      <c r="AG181" s="64"/>
      <c r="AH181" s="797"/>
      <c r="AI181" s="70"/>
      <c r="AJ181" s="64"/>
      <c r="AK181" s="802"/>
      <c r="AL181" s="70"/>
      <c r="AM181" s="64"/>
      <c r="AN181" s="797"/>
      <c r="AO181" s="70"/>
      <c r="AP181" s="64"/>
      <c r="AQ181" s="802"/>
      <c r="AR181" s="70"/>
      <c r="AS181" s="64"/>
      <c r="AT181" s="797"/>
      <c r="AU181" s="70"/>
      <c r="AV181" s="64"/>
      <c r="AW181" s="797"/>
      <c r="AX181" s="70"/>
      <c r="AY181" s="64"/>
      <c r="AZ181" s="797"/>
      <c r="BA181" s="70"/>
      <c r="BB181" s="64"/>
      <c r="BC181" s="797"/>
      <c r="BD181" s="70"/>
      <c r="BE181" s="64"/>
      <c r="BF181" s="797"/>
      <c r="BG181" s="70"/>
      <c r="BH181" s="64"/>
      <c r="BI181" s="797"/>
      <c r="BJ181" s="70"/>
      <c r="BK181" s="64"/>
      <c r="BL181" s="797"/>
      <c r="BM181" s="70"/>
      <c r="BN181" s="64"/>
      <c r="BO181" s="812"/>
      <c r="BP181" s="70"/>
      <c r="BQ181" s="64"/>
      <c r="BR181" s="797"/>
      <c r="BS181" s="70"/>
      <c r="BT181" s="64"/>
      <c r="BU181" s="797"/>
      <c r="BV181" s="70"/>
      <c r="BW181" s="64"/>
      <c r="BX181" s="83"/>
      <c r="BY181" s="70"/>
      <c r="BZ181" s="64"/>
      <c r="CA181" s="812"/>
      <c r="CB181" s="70"/>
      <c r="CC181" s="64"/>
      <c r="CD181" s="821"/>
      <c r="CE181" s="70"/>
      <c r="CF181" s="64"/>
      <c r="CG181" s="797"/>
      <c r="CH181" s="70"/>
      <c r="CI181" s="64"/>
      <c r="CJ181" s="797"/>
      <c r="CK181" s="70"/>
      <c r="CL181" s="64"/>
      <c r="CM181" s="797"/>
      <c r="CN181" s="70"/>
      <c r="CO181" s="64"/>
      <c r="CP181" s="797"/>
      <c r="CQ181" s="70"/>
      <c r="CR181" s="64"/>
      <c r="CS181" s="797"/>
      <c r="CT181" s="70"/>
      <c r="CU181" s="64"/>
      <c r="CV181" s="797"/>
      <c r="CW181" s="70"/>
      <c r="CX181" s="64"/>
      <c r="CY181" s="797"/>
      <c r="CZ181" s="70"/>
      <c r="DA181" s="64"/>
      <c r="DB181" s="797"/>
      <c r="DC181" s="70"/>
      <c r="DD181" s="64"/>
      <c r="DE181" s="797"/>
      <c r="DF181" s="70"/>
      <c r="DG181" s="64"/>
      <c r="DH181" s="797"/>
      <c r="DI181" s="70"/>
      <c r="DJ181" s="64"/>
      <c r="DK181" s="797"/>
      <c r="DL181" s="70"/>
      <c r="DM181" s="64"/>
      <c r="DN181" s="83"/>
      <c r="DO181" s="70"/>
      <c r="DP181" s="64"/>
      <c r="DQ181" s="797"/>
      <c r="DR181" s="70"/>
      <c r="DS181" s="64"/>
      <c r="DT181" s="83"/>
      <c r="DU181" s="70"/>
      <c r="DV181" s="64"/>
      <c r="DW181" s="83"/>
      <c r="DX181" s="70"/>
      <c r="DY181" s="64"/>
      <c r="DZ181" s="83"/>
      <c r="EA181" s="70"/>
      <c r="EB181" s="64"/>
      <c r="EC181" s="83"/>
      <c r="ED181" s="70"/>
      <c r="EE181" s="64"/>
      <c r="EF181" s="83"/>
      <c r="EG181" s="70"/>
      <c r="EH181" s="64"/>
      <c r="EI181" s="83"/>
      <c r="EJ181" s="70"/>
      <c r="EK181" s="64"/>
      <c r="EL181" s="83"/>
      <c r="EM181" s="70"/>
      <c r="EN181" s="64"/>
      <c r="EO181" s="83"/>
      <c r="EP181" s="70"/>
      <c r="EQ181" s="64"/>
      <c r="ER181" s="83"/>
      <c r="ES181" s="70"/>
      <c r="ET181" s="64"/>
      <c r="EU181" s="83"/>
      <c r="EV181" s="70"/>
      <c r="EW181" s="64"/>
      <c r="EX181" s="83"/>
      <c r="EY181" s="70"/>
      <c r="EZ181" s="64"/>
      <c r="FA181" s="83"/>
      <c r="FB181" s="70"/>
      <c r="FC181" s="64"/>
      <c r="FD181" s="83"/>
      <c r="FE181" s="70"/>
      <c r="FF181" s="64"/>
      <c r="FG181" s="83"/>
      <c r="FH181" s="70"/>
      <c r="FI181" s="64"/>
      <c r="FJ181" s="83"/>
      <c r="FK181" s="70"/>
      <c r="FL181" s="64"/>
      <c r="FM181" s="83"/>
      <c r="FN181" s="70"/>
      <c r="FO181" s="64"/>
      <c r="FP181" s="83"/>
      <c r="FQ181" s="70"/>
      <c r="FR181" s="64"/>
      <c r="FS181" s="83"/>
      <c r="FT181" s="70"/>
      <c r="FU181" s="64"/>
      <c r="FV181" s="83"/>
      <c r="FW181" s="70"/>
      <c r="FX181" s="64"/>
      <c r="FY181" s="83"/>
      <c r="FZ181" s="70"/>
      <c r="GA181" s="64"/>
      <c r="GB181" s="83"/>
      <c r="GC181" s="70"/>
      <c r="GD181" s="64"/>
      <c r="GE181" s="83"/>
      <c r="GF181" s="70"/>
      <c r="GG181" s="64"/>
      <c r="GH181" s="83"/>
      <c r="GI181" s="70"/>
      <c r="GJ181" s="64"/>
      <c r="GK181" s="83"/>
      <c r="GL181" s="70"/>
      <c r="GM181" s="64"/>
      <c r="GN181" s="83"/>
      <c r="GO181" s="70"/>
      <c r="GP181" s="64"/>
      <c r="GQ181" s="83"/>
      <c r="GR181" s="70"/>
      <c r="GS181" s="64"/>
      <c r="GT181" s="83"/>
      <c r="GU181" s="70"/>
      <c r="GV181" s="64"/>
      <c r="GW181" s="83"/>
      <c r="GX181" s="70"/>
      <c r="GY181" s="64"/>
      <c r="GZ181" s="83"/>
      <c r="HA181" s="70"/>
      <c r="HB181" s="64"/>
      <c r="HC181" s="83"/>
      <c r="HD181" s="70"/>
      <c r="HE181" s="64"/>
      <c r="HF181" s="83"/>
      <c r="HG181" s="70"/>
      <c r="HH181" s="64"/>
      <c r="HI181" s="83"/>
      <c r="HJ181" s="70"/>
      <c r="HK181" s="64"/>
      <c r="HL181" s="83"/>
      <c r="HM181" s="70"/>
      <c r="HN181" s="64"/>
      <c r="HO181" s="83"/>
      <c r="HP181" s="70"/>
      <c r="HQ181" s="64"/>
      <c r="HR181" s="83"/>
      <c r="HS181" s="70"/>
      <c r="HT181" s="64"/>
      <c r="HU181" s="83"/>
      <c r="HV181" s="70"/>
      <c r="HW181" s="64"/>
      <c r="HX181" s="83"/>
      <c r="HY181" s="70"/>
      <c r="HZ181" s="64"/>
      <c r="IA181" s="83"/>
      <c r="IB181" s="70"/>
      <c r="IC181" s="64"/>
      <c r="ID181" s="83"/>
      <c r="IE181" s="70"/>
      <c r="IF181" s="64"/>
      <c r="IG181" s="83"/>
      <c r="IH181" s="70"/>
      <c r="II181" s="64"/>
      <c r="IJ181" s="83"/>
      <c r="IK181" s="70"/>
      <c r="IL181" s="64"/>
      <c r="IM181" s="83"/>
      <c r="IN181" s="70"/>
      <c r="IO181" s="64"/>
      <c r="IP181" s="83"/>
      <c r="IQ181" s="70"/>
      <c r="IR181" s="64"/>
      <c r="IS181" s="83"/>
      <c r="IT181" s="70"/>
      <c r="IU181" s="64"/>
      <c r="IV181" s="83"/>
      <c r="IW181" s="70"/>
      <c r="IX181" s="64"/>
      <c r="IY181" s="83"/>
      <c r="IZ181" s="70"/>
      <c r="JA181" s="64"/>
      <c r="JB181" s="83"/>
      <c r="JC181" s="70"/>
      <c r="JD181" s="64"/>
      <c r="JE181" s="83"/>
      <c r="JF181" s="70"/>
      <c r="JG181" s="64"/>
      <c r="JH181" s="83"/>
      <c r="JI181" s="70"/>
      <c r="JJ181" s="64"/>
      <c r="JK181" s="83"/>
      <c r="JL181" s="70"/>
      <c r="JM181" s="64"/>
      <c r="JN181" s="83"/>
      <c r="JO181" s="70"/>
      <c r="JP181" s="64"/>
      <c r="JQ181" s="83"/>
      <c r="JR181" s="70"/>
      <c r="JS181" s="64"/>
      <c r="JT181" s="83"/>
      <c r="JU181" s="70"/>
      <c r="JV181" s="64"/>
      <c r="JW181" s="83"/>
      <c r="JX181" s="70"/>
      <c r="JY181" s="64"/>
      <c r="JZ181" s="83"/>
      <c r="KA181" s="70"/>
      <c r="KB181" s="64"/>
      <c r="KC181" s="83"/>
      <c r="KD181" s="70"/>
      <c r="KE181" s="64"/>
      <c r="KF181" s="83"/>
      <c r="KG181" s="70"/>
      <c r="KH181" s="64"/>
      <c r="KI181" s="83"/>
      <c r="KJ181" s="70"/>
      <c r="KK181" s="64"/>
      <c r="KL181" s="83"/>
      <c r="KM181" s="70"/>
      <c r="KN181" s="64"/>
      <c r="KO181" s="83"/>
      <c r="KP181" s="70"/>
      <c r="KQ181" s="64"/>
      <c r="KR181" s="83"/>
      <c r="KS181" s="70"/>
      <c r="KT181" s="64"/>
      <c r="KU181" s="83"/>
      <c r="KV181" s="70"/>
      <c r="KW181" s="64"/>
      <c r="KX181" s="83"/>
      <c r="KY181" s="70"/>
      <c r="KZ181" s="64"/>
      <c r="LA181" s="83"/>
      <c r="LB181" s="70"/>
      <c r="LC181" s="64"/>
      <c r="LD181" s="83"/>
      <c r="LE181" s="70"/>
      <c r="LF181" s="64"/>
    </row>
    <row r="182" spans="1:318" s="784" customFormat="1">
      <c r="A182" s="25"/>
      <c r="B182" s="25"/>
      <c r="C182" s="25"/>
      <c r="D182" s="25"/>
      <c r="E182" s="25"/>
      <c r="F182" s="406">
        <f>$D$19</f>
        <v>30</v>
      </c>
      <c r="G182" s="406">
        <f ca="1">VLOOKUP(H182,Equipos!$Q$1:$R$25,2,0)</f>
        <v>20</v>
      </c>
      <c r="H182" s="444" t="str">
        <f>Idiomas!$D$260</f>
        <v>Dieciseisavos de final</v>
      </c>
      <c r="I182" s="50"/>
      <c r="J182" s="843" t="s">
        <v>88</v>
      </c>
      <c r="K182" s="53" t="str">
        <f>Idiomas!$D$199&amp;"-"&amp;ROWS($L$182:L182)</f>
        <v>Octavofinalista-1</v>
      </c>
      <c r="L182" s="53"/>
      <c r="M182" s="55" t="str">
        <f>WORLDCUP!AA120</f>
        <v>W73</v>
      </c>
      <c r="N182" s="25"/>
      <c r="O182" s="25"/>
      <c r="P182" s="25"/>
      <c r="Q182" s="25"/>
      <c r="R182" s="108"/>
      <c r="S182" s="796" t="s">
        <v>1259</v>
      </c>
      <c r="T182" s="76">
        <f t="shared" ref="T182:T197" si="5646">COUNTIF($M$182:$M$197,S182)*$D$19</f>
        <v>0</v>
      </c>
      <c r="U182" s="63"/>
      <c r="V182" s="75" t="s">
        <v>1260</v>
      </c>
      <c r="W182" s="76">
        <f t="shared" ref="W182:W197" si="5647">COUNTIF($M$182:$M$197,V182)*$D$19</f>
        <v>0</v>
      </c>
      <c r="X182" s="63"/>
      <c r="Y182" s="796" t="s">
        <v>1259</v>
      </c>
      <c r="Z182" s="76">
        <f t="shared" ref="Z182:Z197" si="5648">COUNTIF($M$182:$M$197,Y182)*$D$19</f>
        <v>0</v>
      </c>
      <c r="AA182" s="63"/>
      <c r="AB182" s="796" t="s">
        <v>1843</v>
      </c>
      <c r="AC182" s="76">
        <f t="shared" ref="AC182:AC197" si="5649">COUNTIF($M$182:$M$197,AB182)*$D$19</f>
        <v>0</v>
      </c>
      <c r="AD182" s="63"/>
      <c r="AE182" s="796" t="s">
        <v>1265</v>
      </c>
      <c r="AF182" s="76">
        <f t="shared" ref="AF182:AF197" si="5650">COUNTIF($M$182:$M$197,AE182)*$D$19</f>
        <v>0</v>
      </c>
      <c r="AG182" s="63"/>
      <c r="AH182" s="796" t="s">
        <v>1841</v>
      </c>
      <c r="AI182" s="76">
        <f t="shared" ref="AI182:AI197" si="5651">COUNTIF($M$182:$M$197,AH182)*$D$19</f>
        <v>0</v>
      </c>
      <c r="AJ182" s="63"/>
      <c r="AK182" s="806" t="s">
        <v>1259</v>
      </c>
      <c r="AL182" s="76">
        <f t="shared" ref="AL182:AL197" si="5652">COUNTIF($M$182:$M$197,AK182)*$D$19</f>
        <v>0</v>
      </c>
      <c r="AM182" s="63"/>
      <c r="AN182" s="796" t="s">
        <v>1259</v>
      </c>
      <c r="AO182" s="76">
        <f t="shared" ref="AO182:AO197" si="5653">COUNTIF($M$182:$M$197,AN182)*$D$19</f>
        <v>0</v>
      </c>
      <c r="AP182" s="63"/>
      <c r="AQ182" s="806" t="s">
        <v>1265</v>
      </c>
      <c r="AR182" s="76">
        <f t="shared" ref="AR182:AR197" si="5654">COUNTIF($M$182:$M$197,AQ182)*$D$19</f>
        <v>0</v>
      </c>
      <c r="AS182" s="63"/>
      <c r="AT182" s="796" t="s">
        <v>1265</v>
      </c>
      <c r="AU182" s="76">
        <f t="shared" ref="AU182:AU197" si="5655">COUNTIF($M$182:$M$197,AT182)*$D$19</f>
        <v>0</v>
      </c>
      <c r="AV182" s="63"/>
      <c r="AW182" s="796" t="s">
        <v>1843</v>
      </c>
      <c r="AX182" s="76">
        <f t="shared" ref="AX182:AX197" si="5656">COUNTIF($M$182:$M$197,AW182)*$D$19</f>
        <v>0</v>
      </c>
      <c r="AY182" s="63"/>
      <c r="AZ182" s="796" t="s">
        <v>1841</v>
      </c>
      <c r="BA182" s="76">
        <f t="shared" ref="BA182:BA197" si="5657">COUNTIF($M$182:$M$197,AZ182)*$D$19</f>
        <v>0</v>
      </c>
      <c r="BB182" s="63"/>
      <c r="BC182" s="796" t="s">
        <v>1265</v>
      </c>
      <c r="BD182" s="76">
        <f t="shared" ref="BD182:BD197" si="5658">COUNTIF($M$182:$M$197,BC182)*$D$19</f>
        <v>0</v>
      </c>
      <c r="BE182" s="63"/>
      <c r="BF182" s="796" t="s">
        <v>1260</v>
      </c>
      <c r="BG182" s="76">
        <f t="shared" ref="BG182:BG197" si="5659">COUNTIF($M$182:$M$197,BF182)*$D$19</f>
        <v>0</v>
      </c>
      <c r="BH182" s="63"/>
      <c r="BI182" s="796" t="s">
        <v>1843</v>
      </c>
      <c r="BJ182" s="76">
        <f t="shared" ref="BJ182:BJ197" si="5660">COUNTIF($M$182:$M$197,BI182)*$D$19</f>
        <v>0</v>
      </c>
      <c r="BK182" s="63"/>
      <c r="BL182" s="796" t="s">
        <v>1843</v>
      </c>
      <c r="BM182" s="76">
        <f t="shared" ref="BM182:BM197" si="5661">COUNTIF($M$182:$M$197,BL182)*$D$19</f>
        <v>0</v>
      </c>
      <c r="BN182" s="63"/>
      <c r="BO182" s="816" t="s">
        <v>1843</v>
      </c>
      <c r="BP182" s="76">
        <f t="shared" ref="BP182:BP197" si="5662">COUNTIF($M$182:$M$197,BO182)*$D$19</f>
        <v>0</v>
      </c>
      <c r="BQ182" s="63"/>
      <c r="BR182" s="796" t="s">
        <v>1259</v>
      </c>
      <c r="BS182" s="76">
        <f t="shared" ref="BS182:BS197" si="5663">COUNTIF($M$182:$M$197,BR182)*$D$19</f>
        <v>0</v>
      </c>
      <c r="BT182" s="63"/>
      <c r="BU182" s="796" t="s">
        <v>1259</v>
      </c>
      <c r="BV182" s="76">
        <f t="shared" ref="BV182:BV197" si="5664">COUNTIF($M$182:$M$197,BU182)*$D$19</f>
        <v>0</v>
      </c>
      <c r="BW182" s="63"/>
      <c r="BX182" s="75" t="s">
        <v>1259</v>
      </c>
      <c r="BY182" s="76">
        <f t="shared" ref="BY182:BY197" si="5665">COUNTIF($M$182:$M$197,BX182)*$D$19</f>
        <v>0</v>
      </c>
      <c r="BZ182" s="63"/>
      <c r="CA182" s="816" t="s">
        <v>1260</v>
      </c>
      <c r="CB182" s="76">
        <f t="shared" ref="CB182:CB197" si="5666">COUNTIF($M$182:$M$197,CA182)*$D$19</f>
        <v>0</v>
      </c>
      <c r="CC182" s="63"/>
      <c r="CD182" s="825" t="s">
        <v>1260</v>
      </c>
      <c r="CE182" s="76">
        <f t="shared" ref="CE182:CE197" si="5667">COUNTIF($M$182:$M$197,CD182)*$D$19</f>
        <v>0</v>
      </c>
      <c r="CF182" s="63"/>
      <c r="CG182" s="796" t="s">
        <v>1841</v>
      </c>
      <c r="CH182" s="76">
        <f t="shared" ref="CH182:CH197" si="5668">COUNTIF($M$182:$M$197,CG182)*$D$19</f>
        <v>0</v>
      </c>
      <c r="CI182" s="63"/>
      <c r="CJ182" s="796" t="s">
        <v>1265</v>
      </c>
      <c r="CK182" s="76">
        <f t="shared" ref="CK182:CK197" si="5669">COUNTIF($M$182:$M$197,CJ182)*$D$19</f>
        <v>0</v>
      </c>
      <c r="CL182" s="63"/>
      <c r="CM182" s="796" t="s">
        <v>1259</v>
      </c>
      <c r="CN182" s="76">
        <f t="shared" ref="CN182:CN197" si="5670">COUNTIF($M$182:$M$197,CM182)*$D$19</f>
        <v>0</v>
      </c>
      <c r="CO182" s="63"/>
      <c r="CP182" s="796" t="s">
        <v>1843</v>
      </c>
      <c r="CQ182" s="76">
        <f t="shared" ref="CQ182:CQ197" si="5671">COUNTIF($M$182:$M$197,CP182)*$D$19</f>
        <v>0</v>
      </c>
      <c r="CR182" s="63"/>
      <c r="CS182" s="796" t="s">
        <v>1259</v>
      </c>
      <c r="CT182" s="76">
        <f t="shared" ref="CT182:CT197" si="5672">COUNTIF($M$182:$M$197,CS182)*$D$19</f>
        <v>0</v>
      </c>
      <c r="CU182" s="63"/>
      <c r="CV182" s="796" t="s">
        <v>75</v>
      </c>
      <c r="CW182" s="76">
        <f t="shared" ref="CW182:CW197" si="5673">COUNTIF($M$182:$M$197,CV182)*$D$19</f>
        <v>0</v>
      </c>
      <c r="CX182" s="63"/>
      <c r="CY182" s="796" t="s">
        <v>1265</v>
      </c>
      <c r="CZ182" s="76">
        <f t="shared" ref="CZ182:CZ197" si="5674">COUNTIF($M$182:$M$197,CY182)*$D$19</f>
        <v>0</v>
      </c>
      <c r="DA182" s="63"/>
      <c r="DB182" s="796" t="s">
        <v>1259</v>
      </c>
      <c r="DC182" s="76">
        <f t="shared" ref="DC182:DC197" si="5675">COUNTIF($M$182:$M$197,DB182)*$D$19</f>
        <v>0</v>
      </c>
      <c r="DD182" s="63"/>
      <c r="DE182" s="796" t="s">
        <v>1265</v>
      </c>
      <c r="DF182" s="76">
        <f t="shared" ref="DF182:DF197" si="5676">COUNTIF($M$182:$M$197,DE182)*$D$19</f>
        <v>0</v>
      </c>
      <c r="DG182" s="63"/>
      <c r="DH182" s="796" t="s">
        <v>1259</v>
      </c>
      <c r="DI182" s="76">
        <f t="shared" ref="DI182:DI197" si="5677">COUNTIF($M$182:$M$197,DH182)*$D$19</f>
        <v>0</v>
      </c>
      <c r="DJ182" s="63"/>
      <c r="DK182" s="796" t="s">
        <v>1260</v>
      </c>
      <c r="DL182" s="76">
        <f t="shared" ref="DL182:DL197" si="5678">COUNTIF($M$182:$M$197,DK182)*$D$19</f>
        <v>0</v>
      </c>
      <c r="DM182" s="63"/>
      <c r="DN182" s="75"/>
      <c r="DO182" s="76">
        <f t="shared" ref="DO182:DO197" si="5679">COUNTIF($M$182:$M$197,DN182)*$D$19</f>
        <v>0</v>
      </c>
      <c r="DP182" s="63"/>
      <c r="DQ182" s="796" t="s">
        <v>75</v>
      </c>
      <c r="DR182" s="76">
        <f t="shared" ref="DR182:DR197" si="5680">COUNTIF($M$182:$M$197,DQ182)*$D$19</f>
        <v>0</v>
      </c>
      <c r="DS182" s="63"/>
      <c r="DT182" s="75" t="s">
        <v>1260</v>
      </c>
      <c r="DU182" s="76">
        <f t="shared" ref="DU182:DU197" si="5681">COUNTIF($M$182:$M$197,DT182)*$D$19</f>
        <v>0</v>
      </c>
      <c r="DV182" s="63"/>
      <c r="DW182" s="75"/>
      <c r="DX182" s="76">
        <f t="shared" ref="DX182:DX197" si="5682">COUNTIF($M$182:$M$197,DW182)*$D$19</f>
        <v>0</v>
      </c>
      <c r="DY182" s="63"/>
      <c r="DZ182" s="75"/>
      <c r="EA182" s="76">
        <f t="shared" ref="EA182:EA197" si="5683">COUNTIF($M$182:$M$197,DZ182)*$D$19</f>
        <v>0</v>
      </c>
      <c r="EB182" s="63"/>
      <c r="EC182" s="75"/>
      <c r="ED182" s="76">
        <f t="shared" ref="ED182:ED197" si="5684">COUNTIF($M$182:$M$197,EC182)*$D$19</f>
        <v>0</v>
      </c>
      <c r="EE182" s="63"/>
      <c r="EF182" s="75"/>
      <c r="EG182" s="76">
        <f t="shared" ref="EG182:EG197" si="5685">COUNTIF($M$182:$M$197,EF182)*$D$19</f>
        <v>0</v>
      </c>
      <c r="EH182" s="63"/>
      <c r="EI182" s="75"/>
      <c r="EJ182" s="76">
        <f t="shared" ref="EJ182:EJ197" si="5686">COUNTIF($M$182:$M$197,EI182)*$D$19</f>
        <v>0</v>
      </c>
      <c r="EK182" s="63"/>
      <c r="EL182" s="75"/>
      <c r="EM182" s="76">
        <f t="shared" ref="EM182:EM197" si="5687">COUNTIF($M$182:$M$197,EL182)*$D$19</f>
        <v>0</v>
      </c>
      <c r="EN182" s="63"/>
      <c r="EO182" s="75"/>
      <c r="EP182" s="76">
        <f t="shared" ref="EP182:EP197" si="5688">COUNTIF($M$182:$M$197,EO182)*$D$19</f>
        <v>0</v>
      </c>
      <c r="EQ182" s="63"/>
      <c r="ER182" s="75"/>
      <c r="ES182" s="76">
        <f t="shared" ref="ES182:ES197" si="5689">COUNTIF($M$182:$M$197,ER182)*$D$19</f>
        <v>0</v>
      </c>
      <c r="ET182" s="63"/>
      <c r="EU182" s="75"/>
      <c r="EV182" s="76">
        <f t="shared" ref="EV182:EV197" si="5690">COUNTIF($M$182:$M$197,EU182)*$D$19</f>
        <v>0</v>
      </c>
      <c r="EW182" s="63"/>
      <c r="EX182" s="75"/>
      <c r="EY182" s="76">
        <f t="shared" ref="EY182:EY197" si="5691">COUNTIF($M$182:$M$197,EX182)*$D$19</f>
        <v>0</v>
      </c>
      <c r="EZ182" s="63"/>
      <c r="FA182" s="75"/>
      <c r="FB182" s="76">
        <f t="shared" ref="FB182:FB197" si="5692">COUNTIF($M$182:$M$197,FA182)*$D$19</f>
        <v>0</v>
      </c>
      <c r="FC182" s="63"/>
      <c r="FD182" s="75"/>
      <c r="FE182" s="76">
        <f t="shared" ref="FE182:FE197" si="5693">COUNTIF($M$182:$M$197,FD182)*$D$19</f>
        <v>0</v>
      </c>
      <c r="FF182" s="63"/>
      <c r="FG182" s="75"/>
      <c r="FH182" s="76">
        <f t="shared" ref="FH182:FH197" si="5694">COUNTIF($M$182:$M$197,FG182)*$D$19</f>
        <v>0</v>
      </c>
      <c r="FI182" s="63"/>
      <c r="FJ182" s="75"/>
      <c r="FK182" s="76">
        <f t="shared" ref="FK182:FK197" si="5695">COUNTIF($M$182:$M$197,FJ182)*$D$19</f>
        <v>0</v>
      </c>
      <c r="FL182" s="63"/>
      <c r="FM182" s="75"/>
      <c r="FN182" s="76">
        <f t="shared" ref="FN182:FN197" si="5696">COUNTIF($M$182:$M$197,FM182)*$D$19</f>
        <v>0</v>
      </c>
      <c r="FO182" s="63"/>
      <c r="FP182" s="75"/>
      <c r="FQ182" s="76">
        <f t="shared" ref="FQ182:FQ197" si="5697">COUNTIF($M$182:$M$197,FP182)*$D$19</f>
        <v>0</v>
      </c>
      <c r="FR182" s="63"/>
      <c r="FS182" s="75"/>
      <c r="FT182" s="76">
        <f t="shared" ref="FT182:FT197" si="5698">COUNTIF($M$182:$M$197,FS182)*$D$19</f>
        <v>0</v>
      </c>
      <c r="FU182" s="63"/>
      <c r="FV182" s="75"/>
      <c r="FW182" s="76">
        <f t="shared" ref="FW182:FW197" si="5699">COUNTIF($M$182:$M$197,FV182)*$D$19</f>
        <v>0</v>
      </c>
      <c r="FX182" s="63"/>
      <c r="FY182" s="75"/>
      <c r="FZ182" s="76">
        <f t="shared" ref="FZ182:FZ197" si="5700">COUNTIF($M$182:$M$197,FY182)*$D$19</f>
        <v>0</v>
      </c>
      <c r="GA182" s="63"/>
      <c r="GB182" s="75"/>
      <c r="GC182" s="76">
        <f t="shared" ref="GC182:GC197" si="5701">COUNTIF($M$182:$M$197,GB182)*$D$19</f>
        <v>0</v>
      </c>
      <c r="GD182" s="63"/>
      <c r="GE182" s="75"/>
      <c r="GF182" s="76">
        <f t="shared" ref="GF182:GF197" si="5702">COUNTIF($M$182:$M$197,GE182)*$D$19</f>
        <v>0</v>
      </c>
      <c r="GG182" s="63"/>
      <c r="GH182" s="75"/>
      <c r="GI182" s="76">
        <f t="shared" ref="GI182:GI197" si="5703">COUNTIF($M$182:$M$197,GH182)*$D$19</f>
        <v>0</v>
      </c>
      <c r="GJ182" s="63"/>
      <c r="GK182" s="75"/>
      <c r="GL182" s="76">
        <f t="shared" ref="GL182:GL197" si="5704">COUNTIF($M$182:$M$197,GK182)*$D$19</f>
        <v>0</v>
      </c>
      <c r="GM182" s="63"/>
      <c r="GN182" s="75"/>
      <c r="GO182" s="76">
        <f t="shared" ref="GO182:GO197" si="5705">COUNTIF($M$182:$M$197,GN182)*$D$19</f>
        <v>0</v>
      </c>
      <c r="GP182" s="63"/>
      <c r="GQ182" s="75"/>
      <c r="GR182" s="76">
        <f t="shared" ref="GR182:GR197" si="5706">COUNTIF($M$182:$M$197,GQ182)*$D$19</f>
        <v>0</v>
      </c>
      <c r="GS182" s="63"/>
      <c r="GT182" s="75"/>
      <c r="GU182" s="76">
        <f t="shared" ref="GU182:GU197" si="5707">COUNTIF($M$182:$M$197,GT182)*$D$19</f>
        <v>0</v>
      </c>
      <c r="GV182" s="63"/>
      <c r="GW182" s="75"/>
      <c r="GX182" s="76">
        <f t="shared" ref="GX182:GX197" si="5708">COUNTIF($M$182:$M$197,GW182)*$D$19</f>
        <v>0</v>
      </c>
      <c r="GY182" s="63"/>
      <c r="GZ182" s="75"/>
      <c r="HA182" s="76">
        <f t="shared" ref="HA182:HA197" si="5709">COUNTIF($M$182:$M$197,GZ182)*$D$19</f>
        <v>0</v>
      </c>
      <c r="HB182" s="63"/>
      <c r="HC182" s="75"/>
      <c r="HD182" s="76">
        <f t="shared" ref="HD182:HD197" si="5710">COUNTIF($M$182:$M$197,HC182)*$D$19</f>
        <v>0</v>
      </c>
      <c r="HE182" s="63"/>
      <c r="HF182" s="75"/>
      <c r="HG182" s="76">
        <f t="shared" ref="HG182:HG197" si="5711">COUNTIF($M$182:$M$197,HF182)*$D$19</f>
        <v>0</v>
      </c>
      <c r="HH182" s="63"/>
      <c r="HI182" s="75"/>
      <c r="HJ182" s="76">
        <f t="shared" ref="HJ182:HJ197" si="5712">COUNTIF($M$182:$M$197,HI182)*$D$19</f>
        <v>0</v>
      </c>
      <c r="HK182" s="63"/>
      <c r="HL182" s="75"/>
      <c r="HM182" s="76">
        <f t="shared" ref="HM182:HM197" si="5713">COUNTIF($M$182:$M$197,HL182)*$D$19</f>
        <v>0</v>
      </c>
      <c r="HN182" s="63"/>
      <c r="HO182" s="75"/>
      <c r="HP182" s="76">
        <f t="shared" ref="HP182:HP197" si="5714">COUNTIF($M$182:$M$197,HO182)*$D$19</f>
        <v>0</v>
      </c>
      <c r="HQ182" s="63"/>
      <c r="HR182" s="75"/>
      <c r="HS182" s="76">
        <f t="shared" ref="HS182:HS197" si="5715">COUNTIF($M$182:$M$197,HR182)*$D$19</f>
        <v>0</v>
      </c>
      <c r="HT182" s="63"/>
      <c r="HU182" s="75"/>
      <c r="HV182" s="76">
        <f t="shared" ref="HV182:HV197" si="5716">COUNTIF($M$182:$M$197,HU182)*$D$19</f>
        <v>0</v>
      </c>
      <c r="HW182" s="63"/>
      <c r="HX182" s="75"/>
      <c r="HY182" s="76">
        <f t="shared" ref="HY182:HY197" si="5717">COUNTIF($M$182:$M$197,HX182)*$D$19</f>
        <v>0</v>
      </c>
      <c r="HZ182" s="63"/>
      <c r="IA182" s="75"/>
      <c r="IB182" s="76">
        <f t="shared" ref="IB182:IB197" si="5718">COUNTIF($M$182:$M$197,IA182)*$D$19</f>
        <v>0</v>
      </c>
      <c r="IC182" s="63"/>
      <c r="ID182" s="75"/>
      <c r="IE182" s="76">
        <f t="shared" ref="IE182:IE197" si="5719">COUNTIF($M$182:$M$197,ID182)*$D$19</f>
        <v>0</v>
      </c>
      <c r="IF182" s="63"/>
      <c r="IG182" s="75"/>
      <c r="IH182" s="76">
        <f t="shared" ref="IH182:IH197" si="5720">COUNTIF($M$182:$M$197,IG182)*$D$19</f>
        <v>0</v>
      </c>
      <c r="II182" s="63"/>
      <c r="IJ182" s="75"/>
      <c r="IK182" s="76">
        <f t="shared" ref="IK182:IK197" si="5721">COUNTIF($M$182:$M$197,IJ182)*$D$19</f>
        <v>0</v>
      </c>
      <c r="IL182" s="63"/>
      <c r="IM182" s="75"/>
      <c r="IN182" s="76">
        <f t="shared" ref="IN182:IN197" si="5722">COUNTIF($M$182:$M$197,IM182)*$D$19</f>
        <v>0</v>
      </c>
      <c r="IO182" s="63"/>
      <c r="IP182" s="75"/>
      <c r="IQ182" s="76">
        <f t="shared" ref="IQ182:IQ197" si="5723">COUNTIF($M$182:$M$197,IP182)*$D$19</f>
        <v>0</v>
      </c>
      <c r="IR182" s="63"/>
      <c r="IS182" s="75"/>
      <c r="IT182" s="76">
        <f t="shared" ref="IT182:IT197" si="5724">COUNTIF($M$182:$M$197,IS182)*$D$19</f>
        <v>0</v>
      </c>
      <c r="IU182" s="63"/>
      <c r="IV182" s="75"/>
      <c r="IW182" s="76">
        <f t="shared" ref="IW182:IW197" si="5725">COUNTIF($M$182:$M$197,IV182)*$D$19</f>
        <v>0</v>
      </c>
      <c r="IX182" s="63"/>
      <c r="IY182" s="75"/>
      <c r="IZ182" s="76">
        <f t="shared" ref="IZ182:IZ197" si="5726">COUNTIF($M$182:$M$197,IY182)*$D$19</f>
        <v>0</v>
      </c>
      <c r="JA182" s="63"/>
      <c r="JB182" s="75"/>
      <c r="JC182" s="76">
        <f t="shared" ref="JC182:JC197" si="5727">COUNTIF($M$182:$M$197,JB182)*$D$19</f>
        <v>0</v>
      </c>
      <c r="JD182" s="63"/>
      <c r="JE182" s="75"/>
      <c r="JF182" s="76">
        <f t="shared" ref="JF182:JF197" si="5728">COUNTIF($M$182:$M$197,JE182)*$D$19</f>
        <v>0</v>
      </c>
      <c r="JG182" s="63"/>
      <c r="JH182" s="75"/>
      <c r="JI182" s="76">
        <f t="shared" ref="JI182:JI197" si="5729">COUNTIF($M$182:$M$197,JH182)*$D$19</f>
        <v>0</v>
      </c>
      <c r="JJ182" s="63"/>
      <c r="JK182" s="75"/>
      <c r="JL182" s="76">
        <f t="shared" ref="JL182:JL197" si="5730">COUNTIF($M$182:$M$197,JK182)*$D$19</f>
        <v>0</v>
      </c>
      <c r="JM182" s="63"/>
      <c r="JN182" s="75"/>
      <c r="JO182" s="76">
        <f t="shared" ref="JO182:JO197" si="5731">COUNTIF($M$182:$M$197,JN182)*$D$19</f>
        <v>0</v>
      </c>
      <c r="JP182" s="63"/>
      <c r="JQ182" s="75"/>
      <c r="JR182" s="76">
        <f t="shared" ref="JR182:JR197" si="5732">COUNTIF($M$182:$M$197,JQ182)*$D$19</f>
        <v>0</v>
      </c>
      <c r="JS182" s="63"/>
      <c r="JT182" s="75"/>
      <c r="JU182" s="76">
        <f t="shared" ref="JU182:JU197" si="5733">COUNTIF($M$182:$M$197,JT182)*$D$19</f>
        <v>0</v>
      </c>
      <c r="JV182" s="63"/>
      <c r="JW182" s="75"/>
      <c r="JX182" s="76">
        <f t="shared" ref="JX182:JX197" si="5734">COUNTIF($M$182:$M$197,JW182)*$D$19</f>
        <v>0</v>
      </c>
      <c r="JY182" s="63"/>
      <c r="JZ182" s="75"/>
      <c r="KA182" s="76">
        <f t="shared" ref="KA182:KA197" si="5735">COUNTIF($M$182:$M$197,JZ182)*$D$19</f>
        <v>0</v>
      </c>
      <c r="KB182" s="63"/>
      <c r="KC182" s="75"/>
      <c r="KD182" s="76">
        <f t="shared" ref="KD182:KD197" si="5736">COUNTIF($M$182:$M$197,KC182)*$D$19</f>
        <v>0</v>
      </c>
      <c r="KE182" s="63"/>
      <c r="KF182" s="75"/>
      <c r="KG182" s="76">
        <f t="shared" ref="KG182:KG197" si="5737">COUNTIF($M$182:$M$197,KF182)*$D$19</f>
        <v>0</v>
      </c>
      <c r="KH182" s="63"/>
      <c r="KI182" s="75"/>
      <c r="KJ182" s="76">
        <f t="shared" ref="KJ182:KJ197" si="5738">COUNTIF($M$182:$M$197,KI182)*$D$19</f>
        <v>0</v>
      </c>
      <c r="KK182" s="63"/>
      <c r="KL182" s="75"/>
      <c r="KM182" s="76">
        <f t="shared" ref="KM182:KM197" si="5739">COUNTIF($M$182:$M$197,KL182)*$D$19</f>
        <v>0</v>
      </c>
      <c r="KN182" s="63"/>
      <c r="KO182" s="75"/>
      <c r="KP182" s="76">
        <f t="shared" ref="KP182:KP197" si="5740">COUNTIF($M$182:$M$197,KO182)*$D$19</f>
        <v>0</v>
      </c>
      <c r="KQ182" s="63"/>
      <c r="KR182" s="75"/>
      <c r="KS182" s="76">
        <f t="shared" ref="KS182:KS197" si="5741">COUNTIF($M$182:$M$197,KR182)*$D$19</f>
        <v>0</v>
      </c>
      <c r="KT182" s="63"/>
      <c r="KU182" s="75"/>
      <c r="KV182" s="76">
        <f t="shared" ref="KV182:KV197" si="5742">COUNTIF($M$182:$M$197,KU182)*$D$19</f>
        <v>0</v>
      </c>
      <c r="KW182" s="63"/>
      <c r="KX182" s="75"/>
      <c r="KY182" s="76">
        <f t="shared" ref="KY182:KY197" si="5743">COUNTIF($M$182:$M$197,KX182)*$D$19</f>
        <v>0</v>
      </c>
      <c r="KZ182" s="63"/>
      <c r="LA182" s="75"/>
      <c r="LB182" s="76">
        <f t="shared" ref="LB182:LB197" si="5744">COUNTIF($M$182:$M$197,LA182)*$D$19</f>
        <v>0</v>
      </c>
      <c r="LC182" s="63"/>
      <c r="LD182" s="75"/>
      <c r="LE182" s="76">
        <f t="shared" ref="LE182:LE197" si="5745">COUNTIF($M$182:$M$197,LD182)*$D$19</f>
        <v>0</v>
      </c>
      <c r="LF182" s="63"/>
    </row>
    <row r="183" spans="1:318" s="784" customFormat="1">
      <c r="A183" s="25"/>
      <c r="B183" s="25"/>
      <c r="C183" s="25"/>
      <c r="D183" s="25"/>
      <c r="E183" s="25"/>
      <c r="F183" s="406">
        <f t="shared" ref="F183:F197" si="5746">$D$19</f>
        <v>30</v>
      </c>
      <c r="G183" s="406">
        <f ca="1">VLOOKUP(H183,Equipos!$Q$1:$R$25,2,0)</f>
        <v>20</v>
      </c>
      <c r="H183" s="444" t="str">
        <f>Idiomas!$D$260</f>
        <v>Dieciseisavos de final</v>
      </c>
      <c r="I183" s="50"/>
      <c r="J183" s="843"/>
      <c r="K183" s="56" t="str">
        <f>Idiomas!$D$199&amp;"-"&amp;ROWS($L$182:L183)</f>
        <v>Octavofinalista-2</v>
      </c>
      <c r="L183" s="53"/>
      <c r="M183" s="55" t="str">
        <f>WORLDCUP!AA121</f>
        <v>W74</v>
      </c>
      <c r="N183" s="25"/>
      <c r="O183" s="25"/>
      <c r="P183" s="25"/>
      <c r="Q183" s="25"/>
      <c r="R183" s="108"/>
      <c r="S183" s="796" t="s">
        <v>77</v>
      </c>
      <c r="T183" s="72">
        <f t="shared" si="5646"/>
        <v>0</v>
      </c>
      <c r="U183" s="63"/>
      <c r="V183" s="73" t="s">
        <v>77</v>
      </c>
      <c r="W183" s="72">
        <f t="shared" si="5647"/>
        <v>0</v>
      </c>
      <c r="X183" s="63"/>
      <c r="Y183" s="796" t="s">
        <v>1261</v>
      </c>
      <c r="Z183" s="72">
        <f t="shared" si="5648"/>
        <v>0</v>
      </c>
      <c r="AA183" s="63"/>
      <c r="AB183" s="796" t="s">
        <v>77</v>
      </c>
      <c r="AC183" s="72">
        <f t="shared" si="5649"/>
        <v>0</v>
      </c>
      <c r="AD183" s="63"/>
      <c r="AE183" s="796" t="s">
        <v>77</v>
      </c>
      <c r="AF183" s="72">
        <f t="shared" si="5650"/>
        <v>0</v>
      </c>
      <c r="AG183" s="63"/>
      <c r="AH183" s="796" t="s">
        <v>77</v>
      </c>
      <c r="AI183" s="72">
        <f t="shared" si="5651"/>
        <v>0</v>
      </c>
      <c r="AJ183" s="63"/>
      <c r="AK183" s="806" t="s">
        <v>77</v>
      </c>
      <c r="AL183" s="72">
        <f t="shared" si="5652"/>
        <v>0</v>
      </c>
      <c r="AM183" s="63"/>
      <c r="AN183" s="796" t="s">
        <v>77</v>
      </c>
      <c r="AO183" s="72">
        <f t="shared" si="5653"/>
        <v>0</v>
      </c>
      <c r="AP183" s="63"/>
      <c r="AQ183" s="806" t="s">
        <v>77</v>
      </c>
      <c r="AR183" s="72">
        <f t="shared" si="5654"/>
        <v>0</v>
      </c>
      <c r="AS183" s="63"/>
      <c r="AT183" s="796" t="s">
        <v>1261</v>
      </c>
      <c r="AU183" s="72">
        <f t="shared" si="5655"/>
        <v>0</v>
      </c>
      <c r="AV183" s="63"/>
      <c r="AW183" s="796" t="s">
        <v>77</v>
      </c>
      <c r="AX183" s="72">
        <f t="shared" si="5656"/>
        <v>0</v>
      </c>
      <c r="AY183" s="63"/>
      <c r="AZ183" s="796" t="s">
        <v>1726</v>
      </c>
      <c r="BA183" s="72">
        <f t="shared" si="5657"/>
        <v>0</v>
      </c>
      <c r="BB183" s="63"/>
      <c r="BC183" s="796" t="s">
        <v>77</v>
      </c>
      <c r="BD183" s="72">
        <f t="shared" si="5658"/>
        <v>0</v>
      </c>
      <c r="BE183" s="63"/>
      <c r="BF183" s="796" t="s">
        <v>1261</v>
      </c>
      <c r="BG183" s="72">
        <f t="shared" si="5659"/>
        <v>0</v>
      </c>
      <c r="BH183" s="63"/>
      <c r="BI183" s="796" t="s">
        <v>77</v>
      </c>
      <c r="BJ183" s="72">
        <f t="shared" si="5660"/>
        <v>0</v>
      </c>
      <c r="BK183" s="63"/>
      <c r="BL183" s="796" t="s">
        <v>77</v>
      </c>
      <c r="BM183" s="72">
        <f t="shared" si="5661"/>
        <v>0</v>
      </c>
      <c r="BN183" s="63"/>
      <c r="BO183" s="816" t="s">
        <v>77</v>
      </c>
      <c r="BP183" s="72">
        <f t="shared" si="5662"/>
        <v>0</v>
      </c>
      <c r="BQ183" s="63"/>
      <c r="BR183" s="796" t="s">
        <v>77</v>
      </c>
      <c r="BS183" s="72">
        <f t="shared" si="5663"/>
        <v>0</v>
      </c>
      <c r="BT183" s="63"/>
      <c r="BU183" s="796" t="s">
        <v>77</v>
      </c>
      <c r="BV183" s="72">
        <f t="shared" si="5664"/>
        <v>0</v>
      </c>
      <c r="BW183" s="63"/>
      <c r="BX183" s="73" t="s">
        <v>77</v>
      </c>
      <c r="BY183" s="72">
        <f t="shared" si="5665"/>
        <v>0</v>
      </c>
      <c r="BZ183" s="63"/>
      <c r="CA183" s="816" t="s">
        <v>77</v>
      </c>
      <c r="CB183" s="72">
        <f t="shared" si="5666"/>
        <v>0</v>
      </c>
      <c r="CC183" s="63"/>
      <c r="CD183" s="825" t="s">
        <v>77</v>
      </c>
      <c r="CE183" s="72">
        <f t="shared" si="5667"/>
        <v>0</v>
      </c>
      <c r="CF183" s="63"/>
      <c r="CG183" s="796" t="s">
        <v>77</v>
      </c>
      <c r="CH183" s="72">
        <f t="shared" si="5668"/>
        <v>0</v>
      </c>
      <c r="CI183" s="63"/>
      <c r="CJ183" s="796" t="s">
        <v>77</v>
      </c>
      <c r="CK183" s="72">
        <f t="shared" si="5669"/>
        <v>0</v>
      </c>
      <c r="CL183" s="63"/>
      <c r="CM183" s="796" t="s">
        <v>77</v>
      </c>
      <c r="CN183" s="72">
        <f t="shared" si="5670"/>
        <v>0</v>
      </c>
      <c r="CO183" s="63"/>
      <c r="CP183" s="796" t="s">
        <v>77</v>
      </c>
      <c r="CQ183" s="72">
        <f t="shared" si="5671"/>
        <v>0</v>
      </c>
      <c r="CR183" s="63"/>
      <c r="CS183" s="796" t="s">
        <v>77</v>
      </c>
      <c r="CT183" s="72">
        <f t="shared" si="5672"/>
        <v>0</v>
      </c>
      <c r="CU183" s="63"/>
      <c r="CV183" s="796" t="s">
        <v>1261</v>
      </c>
      <c r="CW183" s="72">
        <f t="shared" si="5673"/>
        <v>0</v>
      </c>
      <c r="CX183" s="63"/>
      <c r="CY183" s="796" t="s">
        <v>77</v>
      </c>
      <c r="CZ183" s="72">
        <f t="shared" si="5674"/>
        <v>0</v>
      </c>
      <c r="DA183" s="63"/>
      <c r="DB183" s="796" t="s">
        <v>77</v>
      </c>
      <c r="DC183" s="72">
        <f t="shared" si="5675"/>
        <v>0</v>
      </c>
      <c r="DD183" s="63"/>
      <c r="DE183" s="796" t="s">
        <v>77</v>
      </c>
      <c r="DF183" s="72">
        <f t="shared" si="5676"/>
        <v>0</v>
      </c>
      <c r="DG183" s="63"/>
      <c r="DH183" s="796" t="s">
        <v>77</v>
      </c>
      <c r="DI183" s="72">
        <f t="shared" si="5677"/>
        <v>0</v>
      </c>
      <c r="DJ183" s="63"/>
      <c r="DK183" s="796" t="s">
        <v>77</v>
      </c>
      <c r="DL183" s="72">
        <f t="shared" si="5678"/>
        <v>0</v>
      </c>
      <c r="DM183" s="63"/>
      <c r="DN183" s="73"/>
      <c r="DO183" s="72">
        <f t="shared" si="5679"/>
        <v>0</v>
      </c>
      <c r="DP183" s="63"/>
      <c r="DQ183" s="796" t="s">
        <v>77</v>
      </c>
      <c r="DR183" s="72">
        <f t="shared" si="5680"/>
        <v>0</v>
      </c>
      <c r="DS183" s="63"/>
      <c r="DT183" s="73" t="s">
        <v>77</v>
      </c>
      <c r="DU183" s="72">
        <f t="shared" si="5681"/>
        <v>0</v>
      </c>
      <c r="DV183" s="63"/>
      <c r="DW183" s="73"/>
      <c r="DX183" s="72">
        <f t="shared" si="5682"/>
        <v>0</v>
      </c>
      <c r="DY183" s="63"/>
      <c r="DZ183" s="73"/>
      <c r="EA183" s="72">
        <f t="shared" si="5683"/>
        <v>0</v>
      </c>
      <c r="EB183" s="63"/>
      <c r="EC183" s="73"/>
      <c r="ED183" s="72">
        <f t="shared" si="5684"/>
        <v>0</v>
      </c>
      <c r="EE183" s="63"/>
      <c r="EF183" s="73"/>
      <c r="EG183" s="72">
        <f t="shared" si="5685"/>
        <v>0</v>
      </c>
      <c r="EH183" s="63"/>
      <c r="EI183" s="73"/>
      <c r="EJ183" s="72">
        <f t="shared" si="5686"/>
        <v>0</v>
      </c>
      <c r="EK183" s="63"/>
      <c r="EL183" s="73"/>
      <c r="EM183" s="72">
        <f t="shared" si="5687"/>
        <v>0</v>
      </c>
      <c r="EN183" s="63"/>
      <c r="EO183" s="73"/>
      <c r="EP183" s="72">
        <f t="shared" si="5688"/>
        <v>0</v>
      </c>
      <c r="EQ183" s="63"/>
      <c r="ER183" s="73"/>
      <c r="ES183" s="72">
        <f t="shared" si="5689"/>
        <v>0</v>
      </c>
      <c r="ET183" s="63"/>
      <c r="EU183" s="73"/>
      <c r="EV183" s="72">
        <f t="shared" si="5690"/>
        <v>0</v>
      </c>
      <c r="EW183" s="63"/>
      <c r="EX183" s="73"/>
      <c r="EY183" s="72">
        <f t="shared" si="5691"/>
        <v>0</v>
      </c>
      <c r="EZ183" s="63"/>
      <c r="FA183" s="73"/>
      <c r="FB183" s="72">
        <f t="shared" si="5692"/>
        <v>0</v>
      </c>
      <c r="FC183" s="63"/>
      <c r="FD183" s="73"/>
      <c r="FE183" s="72">
        <f t="shared" si="5693"/>
        <v>0</v>
      </c>
      <c r="FF183" s="63"/>
      <c r="FG183" s="73"/>
      <c r="FH183" s="72">
        <f t="shared" si="5694"/>
        <v>0</v>
      </c>
      <c r="FI183" s="63"/>
      <c r="FJ183" s="73"/>
      <c r="FK183" s="72">
        <f t="shared" si="5695"/>
        <v>0</v>
      </c>
      <c r="FL183" s="63"/>
      <c r="FM183" s="73"/>
      <c r="FN183" s="72">
        <f t="shared" si="5696"/>
        <v>0</v>
      </c>
      <c r="FO183" s="63"/>
      <c r="FP183" s="73"/>
      <c r="FQ183" s="72">
        <f t="shared" si="5697"/>
        <v>0</v>
      </c>
      <c r="FR183" s="63"/>
      <c r="FS183" s="73"/>
      <c r="FT183" s="72">
        <f t="shared" si="5698"/>
        <v>0</v>
      </c>
      <c r="FU183" s="63"/>
      <c r="FV183" s="73"/>
      <c r="FW183" s="72">
        <f t="shared" si="5699"/>
        <v>0</v>
      </c>
      <c r="FX183" s="63"/>
      <c r="FY183" s="73"/>
      <c r="FZ183" s="72">
        <f t="shared" si="5700"/>
        <v>0</v>
      </c>
      <c r="GA183" s="63"/>
      <c r="GB183" s="73"/>
      <c r="GC183" s="72">
        <f t="shared" si="5701"/>
        <v>0</v>
      </c>
      <c r="GD183" s="63"/>
      <c r="GE183" s="73"/>
      <c r="GF183" s="72">
        <f t="shared" si="5702"/>
        <v>0</v>
      </c>
      <c r="GG183" s="63"/>
      <c r="GH183" s="73"/>
      <c r="GI183" s="72">
        <f t="shared" si="5703"/>
        <v>0</v>
      </c>
      <c r="GJ183" s="63"/>
      <c r="GK183" s="73"/>
      <c r="GL183" s="72">
        <f t="shared" si="5704"/>
        <v>0</v>
      </c>
      <c r="GM183" s="63"/>
      <c r="GN183" s="73"/>
      <c r="GO183" s="72">
        <f t="shared" si="5705"/>
        <v>0</v>
      </c>
      <c r="GP183" s="63"/>
      <c r="GQ183" s="73"/>
      <c r="GR183" s="72">
        <f t="shared" si="5706"/>
        <v>0</v>
      </c>
      <c r="GS183" s="63"/>
      <c r="GT183" s="73"/>
      <c r="GU183" s="72">
        <f t="shared" si="5707"/>
        <v>0</v>
      </c>
      <c r="GV183" s="63"/>
      <c r="GW183" s="73"/>
      <c r="GX183" s="72">
        <f t="shared" si="5708"/>
        <v>0</v>
      </c>
      <c r="GY183" s="63"/>
      <c r="GZ183" s="73"/>
      <c r="HA183" s="72">
        <f t="shared" si="5709"/>
        <v>0</v>
      </c>
      <c r="HB183" s="63"/>
      <c r="HC183" s="73"/>
      <c r="HD183" s="72">
        <f t="shared" si="5710"/>
        <v>0</v>
      </c>
      <c r="HE183" s="63"/>
      <c r="HF183" s="73"/>
      <c r="HG183" s="72">
        <f t="shared" si="5711"/>
        <v>0</v>
      </c>
      <c r="HH183" s="63"/>
      <c r="HI183" s="73"/>
      <c r="HJ183" s="72">
        <f t="shared" si="5712"/>
        <v>0</v>
      </c>
      <c r="HK183" s="63"/>
      <c r="HL183" s="73"/>
      <c r="HM183" s="72">
        <f t="shared" si="5713"/>
        <v>0</v>
      </c>
      <c r="HN183" s="63"/>
      <c r="HO183" s="73"/>
      <c r="HP183" s="72">
        <f t="shared" si="5714"/>
        <v>0</v>
      </c>
      <c r="HQ183" s="63"/>
      <c r="HR183" s="73"/>
      <c r="HS183" s="72">
        <f t="shared" si="5715"/>
        <v>0</v>
      </c>
      <c r="HT183" s="63"/>
      <c r="HU183" s="73"/>
      <c r="HV183" s="72">
        <f t="shared" si="5716"/>
        <v>0</v>
      </c>
      <c r="HW183" s="63"/>
      <c r="HX183" s="73"/>
      <c r="HY183" s="72">
        <f t="shared" si="5717"/>
        <v>0</v>
      </c>
      <c r="HZ183" s="63"/>
      <c r="IA183" s="73"/>
      <c r="IB183" s="72">
        <f t="shared" si="5718"/>
        <v>0</v>
      </c>
      <c r="IC183" s="63"/>
      <c r="ID183" s="73"/>
      <c r="IE183" s="72">
        <f t="shared" si="5719"/>
        <v>0</v>
      </c>
      <c r="IF183" s="63"/>
      <c r="IG183" s="73"/>
      <c r="IH183" s="72">
        <f t="shared" si="5720"/>
        <v>0</v>
      </c>
      <c r="II183" s="63"/>
      <c r="IJ183" s="73"/>
      <c r="IK183" s="72">
        <f t="shared" si="5721"/>
        <v>0</v>
      </c>
      <c r="IL183" s="63"/>
      <c r="IM183" s="73"/>
      <c r="IN183" s="72">
        <f t="shared" si="5722"/>
        <v>0</v>
      </c>
      <c r="IO183" s="63"/>
      <c r="IP183" s="73"/>
      <c r="IQ183" s="72">
        <f t="shared" si="5723"/>
        <v>0</v>
      </c>
      <c r="IR183" s="63"/>
      <c r="IS183" s="73"/>
      <c r="IT183" s="72">
        <f t="shared" si="5724"/>
        <v>0</v>
      </c>
      <c r="IU183" s="63"/>
      <c r="IV183" s="73"/>
      <c r="IW183" s="72">
        <f t="shared" si="5725"/>
        <v>0</v>
      </c>
      <c r="IX183" s="63"/>
      <c r="IY183" s="73"/>
      <c r="IZ183" s="72">
        <f t="shared" si="5726"/>
        <v>0</v>
      </c>
      <c r="JA183" s="63"/>
      <c r="JB183" s="73"/>
      <c r="JC183" s="72">
        <f t="shared" si="5727"/>
        <v>0</v>
      </c>
      <c r="JD183" s="63"/>
      <c r="JE183" s="73"/>
      <c r="JF183" s="72">
        <f t="shared" si="5728"/>
        <v>0</v>
      </c>
      <c r="JG183" s="63"/>
      <c r="JH183" s="73"/>
      <c r="JI183" s="72">
        <f t="shared" si="5729"/>
        <v>0</v>
      </c>
      <c r="JJ183" s="63"/>
      <c r="JK183" s="73"/>
      <c r="JL183" s="72">
        <f t="shared" si="5730"/>
        <v>0</v>
      </c>
      <c r="JM183" s="63"/>
      <c r="JN183" s="73"/>
      <c r="JO183" s="72">
        <f t="shared" si="5731"/>
        <v>0</v>
      </c>
      <c r="JP183" s="63"/>
      <c r="JQ183" s="73"/>
      <c r="JR183" s="72">
        <f t="shared" si="5732"/>
        <v>0</v>
      </c>
      <c r="JS183" s="63"/>
      <c r="JT183" s="73"/>
      <c r="JU183" s="72">
        <f t="shared" si="5733"/>
        <v>0</v>
      </c>
      <c r="JV183" s="63"/>
      <c r="JW183" s="73"/>
      <c r="JX183" s="72">
        <f t="shared" si="5734"/>
        <v>0</v>
      </c>
      <c r="JY183" s="63"/>
      <c r="JZ183" s="73"/>
      <c r="KA183" s="72">
        <f t="shared" si="5735"/>
        <v>0</v>
      </c>
      <c r="KB183" s="63"/>
      <c r="KC183" s="73"/>
      <c r="KD183" s="72">
        <f t="shared" si="5736"/>
        <v>0</v>
      </c>
      <c r="KE183" s="63"/>
      <c r="KF183" s="73"/>
      <c r="KG183" s="72">
        <f t="shared" si="5737"/>
        <v>0</v>
      </c>
      <c r="KH183" s="63"/>
      <c r="KI183" s="73"/>
      <c r="KJ183" s="72">
        <f t="shared" si="5738"/>
        <v>0</v>
      </c>
      <c r="KK183" s="63"/>
      <c r="KL183" s="73"/>
      <c r="KM183" s="72">
        <f t="shared" si="5739"/>
        <v>0</v>
      </c>
      <c r="KN183" s="63"/>
      <c r="KO183" s="73"/>
      <c r="KP183" s="72">
        <f t="shared" si="5740"/>
        <v>0</v>
      </c>
      <c r="KQ183" s="63"/>
      <c r="KR183" s="73"/>
      <c r="KS183" s="72">
        <f t="shared" si="5741"/>
        <v>0</v>
      </c>
      <c r="KT183" s="63"/>
      <c r="KU183" s="73"/>
      <c r="KV183" s="72">
        <f t="shared" si="5742"/>
        <v>0</v>
      </c>
      <c r="KW183" s="63"/>
      <c r="KX183" s="73"/>
      <c r="KY183" s="72">
        <f t="shared" si="5743"/>
        <v>0</v>
      </c>
      <c r="KZ183" s="63"/>
      <c r="LA183" s="73"/>
      <c r="LB183" s="72">
        <f t="shared" si="5744"/>
        <v>0</v>
      </c>
      <c r="LC183" s="63"/>
      <c r="LD183" s="73"/>
      <c r="LE183" s="72">
        <f t="shared" si="5745"/>
        <v>0</v>
      </c>
      <c r="LF183" s="63"/>
    </row>
    <row r="184" spans="1:318" s="784" customFormat="1">
      <c r="A184" s="25"/>
      <c r="B184" s="25"/>
      <c r="C184" s="25"/>
      <c r="D184" s="25"/>
      <c r="E184" s="25"/>
      <c r="F184" s="406">
        <f t="shared" si="5746"/>
        <v>30</v>
      </c>
      <c r="G184" s="406">
        <f ca="1">VLOOKUP(H184,Equipos!$Q$1:$R$25,2,0)</f>
        <v>20</v>
      </c>
      <c r="H184" s="444" t="str">
        <f>Idiomas!$D$260</f>
        <v>Dieciseisavos de final</v>
      </c>
      <c r="I184" s="50"/>
      <c r="J184" s="843"/>
      <c r="K184" s="56" t="str">
        <f>Idiomas!$D$199&amp;"-"&amp;ROWS($L$182:L184)</f>
        <v>Octavofinalista-3</v>
      </c>
      <c r="L184" s="53"/>
      <c r="M184" s="55" t="str">
        <f>WORLDCUP!AA122</f>
        <v>W76</v>
      </c>
      <c r="N184" s="25"/>
      <c r="O184" s="25"/>
      <c r="P184" s="25"/>
      <c r="Q184" s="25"/>
      <c r="R184" s="108"/>
      <c r="S184" s="796" t="s">
        <v>1258</v>
      </c>
      <c r="T184" s="72">
        <f t="shared" si="5646"/>
        <v>0</v>
      </c>
      <c r="U184" s="63"/>
      <c r="V184" s="73" t="s">
        <v>1258</v>
      </c>
      <c r="W184" s="72">
        <f t="shared" si="5647"/>
        <v>0</v>
      </c>
      <c r="X184" s="63"/>
      <c r="Y184" s="796" t="s">
        <v>1321</v>
      </c>
      <c r="Z184" s="72">
        <f t="shared" si="5648"/>
        <v>0</v>
      </c>
      <c r="AA184" s="63"/>
      <c r="AB184" s="796" t="s">
        <v>1258</v>
      </c>
      <c r="AC184" s="72">
        <f t="shared" si="5649"/>
        <v>0</v>
      </c>
      <c r="AD184" s="63"/>
      <c r="AE184" s="796" t="s">
        <v>1258</v>
      </c>
      <c r="AF184" s="72">
        <f t="shared" si="5650"/>
        <v>0</v>
      </c>
      <c r="AG184" s="63"/>
      <c r="AH184" s="796" t="s">
        <v>1321</v>
      </c>
      <c r="AI184" s="72">
        <f t="shared" si="5651"/>
        <v>0</v>
      </c>
      <c r="AJ184" s="63"/>
      <c r="AK184" s="806" t="s">
        <v>1258</v>
      </c>
      <c r="AL184" s="72">
        <f t="shared" si="5652"/>
        <v>0</v>
      </c>
      <c r="AM184" s="63"/>
      <c r="AN184" s="796" t="s">
        <v>1321</v>
      </c>
      <c r="AO184" s="72">
        <f t="shared" si="5653"/>
        <v>0</v>
      </c>
      <c r="AP184" s="63"/>
      <c r="AQ184" s="806" t="s">
        <v>1258</v>
      </c>
      <c r="AR184" s="72">
        <f t="shared" si="5654"/>
        <v>0</v>
      </c>
      <c r="AS184" s="63"/>
      <c r="AT184" s="796" t="s">
        <v>1258</v>
      </c>
      <c r="AU184" s="72">
        <f t="shared" si="5655"/>
        <v>0</v>
      </c>
      <c r="AV184" s="63"/>
      <c r="AW184" s="796" t="s">
        <v>1258</v>
      </c>
      <c r="AX184" s="72">
        <f t="shared" si="5656"/>
        <v>0</v>
      </c>
      <c r="AY184" s="63"/>
      <c r="AZ184" s="796" t="s">
        <v>1728</v>
      </c>
      <c r="BA184" s="72">
        <f t="shared" si="5657"/>
        <v>0</v>
      </c>
      <c r="BB184" s="63"/>
      <c r="BC184" s="796" t="s">
        <v>1258</v>
      </c>
      <c r="BD184" s="72">
        <f t="shared" si="5658"/>
        <v>0</v>
      </c>
      <c r="BE184" s="63"/>
      <c r="BF184" s="796" t="s">
        <v>1258</v>
      </c>
      <c r="BG184" s="72">
        <f t="shared" si="5659"/>
        <v>0</v>
      </c>
      <c r="BH184" s="63"/>
      <c r="BI184" s="796" t="s">
        <v>1258</v>
      </c>
      <c r="BJ184" s="72">
        <f t="shared" si="5660"/>
        <v>0</v>
      </c>
      <c r="BK184" s="63"/>
      <c r="BL184" s="796" t="s">
        <v>1258</v>
      </c>
      <c r="BM184" s="72">
        <f t="shared" si="5661"/>
        <v>0</v>
      </c>
      <c r="BN184" s="63"/>
      <c r="BO184" s="816" t="s">
        <v>1258</v>
      </c>
      <c r="BP184" s="72">
        <f t="shared" si="5662"/>
        <v>0</v>
      </c>
      <c r="BQ184" s="63"/>
      <c r="BR184" s="796" t="s">
        <v>1258</v>
      </c>
      <c r="BS184" s="72">
        <f t="shared" si="5663"/>
        <v>0</v>
      </c>
      <c r="BT184" s="63"/>
      <c r="BU184" s="796" t="s">
        <v>111</v>
      </c>
      <c r="BV184" s="72">
        <f t="shared" si="5664"/>
        <v>0</v>
      </c>
      <c r="BW184" s="63"/>
      <c r="BX184" s="73" t="s">
        <v>1258</v>
      </c>
      <c r="BY184" s="72">
        <f t="shared" si="5665"/>
        <v>0</v>
      </c>
      <c r="BZ184" s="63"/>
      <c r="CA184" s="816" t="s">
        <v>1258</v>
      </c>
      <c r="CB184" s="72">
        <f t="shared" si="5666"/>
        <v>0</v>
      </c>
      <c r="CC184" s="63"/>
      <c r="CD184" s="825" t="s">
        <v>1258</v>
      </c>
      <c r="CE184" s="72">
        <f t="shared" si="5667"/>
        <v>0</v>
      </c>
      <c r="CF184" s="63"/>
      <c r="CG184" s="796" t="s">
        <v>1263</v>
      </c>
      <c r="CH184" s="72">
        <f t="shared" si="5668"/>
        <v>0</v>
      </c>
      <c r="CI184" s="63"/>
      <c r="CJ184" s="796" t="s">
        <v>1258</v>
      </c>
      <c r="CK184" s="72">
        <f t="shared" si="5669"/>
        <v>0</v>
      </c>
      <c r="CL184" s="63"/>
      <c r="CM184" s="796" t="s">
        <v>1321</v>
      </c>
      <c r="CN184" s="72">
        <f t="shared" si="5670"/>
        <v>0</v>
      </c>
      <c r="CO184" s="63"/>
      <c r="CP184" s="796" t="s">
        <v>1258</v>
      </c>
      <c r="CQ184" s="72">
        <f t="shared" si="5671"/>
        <v>0</v>
      </c>
      <c r="CR184" s="63"/>
      <c r="CS184" s="796" t="s">
        <v>1258</v>
      </c>
      <c r="CT184" s="72">
        <f t="shared" si="5672"/>
        <v>0</v>
      </c>
      <c r="CU184" s="63"/>
      <c r="CV184" s="796" t="s">
        <v>111</v>
      </c>
      <c r="CW184" s="72">
        <f t="shared" si="5673"/>
        <v>0</v>
      </c>
      <c r="CX184" s="63"/>
      <c r="CY184" s="796" t="s">
        <v>1258</v>
      </c>
      <c r="CZ184" s="72">
        <f t="shared" si="5674"/>
        <v>0</v>
      </c>
      <c r="DA184" s="63"/>
      <c r="DB184" s="796" t="s">
        <v>111</v>
      </c>
      <c r="DC184" s="72">
        <f t="shared" si="5675"/>
        <v>0</v>
      </c>
      <c r="DD184" s="63"/>
      <c r="DE184" s="796" t="s">
        <v>1258</v>
      </c>
      <c r="DF184" s="72">
        <f t="shared" si="5676"/>
        <v>0</v>
      </c>
      <c r="DG184" s="63"/>
      <c r="DH184" s="796" t="s">
        <v>1321</v>
      </c>
      <c r="DI184" s="72">
        <f t="shared" si="5677"/>
        <v>0</v>
      </c>
      <c r="DJ184" s="63"/>
      <c r="DK184" s="796" t="s">
        <v>1258</v>
      </c>
      <c r="DL184" s="72">
        <f t="shared" si="5678"/>
        <v>0</v>
      </c>
      <c r="DM184" s="63"/>
      <c r="DN184" s="73"/>
      <c r="DO184" s="72">
        <f t="shared" si="5679"/>
        <v>0</v>
      </c>
      <c r="DP184" s="63"/>
      <c r="DQ184" s="796" t="s">
        <v>1258</v>
      </c>
      <c r="DR184" s="72">
        <f t="shared" si="5680"/>
        <v>0</v>
      </c>
      <c r="DS184" s="63"/>
      <c r="DT184" s="73" t="s">
        <v>1258</v>
      </c>
      <c r="DU184" s="72">
        <f t="shared" si="5681"/>
        <v>0</v>
      </c>
      <c r="DV184" s="63"/>
      <c r="DW184" s="73"/>
      <c r="DX184" s="72">
        <f t="shared" si="5682"/>
        <v>0</v>
      </c>
      <c r="DY184" s="63"/>
      <c r="DZ184" s="73"/>
      <c r="EA184" s="72">
        <f t="shared" si="5683"/>
        <v>0</v>
      </c>
      <c r="EB184" s="63"/>
      <c r="EC184" s="73"/>
      <c r="ED184" s="72">
        <f t="shared" si="5684"/>
        <v>0</v>
      </c>
      <c r="EE184" s="63"/>
      <c r="EF184" s="73"/>
      <c r="EG184" s="72">
        <f t="shared" si="5685"/>
        <v>0</v>
      </c>
      <c r="EH184" s="63"/>
      <c r="EI184" s="73"/>
      <c r="EJ184" s="72">
        <f t="shared" si="5686"/>
        <v>0</v>
      </c>
      <c r="EK184" s="63"/>
      <c r="EL184" s="73"/>
      <c r="EM184" s="72">
        <f t="shared" si="5687"/>
        <v>0</v>
      </c>
      <c r="EN184" s="63"/>
      <c r="EO184" s="73"/>
      <c r="EP184" s="72">
        <f t="shared" si="5688"/>
        <v>0</v>
      </c>
      <c r="EQ184" s="63"/>
      <c r="ER184" s="73"/>
      <c r="ES184" s="72">
        <f t="shared" si="5689"/>
        <v>0</v>
      </c>
      <c r="ET184" s="63"/>
      <c r="EU184" s="73"/>
      <c r="EV184" s="72">
        <f t="shared" si="5690"/>
        <v>0</v>
      </c>
      <c r="EW184" s="63"/>
      <c r="EX184" s="73"/>
      <c r="EY184" s="72">
        <f t="shared" si="5691"/>
        <v>0</v>
      </c>
      <c r="EZ184" s="63"/>
      <c r="FA184" s="73"/>
      <c r="FB184" s="72">
        <f t="shared" si="5692"/>
        <v>0</v>
      </c>
      <c r="FC184" s="63"/>
      <c r="FD184" s="73"/>
      <c r="FE184" s="72">
        <f t="shared" si="5693"/>
        <v>0</v>
      </c>
      <c r="FF184" s="63"/>
      <c r="FG184" s="73"/>
      <c r="FH184" s="72">
        <f t="shared" si="5694"/>
        <v>0</v>
      </c>
      <c r="FI184" s="63"/>
      <c r="FJ184" s="73"/>
      <c r="FK184" s="72">
        <f t="shared" si="5695"/>
        <v>0</v>
      </c>
      <c r="FL184" s="63"/>
      <c r="FM184" s="73"/>
      <c r="FN184" s="72">
        <f t="shared" si="5696"/>
        <v>0</v>
      </c>
      <c r="FO184" s="63"/>
      <c r="FP184" s="73"/>
      <c r="FQ184" s="72">
        <f t="shared" si="5697"/>
        <v>0</v>
      </c>
      <c r="FR184" s="63"/>
      <c r="FS184" s="73"/>
      <c r="FT184" s="72">
        <f t="shared" si="5698"/>
        <v>0</v>
      </c>
      <c r="FU184" s="63"/>
      <c r="FV184" s="73"/>
      <c r="FW184" s="72">
        <f t="shared" si="5699"/>
        <v>0</v>
      </c>
      <c r="FX184" s="63"/>
      <c r="FY184" s="73"/>
      <c r="FZ184" s="72">
        <f t="shared" si="5700"/>
        <v>0</v>
      </c>
      <c r="GA184" s="63"/>
      <c r="GB184" s="73"/>
      <c r="GC184" s="72">
        <f t="shared" si="5701"/>
        <v>0</v>
      </c>
      <c r="GD184" s="63"/>
      <c r="GE184" s="73"/>
      <c r="GF184" s="72">
        <f t="shared" si="5702"/>
        <v>0</v>
      </c>
      <c r="GG184" s="63"/>
      <c r="GH184" s="73"/>
      <c r="GI184" s="72">
        <f t="shared" si="5703"/>
        <v>0</v>
      </c>
      <c r="GJ184" s="63"/>
      <c r="GK184" s="73"/>
      <c r="GL184" s="72">
        <f t="shared" si="5704"/>
        <v>0</v>
      </c>
      <c r="GM184" s="63"/>
      <c r="GN184" s="73"/>
      <c r="GO184" s="72">
        <f t="shared" si="5705"/>
        <v>0</v>
      </c>
      <c r="GP184" s="63"/>
      <c r="GQ184" s="73"/>
      <c r="GR184" s="72">
        <f t="shared" si="5706"/>
        <v>0</v>
      </c>
      <c r="GS184" s="63"/>
      <c r="GT184" s="73"/>
      <c r="GU184" s="72">
        <f t="shared" si="5707"/>
        <v>0</v>
      </c>
      <c r="GV184" s="63"/>
      <c r="GW184" s="73"/>
      <c r="GX184" s="72">
        <f t="shared" si="5708"/>
        <v>0</v>
      </c>
      <c r="GY184" s="63"/>
      <c r="GZ184" s="73"/>
      <c r="HA184" s="72">
        <f t="shared" si="5709"/>
        <v>0</v>
      </c>
      <c r="HB184" s="63"/>
      <c r="HC184" s="73"/>
      <c r="HD184" s="72">
        <f t="shared" si="5710"/>
        <v>0</v>
      </c>
      <c r="HE184" s="63"/>
      <c r="HF184" s="73"/>
      <c r="HG184" s="72">
        <f t="shared" si="5711"/>
        <v>0</v>
      </c>
      <c r="HH184" s="63"/>
      <c r="HI184" s="73"/>
      <c r="HJ184" s="72">
        <f t="shared" si="5712"/>
        <v>0</v>
      </c>
      <c r="HK184" s="63"/>
      <c r="HL184" s="73"/>
      <c r="HM184" s="72">
        <f t="shared" si="5713"/>
        <v>0</v>
      </c>
      <c r="HN184" s="63"/>
      <c r="HO184" s="73"/>
      <c r="HP184" s="72">
        <f t="shared" si="5714"/>
        <v>0</v>
      </c>
      <c r="HQ184" s="63"/>
      <c r="HR184" s="73"/>
      <c r="HS184" s="72">
        <f t="shared" si="5715"/>
        <v>0</v>
      </c>
      <c r="HT184" s="63"/>
      <c r="HU184" s="73"/>
      <c r="HV184" s="72">
        <f t="shared" si="5716"/>
        <v>0</v>
      </c>
      <c r="HW184" s="63"/>
      <c r="HX184" s="73"/>
      <c r="HY184" s="72">
        <f t="shared" si="5717"/>
        <v>0</v>
      </c>
      <c r="HZ184" s="63"/>
      <c r="IA184" s="73"/>
      <c r="IB184" s="72">
        <f t="shared" si="5718"/>
        <v>0</v>
      </c>
      <c r="IC184" s="63"/>
      <c r="ID184" s="73"/>
      <c r="IE184" s="72">
        <f t="shared" si="5719"/>
        <v>0</v>
      </c>
      <c r="IF184" s="63"/>
      <c r="IG184" s="73"/>
      <c r="IH184" s="72">
        <f t="shared" si="5720"/>
        <v>0</v>
      </c>
      <c r="II184" s="63"/>
      <c r="IJ184" s="73"/>
      <c r="IK184" s="72">
        <f t="shared" si="5721"/>
        <v>0</v>
      </c>
      <c r="IL184" s="63"/>
      <c r="IM184" s="73"/>
      <c r="IN184" s="72">
        <f t="shared" si="5722"/>
        <v>0</v>
      </c>
      <c r="IO184" s="63"/>
      <c r="IP184" s="73"/>
      <c r="IQ184" s="72">
        <f t="shared" si="5723"/>
        <v>0</v>
      </c>
      <c r="IR184" s="63"/>
      <c r="IS184" s="73"/>
      <c r="IT184" s="72">
        <f t="shared" si="5724"/>
        <v>0</v>
      </c>
      <c r="IU184" s="63"/>
      <c r="IV184" s="73"/>
      <c r="IW184" s="72">
        <f t="shared" si="5725"/>
        <v>0</v>
      </c>
      <c r="IX184" s="63"/>
      <c r="IY184" s="73"/>
      <c r="IZ184" s="72">
        <f t="shared" si="5726"/>
        <v>0</v>
      </c>
      <c r="JA184" s="63"/>
      <c r="JB184" s="73"/>
      <c r="JC184" s="72">
        <f t="shared" si="5727"/>
        <v>0</v>
      </c>
      <c r="JD184" s="63"/>
      <c r="JE184" s="73"/>
      <c r="JF184" s="72">
        <f t="shared" si="5728"/>
        <v>0</v>
      </c>
      <c r="JG184" s="63"/>
      <c r="JH184" s="73"/>
      <c r="JI184" s="72">
        <f t="shared" si="5729"/>
        <v>0</v>
      </c>
      <c r="JJ184" s="63"/>
      <c r="JK184" s="73"/>
      <c r="JL184" s="72">
        <f t="shared" si="5730"/>
        <v>0</v>
      </c>
      <c r="JM184" s="63"/>
      <c r="JN184" s="73"/>
      <c r="JO184" s="72">
        <f t="shared" si="5731"/>
        <v>0</v>
      </c>
      <c r="JP184" s="63"/>
      <c r="JQ184" s="73"/>
      <c r="JR184" s="72">
        <f t="shared" si="5732"/>
        <v>0</v>
      </c>
      <c r="JS184" s="63"/>
      <c r="JT184" s="73"/>
      <c r="JU184" s="72">
        <f t="shared" si="5733"/>
        <v>0</v>
      </c>
      <c r="JV184" s="63"/>
      <c r="JW184" s="73"/>
      <c r="JX184" s="72">
        <f t="shared" si="5734"/>
        <v>0</v>
      </c>
      <c r="JY184" s="63"/>
      <c r="JZ184" s="73"/>
      <c r="KA184" s="72">
        <f t="shared" si="5735"/>
        <v>0</v>
      </c>
      <c r="KB184" s="63"/>
      <c r="KC184" s="73"/>
      <c r="KD184" s="72">
        <f t="shared" si="5736"/>
        <v>0</v>
      </c>
      <c r="KE184" s="63"/>
      <c r="KF184" s="73"/>
      <c r="KG184" s="72">
        <f t="shared" si="5737"/>
        <v>0</v>
      </c>
      <c r="KH184" s="63"/>
      <c r="KI184" s="73"/>
      <c r="KJ184" s="72">
        <f t="shared" si="5738"/>
        <v>0</v>
      </c>
      <c r="KK184" s="63"/>
      <c r="KL184" s="73"/>
      <c r="KM184" s="72">
        <f t="shared" si="5739"/>
        <v>0</v>
      </c>
      <c r="KN184" s="63"/>
      <c r="KO184" s="73"/>
      <c r="KP184" s="72">
        <f t="shared" si="5740"/>
        <v>0</v>
      </c>
      <c r="KQ184" s="63"/>
      <c r="KR184" s="73"/>
      <c r="KS184" s="72">
        <f t="shared" si="5741"/>
        <v>0</v>
      </c>
      <c r="KT184" s="63"/>
      <c r="KU184" s="73"/>
      <c r="KV184" s="72">
        <f t="shared" si="5742"/>
        <v>0</v>
      </c>
      <c r="KW184" s="63"/>
      <c r="KX184" s="73"/>
      <c r="KY184" s="72">
        <f t="shared" si="5743"/>
        <v>0</v>
      </c>
      <c r="KZ184" s="63"/>
      <c r="LA184" s="73"/>
      <c r="LB184" s="72">
        <f t="shared" si="5744"/>
        <v>0</v>
      </c>
      <c r="LC184" s="63"/>
      <c r="LD184" s="73"/>
      <c r="LE184" s="72">
        <f t="shared" si="5745"/>
        <v>0</v>
      </c>
      <c r="LF184" s="63"/>
    </row>
    <row r="185" spans="1:318" s="784" customFormat="1">
      <c r="A185" s="25"/>
      <c r="B185" s="25"/>
      <c r="C185" s="25"/>
      <c r="D185" s="25"/>
      <c r="E185" s="25"/>
      <c r="F185" s="406">
        <f t="shared" si="5746"/>
        <v>30</v>
      </c>
      <c r="G185" s="406">
        <f ca="1">VLOOKUP(H185,Equipos!$Q$1:$R$25,2,0)</f>
        <v>20</v>
      </c>
      <c r="H185" s="444" t="str">
        <f>Idiomas!$D$260</f>
        <v>Dieciseisavos de final</v>
      </c>
      <c r="I185" s="50"/>
      <c r="J185" s="843"/>
      <c r="K185" s="56" t="str">
        <f>Idiomas!$D$199&amp;"-"&amp;ROWS($L$182:L185)</f>
        <v>Octavofinalista-4</v>
      </c>
      <c r="L185" s="53"/>
      <c r="M185" s="55" t="str">
        <f>WORLDCUP!AA123</f>
        <v>W79</v>
      </c>
      <c r="N185" s="25"/>
      <c r="O185" s="25"/>
      <c r="P185" s="25"/>
      <c r="Q185" s="25"/>
      <c r="R185" s="108"/>
      <c r="S185" s="796" t="s">
        <v>1260</v>
      </c>
      <c r="T185" s="72">
        <f t="shared" si="5646"/>
        <v>0</v>
      </c>
      <c r="U185" s="63"/>
      <c r="V185" s="73" t="s">
        <v>1265</v>
      </c>
      <c r="W185" s="72">
        <f t="shared" si="5647"/>
        <v>0</v>
      </c>
      <c r="X185" s="63"/>
      <c r="Y185" s="796" t="s">
        <v>1260</v>
      </c>
      <c r="Z185" s="72">
        <f t="shared" si="5648"/>
        <v>0</v>
      </c>
      <c r="AA185" s="63"/>
      <c r="AB185" s="796" t="s">
        <v>1265</v>
      </c>
      <c r="AC185" s="72">
        <f t="shared" si="5649"/>
        <v>0</v>
      </c>
      <c r="AD185" s="63"/>
      <c r="AE185" s="796" t="s">
        <v>1260</v>
      </c>
      <c r="AF185" s="72">
        <f t="shared" si="5650"/>
        <v>0</v>
      </c>
      <c r="AG185" s="63"/>
      <c r="AH185" s="796" t="s">
        <v>1260</v>
      </c>
      <c r="AI185" s="72">
        <f t="shared" si="5651"/>
        <v>0</v>
      </c>
      <c r="AJ185" s="63"/>
      <c r="AK185" s="806" t="s">
        <v>1265</v>
      </c>
      <c r="AL185" s="72">
        <f t="shared" si="5652"/>
        <v>0</v>
      </c>
      <c r="AM185" s="63"/>
      <c r="AN185" s="796" t="s">
        <v>1265</v>
      </c>
      <c r="AO185" s="72">
        <f t="shared" si="5653"/>
        <v>0</v>
      </c>
      <c r="AP185" s="63"/>
      <c r="AQ185" s="806" t="s">
        <v>1843</v>
      </c>
      <c r="AR185" s="72">
        <f t="shared" si="5654"/>
        <v>0</v>
      </c>
      <c r="AS185" s="63"/>
      <c r="AT185" s="796" t="s">
        <v>1260</v>
      </c>
      <c r="AU185" s="72">
        <f t="shared" si="5655"/>
        <v>0</v>
      </c>
      <c r="AV185" s="63"/>
      <c r="AW185" s="796" t="s">
        <v>1265</v>
      </c>
      <c r="AX185" s="72">
        <f t="shared" si="5656"/>
        <v>0</v>
      </c>
      <c r="AY185" s="63"/>
      <c r="AZ185" s="796" t="s">
        <v>1630</v>
      </c>
      <c r="BA185" s="72">
        <f t="shared" si="5657"/>
        <v>0</v>
      </c>
      <c r="BB185" s="63"/>
      <c r="BC185" s="796" t="s">
        <v>1633</v>
      </c>
      <c r="BD185" s="72">
        <f t="shared" si="5658"/>
        <v>0</v>
      </c>
      <c r="BE185" s="63"/>
      <c r="BF185" s="796" t="s">
        <v>1265</v>
      </c>
      <c r="BG185" s="72">
        <f t="shared" si="5659"/>
        <v>0</v>
      </c>
      <c r="BH185" s="63"/>
      <c r="BI185" s="796" t="s">
        <v>1261</v>
      </c>
      <c r="BJ185" s="72">
        <f t="shared" si="5660"/>
        <v>0</v>
      </c>
      <c r="BK185" s="63"/>
      <c r="BL185" s="796" t="s">
        <v>1265</v>
      </c>
      <c r="BM185" s="72">
        <f t="shared" si="5661"/>
        <v>0</v>
      </c>
      <c r="BN185" s="63"/>
      <c r="BO185" s="816" t="s">
        <v>1265</v>
      </c>
      <c r="BP185" s="72">
        <f t="shared" si="5662"/>
        <v>0</v>
      </c>
      <c r="BQ185" s="63"/>
      <c r="BR185" s="796" t="s">
        <v>1633</v>
      </c>
      <c r="BS185" s="72">
        <f t="shared" si="5663"/>
        <v>0</v>
      </c>
      <c r="BT185" s="63"/>
      <c r="BU185" s="796" t="s">
        <v>1265</v>
      </c>
      <c r="BV185" s="72">
        <f t="shared" si="5664"/>
        <v>0</v>
      </c>
      <c r="BW185" s="63"/>
      <c r="BX185" s="73" t="s">
        <v>1260</v>
      </c>
      <c r="BY185" s="72">
        <f t="shared" si="5665"/>
        <v>0</v>
      </c>
      <c r="BZ185" s="63"/>
      <c r="CA185" s="816" t="s">
        <v>1265</v>
      </c>
      <c r="CB185" s="72">
        <f t="shared" si="5666"/>
        <v>0</v>
      </c>
      <c r="CC185" s="63"/>
      <c r="CD185" s="825" t="s">
        <v>1843</v>
      </c>
      <c r="CE185" s="72">
        <f t="shared" si="5667"/>
        <v>0</v>
      </c>
      <c r="CF185" s="63"/>
      <c r="CG185" s="796" t="s">
        <v>134</v>
      </c>
      <c r="CH185" s="72">
        <f t="shared" si="5668"/>
        <v>0</v>
      </c>
      <c r="CI185" s="63"/>
      <c r="CJ185" s="796" t="s">
        <v>1843</v>
      </c>
      <c r="CK185" s="72">
        <f t="shared" si="5669"/>
        <v>0</v>
      </c>
      <c r="CL185" s="63"/>
      <c r="CM185" s="796" t="s">
        <v>1265</v>
      </c>
      <c r="CN185" s="72">
        <f t="shared" si="5670"/>
        <v>0</v>
      </c>
      <c r="CO185" s="63"/>
      <c r="CP185" s="796" t="s">
        <v>1260</v>
      </c>
      <c r="CQ185" s="72">
        <f t="shared" si="5671"/>
        <v>0</v>
      </c>
      <c r="CR185" s="63"/>
      <c r="CS185" s="796" t="s">
        <v>1265</v>
      </c>
      <c r="CT185" s="72">
        <f t="shared" si="5672"/>
        <v>0</v>
      </c>
      <c r="CU185" s="63"/>
      <c r="CV185" s="796" t="s">
        <v>1633</v>
      </c>
      <c r="CW185" s="72">
        <f t="shared" si="5673"/>
        <v>0</v>
      </c>
      <c r="CX185" s="63"/>
      <c r="CY185" s="796" t="s">
        <v>1260</v>
      </c>
      <c r="CZ185" s="72">
        <f t="shared" si="5674"/>
        <v>0</v>
      </c>
      <c r="DA185" s="63"/>
      <c r="DB185" s="796" t="s">
        <v>1265</v>
      </c>
      <c r="DC185" s="72">
        <f t="shared" si="5675"/>
        <v>0</v>
      </c>
      <c r="DD185" s="63"/>
      <c r="DE185" s="796" t="s">
        <v>1260</v>
      </c>
      <c r="DF185" s="72">
        <f t="shared" si="5676"/>
        <v>0</v>
      </c>
      <c r="DG185" s="63"/>
      <c r="DH185" s="796" t="s">
        <v>1843</v>
      </c>
      <c r="DI185" s="72">
        <f t="shared" si="5677"/>
        <v>0</v>
      </c>
      <c r="DJ185" s="63"/>
      <c r="DK185" s="796" t="s">
        <v>134</v>
      </c>
      <c r="DL185" s="72">
        <f t="shared" si="5678"/>
        <v>0</v>
      </c>
      <c r="DM185" s="63"/>
      <c r="DN185" s="73"/>
      <c r="DO185" s="72">
        <f t="shared" si="5679"/>
        <v>0</v>
      </c>
      <c r="DP185" s="63"/>
      <c r="DQ185" s="796" t="s">
        <v>1260</v>
      </c>
      <c r="DR185" s="72">
        <f t="shared" si="5680"/>
        <v>0</v>
      </c>
      <c r="DS185" s="63"/>
      <c r="DT185" s="73" t="s">
        <v>1265</v>
      </c>
      <c r="DU185" s="72">
        <f t="shared" si="5681"/>
        <v>0</v>
      </c>
      <c r="DV185" s="63"/>
      <c r="DW185" s="73"/>
      <c r="DX185" s="72">
        <f t="shared" si="5682"/>
        <v>0</v>
      </c>
      <c r="DY185" s="63"/>
      <c r="DZ185" s="73"/>
      <c r="EA185" s="72">
        <f t="shared" si="5683"/>
        <v>0</v>
      </c>
      <c r="EB185" s="63"/>
      <c r="EC185" s="73"/>
      <c r="ED185" s="72">
        <f t="shared" si="5684"/>
        <v>0</v>
      </c>
      <c r="EE185" s="63"/>
      <c r="EF185" s="73"/>
      <c r="EG185" s="72">
        <f t="shared" si="5685"/>
        <v>0</v>
      </c>
      <c r="EH185" s="63"/>
      <c r="EI185" s="73"/>
      <c r="EJ185" s="72">
        <f t="shared" si="5686"/>
        <v>0</v>
      </c>
      <c r="EK185" s="63"/>
      <c r="EL185" s="73"/>
      <c r="EM185" s="72">
        <f t="shared" si="5687"/>
        <v>0</v>
      </c>
      <c r="EN185" s="63"/>
      <c r="EO185" s="73"/>
      <c r="EP185" s="72">
        <f t="shared" si="5688"/>
        <v>0</v>
      </c>
      <c r="EQ185" s="63"/>
      <c r="ER185" s="73"/>
      <c r="ES185" s="72">
        <f t="shared" si="5689"/>
        <v>0</v>
      </c>
      <c r="ET185" s="63"/>
      <c r="EU185" s="73"/>
      <c r="EV185" s="72">
        <f t="shared" si="5690"/>
        <v>0</v>
      </c>
      <c r="EW185" s="63"/>
      <c r="EX185" s="73"/>
      <c r="EY185" s="72">
        <f t="shared" si="5691"/>
        <v>0</v>
      </c>
      <c r="EZ185" s="63"/>
      <c r="FA185" s="73"/>
      <c r="FB185" s="72">
        <f t="shared" si="5692"/>
        <v>0</v>
      </c>
      <c r="FC185" s="63"/>
      <c r="FD185" s="73"/>
      <c r="FE185" s="72">
        <f t="shared" si="5693"/>
        <v>0</v>
      </c>
      <c r="FF185" s="63"/>
      <c r="FG185" s="73"/>
      <c r="FH185" s="72">
        <f t="shared" si="5694"/>
        <v>0</v>
      </c>
      <c r="FI185" s="63"/>
      <c r="FJ185" s="73"/>
      <c r="FK185" s="72">
        <f t="shared" si="5695"/>
        <v>0</v>
      </c>
      <c r="FL185" s="63"/>
      <c r="FM185" s="73"/>
      <c r="FN185" s="72">
        <f t="shared" si="5696"/>
        <v>0</v>
      </c>
      <c r="FO185" s="63"/>
      <c r="FP185" s="73"/>
      <c r="FQ185" s="72">
        <f t="shared" si="5697"/>
        <v>0</v>
      </c>
      <c r="FR185" s="63"/>
      <c r="FS185" s="73"/>
      <c r="FT185" s="72">
        <f t="shared" si="5698"/>
        <v>0</v>
      </c>
      <c r="FU185" s="63"/>
      <c r="FV185" s="73"/>
      <c r="FW185" s="72">
        <f t="shared" si="5699"/>
        <v>0</v>
      </c>
      <c r="FX185" s="63"/>
      <c r="FY185" s="73"/>
      <c r="FZ185" s="72">
        <f t="shared" si="5700"/>
        <v>0</v>
      </c>
      <c r="GA185" s="63"/>
      <c r="GB185" s="73"/>
      <c r="GC185" s="72">
        <f t="shared" si="5701"/>
        <v>0</v>
      </c>
      <c r="GD185" s="63"/>
      <c r="GE185" s="73"/>
      <c r="GF185" s="72">
        <f t="shared" si="5702"/>
        <v>0</v>
      </c>
      <c r="GG185" s="63"/>
      <c r="GH185" s="73"/>
      <c r="GI185" s="72">
        <f t="shared" si="5703"/>
        <v>0</v>
      </c>
      <c r="GJ185" s="63"/>
      <c r="GK185" s="73"/>
      <c r="GL185" s="72">
        <f t="shared" si="5704"/>
        <v>0</v>
      </c>
      <c r="GM185" s="63"/>
      <c r="GN185" s="73"/>
      <c r="GO185" s="72">
        <f t="shared" si="5705"/>
        <v>0</v>
      </c>
      <c r="GP185" s="63"/>
      <c r="GQ185" s="73"/>
      <c r="GR185" s="72">
        <f t="shared" si="5706"/>
        <v>0</v>
      </c>
      <c r="GS185" s="63"/>
      <c r="GT185" s="73"/>
      <c r="GU185" s="72">
        <f t="shared" si="5707"/>
        <v>0</v>
      </c>
      <c r="GV185" s="63"/>
      <c r="GW185" s="73"/>
      <c r="GX185" s="72">
        <f t="shared" si="5708"/>
        <v>0</v>
      </c>
      <c r="GY185" s="63"/>
      <c r="GZ185" s="73"/>
      <c r="HA185" s="72">
        <f t="shared" si="5709"/>
        <v>0</v>
      </c>
      <c r="HB185" s="63"/>
      <c r="HC185" s="73"/>
      <c r="HD185" s="72">
        <f t="shared" si="5710"/>
        <v>0</v>
      </c>
      <c r="HE185" s="63"/>
      <c r="HF185" s="73"/>
      <c r="HG185" s="72">
        <f t="shared" si="5711"/>
        <v>0</v>
      </c>
      <c r="HH185" s="63"/>
      <c r="HI185" s="73"/>
      <c r="HJ185" s="72">
        <f t="shared" si="5712"/>
        <v>0</v>
      </c>
      <c r="HK185" s="63"/>
      <c r="HL185" s="73"/>
      <c r="HM185" s="72">
        <f t="shared" si="5713"/>
        <v>0</v>
      </c>
      <c r="HN185" s="63"/>
      <c r="HO185" s="73"/>
      <c r="HP185" s="72">
        <f t="shared" si="5714"/>
        <v>0</v>
      </c>
      <c r="HQ185" s="63"/>
      <c r="HR185" s="73"/>
      <c r="HS185" s="72">
        <f t="shared" si="5715"/>
        <v>0</v>
      </c>
      <c r="HT185" s="63"/>
      <c r="HU185" s="73"/>
      <c r="HV185" s="72">
        <f t="shared" si="5716"/>
        <v>0</v>
      </c>
      <c r="HW185" s="63"/>
      <c r="HX185" s="73"/>
      <c r="HY185" s="72">
        <f t="shared" si="5717"/>
        <v>0</v>
      </c>
      <c r="HZ185" s="63"/>
      <c r="IA185" s="73"/>
      <c r="IB185" s="72">
        <f t="shared" si="5718"/>
        <v>0</v>
      </c>
      <c r="IC185" s="63"/>
      <c r="ID185" s="73"/>
      <c r="IE185" s="72">
        <f t="shared" si="5719"/>
        <v>0</v>
      </c>
      <c r="IF185" s="63"/>
      <c r="IG185" s="73"/>
      <c r="IH185" s="72">
        <f t="shared" si="5720"/>
        <v>0</v>
      </c>
      <c r="II185" s="63"/>
      <c r="IJ185" s="73"/>
      <c r="IK185" s="72">
        <f t="shared" si="5721"/>
        <v>0</v>
      </c>
      <c r="IL185" s="63"/>
      <c r="IM185" s="73"/>
      <c r="IN185" s="72">
        <f t="shared" si="5722"/>
        <v>0</v>
      </c>
      <c r="IO185" s="63"/>
      <c r="IP185" s="73"/>
      <c r="IQ185" s="72">
        <f t="shared" si="5723"/>
        <v>0</v>
      </c>
      <c r="IR185" s="63"/>
      <c r="IS185" s="73"/>
      <c r="IT185" s="72">
        <f t="shared" si="5724"/>
        <v>0</v>
      </c>
      <c r="IU185" s="63"/>
      <c r="IV185" s="73"/>
      <c r="IW185" s="72">
        <f t="shared" si="5725"/>
        <v>0</v>
      </c>
      <c r="IX185" s="63"/>
      <c r="IY185" s="73"/>
      <c r="IZ185" s="72">
        <f t="shared" si="5726"/>
        <v>0</v>
      </c>
      <c r="JA185" s="63"/>
      <c r="JB185" s="73"/>
      <c r="JC185" s="72">
        <f t="shared" si="5727"/>
        <v>0</v>
      </c>
      <c r="JD185" s="63"/>
      <c r="JE185" s="73"/>
      <c r="JF185" s="72">
        <f t="shared" si="5728"/>
        <v>0</v>
      </c>
      <c r="JG185" s="63"/>
      <c r="JH185" s="73"/>
      <c r="JI185" s="72">
        <f t="shared" si="5729"/>
        <v>0</v>
      </c>
      <c r="JJ185" s="63"/>
      <c r="JK185" s="73"/>
      <c r="JL185" s="72">
        <f t="shared" si="5730"/>
        <v>0</v>
      </c>
      <c r="JM185" s="63"/>
      <c r="JN185" s="73"/>
      <c r="JO185" s="72">
        <f t="shared" si="5731"/>
        <v>0</v>
      </c>
      <c r="JP185" s="63"/>
      <c r="JQ185" s="73"/>
      <c r="JR185" s="72">
        <f t="shared" si="5732"/>
        <v>0</v>
      </c>
      <c r="JS185" s="63"/>
      <c r="JT185" s="73"/>
      <c r="JU185" s="72">
        <f t="shared" si="5733"/>
        <v>0</v>
      </c>
      <c r="JV185" s="63"/>
      <c r="JW185" s="73"/>
      <c r="JX185" s="72">
        <f t="shared" si="5734"/>
        <v>0</v>
      </c>
      <c r="JY185" s="63"/>
      <c r="JZ185" s="73"/>
      <c r="KA185" s="72">
        <f t="shared" si="5735"/>
        <v>0</v>
      </c>
      <c r="KB185" s="63"/>
      <c r="KC185" s="73"/>
      <c r="KD185" s="72">
        <f t="shared" si="5736"/>
        <v>0</v>
      </c>
      <c r="KE185" s="63"/>
      <c r="KF185" s="73"/>
      <c r="KG185" s="72">
        <f t="shared" si="5737"/>
        <v>0</v>
      </c>
      <c r="KH185" s="63"/>
      <c r="KI185" s="73"/>
      <c r="KJ185" s="72">
        <f t="shared" si="5738"/>
        <v>0</v>
      </c>
      <c r="KK185" s="63"/>
      <c r="KL185" s="73"/>
      <c r="KM185" s="72">
        <f t="shared" si="5739"/>
        <v>0</v>
      </c>
      <c r="KN185" s="63"/>
      <c r="KO185" s="73"/>
      <c r="KP185" s="72">
        <f t="shared" si="5740"/>
        <v>0</v>
      </c>
      <c r="KQ185" s="63"/>
      <c r="KR185" s="73"/>
      <c r="KS185" s="72">
        <f t="shared" si="5741"/>
        <v>0</v>
      </c>
      <c r="KT185" s="63"/>
      <c r="KU185" s="73"/>
      <c r="KV185" s="72">
        <f t="shared" si="5742"/>
        <v>0</v>
      </c>
      <c r="KW185" s="63"/>
      <c r="KX185" s="73"/>
      <c r="KY185" s="72">
        <f t="shared" si="5743"/>
        <v>0</v>
      </c>
      <c r="KZ185" s="63"/>
      <c r="LA185" s="73"/>
      <c r="LB185" s="72">
        <f t="shared" si="5744"/>
        <v>0</v>
      </c>
      <c r="LC185" s="63"/>
      <c r="LD185" s="73"/>
      <c r="LE185" s="72">
        <f t="shared" si="5745"/>
        <v>0</v>
      </c>
      <c r="LF185" s="63"/>
    </row>
    <row r="186" spans="1:318" s="784" customFormat="1">
      <c r="A186" s="25"/>
      <c r="B186" s="25"/>
      <c r="C186" s="25"/>
      <c r="D186" s="25"/>
      <c r="E186" s="25"/>
      <c r="F186" s="406">
        <f t="shared" si="5746"/>
        <v>30</v>
      </c>
      <c r="G186" s="406">
        <f ca="1">VLOOKUP(H186,Equipos!$Q$1:$R$25,2,0)</f>
        <v>20</v>
      </c>
      <c r="H186" s="444" t="str">
        <f>Idiomas!$D$260</f>
        <v>Dieciseisavos de final</v>
      </c>
      <c r="I186" s="50"/>
      <c r="J186" s="843"/>
      <c r="K186" s="56" t="str">
        <f>Idiomas!$D$199&amp;"-"&amp;ROWS($L$182:L186)</f>
        <v>Octavofinalista-5</v>
      </c>
      <c r="L186" s="53"/>
      <c r="M186" s="55" t="str">
        <f>WORLDCUP!AA124</f>
        <v>W83</v>
      </c>
      <c r="N186" s="25"/>
      <c r="O186" s="25"/>
      <c r="P186" s="25"/>
      <c r="Q186" s="25"/>
      <c r="R186" s="108"/>
      <c r="S186" s="796" t="s">
        <v>1320</v>
      </c>
      <c r="T186" s="72">
        <f t="shared" si="5646"/>
        <v>0</v>
      </c>
      <c r="U186" s="63"/>
      <c r="V186" s="73" t="s">
        <v>1320</v>
      </c>
      <c r="W186" s="72">
        <f t="shared" si="5647"/>
        <v>0</v>
      </c>
      <c r="X186" s="63"/>
      <c r="Y186" s="796" t="s">
        <v>76</v>
      </c>
      <c r="Z186" s="72">
        <f t="shared" si="5648"/>
        <v>0</v>
      </c>
      <c r="AA186" s="63"/>
      <c r="AB186" s="796" t="s">
        <v>1320</v>
      </c>
      <c r="AC186" s="72">
        <f t="shared" si="5649"/>
        <v>0</v>
      </c>
      <c r="AD186" s="63"/>
      <c r="AE186" s="796" t="s">
        <v>1320</v>
      </c>
      <c r="AF186" s="72">
        <f t="shared" si="5650"/>
        <v>0</v>
      </c>
      <c r="AG186" s="63"/>
      <c r="AH186" s="796" t="s">
        <v>1320</v>
      </c>
      <c r="AI186" s="72">
        <f t="shared" si="5651"/>
        <v>0</v>
      </c>
      <c r="AJ186" s="63"/>
      <c r="AK186" s="806" t="s">
        <v>1320</v>
      </c>
      <c r="AL186" s="72">
        <f t="shared" si="5652"/>
        <v>0</v>
      </c>
      <c r="AM186" s="63"/>
      <c r="AN186" s="796" t="s">
        <v>78</v>
      </c>
      <c r="AO186" s="72">
        <f t="shared" si="5653"/>
        <v>0</v>
      </c>
      <c r="AP186" s="63"/>
      <c r="AQ186" s="806" t="s">
        <v>76</v>
      </c>
      <c r="AR186" s="72">
        <f t="shared" si="5654"/>
        <v>0</v>
      </c>
      <c r="AS186" s="63"/>
      <c r="AT186" s="796" t="s">
        <v>1320</v>
      </c>
      <c r="AU186" s="72">
        <f t="shared" si="5655"/>
        <v>0</v>
      </c>
      <c r="AV186" s="63"/>
      <c r="AW186" s="796" t="s">
        <v>1320</v>
      </c>
      <c r="AX186" s="72">
        <f t="shared" si="5656"/>
        <v>0</v>
      </c>
      <c r="AY186" s="63"/>
      <c r="AZ186" s="796" t="s">
        <v>1839</v>
      </c>
      <c r="BA186" s="72">
        <f t="shared" si="5657"/>
        <v>0</v>
      </c>
      <c r="BB186" s="63"/>
      <c r="BC186" s="796" t="s">
        <v>1320</v>
      </c>
      <c r="BD186" s="72">
        <f t="shared" si="5658"/>
        <v>0</v>
      </c>
      <c r="BE186" s="63"/>
      <c r="BF186" s="796" t="s">
        <v>76</v>
      </c>
      <c r="BG186" s="72">
        <f t="shared" si="5659"/>
        <v>0</v>
      </c>
      <c r="BH186" s="63"/>
      <c r="BI186" s="796" t="s">
        <v>1320</v>
      </c>
      <c r="BJ186" s="72">
        <f t="shared" si="5660"/>
        <v>0</v>
      </c>
      <c r="BK186" s="63"/>
      <c r="BL186" s="796" t="s">
        <v>76</v>
      </c>
      <c r="BM186" s="72">
        <f t="shared" si="5661"/>
        <v>0</v>
      </c>
      <c r="BN186" s="63"/>
      <c r="BO186" s="816" t="s">
        <v>1320</v>
      </c>
      <c r="BP186" s="72">
        <f t="shared" si="5662"/>
        <v>0</v>
      </c>
      <c r="BQ186" s="63"/>
      <c r="BR186" s="796" t="s">
        <v>76</v>
      </c>
      <c r="BS186" s="72">
        <f t="shared" si="5663"/>
        <v>0</v>
      </c>
      <c r="BT186" s="63"/>
      <c r="BU186" s="796" t="s">
        <v>1320</v>
      </c>
      <c r="BV186" s="72">
        <f t="shared" si="5664"/>
        <v>0</v>
      </c>
      <c r="BW186" s="63"/>
      <c r="BX186" s="73" t="s">
        <v>78</v>
      </c>
      <c r="BY186" s="72">
        <f t="shared" si="5665"/>
        <v>0</v>
      </c>
      <c r="BZ186" s="63"/>
      <c r="CA186" s="816" t="s">
        <v>1320</v>
      </c>
      <c r="CB186" s="72">
        <f t="shared" si="5666"/>
        <v>0</v>
      </c>
      <c r="CC186" s="63"/>
      <c r="CD186" s="825" t="s">
        <v>1320</v>
      </c>
      <c r="CE186" s="72">
        <f t="shared" si="5667"/>
        <v>0</v>
      </c>
      <c r="CF186" s="63"/>
      <c r="CG186" s="796" t="s">
        <v>78</v>
      </c>
      <c r="CH186" s="72">
        <f t="shared" si="5668"/>
        <v>0</v>
      </c>
      <c r="CI186" s="63"/>
      <c r="CJ186" s="796" t="s">
        <v>1320</v>
      </c>
      <c r="CK186" s="72">
        <f t="shared" si="5669"/>
        <v>0</v>
      </c>
      <c r="CL186" s="63"/>
      <c r="CM186" s="796" t="s">
        <v>79</v>
      </c>
      <c r="CN186" s="72">
        <f t="shared" si="5670"/>
        <v>0</v>
      </c>
      <c r="CO186" s="63"/>
      <c r="CP186" s="796" t="s">
        <v>78</v>
      </c>
      <c r="CQ186" s="72">
        <f t="shared" si="5671"/>
        <v>0</v>
      </c>
      <c r="CR186" s="63"/>
      <c r="CS186" s="796" t="s">
        <v>1320</v>
      </c>
      <c r="CT186" s="72">
        <f t="shared" si="5672"/>
        <v>0</v>
      </c>
      <c r="CU186" s="63"/>
      <c r="CV186" s="796" t="s">
        <v>78</v>
      </c>
      <c r="CW186" s="72">
        <f t="shared" si="5673"/>
        <v>0</v>
      </c>
      <c r="CX186" s="63"/>
      <c r="CY186" s="796" t="s">
        <v>1320</v>
      </c>
      <c r="CZ186" s="72">
        <f t="shared" si="5674"/>
        <v>0</v>
      </c>
      <c r="DA186" s="63"/>
      <c r="DB186" s="796" t="s">
        <v>79</v>
      </c>
      <c r="DC186" s="72">
        <f t="shared" si="5675"/>
        <v>0</v>
      </c>
      <c r="DD186" s="63"/>
      <c r="DE186" s="796" t="s">
        <v>1320</v>
      </c>
      <c r="DF186" s="72">
        <f t="shared" si="5676"/>
        <v>0</v>
      </c>
      <c r="DG186" s="63"/>
      <c r="DH186" s="796" t="s">
        <v>1320</v>
      </c>
      <c r="DI186" s="72">
        <f t="shared" si="5677"/>
        <v>0</v>
      </c>
      <c r="DJ186" s="63"/>
      <c r="DK186" s="796" t="s">
        <v>1320</v>
      </c>
      <c r="DL186" s="72">
        <f t="shared" si="5678"/>
        <v>0</v>
      </c>
      <c r="DM186" s="63"/>
      <c r="DN186" s="73"/>
      <c r="DO186" s="72">
        <f t="shared" si="5679"/>
        <v>0</v>
      </c>
      <c r="DP186" s="63"/>
      <c r="DQ186" s="796" t="s">
        <v>1320</v>
      </c>
      <c r="DR186" s="72">
        <f t="shared" si="5680"/>
        <v>0</v>
      </c>
      <c r="DS186" s="63"/>
      <c r="DT186" s="73" t="s">
        <v>1320</v>
      </c>
      <c r="DU186" s="72">
        <f t="shared" si="5681"/>
        <v>0</v>
      </c>
      <c r="DV186" s="63"/>
      <c r="DW186" s="73"/>
      <c r="DX186" s="72">
        <f t="shared" si="5682"/>
        <v>0</v>
      </c>
      <c r="DY186" s="63"/>
      <c r="DZ186" s="73"/>
      <c r="EA186" s="72">
        <f t="shared" si="5683"/>
        <v>0</v>
      </c>
      <c r="EB186" s="63"/>
      <c r="EC186" s="73"/>
      <c r="ED186" s="72">
        <f t="shared" si="5684"/>
        <v>0</v>
      </c>
      <c r="EE186" s="63"/>
      <c r="EF186" s="73"/>
      <c r="EG186" s="72">
        <f t="shared" si="5685"/>
        <v>0</v>
      </c>
      <c r="EH186" s="63"/>
      <c r="EI186" s="73"/>
      <c r="EJ186" s="72">
        <f t="shared" si="5686"/>
        <v>0</v>
      </c>
      <c r="EK186" s="63"/>
      <c r="EL186" s="73"/>
      <c r="EM186" s="72">
        <f t="shared" si="5687"/>
        <v>0</v>
      </c>
      <c r="EN186" s="63"/>
      <c r="EO186" s="73"/>
      <c r="EP186" s="72">
        <f t="shared" si="5688"/>
        <v>0</v>
      </c>
      <c r="EQ186" s="63"/>
      <c r="ER186" s="73"/>
      <c r="ES186" s="72">
        <f t="shared" si="5689"/>
        <v>0</v>
      </c>
      <c r="ET186" s="63"/>
      <c r="EU186" s="73"/>
      <c r="EV186" s="72">
        <f t="shared" si="5690"/>
        <v>0</v>
      </c>
      <c r="EW186" s="63"/>
      <c r="EX186" s="73"/>
      <c r="EY186" s="72">
        <f t="shared" si="5691"/>
        <v>0</v>
      </c>
      <c r="EZ186" s="63"/>
      <c r="FA186" s="73"/>
      <c r="FB186" s="72">
        <f t="shared" si="5692"/>
        <v>0</v>
      </c>
      <c r="FC186" s="63"/>
      <c r="FD186" s="73"/>
      <c r="FE186" s="72">
        <f t="shared" si="5693"/>
        <v>0</v>
      </c>
      <c r="FF186" s="63"/>
      <c r="FG186" s="73"/>
      <c r="FH186" s="72">
        <f t="shared" si="5694"/>
        <v>0</v>
      </c>
      <c r="FI186" s="63"/>
      <c r="FJ186" s="73"/>
      <c r="FK186" s="72">
        <f t="shared" si="5695"/>
        <v>0</v>
      </c>
      <c r="FL186" s="63"/>
      <c r="FM186" s="73"/>
      <c r="FN186" s="72">
        <f t="shared" si="5696"/>
        <v>0</v>
      </c>
      <c r="FO186" s="63"/>
      <c r="FP186" s="73"/>
      <c r="FQ186" s="72">
        <f t="shared" si="5697"/>
        <v>0</v>
      </c>
      <c r="FR186" s="63"/>
      <c r="FS186" s="73"/>
      <c r="FT186" s="72">
        <f t="shared" si="5698"/>
        <v>0</v>
      </c>
      <c r="FU186" s="63"/>
      <c r="FV186" s="73"/>
      <c r="FW186" s="72">
        <f t="shared" si="5699"/>
        <v>0</v>
      </c>
      <c r="FX186" s="63"/>
      <c r="FY186" s="73"/>
      <c r="FZ186" s="72">
        <f t="shared" si="5700"/>
        <v>0</v>
      </c>
      <c r="GA186" s="63"/>
      <c r="GB186" s="73"/>
      <c r="GC186" s="72">
        <f t="shared" si="5701"/>
        <v>0</v>
      </c>
      <c r="GD186" s="63"/>
      <c r="GE186" s="73"/>
      <c r="GF186" s="72">
        <f t="shared" si="5702"/>
        <v>0</v>
      </c>
      <c r="GG186" s="63"/>
      <c r="GH186" s="73"/>
      <c r="GI186" s="72">
        <f t="shared" si="5703"/>
        <v>0</v>
      </c>
      <c r="GJ186" s="63"/>
      <c r="GK186" s="73"/>
      <c r="GL186" s="72">
        <f t="shared" si="5704"/>
        <v>0</v>
      </c>
      <c r="GM186" s="63"/>
      <c r="GN186" s="73"/>
      <c r="GO186" s="72">
        <f t="shared" si="5705"/>
        <v>0</v>
      </c>
      <c r="GP186" s="63"/>
      <c r="GQ186" s="73"/>
      <c r="GR186" s="72">
        <f t="shared" si="5706"/>
        <v>0</v>
      </c>
      <c r="GS186" s="63"/>
      <c r="GT186" s="73"/>
      <c r="GU186" s="72">
        <f t="shared" si="5707"/>
        <v>0</v>
      </c>
      <c r="GV186" s="63"/>
      <c r="GW186" s="73"/>
      <c r="GX186" s="72">
        <f t="shared" si="5708"/>
        <v>0</v>
      </c>
      <c r="GY186" s="63"/>
      <c r="GZ186" s="73"/>
      <c r="HA186" s="72">
        <f t="shared" si="5709"/>
        <v>0</v>
      </c>
      <c r="HB186" s="63"/>
      <c r="HC186" s="73"/>
      <c r="HD186" s="72">
        <f t="shared" si="5710"/>
        <v>0</v>
      </c>
      <c r="HE186" s="63"/>
      <c r="HF186" s="73"/>
      <c r="HG186" s="72">
        <f t="shared" si="5711"/>
        <v>0</v>
      </c>
      <c r="HH186" s="63"/>
      <c r="HI186" s="73"/>
      <c r="HJ186" s="72">
        <f t="shared" si="5712"/>
        <v>0</v>
      </c>
      <c r="HK186" s="63"/>
      <c r="HL186" s="73"/>
      <c r="HM186" s="72">
        <f t="shared" si="5713"/>
        <v>0</v>
      </c>
      <c r="HN186" s="63"/>
      <c r="HO186" s="73"/>
      <c r="HP186" s="72">
        <f t="shared" si="5714"/>
        <v>0</v>
      </c>
      <c r="HQ186" s="63"/>
      <c r="HR186" s="73"/>
      <c r="HS186" s="72">
        <f t="shared" si="5715"/>
        <v>0</v>
      </c>
      <c r="HT186" s="63"/>
      <c r="HU186" s="73"/>
      <c r="HV186" s="72">
        <f t="shared" si="5716"/>
        <v>0</v>
      </c>
      <c r="HW186" s="63"/>
      <c r="HX186" s="73"/>
      <c r="HY186" s="72">
        <f t="shared" si="5717"/>
        <v>0</v>
      </c>
      <c r="HZ186" s="63"/>
      <c r="IA186" s="73"/>
      <c r="IB186" s="72">
        <f t="shared" si="5718"/>
        <v>0</v>
      </c>
      <c r="IC186" s="63"/>
      <c r="ID186" s="73"/>
      <c r="IE186" s="72">
        <f t="shared" si="5719"/>
        <v>0</v>
      </c>
      <c r="IF186" s="63"/>
      <c r="IG186" s="73"/>
      <c r="IH186" s="72">
        <f t="shared" si="5720"/>
        <v>0</v>
      </c>
      <c r="II186" s="63"/>
      <c r="IJ186" s="73"/>
      <c r="IK186" s="72">
        <f t="shared" si="5721"/>
        <v>0</v>
      </c>
      <c r="IL186" s="63"/>
      <c r="IM186" s="73"/>
      <c r="IN186" s="72">
        <f t="shared" si="5722"/>
        <v>0</v>
      </c>
      <c r="IO186" s="63"/>
      <c r="IP186" s="73"/>
      <c r="IQ186" s="72">
        <f t="shared" si="5723"/>
        <v>0</v>
      </c>
      <c r="IR186" s="63"/>
      <c r="IS186" s="73"/>
      <c r="IT186" s="72">
        <f t="shared" si="5724"/>
        <v>0</v>
      </c>
      <c r="IU186" s="63"/>
      <c r="IV186" s="73"/>
      <c r="IW186" s="72">
        <f t="shared" si="5725"/>
        <v>0</v>
      </c>
      <c r="IX186" s="63"/>
      <c r="IY186" s="73"/>
      <c r="IZ186" s="72">
        <f t="shared" si="5726"/>
        <v>0</v>
      </c>
      <c r="JA186" s="63"/>
      <c r="JB186" s="73"/>
      <c r="JC186" s="72">
        <f t="shared" si="5727"/>
        <v>0</v>
      </c>
      <c r="JD186" s="63"/>
      <c r="JE186" s="73"/>
      <c r="JF186" s="72">
        <f t="shared" si="5728"/>
        <v>0</v>
      </c>
      <c r="JG186" s="63"/>
      <c r="JH186" s="73"/>
      <c r="JI186" s="72">
        <f t="shared" si="5729"/>
        <v>0</v>
      </c>
      <c r="JJ186" s="63"/>
      <c r="JK186" s="73"/>
      <c r="JL186" s="72">
        <f t="shared" si="5730"/>
        <v>0</v>
      </c>
      <c r="JM186" s="63"/>
      <c r="JN186" s="73"/>
      <c r="JO186" s="72">
        <f t="shared" si="5731"/>
        <v>0</v>
      </c>
      <c r="JP186" s="63"/>
      <c r="JQ186" s="73"/>
      <c r="JR186" s="72">
        <f t="shared" si="5732"/>
        <v>0</v>
      </c>
      <c r="JS186" s="63"/>
      <c r="JT186" s="73"/>
      <c r="JU186" s="72">
        <f t="shared" si="5733"/>
        <v>0</v>
      </c>
      <c r="JV186" s="63"/>
      <c r="JW186" s="73"/>
      <c r="JX186" s="72">
        <f t="shared" si="5734"/>
        <v>0</v>
      </c>
      <c r="JY186" s="63"/>
      <c r="JZ186" s="73"/>
      <c r="KA186" s="72">
        <f t="shared" si="5735"/>
        <v>0</v>
      </c>
      <c r="KB186" s="63"/>
      <c r="KC186" s="73"/>
      <c r="KD186" s="72">
        <f t="shared" si="5736"/>
        <v>0</v>
      </c>
      <c r="KE186" s="63"/>
      <c r="KF186" s="73"/>
      <c r="KG186" s="72">
        <f t="shared" si="5737"/>
        <v>0</v>
      </c>
      <c r="KH186" s="63"/>
      <c r="KI186" s="73"/>
      <c r="KJ186" s="72">
        <f t="shared" si="5738"/>
        <v>0</v>
      </c>
      <c r="KK186" s="63"/>
      <c r="KL186" s="73"/>
      <c r="KM186" s="72">
        <f t="shared" si="5739"/>
        <v>0</v>
      </c>
      <c r="KN186" s="63"/>
      <c r="KO186" s="73"/>
      <c r="KP186" s="72">
        <f t="shared" si="5740"/>
        <v>0</v>
      </c>
      <c r="KQ186" s="63"/>
      <c r="KR186" s="73"/>
      <c r="KS186" s="72">
        <f t="shared" si="5741"/>
        <v>0</v>
      </c>
      <c r="KT186" s="63"/>
      <c r="KU186" s="73"/>
      <c r="KV186" s="72">
        <f t="shared" si="5742"/>
        <v>0</v>
      </c>
      <c r="KW186" s="63"/>
      <c r="KX186" s="73"/>
      <c r="KY186" s="72">
        <f t="shared" si="5743"/>
        <v>0</v>
      </c>
      <c r="KZ186" s="63"/>
      <c r="LA186" s="73"/>
      <c r="LB186" s="72">
        <f t="shared" si="5744"/>
        <v>0</v>
      </c>
      <c r="LC186" s="63"/>
      <c r="LD186" s="73"/>
      <c r="LE186" s="72">
        <f t="shared" si="5745"/>
        <v>0</v>
      </c>
      <c r="LF186" s="63"/>
    </row>
    <row r="187" spans="1:318" s="784" customFormat="1">
      <c r="A187" s="25"/>
      <c r="B187" s="25"/>
      <c r="C187" s="25"/>
      <c r="D187" s="25"/>
      <c r="E187" s="25"/>
      <c r="F187" s="406">
        <f t="shared" si="5746"/>
        <v>30</v>
      </c>
      <c r="G187" s="406">
        <f ca="1">VLOOKUP(H187,Equipos!$Q$1:$R$25,2,0)</f>
        <v>20</v>
      </c>
      <c r="H187" s="444" t="str">
        <f>Idiomas!$D$260</f>
        <v>Dieciseisavos de final</v>
      </c>
      <c r="I187" s="50"/>
      <c r="J187" s="843"/>
      <c r="K187" s="56" t="str">
        <f>Idiomas!$D$199&amp;"-"&amp;ROWS($L$182:L187)</f>
        <v>Octavofinalista-6</v>
      </c>
      <c r="L187" s="53"/>
      <c r="M187" s="55" t="str">
        <f>WORLDCUP!AA125</f>
        <v>W81</v>
      </c>
      <c r="N187" s="25"/>
      <c r="O187" s="25"/>
      <c r="P187" s="25"/>
      <c r="Q187" s="25"/>
      <c r="R187" s="108"/>
      <c r="S187" s="796" t="s">
        <v>497</v>
      </c>
      <c r="T187" s="72">
        <f t="shared" si="5646"/>
        <v>0</v>
      </c>
      <c r="U187" s="63"/>
      <c r="V187" s="73" t="s">
        <v>1835</v>
      </c>
      <c r="W187" s="72">
        <f t="shared" si="5647"/>
        <v>0</v>
      </c>
      <c r="X187" s="63"/>
      <c r="Y187" s="796" t="s">
        <v>1319</v>
      </c>
      <c r="Z187" s="72">
        <f t="shared" si="5648"/>
        <v>0</v>
      </c>
      <c r="AA187" s="63"/>
      <c r="AB187" s="796" t="s">
        <v>1835</v>
      </c>
      <c r="AC187" s="72">
        <f t="shared" si="5649"/>
        <v>0</v>
      </c>
      <c r="AD187" s="63"/>
      <c r="AE187" s="796" t="s">
        <v>1835</v>
      </c>
      <c r="AF187" s="72">
        <f t="shared" si="5650"/>
        <v>0</v>
      </c>
      <c r="AG187" s="63"/>
      <c r="AH187" s="796" t="s">
        <v>1634</v>
      </c>
      <c r="AI187" s="72">
        <f t="shared" si="5651"/>
        <v>0</v>
      </c>
      <c r="AJ187" s="63"/>
      <c r="AK187" s="806" t="s">
        <v>497</v>
      </c>
      <c r="AL187" s="72">
        <f t="shared" si="5652"/>
        <v>0</v>
      </c>
      <c r="AM187" s="63"/>
      <c r="AN187" s="796" t="s">
        <v>1835</v>
      </c>
      <c r="AO187" s="72">
        <f t="shared" si="5653"/>
        <v>0</v>
      </c>
      <c r="AP187" s="63"/>
      <c r="AQ187" s="806" t="s">
        <v>1835</v>
      </c>
      <c r="AR187" s="72">
        <f t="shared" si="5654"/>
        <v>0</v>
      </c>
      <c r="AS187" s="63"/>
      <c r="AT187" s="796" t="s">
        <v>1319</v>
      </c>
      <c r="AU187" s="72">
        <f t="shared" si="5655"/>
        <v>0</v>
      </c>
      <c r="AV187" s="63"/>
      <c r="AW187" s="796" t="s">
        <v>1633</v>
      </c>
      <c r="AX187" s="72">
        <f t="shared" si="5656"/>
        <v>0</v>
      </c>
      <c r="AY187" s="63"/>
      <c r="AZ187" s="796" t="s">
        <v>1257</v>
      </c>
      <c r="BA187" s="72">
        <f t="shared" si="5657"/>
        <v>0</v>
      </c>
      <c r="BB187" s="63"/>
      <c r="BC187" s="796" t="s">
        <v>1835</v>
      </c>
      <c r="BD187" s="72">
        <f t="shared" si="5658"/>
        <v>0</v>
      </c>
      <c r="BE187" s="63"/>
      <c r="BF187" s="796" t="s">
        <v>497</v>
      </c>
      <c r="BG187" s="72">
        <f t="shared" si="5659"/>
        <v>0</v>
      </c>
      <c r="BH187" s="63"/>
      <c r="BI187" s="796" t="s">
        <v>1835</v>
      </c>
      <c r="BJ187" s="72">
        <f t="shared" si="5660"/>
        <v>0</v>
      </c>
      <c r="BK187" s="63"/>
      <c r="BL187" s="796" t="s">
        <v>1634</v>
      </c>
      <c r="BM187" s="72">
        <f t="shared" si="5661"/>
        <v>0</v>
      </c>
      <c r="BN187" s="63"/>
      <c r="BO187" s="816" t="s">
        <v>1835</v>
      </c>
      <c r="BP187" s="72">
        <f t="shared" si="5662"/>
        <v>0</v>
      </c>
      <c r="BQ187" s="63"/>
      <c r="BR187" s="796" t="s">
        <v>1835</v>
      </c>
      <c r="BS187" s="72">
        <f t="shared" si="5663"/>
        <v>0</v>
      </c>
      <c r="BT187" s="63"/>
      <c r="BU187" s="796" t="s">
        <v>1835</v>
      </c>
      <c r="BV187" s="72">
        <f t="shared" si="5664"/>
        <v>0</v>
      </c>
      <c r="BW187" s="63"/>
      <c r="BX187" s="73" t="s">
        <v>1319</v>
      </c>
      <c r="BY187" s="72">
        <f t="shared" si="5665"/>
        <v>0</v>
      </c>
      <c r="BZ187" s="63"/>
      <c r="CA187" s="816" t="s">
        <v>1835</v>
      </c>
      <c r="CB187" s="72">
        <f t="shared" si="5666"/>
        <v>0</v>
      </c>
      <c r="CC187" s="63"/>
      <c r="CD187" s="825" t="s">
        <v>497</v>
      </c>
      <c r="CE187" s="72">
        <f t="shared" si="5667"/>
        <v>0</v>
      </c>
      <c r="CF187" s="63"/>
      <c r="CG187" s="796" t="s">
        <v>1835</v>
      </c>
      <c r="CH187" s="72">
        <f t="shared" si="5668"/>
        <v>0</v>
      </c>
      <c r="CI187" s="63"/>
      <c r="CJ187" s="796" t="s">
        <v>1835</v>
      </c>
      <c r="CK187" s="72">
        <f t="shared" si="5669"/>
        <v>0</v>
      </c>
      <c r="CL187" s="63"/>
      <c r="CM187" s="796" t="s">
        <v>1319</v>
      </c>
      <c r="CN187" s="72">
        <f t="shared" si="5670"/>
        <v>0</v>
      </c>
      <c r="CO187" s="63"/>
      <c r="CP187" s="796" t="s">
        <v>1319</v>
      </c>
      <c r="CQ187" s="72">
        <f t="shared" si="5671"/>
        <v>0</v>
      </c>
      <c r="CR187" s="63"/>
      <c r="CS187" s="796" t="s">
        <v>497</v>
      </c>
      <c r="CT187" s="72">
        <f t="shared" si="5672"/>
        <v>0</v>
      </c>
      <c r="CU187" s="63"/>
      <c r="CV187" s="796" t="s">
        <v>1835</v>
      </c>
      <c r="CW187" s="72">
        <f t="shared" si="5673"/>
        <v>0</v>
      </c>
      <c r="CX187" s="63"/>
      <c r="CY187" s="796" t="s">
        <v>497</v>
      </c>
      <c r="CZ187" s="72">
        <f t="shared" si="5674"/>
        <v>0</v>
      </c>
      <c r="DA187" s="63"/>
      <c r="DB187" s="796" t="s">
        <v>1835</v>
      </c>
      <c r="DC187" s="72">
        <f t="shared" si="5675"/>
        <v>0</v>
      </c>
      <c r="DD187" s="63"/>
      <c r="DE187" s="796" t="s">
        <v>1835</v>
      </c>
      <c r="DF187" s="72">
        <f t="shared" si="5676"/>
        <v>0</v>
      </c>
      <c r="DG187" s="63"/>
      <c r="DH187" s="796" t="s">
        <v>497</v>
      </c>
      <c r="DI187" s="72">
        <f t="shared" si="5677"/>
        <v>0</v>
      </c>
      <c r="DJ187" s="63"/>
      <c r="DK187" s="796" t="s">
        <v>1835</v>
      </c>
      <c r="DL187" s="72">
        <f t="shared" si="5678"/>
        <v>0</v>
      </c>
      <c r="DM187" s="63"/>
      <c r="DN187" s="73"/>
      <c r="DO187" s="72">
        <f t="shared" si="5679"/>
        <v>0</v>
      </c>
      <c r="DP187" s="63"/>
      <c r="DQ187" s="796" t="s">
        <v>1319</v>
      </c>
      <c r="DR187" s="72">
        <f t="shared" si="5680"/>
        <v>0</v>
      </c>
      <c r="DS187" s="63"/>
      <c r="DT187" s="73" t="s">
        <v>497</v>
      </c>
      <c r="DU187" s="72">
        <f t="shared" si="5681"/>
        <v>0</v>
      </c>
      <c r="DV187" s="63"/>
      <c r="DW187" s="73"/>
      <c r="DX187" s="72">
        <f t="shared" si="5682"/>
        <v>0</v>
      </c>
      <c r="DY187" s="63"/>
      <c r="DZ187" s="73"/>
      <c r="EA187" s="72">
        <f t="shared" si="5683"/>
        <v>0</v>
      </c>
      <c r="EB187" s="63"/>
      <c r="EC187" s="75"/>
      <c r="ED187" s="72">
        <f t="shared" si="5684"/>
        <v>0</v>
      </c>
      <c r="EE187" s="63"/>
      <c r="EF187" s="73"/>
      <c r="EG187" s="72">
        <f t="shared" si="5685"/>
        <v>0</v>
      </c>
      <c r="EH187" s="63"/>
      <c r="EI187" s="73"/>
      <c r="EJ187" s="72">
        <f t="shared" si="5686"/>
        <v>0</v>
      </c>
      <c r="EK187" s="63"/>
      <c r="EL187" s="73"/>
      <c r="EM187" s="72">
        <f t="shared" si="5687"/>
        <v>0</v>
      </c>
      <c r="EN187" s="63"/>
      <c r="EO187" s="73"/>
      <c r="EP187" s="72">
        <f t="shared" si="5688"/>
        <v>0</v>
      </c>
      <c r="EQ187" s="63"/>
      <c r="ER187" s="75"/>
      <c r="ES187" s="72">
        <f t="shared" si="5689"/>
        <v>0</v>
      </c>
      <c r="ET187" s="63"/>
      <c r="EU187" s="73"/>
      <c r="EV187" s="72">
        <f t="shared" si="5690"/>
        <v>0</v>
      </c>
      <c r="EW187" s="63"/>
      <c r="EX187" s="73"/>
      <c r="EY187" s="72">
        <f t="shared" si="5691"/>
        <v>0</v>
      </c>
      <c r="EZ187" s="63"/>
      <c r="FA187" s="73"/>
      <c r="FB187" s="72">
        <f t="shared" si="5692"/>
        <v>0</v>
      </c>
      <c r="FC187" s="63"/>
      <c r="FD187" s="73"/>
      <c r="FE187" s="72">
        <f t="shared" si="5693"/>
        <v>0</v>
      </c>
      <c r="FF187" s="63"/>
      <c r="FG187" s="75"/>
      <c r="FH187" s="72">
        <f t="shared" si="5694"/>
        <v>0</v>
      </c>
      <c r="FI187" s="63"/>
      <c r="FJ187" s="73"/>
      <c r="FK187" s="72">
        <f t="shared" si="5695"/>
        <v>0</v>
      </c>
      <c r="FL187" s="63"/>
      <c r="FM187" s="73"/>
      <c r="FN187" s="72">
        <f t="shared" si="5696"/>
        <v>0</v>
      </c>
      <c r="FO187" s="63"/>
      <c r="FP187" s="73"/>
      <c r="FQ187" s="72">
        <f t="shared" si="5697"/>
        <v>0</v>
      </c>
      <c r="FR187" s="63"/>
      <c r="FS187" s="73"/>
      <c r="FT187" s="72">
        <f t="shared" si="5698"/>
        <v>0</v>
      </c>
      <c r="FU187" s="63"/>
      <c r="FV187" s="75"/>
      <c r="FW187" s="72">
        <f t="shared" si="5699"/>
        <v>0</v>
      </c>
      <c r="FX187" s="63"/>
      <c r="FY187" s="73"/>
      <c r="FZ187" s="72">
        <f t="shared" si="5700"/>
        <v>0</v>
      </c>
      <c r="GA187" s="63"/>
      <c r="GB187" s="73"/>
      <c r="GC187" s="72">
        <f t="shared" si="5701"/>
        <v>0</v>
      </c>
      <c r="GD187" s="63"/>
      <c r="GE187" s="73"/>
      <c r="GF187" s="72">
        <f t="shared" si="5702"/>
        <v>0</v>
      </c>
      <c r="GG187" s="63"/>
      <c r="GH187" s="73"/>
      <c r="GI187" s="72">
        <f t="shared" si="5703"/>
        <v>0</v>
      </c>
      <c r="GJ187" s="63"/>
      <c r="GK187" s="75"/>
      <c r="GL187" s="72">
        <f t="shared" si="5704"/>
        <v>0</v>
      </c>
      <c r="GM187" s="63"/>
      <c r="GN187" s="73"/>
      <c r="GO187" s="72">
        <f t="shared" si="5705"/>
        <v>0</v>
      </c>
      <c r="GP187" s="63"/>
      <c r="GQ187" s="73"/>
      <c r="GR187" s="72">
        <f t="shared" si="5706"/>
        <v>0</v>
      </c>
      <c r="GS187" s="63"/>
      <c r="GT187" s="73"/>
      <c r="GU187" s="72">
        <f t="shared" si="5707"/>
        <v>0</v>
      </c>
      <c r="GV187" s="63"/>
      <c r="GW187" s="73"/>
      <c r="GX187" s="72">
        <f t="shared" si="5708"/>
        <v>0</v>
      </c>
      <c r="GY187" s="63"/>
      <c r="GZ187" s="75"/>
      <c r="HA187" s="72">
        <f t="shared" si="5709"/>
        <v>0</v>
      </c>
      <c r="HB187" s="63"/>
      <c r="HC187" s="73"/>
      <c r="HD187" s="72">
        <f t="shared" si="5710"/>
        <v>0</v>
      </c>
      <c r="HE187" s="63"/>
      <c r="HF187" s="73"/>
      <c r="HG187" s="72">
        <f t="shared" si="5711"/>
        <v>0</v>
      </c>
      <c r="HH187" s="63"/>
      <c r="HI187" s="73"/>
      <c r="HJ187" s="72">
        <f t="shared" si="5712"/>
        <v>0</v>
      </c>
      <c r="HK187" s="63"/>
      <c r="HL187" s="73"/>
      <c r="HM187" s="72">
        <f t="shared" si="5713"/>
        <v>0</v>
      </c>
      <c r="HN187" s="63"/>
      <c r="HO187" s="75"/>
      <c r="HP187" s="72">
        <f t="shared" si="5714"/>
        <v>0</v>
      </c>
      <c r="HQ187" s="63"/>
      <c r="HR187" s="73"/>
      <c r="HS187" s="72">
        <f t="shared" si="5715"/>
        <v>0</v>
      </c>
      <c r="HT187" s="63"/>
      <c r="HU187" s="73"/>
      <c r="HV187" s="72">
        <f t="shared" si="5716"/>
        <v>0</v>
      </c>
      <c r="HW187" s="63"/>
      <c r="HX187" s="73"/>
      <c r="HY187" s="72">
        <f t="shared" si="5717"/>
        <v>0</v>
      </c>
      <c r="HZ187" s="63"/>
      <c r="IA187" s="73"/>
      <c r="IB187" s="72">
        <f t="shared" si="5718"/>
        <v>0</v>
      </c>
      <c r="IC187" s="63"/>
      <c r="ID187" s="75"/>
      <c r="IE187" s="72">
        <f t="shared" si="5719"/>
        <v>0</v>
      </c>
      <c r="IF187" s="63"/>
      <c r="IG187" s="73"/>
      <c r="IH187" s="72">
        <f t="shared" si="5720"/>
        <v>0</v>
      </c>
      <c r="II187" s="63"/>
      <c r="IJ187" s="73"/>
      <c r="IK187" s="72">
        <f t="shared" si="5721"/>
        <v>0</v>
      </c>
      <c r="IL187" s="63"/>
      <c r="IM187" s="73"/>
      <c r="IN187" s="72">
        <f t="shared" si="5722"/>
        <v>0</v>
      </c>
      <c r="IO187" s="63"/>
      <c r="IP187" s="73"/>
      <c r="IQ187" s="72">
        <f t="shared" si="5723"/>
        <v>0</v>
      </c>
      <c r="IR187" s="63"/>
      <c r="IS187" s="75"/>
      <c r="IT187" s="72">
        <f t="shared" si="5724"/>
        <v>0</v>
      </c>
      <c r="IU187" s="63"/>
      <c r="IV187" s="73"/>
      <c r="IW187" s="72">
        <f t="shared" si="5725"/>
        <v>0</v>
      </c>
      <c r="IX187" s="63"/>
      <c r="IY187" s="73"/>
      <c r="IZ187" s="72">
        <f t="shared" si="5726"/>
        <v>0</v>
      </c>
      <c r="JA187" s="63"/>
      <c r="JB187" s="73"/>
      <c r="JC187" s="72">
        <f t="shared" si="5727"/>
        <v>0</v>
      </c>
      <c r="JD187" s="63"/>
      <c r="JE187" s="73"/>
      <c r="JF187" s="72">
        <f t="shared" si="5728"/>
        <v>0</v>
      </c>
      <c r="JG187" s="63"/>
      <c r="JH187" s="75"/>
      <c r="JI187" s="72">
        <f t="shared" si="5729"/>
        <v>0</v>
      </c>
      <c r="JJ187" s="63"/>
      <c r="JK187" s="73"/>
      <c r="JL187" s="72">
        <f t="shared" si="5730"/>
        <v>0</v>
      </c>
      <c r="JM187" s="63"/>
      <c r="JN187" s="73"/>
      <c r="JO187" s="72">
        <f t="shared" si="5731"/>
        <v>0</v>
      </c>
      <c r="JP187" s="63"/>
      <c r="JQ187" s="73"/>
      <c r="JR187" s="72">
        <f t="shared" si="5732"/>
        <v>0</v>
      </c>
      <c r="JS187" s="63"/>
      <c r="JT187" s="73"/>
      <c r="JU187" s="72">
        <f t="shared" si="5733"/>
        <v>0</v>
      </c>
      <c r="JV187" s="63"/>
      <c r="JW187" s="75"/>
      <c r="JX187" s="72">
        <f t="shared" si="5734"/>
        <v>0</v>
      </c>
      <c r="JY187" s="63"/>
      <c r="JZ187" s="73"/>
      <c r="KA187" s="72">
        <f t="shared" si="5735"/>
        <v>0</v>
      </c>
      <c r="KB187" s="63"/>
      <c r="KC187" s="73"/>
      <c r="KD187" s="72">
        <f t="shared" si="5736"/>
        <v>0</v>
      </c>
      <c r="KE187" s="63"/>
      <c r="KF187" s="73"/>
      <c r="KG187" s="72">
        <f t="shared" si="5737"/>
        <v>0</v>
      </c>
      <c r="KH187" s="63"/>
      <c r="KI187" s="73"/>
      <c r="KJ187" s="72">
        <f t="shared" si="5738"/>
        <v>0</v>
      </c>
      <c r="KK187" s="63"/>
      <c r="KL187" s="75"/>
      <c r="KM187" s="72">
        <f t="shared" si="5739"/>
        <v>0</v>
      </c>
      <c r="KN187" s="63"/>
      <c r="KO187" s="73"/>
      <c r="KP187" s="72">
        <f t="shared" si="5740"/>
        <v>0</v>
      </c>
      <c r="KQ187" s="63"/>
      <c r="KR187" s="73"/>
      <c r="KS187" s="72">
        <f t="shared" si="5741"/>
        <v>0</v>
      </c>
      <c r="KT187" s="63"/>
      <c r="KU187" s="73"/>
      <c r="KV187" s="72">
        <f t="shared" si="5742"/>
        <v>0</v>
      </c>
      <c r="KW187" s="63"/>
      <c r="KX187" s="73"/>
      <c r="KY187" s="72">
        <f t="shared" si="5743"/>
        <v>0</v>
      </c>
      <c r="KZ187" s="63"/>
      <c r="LA187" s="75"/>
      <c r="LB187" s="72">
        <f t="shared" si="5744"/>
        <v>0</v>
      </c>
      <c r="LC187" s="63"/>
      <c r="LD187" s="73"/>
      <c r="LE187" s="72">
        <f t="shared" si="5745"/>
        <v>0</v>
      </c>
      <c r="LF187" s="63"/>
    </row>
    <row r="188" spans="1:318" s="784" customFormat="1">
      <c r="A188" s="25"/>
      <c r="B188" s="25"/>
      <c r="C188" s="25"/>
      <c r="D188" s="25"/>
      <c r="E188" s="25"/>
      <c r="F188" s="406">
        <f t="shared" si="5746"/>
        <v>30</v>
      </c>
      <c r="G188" s="406">
        <f ca="1">VLOOKUP(H188,Equipos!$Q$1:$R$25,2,0)</f>
        <v>20</v>
      </c>
      <c r="H188" s="444" t="str">
        <f>Idiomas!$D$260</f>
        <v>Dieciseisavos de final</v>
      </c>
      <c r="I188" s="50"/>
      <c r="J188" s="843"/>
      <c r="K188" s="56" t="str">
        <f>Idiomas!$D$199&amp;"-"&amp;ROWS($L$182:L188)</f>
        <v>Octavofinalista-7</v>
      </c>
      <c r="L188" s="53"/>
      <c r="M188" s="55" t="str">
        <f>WORLDCUP!AA126</f>
        <v>W86</v>
      </c>
      <c r="N188" s="25"/>
      <c r="O188" s="25"/>
      <c r="P188" s="25"/>
      <c r="Q188" s="25"/>
      <c r="R188" s="108"/>
      <c r="S188" s="796" t="s">
        <v>1256</v>
      </c>
      <c r="T188" s="72">
        <f t="shared" si="5646"/>
        <v>0</v>
      </c>
      <c r="U188" s="63"/>
      <c r="V188" s="73" t="s">
        <v>1256</v>
      </c>
      <c r="W188" s="72">
        <f t="shared" si="5647"/>
        <v>0</v>
      </c>
      <c r="X188" s="63"/>
      <c r="Y188" s="796" t="s">
        <v>1256</v>
      </c>
      <c r="Z188" s="72">
        <f t="shared" si="5648"/>
        <v>0</v>
      </c>
      <c r="AA188" s="63"/>
      <c r="AB188" s="796" t="s">
        <v>1256</v>
      </c>
      <c r="AC188" s="72">
        <f t="shared" si="5649"/>
        <v>0</v>
      </c>
      <c r="AD188" s="63"/>
      <c r="AE188" s="796" t="s">
        <v>1256</v>
      </c>
      <c r="AF188" s="72">
        <f t="shared" si="5650"/>
        <v>0</v>
      </c>
      <c r="AG188" s="63"/>
      <c r="AH188" s="796" t="s">
        <v>1256</v>
      </c>
      <c r="AI188" s="72">
        <f t="shared" si="5651"/>
        <v>0</v>
      </c>
      <c r="AJ188" s="63"/>
      <c r="AK188" s="806" t="s">
        <v>1256</v>
      </c>
      <c r="AL188" s="72">
        <f t="shared" si="5652"/>
        <v>0</v>
      </c>
      <c r="AM188" s="63"/>
      <c r="AN188" s="796" t="s">
        <v>1256</v>
      </c>
      <c r="AO188" s="72">
        <f t="shared" si="5653"/>
        <v>0</v>
      </c>
      <c r="AP188" s="63"/>
      <c r="AQ188" s="806" t="s">
        <v>1256</v>
      </c>
      <c r="AR188" s="72">
        <f t="shared" si="5654"/>
        <v>0</v>
      </c>
      <c r="AS188" s="63"/>
      <c r="AT188" s="796" t="s">
        <v>1256</v>
      </c>
      <c r="AU188" s="72">
        <f t="shared" si="5655"/>
        <v>0</v>
      </c>
      <c r="AV188" s="63"/>
      <c r="AW188" s="796" t="s">
        <v>1256</v>
      </c>
      <c r="AX188" s="72">
        <f t="shared" si="5656"/>
        <v>0</v>
      </c>
      <c r="AY188" s="63"/>
      <c r="AZ188" s="796" t="s">
        <v>1552</v>
      </c>
      <c r="BA188" s="72">
        <f t="shared" si="5657"/>
        <v>0</v>
      </c>
      <c r="BB188" s="63"/>
      <c r="BC188" s="796" t="s">
        <v>1256</v>
      </c>
      <c r="BD188" s="72">
        <f t="shared" si="5658"/>
        <v>0</v>
      </c>
      <c r="BE188" s="63"/>
      <c r="BF188" s="796" t="s">
        <v>38</v>
      </c>
      <c r="BG188" s="72">
        <f t="shared" si="5659"/>
        <v>0</v>
      </c>
      <c r="BH188" s="63"/>
      <c r="BI188" s="796" t="s">
        <v>1256</v>
      </c>
      <c r="BJ188" s="72">
        <f t="shared" si="5660"/>
        <v>0</v>
      </c>
      <c r="BK188" s="63"/>
      <c r="BL188" s="796" t="s">
        <v>1256</v>
      </c>
      <c r="BM188" s="72">
        <f t="shared" si="5661"/>
        <v>0</v>
      </c>
      <c r="BN188" s="63"/>
      <c r="BO188" s="816" t="s">
        <v>1256</v>
      </c>
      <c r="BP188" s="72">
        <f t="shared" si="5662"/>
        <v>0</v>
      </c>
      <c r="BQ188" s="63"/>
      <c r="BR188" s="796" t="s">
        <v>1256</v>
      </c>
      <c r="BS188" s="72">
        <f t="shared" si="5663"/>
        <v>0</v>
      </c>
      <c r="BT188" s="63"/>
      <c r="BU188" s="796" t="s">
        <v>1256</v>
      </c>
      <c r="BV188" s="72">
        <f t="shared" si="5664"/>
        <v>0</v>
      </c>
      <c r="BW188" s="63"/>
      <c r="BX188" s="73" t="s">
        <v>1256</v>
      </c>
      <c r="BY188" s="72">
        <f t="shared" si="5665"/>
        <v>0</v>
      </c>
      <c r="BZ188" s="63"/>
      <c r="CA188" s="816" t="s">
        <v>1256</v>
      </c>
      <c r="CB188" s="72">
        <f t="shared" si="5666"/>
        <v>0</v>
      </c>
      <c r="CC188" s="63"/>
      <c r="CD188" s="825" t="s">
        <v>1256</v>
      </c>
      <c r="CE188" s="72">
        <f t="shared" si="5667"/>
        <v>0</v>
      </c>
      <c r="CF188" s="63"/>
      <c r="CG188" s="796" t="s">
        <v>1256</v>
      </c>
      <c r="CH188" s="72">
        <f t="shared" si="5668"/>
        <v>0</v>
      </c>
      <c r="CI188" s="63"/>
      <c r="CJ188" s="796" t="s">
        <v>1256</v>
      </c>
      <c r="CK188" s="72">
        <f t="shared" si="5669"/>
        <v>0</v>
      </c>
      <c r="CL188" s="63"/>
      <c r="CM188" s="796" t="s">
        <v>1318</v>
      </c>
      <c r="CN188" s="72">
        <f t="shared" si="5670"/>
        <v>0</v>
      </c>
      <c r="CO188" s="63"/>
      <c r="CP188" s="796" t="s">
        <v>1256</v>
      </c>
      <c r="CQ188" s="72">
        <f t="shared" si="5671"/>
        <v>0</v>
      </c>
      <c r="CR188" s="63"/>
      <c r="CS188" s="796" t="s">
        <v>1256</v>
      </c>
      <c r="CT188" s="72">
        <f t="shared" si="5672"/>
        <v>0</v>
      </c>
      <c r="CU188" s="63"/>
      <c r="CV188" s="796" t="s">
        <v>1256</v>
      </c>
      <c r="CW188" s="72">
        <f t="shared" si="5673"/>
        <v>0</v>
      </c>
      <c r="CX188" s="63"/>
      <c r="CY188" s="796" t="s">
        <v>1256</v>
      </c>
      <c r="CZ188" s="72">
        <f t="shared" si="5674"/>
        <v>0</v>
      </c>
      <c r="DA188" s="63"/>
      <c r="DB188" s="796" t="s">
        <v>1256</v>
      </c>
      <c r="DC188" s="72">
        <f t="shared" si="5675"/>
        <v>0</v>
      </c>
      <c r="DD188" s="63"/>
      <c r="DE188" s="796" t="s">
        <v>1256</v>
      </c>
      <c r="DF188" s="72">
        <f t="shared" si="5676"/>
        <v>0</v>
      </c>
      <c r="DG188" s="63"/>
      <c r="DH188" s="796" t="s">
        <v>1256</v>
      </c>
      <c r="DI188" s="72">
        <f t="shared" si="5677"/>
        <v>0</v>
      </c>
      <c r="DJ188" s="63"/>
      <c r="DK188" s="796" t="s">
        <v>1256</v>
      </c>
      <c r="DL188" s="72">
        <f t="shared" si="5678"/>
        <v>0</v>
      </c>
      <c r="DM188" s="63"/>
      <c r="DN188" s="73"/>
      <c r="DO188" s="72">
        <f t="shared" si="5679"/>
        <v>0</v>
      </c>
      <c r="DP188" s="63"/>
      <c r="DQ188" s="796" t="s">
        <v>1256</v>
      </c>
      <c r="DR188" s="72">
        <f t="shared" si="5680"/>
        <v>0</v>
      </c>
      <c r="DS188" s="63"/>
      <c r="DT188" s="73" t="s">
        <v>1256</v>
      </c>
      <c r="DU188" s="72">
        <f t="shared" si="5681"/>
        <v>0</v>
      </c>
      <c r="DV188" s="63"/>
      <c r="DW188" s="73"/>
      <c r="DX188" s="72">
        <f t="shared" si="5682"/>
        <v>0</v>
      </c>
      <c r="DY188" s="63"/>
      <c r="DZ188" s="73"/>
      <c r="EA188" s="72">
        <f t="shared" si="5683"/>
        <v>0</v>
      </c>
      <c r="EB188" s="63"/>
      <c r="EC188" s="73"/>
      <c r="ED188" s="72">
        <f t="shared" si="5684"/>
        <v>0</v>
      </c>
      <c r="EE188" s="63"/>
      <c r="EF188" s="73"/>
      <c r="EG188" s="72">
        <f t="shared" si="5685"/>
        <v>0</v>
      </c>
      <c r="EH188" s="63"/>
      <c r="EI188" s="73"/>
      <c r="EJ188" s="72">
        <f t="shared" si="5686"/>
        <v>0</v>
      </c>
      <c r="EK188" s="63"/>
      <c r="EL188" s="73"/>
      <c r="EM188" s="72">
        <f t="shared" si="5687"/>
        <v>0</v>
      </c>
      <c r="EN188" s="63"/>
      <c r="EO188" s="73"/>
      <c r="EP188" s="72">
        <f t="shared" si="5688"/>
        <v>0</v>
      </c>
      <c r="EQ188" s="63"/>
      <c r="ER188" s="73"/>
      <c r="ES188" s="72">
        <f t="shared" si="5689"/>
        <v>0</v>
      </c>
      <c r="ET188" s="63"/>
      <c r="EU188" s="73"/>
      <c r="EV188" s="72">
        <f t="shared" si="5690"/>
        <v>0</v>
      </c>
      <c r="EW188" s="63"/>
      <c r="EX188" s="73"/>
      <c r="EY188" s="72">
        <f t="shared" si="5691"/>
        <v>0</v>
      </c>
      <c r="EZ188" s="63"/>
      <c r="FA188" s="73"/>
      <c r="FB188" s="72">
        <f t="shared" si="5692"/>
        <v>0</v>
      </c>
      <c r="FC188" s="63"/>
      <c r="FD188" s="73"/>
      <c r="FE188" s="72">
        <f t="shared" si="5693"/>
        <v>0</v>
      </c>
      <c r="FF188" s="63"/>
      <c r="FG188" s="73"/>
      <c r="FH188" s="72">
        <f t="shared" si="5694"/>
        <v>0</v>
      </c>
      <c r="FI188" s="63"/>
      <c r="FJ188" s="73"/>
      <c r="FK188" s="72">
        <f t="shared" si="5695"/>
        <v>0</v>
      </c>
      <c r="FL188" s="63"/>
      <c r="FM188" s="73"/>
      <c r="FN188" s="72">
        <f t="shared" si="5696"/>
        <v>0</v>
      </c>
      <c r="FO188" s="63"/>
      <c r="FP188" s="73"/>
      <c r="FQ188" s="72">
        <f t="shared" si="5697"/>
        <v>0</v>
      </c>
      <c r="FR188" s="63"/>
      <c r="FS188" s="73"/>
      <c r="FT188" s="72">
        <f t="shared" si="5698"/>
        <v>0</v>
      </c>
      <c r="FU188" s="63"/>
      <c r="FV188" s="73"/>
      <c r="FW188" s="72">
        <f t="shared" si="5699"/>
        <v>0</v>
      </c>
      <c r="FX188" s="63"/>
      <c r="FY188" s="73"/>
      <c r="FZ188" s="72">
        <f t="shared" si="5700"/>
        <v>0</v>
      </c>
      <c r="GA188" s="63"/>
      <c r="GB188" s="73"/>
      <c r="GC188" s="72">
        <f t="shared" si="5701"/>
        <v>0</v>
      </c>
      <c r="GD188" s="63"/>
      <c r="GE188" s="73"/>
      <c r="GF188" s="72">
        <f t="shared" si="5702"/>
        <v>0</v>
      </c>
      <c r="GG188" s="63"/>
      <c r="GH188" s="73"/>
      <c r="GI188" s="72">
        <f t="shared" si="5703"/>
        <v>0</v>
      </c>
      <c r="GJ188" s="63"/>
      <c r="GK188" s="73"/>
      <c r="GL188" s="72">
        <f t="shared" si="5704"/>
        <v>0</v>
      </c>
      <c r="GM188" s="63"/>
      <c r="GN188" s="73"/>
      <c r="GO188" s="72">
        <f t="shared" si="5705"/>
        <v>0</v>
      </c>
      <c r="GP188" s="63"/>
      <c r="GQ188" s="73"/>
      <c r="GR188" s="72">
        <f t="shared" si="5706"/>
        <v>0</v>
      </c>
      <c r="GS188" s="63"/>
      <c r="GT188" s="73"/>
      <c r="GU188" s="72">
        <f t="shared" si="5707"/>
        <v>0</v>
      </c>
      <c r="GV188" s="63"/>
      <c r="GW188" s="73"/>
      <c r="GX188" s="72">
        <f t="shared" si="5708"/>
        <v>0</v>
      </c>
      <c r="GY188" s="63"/>
      <c r="GZ188" s="73"/>
      <c r="HA188" s="72">
        <f t="shared" si="5709"/>
        <v>0</v>
      </c>
      <c r="HB188" s="63"/>
      <c r="HC188" s="73"/>
      <c r="HD188" s="72">
        <f t="shared" si="5710"/>
        <v>0</v>
      </c>
      <c r="HE188" s="63"/>
      <c r="HF188" s="73"/>
      <c r="HG188" s="72">
        <f t="shared" si="5711"/>
        <v>0</v>
      </c>
      <c r="HH188" s="63"/>
      <c r="HI188" s="73"/>
      <c r="HJ188" s="72">
        <f t="shared" si="5712"/>
        <v>0</v>
      </c>
      <c r="HK188" s="63"/>
      <c r="HL188" s="73"/>
      <c r="HM188" s="72">
        <f t="shared" si="5713"/>
        <v>0</v>
      </c>
      <c r="HN188" s="63"/>
      <c r="HO188" s="73"/>
      <c r="HP188" s="72">
        <f t="shared" si="5714"/>
        <v>0</v>
      </c>
      <c r="HQ188" s="63"/>
      <c r="HR188" s="73"/>
      <c r="HS188" s="72">
        <f t="shared" si="5715"/>
        <v>0</v>
      </c>
      <c r="HT188" s="63"/>
      <c r="HU188" s="73"/>
      <c r="HV188" s="72">
        <f t="shared" si="5716"/>
        <v>0</v>
      </c>
      <c r="HW188" s="63"/>
      <c r="HX188" s="73"/>
      <c r="HY188" s="72">
        <f t="shared" si="5717"/>
        <v>0</v>
      </c>
      <c r="HZ188" s="63"/>
      <c r="IA188" s="73"/>
      <c r="IB188" s="72">
        <f t="shared" si="5718"/>
        <v>0</v>
      </c>
      <c r="IC188" s="63"/>
      <c r="ID188" s="73"/>
      <c r="IE188" s="72">
        <f t="shared" si="5719"/>
        <v>0</v>
      </c>
      <c r="IF188" s="63"/>
      <c r="IG188" s="73"/>
      <c r="IH188" s="72">
        <f t="shared" si="5720"/>
        <v>0</v>
      </c>
      <c r="II188" s="63"/>
      <c r="IJ188" s="73"/>
      <c r="IK188" s="72">
        <f t="shared" si="5721"/>
        <v>0</v>
      </c>
      <c r="IL188" s="63"/>
      <c r="IM188" s="73"/>
      <c r="IN188" s="72">
        <f t="shared" si="5722"/>
        <v>0</v>
      </c>
      <c r="IO188" s="63"/>
      <c r="IP188" s="73"/>
      <c r="IQ188" s="72">
        <f t="shared" si="5723"/>
        <v>0</v>
      </c>
      <c r="IR188" s="63"/>
      <c r="IS188" s="73"/>
      <c r="IT188" s="72">
        <f t="shared" si="5724"/>
        <v>0</v>
      </c>
      <c r="IU188" s="63"/>
      <c r="IV188" s="73"/>
      <c r="IW188" s="72">
        <f t="shared" si="5725"/>
        <v>0</v>
      </c>
      <c r="IX188" s="63"/>
      <c r="IY188" s="73"/>
      <c r="IZ188" s="72">
        <f t="shared" si="5726"/>
        <v>0</v>
      </c>
      <c r="JA188" s="63"/>
      <c r="JB188" s="73"/>
      <c r="JC188" s="72">
        <f t="shared" si="5727"/>
        <v>0</v>
      </c>
      <c r="JD188" s="63"/>
      <c r="JE188" s="73"/>
      <c r="JF188" s="72">
        <f t="shared" si="5728"/>
        <v>0</v>
      </c>
      <c r="JG188" s="63"/>
      <c r="JH188" s="73"/>
      <c r="JI188" s="72">
        <f t="shared" si="5729"/>
        <v>0</v>
      </c>
      <c r="JJ188" s="63"/>
      <c r="JK188" s="73"/>
      <c r="JL188" s="72">
        <f t="shared" si="5730"/>
        <v>0</v>
      </c>
      <c r="JM188" s="63"/>
      <c r="JN188" s="73"/>
      <c r="JO188" s="72">
        <f t="shared" si="5731"/>
        <v>0</v>
      </c>
      <c r="JP188" s="63"/>
      <c r="JQ188" s="73"/>
      <c r="JR188" s="72">
        <f t="shared" si="5732"/>
        <v>0</v>
      </c>
      <c r="JS188" s="63"/>
      <c r="JT188" s="73"/>
      <c r="JU188" s="72">
        <f t="shared" si="5733"/>
        <v>0</v>
      </c>
      <c r="JV188" s="63"/>
      <c r="JW188" s="73"/>
      <c r="JX188" s="72">
        <f t="shared" si="5734"/>
        <v>0</v>
      </c>
      <c r="JY188" s="63"/>
      <c r="JZ188" s="73"/>
      <c r="KA188" s="72">
        <f t="shared" si="5735"/>
        <v>0</v>
      </c>
      <c r="KB188" s="63"/>
      <c r="KC188" s="73"/>
      <c r="KD188" s="72">
        <f t="shared" si="5736"/>
        <v>0</v>
      </c>
      <c r="KE188" s="63"/>
      <c r="KF188" s="73"/>
      <c r="KG188" s="72">
        <f t="shared" si="5737"/>
        <v>0</v>
      </c>
      <c r="KH188" s="63"/>
      <c r="KI188" s="73"/>
      <c r="KJ188" s="72">
        <f t="shared" si="5738"/>
        <v>0</v>
      </c>
      <c r="KK188" s="63"/>
      <c r="KL188" s="73"/>
      <c r="KM188" s="72">
        <f t="shared" si="5739"/>
        <v>0</v>
      </c>
      <c r="KN188" s="63"/>
      <c r="KO188" s="73"/>
      <c r="KP188" s="72">
        <f t="shared" si="5740"/>
        <v>0</v>
      </c>
      <c r="KQ188" s="63"/>
      <c r="KR188" s="73"/>
      <c r="KS188" s="72">
        <f t="shared" si="5741"/>
        <v>0</v>
      </c>
      <c r="KT188" s="63"/>
      <c r="KU188" s="73"/>
      <c r="KV188" s="72">
        <f t="shared" si="5742"/>
        <v>0</v>
      </c>
      <c r="KW188" s="63"/>
      <c r="KX188" s="73"/>
      <c r="KY188" s="72">
        <f t="shared" si="5743"/>
        <v>0</v>
      </c>
      <c r="KZ188" s="63"/>
      <c r="LA188" s="73"/>
      <c r="LB188" s="72">
        <f t="shared" si="5744"/>
        <v>0</v>
      </c>
      <c r="LC188" s="63"/>
      <c r="LD188" s="73"/>
      <c r="LE188" s="72">
        <f t="shared" si="5745"/>
        <v>0</v>
      </c>
      <c r="LF188" s="63"/>
    </row>
    <row r="189" spans="1:318" s="784" customFormat="1">
      <c r="A189" s="25"/>
      <c r="B189" s="25"/>
      <c r="C189" s="25"/>
      <c r="D189" s="25"/>
      <c r="E189" s="25"/>
      <c r="F189" s="406">
        <f t="shared" si="5746"/>
        <v>30</v>
      </c>
      <c r="G189" s="406">
        <f ca="1">VLOOKUP(H189,Equipos!$Q$1:$R$25,2,0)</f>
        <v>20</v>
      </c>
      <c r="H189" s="444" t="str">
        <f>Idiomas!$D$260</f>
        <v>Dieciseisavos de final</v>
      </c>
      <c r="I189" s="50"/>
      <c r="J189" s="843"/>
      <c r="K189" s="56" t="str">
        <f>Idiomas!$D$199&amp;"-"&amp;ROWS($L$182:L189)</f>
        <v>Octavofinalista-8</v>
      </c>
      <c r="L189" s="53"/>
      <c r="M189" s="55" t="str">
        <f>WORLDCUP!AA127</f>
        <v>W85</v>
      </c>
      <c r="N189" s="25"/>
      <c r="O189" s="25"/>
      <c r="P189" s="25"/>
      <c r="Q189" s="25"/>
      <c r="R189" s="108"/>
      <c r="S189" s="796" t="s">
        <v>75</v>
      </c>
      <c r="T189" s="72">
        <f t="shared" si="5646"/>
        <v>0</v>
      </c>
      <c r="U189" s="63"/>
      <c r="V189" s="73" t="s">
        <v>75</v>
      </c>
      <c r="W189" s="72">
        <f t="shared" si="5647"/>
        <v>0</v>
      </c>
      <c r="X189" s="63"/>
      <c r="Y189" s="796" t="s">
        <v>75</v>
      </c>
      <c r="Z189" s="72">
        <f t="shared" si="5648"/>
        <v>0</v>
      </c>
      <c r="AA189" s="63"/>
      <c r="AB189" s="796" t="s">
        <v>1558</v>
      </c>
      <c r="AC189" s="72">
        <f t="shared" si="5649"/>
        <v>0</v>
      </c>
      <c r="AD189" s="63"/>
      <c r="AE189" s="796" t="s">
        <v>75</v>
      </c>
      <c r="AF189" s="72">
        <f t="shared" si="5650"/>
        <v>0</v>
      </c>
      <c r="AG189" s="63"/>
      <c r="AH189" s="796" t="s">
        <v>75</v>
      </c>
      <c r="AI189" s="72">
        <f t="shared" si="5651"/>
        <v>0</v>
      </c>
      <c r="AJ189" s="63"/>
      <c r="AK189" s="806" t="s">
        <v>75</v>
      </c>
      <c r="AL189" s="72">
        <f t="shared" si="5652"/>
        <v>0</v>
      </c>
      <c r="AM189" s="63"/>
      <c r="AN189" s="796" t="s">
        <v>75</v>
      </c>
      <c r="AO189" s="72">
        <f t="shared" si="5653"/>
        <v>0</v>
      </c>
      <c r="AP189" s="63"/>
      <c r="AQ189" s="806" t="s">
        <v>75</v>
      </c>
      <c r="AR189" s="72">
        <f t="shared" si="5654"/>
        <v>0</v>
      </c>
      <c r="AS189" s="63"/>
      <c r="AT189" s="796" t="s">
        <v>75</v>
      </c>
      <c r="AU189" s="72">
        <f t="shared" si="5655"/>
        <v>0</v>
      </c>
      <c r="AV189" s="63"/>
      <c r="AW189" s="796" t="s">
        <v>80</v>
      </c>
      <c r="AX189" s="72">
        <f t="shared" si="5656"/>
        <v>0</v>
      </c>
      <c r="AY189" s="63"/>
      <c r="AZ189" s="796" t="s">
        <v>1631</v>
      </c>
      <c r="BA189" s="72">
        <f t="shared" si="5657"/>
        <v>0</v>
      </c>
      <c r="BB189" s="63"/>
      <c r="BC189" s="796" t="s">
        <v>1259</v>
      </c>
      <c r="BD189" s="72">
        <f t="shared" si="5658"/>
        <v>0</v>
      </c>
      <c r="BE189" s="63"/>
      <c r="BF189" s="796" t="s">
        <v>75</v>
      </c>
      <c r="BG189" s="72">
        <f t="shared" si="5659"/>
        <v>0</v>
      </c>
      <c r="BH189" s="63"/>
      <c r="BI189" s="796" t="s">
        <v>75</v>
      </c>
      <c r="BJ189" s="72">
        <f t="shared" si="5660"/>
        <v>0</v>
      </c>
      <c r="BK189" s="63"/>
      <c r="BL189" s="796" t="s">
        <v>75</v>
      </c>
      <c r="BM189" s="72">
        <f t="shared" si="5661"/>
        <v>0</v>
      </c>
      <c r="BN189" s="63"/>
      <c r="BO189" s="816" t="s">
        <v>75</v>
      </c>
      <c r="BP189" s="72">
        <f t="shared" si="5662"/>
        <v>0</v>
      </c>
      <c r="BQ189" s="63"/>
      <c r="BR189" s="796" t="s">
        <v>75</v>
      </c>
      <c r="BS189" s="72">
        <f t="shared" si="5663"/>
        <v>0</v>
      </c>
      <c r="BT189" s="63"/>
      <c r="BU189" s="796" t="s">
        <v>1266</v>
      </c>
      <c r="BV189" s="72">
        <f t="shared" si="5664"/>
        <v>0</v>
      </c>
      <c r="BW189" s="63"/>
      <c r="BX189" s="73" t="s">
        <v>75</v>
      </c>
      <c r="BY189" s="72">
        <f t="shared" si="5665"/>
        <v>0</v>
      </c>
      <c r="BZ189" s="63"/>
      <c r="CA189" s="816" t="s">
        <v>1259</v>
      </c>
      <c r="CB189" s="72">
        <f t="shared" si="5666"/>
        <v>0</v>
      </c>
      <c r="CC189" s="63"/>
      <c r="CD189" s="825" t="s">
        <v>75</v>
      </c>
      <c r="CE189" s="72">
        <f t="shared" si="5667"/>
        <v>0</v>
      </c>
      <c r="CF189" s="63"/>
      <c r="CG189" s="796" t="s">
        <v>75</v>
      </c>
      <c r="CH189" s="72">
        <f t="shared" si="5668"/>
        <v>0</v>
      </c>
      <c r="CI189" s="63"/>
      <c r="CJ189" s="796" t="s">
        <v>1841</v>
      </c>
      <c r="CK189" s="72">
        <f t="shared" si="5669"/>
        <v>0</v>
      </c>
      <c r="CL189" s="63"/>
      <c r="CM189" s="796" t="s">
        <v>75</v>
      </c>
      <c r="CN189" s="72">
        <f t="shared" si="5670"/>
        <v>0</v>
      </c>
      <c r="CO189" s="63"/>
      <c r="CP189" s="796" t="s">
        <v>80</v>
      </c>
      <c r="CQ189" s="72">
        <f t="shared" si="5671"/>
        <v>0</v>
      </c>
      <c r="CR189" s="63"/>
      <c r="CS189" s="796" t="s">
        <v>75</v>
      </c>
      <c r="CT189" s="72">
        <f t="shared" si="5672"/>
        <v>0</v>
      </c>
      <c r="CU189" s="63"/>
      <c r="CV189" s="796" t="s">
        <v>80</v>
      </c>
      <c r="CW189" s="72">
        <f t="shared" si="5673"/>
        <v>0</v>
      </c>
      <c r="CX189" s="63"/>
      <c r="CY189" s="796" t="s">
        <v>1259</v>
      </c>
      <c r="CZ189" s="72">
        <f t="shared" si="5674"/>
        <v>0</v>
      </c>
      <c r="DA189" s="63"/>
      <c r="DB189" s="796" t="s">
        <v>75</v>
      </c>
      <c r="DC189" s="72">
        <f t="shared" si="5675"/>
        <v>0</v>
      </c>
      <c r="DD189" s="63"/>
      <c r="DE189" s="796" t="s">
        <v>1841</v>
      </c>
      <c r="DF189" s="72">
        <f t="shared" si="5676"/>
        <v>0</v>
      </c>
      <c r="DG189" s="63"/>
      <c r="DH189" s="796" t="s">
        <v>75</v>
      </c>
      <c r="DI189" s="72">
        <f t="shared" si="5677"/>
        <v>0</v>
      </c>
      <c r="DJ189" s="63"/>
      <c r="DK189" s="796" t="s">
        <v>75</v>
      </c>
      <c r="DL189" s="72">
        <f t="shared" si="5678"/>
        <v>0</v>
      </c>
      <c r="DM189" s="63"/>
      <c r="DN189" s="73"/>
      <c r="DO189" s="72">
        <f t="shared" si="5679"/>
        <v>0</v>
      </c>
      <c r="DP189" s="63"/>
      <c r="DQ189" s="796" t="s">
        <v>1266</v>
      </c>
      <c r="DR189" s="72">
        <f t="shared" si="5680"/>
        <v>0</v>
      </c>
      <c r="DS189" s="63"/>
      <c r="DT189" s="73" t="s">
        <v>75</v>
      </c>
      <c r="DU189" s="72">
        <f t="shared" si="5681"/>
        <v>0</v>
      </c>
      <c r="DV189" s="63"/>
      <c r="DW189" s="73"/>
      <c r="DX189" s="72">
        <f t="shared" si="5682"/>
        <v>0</v>
      </c>
      <c r="DY189" s="63"/>
      <c r="DZ189" s="73"/>
      <c r="EA189" s="72">
        <f t="shared" si="5683"/>
        <v>0</v>
      </c>
      <c r="EB189" s="63"/>
      <c r="EC189" s="73"/>
      <c r="ED189" s="72">
        <f t="shared" si="5684"/>
        <v>0</v>
      </c>
      <c r="EE189" s="63"/>
      <c r="EF189" s="73"/>
      <c r="EG189" s="72">
        <f t="shared" si="5685"/>
        <v>0</v>
      </c>
      <c r="EH189" s="63"/>
      <c r="EI189" s="73"/>
      <c r="EJ189" s="72">
        <f t="shared" si="5686"/>
        <v>0</v>
      </c>
      <c r="EK189" s="63"/>
      <c r="EL189" s="73"/>
      <c r="EM189" s="72">
        <f t="shared" si="5687"/>
        <v>0</v>
      </c>
      <c r="EN189" s="63"/>
      <c r="EO189" s="73"/>
      <c r="EP189" s="72">
        <f t="shared" si="5688"/>
        <v>0</v>
      </c>
      <c r="EQ189" s="63"/>
      <c r="ER189" s="73"/>
      <c r="ES189" s="72">
        <f t="shared" si="5689"/>
        <v>0</v>
      </c>
      <c r="ET189" s="63"/>
      <c r="EU189" s="73"/>
      <c r="EV189" s="72">
        <f t="shared" si="5690"/>
        <v>0</v>
      </c>
      <c r="EW189" s="63"/>
      <c r="EX189" s="73"/>
      <c r="EY189" s="72">
        <f t="shared" si="5691"/>
        <v>0</v>
      </c>
      <c r="EZ189" s="63"/>
      <c r="FA189" s="73"/>
      <c r="FB189" s="72">
        <f t="shared" si="5692"/>
        <v>0</v>
      </c>
      <c r="FC189" s="63"/>
      <c r="FD189" s="73"/>
      <c r="FE189" s="72">
        <f t="shared" si="5693"/>
        <v>0</v>
      </c>
      <c r="FF189" s="63"/>
      <c r="FG189" s="73"/>
      <c r="FH189" s="72">
        <f t="shared" si="5694"/>
        <v>0</v>
      </c>
      <c r="FI189" s="63"/>
      <c r="FJ189" s="73"/>
      <c r="FK189" s="72">
        <f t="shared" si="5695"/>
        <v>0</v>
      </c>
      <c r="FL189" s="63"/>
      <c r="FM189" s="73"/>
      <c r="FN189" s="72">
        <f t="shared" si="5696"/>
        <v>0</v>
      </c>
      <c r="FO189" s="63"/>
      <c r="FP189" s="73"/>
      <c r="FQ189" s="72">
        <f t="shared" si="5697"/>
        <v>0</v>
      </c>
      <c r="FR189" s="63"/>
      <c r="FS189" s="73"/>
      <c r="FT189" s="72">
        <f t="shared" si="5698"/>
        <v>0</v>
      </c>
      <c r="FU189" s="63"/>
      <c r="FV189" s="73"/>
      <c r="FW189" s="72">
        <f t="shared" si="5699"/>
        <v>0</v>
      </c>
      <c r="FX189" s="63"/>
      <c r="FY189" s="73"/>
      <c r="FZ189" s="72">
        <f t="shared" si="5700"/>
        <v>0</v>
      </c>
      <c r="GA189" s="63"/>
      <c r="GB189" s="73"/>
      <c r="GC189" s="72">
        <f t="shared" si="5701"/>
        <v>0</v>
      </c>
      <c r="GD189" s="63"/>
      <c r="GE189" s="73"/>
      <c r="GF189" s="72">
        <f t="shared" si="5702"/>
        <v>0</v>
      </c>
      <c r="GG189" s="63"/>
      <c r="GH189" s="73"/>
      <c r="GI189" s="72">
        <f t="shared" si="5703"/>
        <v>0</v>
      </c>
      <c r="GJ189" s="63"/>
      <c r="GK189" s="73"/>
      <c r="GL189" s="72">
        <f t="shared" si="5704"/>
        <v>0</v>
      </c>
      <c r="GM189" s="63"/>
      <c r="GN189" s="73"/>
      <c r="GO189" s="72">
        <f t="shared" si="5705"/>
        <v>0</v>
      </c>
      <c r="GP189" s="63"/>
      <c r="GQ189" s="73"/>
      <c r="GR189" s="72">
        <f t="shared" si="5706"/>
        <v>0</v>
      </c>
      <c r="GS189" s="63"/>
      <c r="GT189" s="73"/>
      <c r="GU189" s="72">
        <f t="shared" si="5707"/>
        <v>0</v>
      </c>
      <c r="GV189" s="63"/>
      <c r="GW189" s="73"/>
      <c r="GX189" s="72">
        <f t="shared" si="5708"/>
        <v>0</v>
      </c>
      <c r="GY189" s="63"/>
      <c r="GZ189" s="73"/>
      <c r="HA189" s="72">
        <f t="shared" si="5709"/>
        <v>0</v>
      </c>
      <c r="HB189" s="63"/>
      <c r="HC189" s="73"/>
      <c r="HD189" s="72">
        <f t="shared" si="5710"/>
        <v>0</v>
      </c>
      <c r="HE189" s="63"/>
      <c r="HF189" s="73"/>
      <c r="HG189" s="72">
        <f t="shared" si="5711"/>
        <v>0</v>
      </c>
      <c r="HH189" s="63"/>
      <c r="HI189" s="73"/>
      <c r="HJ189" s="72">
        <f t="shared" si="5712"/>
        <v>0</v>
      </c>
      <c r="HK189" s="63"/>
      <c r="HL189" s="73"/>
      <c r="HM189" s="72">
        <f t="shared" si="5713"/>
        <v>0</v>
      </c>
      <c r="HN189" s="63"/>
      <c r="HO189" s="73"/>
      <c r="HP189" s="72">
        <f t="shared" si="5714"/>
        <v>0</v>
      </c>
      <c r="HQ189" s="63"/>
      <c r="HR189" s="73"/>
      <c r="HS189" s="72">
        <f t="shared" si="5715"/>
        <v>0</v>
      </c>
      <c r="HT189" s="63"/>
      <c r="HU189" s="73"/>
      <c r="HV189" s="72">
        <f t="shared" si="5716"/>
        <v>0</v>
      </c>
      <c r="HW189" s="63"/>
      <c r="HX189" s="73"/>
      <c r="HY189" s="72">
        <f t="shared" si="5717"/>
        <v>0</v>
      </c>
      <c r="HZ189" s="63"/>
      <c r="IA189" s="73"/>
      <c r="IB189" s="72">
        <f t="shared" si="5718"/>
        <v>0</v>
      </c>
      <c r="IC189" s="63"/>
      <c r="ID189" s="73"/>
      <c r="IE189" s="72">
        <f t="shared" si="5719"/>
        <v>0</v>
      </c>
      <c r="IF189" s="63"/>
      <c r="IG189" s="73"/>
      <c r="IH189" s="72">
        <f t="shared" si="5720"/>
        <v>0</v>
      </c>
      <c r="II189" s="63"/>
      <c r="IJ189" s="73"/>
      <c r="IK189" s="72">
        <f t="shared" si="5721"/>
        <v>0</v>
      </c>
      <c r="IL189" s="63"/>
      <c r="IM189" s="73"/>
      <c r="IN189" s="72">
        <f t="shared" si="5722"/>
        <v>0</v>
      </c>
      <c r="IO189" s="63"/>
      <c r="IP189" s="73"/>
      <c r="IQ189" s="72">
        <f t="shared" si="5723"/>
        <v>0</v>
      </c>
      <c r="IR189" s="63"/>
      <c r="IS189" s="73"/>
      <c r="IT189" s="72">
        <f t="shared" si="5724"/>
        <v>0</v>
      </c>
      <c r="IU189" s="63"/>
      <c r="IV189" s="73"/>
      <c r="IW189" s="72">
        <f t="shared" si="5725"/>
        <v>0</v>
      </c>
      <c r="IX189" s="63"/>
      <c r="IY189" s="73"/>
      <c r="IZ189" s="72">
        <f t="shared" si="5726"/>
        <v>0</v>
      </c>
      <c r="JA189" s="63"/>
      <c r="JB189" s="73"/>
      <c r="JC189" s="72">
        <f t="shared" si="5727"/>
        <v>0</v>
      </c>
      <c r="JD189" s="63"/>
      <c r="JE189" s="73"/>
      <c r="JF189" s="72">
        <f t="shared" si="5728"/>
        <v>0</v>
      </c>
      <c r="JG189" s="63"/>
      <c r="JH189" s="73"/>
      <c r="JI189" s="72">
        <f t="shared" si="5729"/>
        <v>0</v>
      </c>
      <c r="JJ189" s="63"/>
      <c r="JK189" s="73"/>
      <c r="JL189" s="72">
        <f t="shared" si="5730"/>
        <v>0</v>
      </c>
      <c r="JM189" s="63"/>
      <c r="JN189" s="73"/>
      <c r="JO189" s="72">
        <f t="shared" si="5731"/>
        <v>0</v>
      </c>
      <c r="JP189" s="63"/>
      <c r="JQ189" s="73"/>
      <c r="JR189" s="72">
        <f t="shared" si="5732"/>
        <v>0</v>
      </c>
      <c r="JS189" s="63"/>
      <c r="JT189" s="73"/>
      <c r="JU189" s="72">
        <f t="shared" si="5733"/>
        <v>0</v>
      </c>
      <c r="JV189" s="63"/>
      <c r="JW189" s="73"/>
      <c r="JX189" s="72">
        <f t="shared" si="5734"/>
        <v>0</v>
      </c>
      <c r="JY189" s="63"/>
      <c r="JZ189" s="73"/>
      <c r="KA189" s="72">
        <f t="shared" si="5735"/>
        <v>0</v>
      </c>
      <c r="KB189" s="63"/>
      <c r="KC189" s="73"/>
      <c r="KD189" s="72">
        <f t="shared" si="5736"/>
        <v>0</v>
      </c>
      <c r="KE189" s="63"/>
      <c r="KF189" s="73"/>
      <c r="KG189" s="72">
        <f t="shared" si="5737"/>
        <v>0</v>
      </c>
      <c r="KH189" s="63"/>
      <c r="KI189" s="73"/>
      <c r="KJ189" s="72">
        <f t="shared" si="5738"/>
        <v>0</v>
      </c>
      <c r="KK189" s="63"/>
      <c r="KL189" s="73"/>
      <c r="KM189" s="72">
        <f t="shared" si="5739"/>
        <v>0</v>
      </c>
      <c r="KN189" s="63"/>
      <c r="KO189" s="73"/>
      <c r="KP189" s="72">
        <f t="shared" si="5740"/>
        <v>0</v>
      </c>
      <c r="KQ189" s="63"/>
      <c r="KR189" s="73"/>
      <c r="KS189" s="72">
        <f t="shared" si="5741"/>
        <v>0</v>
      </c>
      <c r="KT189" s="63"/>
      <c r="KU189" s="73"/>
      <c r="KV189" s="72">
        <f t="shared" si="5742"/>
        <v>0</v>
      </c>
      <c r="KW189" s="63"/>
      <c r="KX189" s="73"/>
      <c r="KY189" s="72">
        <f t="shared" si="5743"/>
        <v>0</v>
      </c>
      <c r="KZ189" s="63"/>
      <c r="LA189" s="73"/>
      <c r="LB189" s="72">
        <f t="shared" si="5744"/>
        <v>0</v>
      </c>
      <c r="LC189" s="63"/>
      <c r="LD189" s="73"/>
      <c r="LE189" s="72">
        <f t="shared" si="5745"/>
        <v>0</v>
      </c>
      <c r="LF189" s="63"/>
    </row>
    <row r="190" spans="1:318" s="784" customFormat="1">
      <c r="A190" s="25"/>
      <c r="B190" s="25"/>
      <c r="C190" s="25"/>
      <c r="D190" s="25"/>
      <c r="E190" s="25"/>
      <c r="F190" s="406">
        <f t="shared" si="5746"/>
        <v>30</v>
      </c>
      <c r="G190" s="406">
        <f ca="1">VLOOKUP(H190,Equipos!$Q$1:$R$25,2,0)</f>
        <v>20</v>
      </c>
      <c r="H190" s="444" t="str">
        <f>Idiomas!$D$260</f>
        <v>Dieciseisavos de final</v>
      </c>
      <c r="I190" s="50"/>
      <c r="J190" s="843"/>
      <c r="K190" s="56" t="str">
        <f>Idiomas!$D$199&amp;"-"&amp;ROWS($L$182:L190)</f>
        <v>Octavofinalista-9</v>
      </c>
      <c r="L190" s="53"/>
      <c r="M190" s="55" t="str">
        <f>WORLDCUP!AF120</f>
        <v>W75</v>
      </c>
      <c r="N190" s="25"/>
      <c r="O190" s="25"/>
      <c r="P190" s="25"/>
      <c r="Q190" s="25"/>
      <c r="R190" s="108"/>
      <c r="S190" s="796" t="s">
        <v>111</v>
      </c>
      <c r="T190" s="72">
        <f t="shared" si="5646"/>
        <v>0</v>
      </c>
      <c r="U190" s="63"/>
      <c r="V190" s="73" t="s">
        <v>111</v>
      </c>
      <c r="W190" s="72">
        <f t="shared" si="5647"/>
        <v>0</v>
      </c>
      <c r="X190" s="63"/>
      <c r="Y190" s="796" t="s">
        <v>1258</v>
      </c>
      <c r="Z190" s="72">
        <f t="shared" si="5648"/>
        <v>0</v>
      </c>
      <c r="AA190" s="63"/>
      <c r="AB190" s="796" t="s">
        <v>111</v>
      </c>
      <c r="AC190" s="72">
        <f t="shared" si="5649"/>
        <v>0</v>
      </c>
      <c r="AD190" s="63"/>
      <c r="AE190" s="796" t="s">
        <v>111</v>
      </c>
      <c r="AF190" s="72">
        <f t="shared" si="5650"/>
        <v>0</v>
      </c>
      <c r="AG190" s="63"/>
      <c r="AH190" s="796" t="s">
        <v>111</v>
      </c>
      <c r="AI190" s="72">
        <f t="shared" si="5651"/>
        <v>0</v>
      </c>
      <c r="AJ190" s="63"/>
      <c r="AK190" s="806" t="s">
        <v>1321</v>
      </c>
      <c r="AL190" s="72">
        <f t="shared" si="5652"/>
        <v>0</v>
      </c>
      <c r="AM190" s="63"/>
      <c r="AN190" s="796" t="s">
        <v>111</v>
      </c>
      <c r="AO190" s="72">
        <f t="shared" si="5653"/>
        <v>0</v>
      </c>
      <c r="AP190" s="63"/>
      <c r="AQ190" s="806" t="s">
        <v>1321</v>
      </c>
      <c r="AR190" s="72">
        <f t="shared" si="5654"/>
        <v>0</v>
      </c>
      <c r="AS190" s="63"/>
      <c r="AT190" s="796" t="s">
        <v>111</v>
      </c>
      <c r="AU190" s="72">
        <f t="shared" si="5655"/>
        <v>0</v>
      </c>
      <c r="AV190" s="63"/>
      <c r="AW190" s="796" t="s">
        <v>111</v>
      </c>
      <c r="AX190" s="72">
        <f t="shared" si="5656"/>
        <v>0</v>
      </c>
      <c r="AY190" s="63"/>
      <c r="AZ190" s="796" t="s">
        <v>1322</v>
      </c>
      <c r="BA190" s="72">
        <f t="shared" si="5657"/>
        <v>0</v>
      </c>
      <c r="BB190" s="63"/>
      <c r="BC190" s="796" t="s">
        <v>111</v>
      </c>
      <c r="BD190" s="72">
        <f t="shared" si="5658"/>
        <v>0</v>
      </c>
      <c r="BE190" s="63"/>
      <c r="BF190" s="796" t="s">
        <v>111</v>
      </c>
      <c r="BG190" s="72">
        <f t="shared" si="5659"/>
        <v>0</v>
      </c>
      <c r="BH190" s="63"/>
      <c r="BI190" s="796" t="s">
        <v>1321</v>
      </c>
      <c r="BJ190" s="72">
        <f t="shared" si="5660"/>
        <v>0</v>
      </c>
      <c r="BK190" s="63"/>
      <c r="BL190" s="796" t="s">
        <v>111</v>
      </c>
      <c r="BM190" s="72">
        <f t="shared" si="5661"/>
        <v>0</v>
      </c>
      <c r="BN190" s="63"/>
      <c r="BO190" s="816" t="s">
        <v>1321</v>
      </c>
      <c r="BP190" s="72">
        <f t="shared" si="5662"/>
        <v>0</v>
      </c>
      <c r="BQ190" s="63"/>
      <c r="BR190" s="796" t="s">
        <v>111</v>
      </c>
      <c r="BS190" s="72">
        <f t="shared" si="5663"/>
        <v>0</v>
      </c>
      <c r="BT190" s="63"/>
      <c r="BU190" s="796" t="s">
        <v>1263</v>
      </c>
      <c r="BV190" s="72">
        <f t="shared" si="5664"/>
        <v>0</v>
      </c>
      <c r="BW190" s="63"/>
      <c r="BX190" s="73" t="s">
        <v>1321</v>
      </c>
      <c r="BY190" s="72">
        <f t="shared" si="5665"/>
        <v>0</v>
      </c>
      <c r="BZ190" s="63"/>
      <c r="CA190" s="816" t="s">
        <v>111</v>
      </c>
      <c r="CB190" s="72">
        <f t="shared" si="5666"/>
        <v>0</v>
      </c>
      <c r="CC190" s="63"/>
      <c r="CD190" s="825" t="s">
        <v>111</v>
      </c>
      <c r="CE190" s="72">
        <f t="shared" si="5667"/>
        <v>0</v>
      </c>
      <c r="CF190" s="63"/>
      <c r="CG190" s="796" t="s">
        <v>1321</v>
      </c>
      <c r="CH190" s="72">
        <f t="shared" si="5668"/>
        <v>0</v>
      </c>
      <c r="CI190" s="63"/>
      <c r="CJ190" s="796" t="s">
        <v>1321</v>
      </c>
      <c r="CK190" s="72">
        <f t="shared" si="5669"/>
        <v>0</v>
      </c>
      <c r="CL190" s="63"/>
      <c r="CM190" s="796" t="s">
        <v>1258</v>
      </c>
      <c r="CN190" s="72">
        <f t="shared" si="5670"/>
        <v>0</v>
      </c>
      <c r="CO190" s="63"/>
      <c r="CP190" s="796" t="s">
        <v>1263</v>
      </c>
      <c r="CQ190" s="72">
        <f t="shared" si="5671"/>
        <v>0</v>
      </c>
      <c r="CR190" s="63"/>
      <c r="CS190" s="796" t="s">
        <v>1263</v>
      </c>
      <c r="CT190" s="72">
        <f t="shared" si="5672"/>
        <v>0</v>
      </c>
      <c r="CU190" s="63"/>
      <c r="CV190" s="796" t="s">
        <v>1263</v>
      </c>
      <c r="CW190" s="72">
        <f t="shared" si="5673"/>
        <v>0</v>
      </c>
      <c r="CX190" s="63"/>
      <c r="CY190" s="796" t="s">
        <v>111</v>
      </c>
      <c r="CZ190" s="72">
        <f t="shared" si="5674"/>
        <v>0</v>
      </c>
      <c r="DA190" s="63"/>
      <c r="DB190" s="796" t="s">
        <v>1321</v>
      </c>
      <c r="DC190" s="72">
        <f t="shared" si="5675"/>
        <v>0</v>
      </c>
      <c r="DD190" s="63"/>
      <c r="DE190" s="796" t="s">
        <v>1263</v>
      </c>
      <c r="DF190" s="72">
        <f t="shared" si="5676"/>
        <v>0</v>
      </c>
      <c r="DG190" s="63"/>
      <c r="DH190" s="796" t="s">
        <v>1258</v>
      </c>
      <c r="DI190" s="72">
        <f t="shared" si="5677"/>
        <v>0</v>
      </c>
      <c r="DJ190" s="63"/>
      <c r="DK190" s="796" t="s">
        <v>1321</v>
      </c>
      <c r="DL190" s="72">
        <f t="shared" si="5678"/>
        <v>0</v>
      </c>
      <c r="DM190" s="63"/>
      <c r="DN190" s="73"/>
      <c r="DO190" s="72">
        <f t="shared" si="5679"/>
        <v>0</v>
      </c>
      <c r="DP190" s="63"/>
      <c r="DQ190" s="796" t="s">
        <v>111</v>
      </c>
      <c r="DR190" s="72">
        <f t="shared" si="5680"/>
        <v>0</v>
      </c>
      <c r="DS190" s="63"/>
      <c r="DT190" s="73" t="s">
        <v>111</v>
      </c>
      <c r="DU190" s="72">
        <f t="shared" si="5681"/>
        <v>0</v>
      </c>
      <c r="DV190" s="63"/>
      <c r="DW190" s="73"/>
      <c r="DX190" s="72">
        <f t="shared" si="5682"/>
        <v>0</v>
      </c>
      <c r="DY190" s="63"/>
      <c r="DZ190" s="73"/>
      <c r="EA190" s="72">
        <f t="shared" si="5683"/>
        <v>0</v>
      </c>
      <c r="EB190" s="63"/>
      <c r="EC190" s="73"/>
      <c r="ED190" s="72">
        <f t="shared" si="5684"/>
        <v>0</v>
      </c>
      <c r="EE190" s="63"/>
      <c r="EF190" s="73"/>
      <c r="EG190" s="72">
        <f t="shared" si="5685"/>
        <v>0</v>
      </c>
      <c r="EH190" s="63"/>
      <c r="EI190" s="73"/>
      <c r="EJ190" s="72">
        <f t="shared" si="5686"/>
        <v>0</v>
      </c>
      <c r="EK190" s="63"/>
      <c r="EL190" s="73"/>
      <c r="EM190" s="72">
        <f t="shared" si="5687"/>
        <v>0</v>
      </c>
      <c r="EN190" s="63"/>
      <c r="EO190" s="73"/>
      <c r="EP190" s="72">
        <f t="shared" si="5688"/>
        <v>0</v>
      </c>
      <c r="EQ190" s="63"/>
      <c r="ER190" s="73"/>
      <c r="ES190" s="72">
        <f t="shared" si="5689"/>
        <v>0</v>
      </c>
      <c r="ET190" s="63"/>
      <c r="EU190" s="73"/>
      <c r="EV190" s="72">
        <f t="shared" si="5690"/>
        <v>0</v>
      </c>
      <c r="EW190" s="63"/>
      <c r="EX190" s="73"/>
      <c r="EY190" s="72">
        <f t="shared" si="5691"/>
        <v>0</v>
      </c>
      <c r="EZ190" s="63"/>
      <c r="FA190" s="73"/>
      <c r="FB190" s="72">
        <f t="shared" si="5692"/>
        <v>0</v>
      </c>
      <c r="FC190" s="63"/>
      <c r="FD190" s="73"/>
      <c r="FE190" s="72">
        <f t="shared" si="5693"/>
        <v>0</v>
      </c>
      <c r="FF190" s="63"/>
      <c r="FG190" s="73"/>
      <c r="FH190" s="72">
        <f t="shared" si="5694"/>
        <v>0</v>
      </c>
      <c r="FI190" s="63"/>
      <c r="FJ190" s="73"/>
      <c r="FK190" s="72">
        <f t="shared" si="5695"/>
        <v>0</v>
      </c>
      <c r="FL190" s="63"/>
      <c r="FM190" s="73"/>
      <c r="FN190" s="72">
        <f t="shared" si="5696"/>
        <v>0</v>
      </c>
      <c r="FO190" s="63"/>
      <c r="FP190" s="73"/>
      <c r="FQ190" s="72">
        <f t="shared" si="5697"/>
        <v>0</v>
      </c>
      <c r="FR190" s="63"/>
      <c r="FS190" s="73"/>
      <c r="FT190" s="72">
        <f t="shared" si="5698"/>
        <v>0</v>
      </c>
      <c r="FU190" s="63"/>
      <c r="FV190" s="73"/>
      <c r="FW190" s="72">
        <f t="shared" si="5699"/>
        <v>0</v>
      </c>
      <c r="FX190" s="63"/>
      <c r="FY190" s="73"/>
      <c r="FZ190" s="72">
        <f t="shared" si="5700"/>
        <v>0</v>
      </c>
      <c r="GA190" s="63"/>
      <c r="GB190" s="73"/>
      <c r="GC190" s="72">
        <f t="shared" si="5701"/>
        <v>0</v>
      </c>
      <c r="GD190" s="63"/>
      <c r="GE190" s="73"/>
      <c r="GF190" s="72">
        <f t="shared" si="5702"/>
        <v>0</v>
      </c>
      <c r="GG190" s="63"/>
      <c r="GH190" s="73"/>
      <c r="GI190" s="72">
        <f t="shared" si="5703"/>
        <v>0</v>
      </c>
      <c r="GJ190" s="63"/>
      <c r="GK190" s="73"/>
      <c r="GL190" s="72">
        <f t="shared" si="5704"/>
        <v>0</v>
      </c>
      <c r="GM190" s="63"/>
      <c r="GN190" s="73"/>
      <c r="GO190" s="72">
        <f t="shared" si="5705"/>
        <v>0</v>
      </c>
      <c r="GP190" s="63"/>
      <c r="GQ190" s="73"/>
      <c r="GR190" s="72">
        <f t="shared" si="5706"/>
        <v>0</v>
      </c>
      <c r="GS190" s="63"/>
      <c r="GT190" s="73"/>
      <c r="GU190" s="72">
        <f t="shared" si="5707"/>
        <v>0</v>
      </c>
      <c r="GV190" s="63"/>
      <c r="GW190" s="73"/>
      <c r="GX190" s="72">
        <f t="shared" si="5708"/>
        <v>0</v>
      </c>
      <c r="GY190" s="63"/>
      <c r="GZ190" s="73"/>
      <c r="HA190" s="72">
        <f t="shared" si="5709"/>
        <v>0</v>
      </c>
      <c r="HB190" s="63"/>
      <c r="HC190" s="73"/>
      <c r="HD190" s="72">
        <f t="shared" si="5710"/>
        <v>0</v>
      </c>
      <c r="HE190" s="63"/>
      <c r="HF190" s="73"/>
      <c r="HG190" s="72">
        <f t="shared" si="5711"/>
        <v>0</v>
      </c>
      <c r="HH190" s="63"/>
      <c r="HI190" s="73"/>
      <c r="HJ190" s="72">
        <f t="shared" si="5712"/>
        <v>0</v>
      </c>
      <c r="HK190" s="63"/>
      <c r="HL190" s="73"/>
      <c r="HM190" s="72">
        <f t="shared" si="5713"/>
        <v>0</v>
      </c>
      <c r="HN190" s="63"/>
      <c r="HO190" s="73"/>
      <c r="HP190" s="72">
        <f t="shared" si="5714"/>
        <v>0</v>
      </c>
      <c r="HQ190" s="63"/>
      <c r="HR190" s="73"/>
      <c r="HS190" s="72">
        <f t="shared" si="5715"/>
        <v>0</v>
      </c>
      <c r="HT190" s="63"/>
      <c r="HU190" s="73"/>
      <c r="HV190" s="72">
        <f t="shared" si="5716"/>
        <v>0</v>
      </c>
      <c r="HW190" s="63"/>
      <c r="HX190" s="73"/>
      <c r="HY190" s="72">
        <f t="shared" si="5717"/>
        <v>0</v>
      </c>
      <c r="HZ190" s="63"/>
      <c r="IA190" s="73"/>
      <c r="IB190" s="72">
        <f t="shared" si="5718"/>
        <v>0</v>
      </c>
      <c r="IC190" s="63"/>
      <c r="ID190" s="73"/>
      <c r="IE190" s="72">
        <f t="shared" si="5719"/>
        <v>0</v>
      </c>
      <c r="IF190" s="63"/>
      <c r="IG190" s="73"/>
      <c r="IH190" s="72">
        <f t="shared" si="5720"/>
        <v>0</v>
      </c>
      <c r="II190" s="63"/>
      <c r="IJ190" s="73"/>
      <c r="IK190" s="72">
        <f t="shared" si="5721"/>
        <v>0</v>
      </c>
      <c r="IL190" s="63"/>
      <c r="IM190" s="73"/>
      <c r="IN190" s="72">
        <f t="shared" si="5722"/>
        <v>0</v>
      </c>
      <c r="IO190" s="63"/>
      <c r="IP190" s="73"/>
      <c r="IQ190" s="72">
        <f t="shared" si="5723"/>
        <v>0</v>
      </c>
      <c r="IR190" s="63"/>
      <c r="IS190" s="73"/>
      <c r="IT190" s="72">
        <f t="shared" si="5724"/>
        <v>0</v>
      </c>
      <c r="IU190" s="63"/>
      <c r="IV190" s="73"/>
      <c r="IW190" s="72">
        <f t="shared" si="5725"/>
        <v>0</v>
      </c>
      <c r="IX190" s="63"/>
      <c r="IY190" s="73"/>
      <c r="IZ190" s="72">
        <f t="shared" si="5726"/>
        <v>0</v>
      </c>
      <c r="JA190" s="63"/>
      <c r="JB190" s="73"/>
      <c r="JC190" s="72">
        <f t="shared" si="5727"/>
        <v>0</v>
      </c>
      <c r="JD190" s="63"/>
      <c r="JE190" s="73"/>
      <c r="JF190" s="72">
        <f t="shared" si="5728"/>
        <v>0</v>
      </c>
      <c r="JG190" s="63"/>
      <c r="JH190" s="73"/>
      <c r="JI190" s="72">
        <f t="shared" si="5729"/>
        <v>0</v>
      </c>
      <c r="JJ190" s="63"/>
      <c r="JK190" s="73"/>
      <c r="JL190" s="72">
        <f t="shared" si="5730"/>
        <v>0</v>
      </c>
      <c r="JM190" s="63"/>
      <c r="JN190" s="73"/>
      <c r="JO190" s="72">
        <f t="shared" si="5731"/>
        <v>0</v>
      </c>
      <c r="JP190" s="63"/>
      <c r="JQ190" s="73"/>
      <c r="JR190" s="72">
        <f t="shared" si="5732"/>
        <v>0</v>
      </c>
      <c r="JS190" s="63"/>
      <c r="JT190" s="73"/>
      <c r="JU190" s="72">
        <f t="shared" si="5733"/>
        <v>0</v>
      </c>
      <c r="JV190" s="63"/>
      <c r="JW190" s="73"/>
      <c r="JX190" s="72">
        <f t="shared" si="5734"/>
        <v>0</v>
      </c>
      <c r="JY190" s="63"/>
      <c r="JZ190" s="73"/>
      <c r="KA190" s="72">
        <f t="shared" si="5735"/>
        <v>0</v>
      </c>
      <c r="KB190" s="63"/>
      <c r="KC190" s="73"/>
      <c r="KD190" s="72">
        <f t="shared" si="5736"/>
        <v>0</v>
      </c>
      <c r="KE190" s="63"/>
      <c r="KF190" s="73"/>
      <c r="KG190" s="72">
        <f t="shared" si="5737"/>
        <v>0</v>
      </c>
      <c r="KH190" s="63"/>
      <c r="KI190" s="73"/>
      <c r="KJ190" s="72">
        <f t="shared" si="5738"/>
        <v>0</v>
      </c>
      <c r="KK190" s="63"/>
      <c r="KL190" s="73"/>
      <c r="KM190" s="72">
        <f t="shared" si="5739"/>
        <v>0</v>
      </c>
      <c r="KN190" s="63"/>
      <c r="KO190" s="73"/>
      <c r="KP190" s="72">
        <f t="shared" si="5740"/>
        <v>0</v>
      </c>
      <c r="KQ190" s="63"/>
      <c r="KR190" s="73"/>
      <c r="KS190" s="72">
        <f t="shared" si="5741"/>
        <v>0</v>
      </c>
      <c r="KT190" s="63"/>
      <c r="KU190" s="73"/>
      <c r="KV190" s="72">
        <f t="shared" si="5742"/>
        <v>0</v>
      </c>
      <c r="KW190" s="63"/>
      <c r="KX190" s="73"/>
      <c r="KY190" s="72">
        <f t="shared" si="5743"/>
        <v>0</v>
      </c>
      <c r="KZ190" s="63"/>
      <c r="LA190" s="73"/>
      <c r="LB190" s="72">
        <f t="shared" si="5744"/>
        <v>0</v>
      </c>
      <c r="LC190" s="63"/>
      <c r="LD190" s="73"/>
      <c r="LE190" s="72">
        <f t="shared" si="5745"/>
        <v>0</v>
      </c>
      <c r="LF190" s="63"/>
    </row>
    <row r="191" spans="1:318" s="784" customFormat="1">
      <c r="A191" s="25"/>
      <c r="B191" s="25"/>
      <c r="C191" s="25"/>
      <c r="D191" s="25"/>
      <c r="E191" s="25"/>
      <c r="F191" s="406">
        <f t="shared" si="5746"/>
        <v>30</v>
      </c>
      <c r="G191" s="406">
        <f ca="1">VLOOKUP(H191,Equipos!$Q$1:$R$25,2,0)</f>
        <v>20</v>
      </c>
      <c r="H191" s="444" t="str">
        <f>Idiomas!$D$260</f>
        <v>Dieciseisavos de final</v>
      </c>
      <c r="I191" s="50"/>
      <c r="J191" s="843"/>
      <c r="K191" s="56" t="str">
        <f>Idiomas!$D$199&amp;"-"&amp;ROWS($L$182:L191)</f>
        <v>Octavofinalista-10</v>
      </c>
      <c r="L191" s="53"/>
      <c r="M191" s="55" t="str">
        <f>WORLDCUP!AF121</f>
        <v>W77</v>
      </c>
      <c r="N191" s="25"/>
      <c r="O191" s="25"/>
      <c r="P191" s="25"/>
      <c r="Q191" s="25"/>
      <c r="R191" s="108"/>
      <c r="S191" s="796" t="s">
        <v>74</v>
      </c>
      <c r="T191" s="72">
        <f t="shared" si="5646"/>
        <v>0</v>
      </c>
      <c r="U191" s="63"/>
      <c r="V191" s="73" t="s">
        <v>74</v>
      </c>
      <c r="W191" s="72">
        <f t="shared" si="5647"/>
        <v>0</v>
      </c>
      <c r="X191" s="63"/>
      <c r="Y191" s="796" t="s">
        <v>74</v>
      </c>
      <c r="Z191" s="72">
        <f t="shared" si="5648"/>
        <v>0</v>
      </c>
      <c r="AA191" s="63"/>
      <c r="AB191" s="796" t="s">
        <v>74</v>
      </c>
      <c r="AC191" s="72">
        <f t="shared" si="5649"/>
        <v>0</v>
      </c>
      <c r="AD191" s="63"/>
      <c r="AE191" s="796" t="s">
        <v>74</v>
      </c>
      <c r="AF191" s="72">
        <f t="shared" si="5650"/>
        <v>0</v>
      </c>
      <c r="AG191" s="63"/>
      <c r="AH191" s="796" t="s">
        <v>135</v>
      </c>
      <c r="AI191" s="72">
        <f t="shared" si="5651"/>
        <v>0</v>
      </c>
      <c r="AJ191" s="63"/>
      <c r="AK191" s="806" t="s">
        <v>74</v>
      </c>
      <c r="AL191" s="72">
        <f t="shared" si="5652"/>
        <v>0</v>
      </c>
      <c r="AM191" s="63"/>
      <c r="AN191" s="796" t="s">
        <v>74</v>
      </c>
      <c r="AO191" s="72">
        <f t="shared" si="5653"/>
        <v>0</v>
      </c>
      <c r="AP191" s="63"/>
      <c r="AQ191" s="806" t="s">
        <v>74</v>
      </c>
      <c r="AR191" s="72">
        <f t="shared" si="5654"/>
        <v>0</v>
      </c>
      <c r="AS191" s="63"/>
      <c r="AT191" s="796" t="s">
        <v>1634</v>
      </c>
      <c r="AU191" s="72">
        <f t="shared" si="5655"/>
        <v>0</v>
      </c>
      <c r="AV191" s="63"/>
      <c r="AW191" s="796" t="s">
        <v>74</v>
      </c>
      <c r="AX191" s="72">
        <f t="shared" si="5656"/>
        <v>0</v>
      </c>
      <c r="AY191" s="63"/>
      <c r="AZ191" s="796" t="s">
        <v>1266</v>
      </c>
      <c r="BA191" s="72">
        <f t="shared" si="5657"/>
        <v>0</v>
      </c>
      <c r="BB191" s="63"/>
      <c r="BC191" s="796" t="s">
        <v>74</v>
      </c>
      <c r="BD191" s="72">
        <f t="shared" si="5658"/>
        <v>0</v>
      </c>
      <c r="BE191" s="63"/>
      <c r="BF191" s="796" t="s">
        <v>135</v>
      </c>
      <c r="BG191" s="72">
        <f t="shared" si="5659"/>
        <v>0</v>
      </c>
      <c r="BH191" s="63"/>
      <c r="BI191" s="796" t="s">
        <v>74</v>
      </c>
      <c r="BJ191" s="72">
        <f t="shared" si="5660"/>
        <v>0</v>
      </c>
      <c r="BK191" s="63"/>
      <c r="BL191" s="796" t="s">
        <v>135</v>
      </c>
      <c r="BM191" s="72">
        <f t="shared" si="5661"/>
        <v>0</v>
      </c>
      <c r="BN191" s="63"/>
      <c r="BO191" s="816" t="s">
        <v>74</v>
      </c>
      <c r="BP191" s="72">
        <f t="shared" si="5662"/>
        <v>0</v>
      </c>
      <c r="BQ191" s="63"/>
      <c r="BR191" s="796" t="s">
        <v>135</v>
      </c>
      <c r="BS191" s="72">
        <f t="shared" si="5663"/>
        <v>0</v>
      </c>
      <c r="BT191" s="63"/>
      <c r="BU191" s="796" t="s">
        <v>74</v>
      </c>
      <c r="BV191" s="72">
        <f t="shared" si="5664"/>
        <v>0</v>
      </c>
      <c r="BW191" s="63"/>
      <c r="BX191" s="73" t="s">
        <v>74</v>
      </c>
      <c r="BY191" s="72">
        <f t="shared" si="5665"/>
        <v>0</v>
      </c>
      <c r="BZ191" s="63"/>
      <c r="CA191" s="816" t="s">
        <v>74</v>
      </c>
      <c r="CB191" s="72">
        <f t="shared" si="5666"/>
        <v>0</v>
      </c>
      <c r="CC191" s="63"/>
      <c r="CD191" s="825" t="s">
        <v>74</v>
      </c>
      <c r="CE191" s="72">
        <f t="shared" si="5667"/>
        <v>0</v>
      </c>
      <c r="CF191" s="63"/>
      <c r="CG191" s="796" t="s">
        <v>135</v>
      </c>
      <c r="CH191" s="72">
        <f t="shared" si="5668"/>
        <v>0</v>
      </c>
      <c r="CI191" s="63"/>
      <c r="CJ191" s="796" t="s">
        <v>74</v>
      </c>
      <c r="CK191" s="72">
        <f t="shared" si="5669"/>
        <v>0</v>
      </c>
      <c r="CL191" s="63"/>
      <c r="CM191" s="796" t="s">
        <v>74</v>
      </c>
      <c r="CN191" s="72">
        <f t="shared" si="5670"/>
        <v>0</v>
      </c>
      <c r="CO191" s="63"/>
      <c r="CP191" s="796" t="s">
        <v>74</v>
      </c>
      <c r="CQ191" s="72">
        <f t="shared" si="5671"/>
        <v>0</v>
      </c>
      <c r="CR191" s="63"/>
      <c r="CS191" s="796" t="s">
        <v>74</v>
      </c>
      <c r="CT191" s="72">
        <f t="shared" si="5672"/>
        <v>0</v>
      </c>
      <c r="CU191" s="63"/>
      <c r="CV191" s="796" t="s">
        <v>74</v>
      </c>
      <c r="CW191" s="72">
        <f t="shared" si="5673"/>
        <v>0</v>
      </c>
      <c r="CX191" s="63"/>
      <c r="CY191" s="796" t="s">
        <v>74</v>
      </c>
      <c r="CZ191" s="72">
        <f t="shared" si="5674"/>
        <v>0</v>
      </c>
      <c r="DA191" s="63"/>
      <c r="DB191" s="796" t="s">
        <v>74</v>
      </c>
      <c r="DC191" s="72">
        <f t="shared" si="5675"/>
        <v>0</v>
      </c>
      <c r="DD191" s="63"/>
      <c r="DE191" s="796" t="s">
        <v>74</v>
      </c>
      <c r="DF191" s="72">
        <f t="shared" si="5676"/>
        <v>0</v>
      </c>
      <c r="DG191" s="63"/>
      <c r="DH191" s="796" t="s">
        <v>74</v>
      </c>
      <c r="DI191" s="72">
        <f t="shared" si="5677"/>
        <v>0</v>
      </c>
      <c r="DJ191" s="63"/>
      <c r="DK191" s="796" t="s">
        <v>74</v>
      </c>
      <c r="DL191" s="72">
        <f t="shared" si="5678"/>
        <v>0</v>
      </c>
      <c r="DM191" s="63"/>
      <c r="DN191" s="73"/>
      <c r="DO191" s="72">
        <f t="shared" si="5679"/>
        <v>0</v>
      </c>
      <c r="DP191" s="63"/>
      <c r="DQ191" s="796" t="s">
        <v>74</v>
      </c>
      <c r="DR191" s="72">
        <f t="shared" si="5680"/>
        <v>0</v>
      </c>
      <c r="DS191" s="63"/>
      <c r="DT191" s="73" t="s">
        <v>74</v>
      </c>
      <c r="DU191" s="72">
        <f t="shared" si="5681"/>
        <v>0</v>
      </c>
      <c r="DV191" s="63"/>
      <c r="DW191" s="73"/>
      <c r="DX191" s="72">
        <f t="shared" si="5682"/>
        <v>0</v>
      </c>
      <c r="DY191" s="63"/>
      <c r="DZ191" s="73"/>
      <c r="EA191" s="72">
        <f t="shared" si="5683"/>
        <v>0</v>
      </c>
      <c r="EB191" s="63"/>
      <c r="EC191" s="73"/>
      <c r="ED191" s="72">
        <f t="shared" si="5684"/>
        <v>0</v>
      </c>
      <c r="EE191" s="63"/>
      <c r="EF191" s="73"/>
      <c r="EG191" s="72">
        <f t="shared" si="5685"/>
        <v>0</v>
      </c>
      <c r="EH191" s="63"/>
      <c r="EI191" s="73"/>
      <c r="EJ191" s="72">
        <f t="shared" si="5686"/>
        <v>0</v>
      </c>
      <c r="EK191" s="63"/>
      <c r="EL191" s="73"/>
      <c r="EM191" s="72">
        <f t="shared" si="5687"/>
        <v>0</v>
      </c>
      <c r="EN191" s="63"/>
      <c r="EO191" s="73"/>
      <c r="EP191" s="72">
        <f t="shared" si="5688"/>
        <v>0</v>
      </c>
      <c r="EQ191" s="63"/>
      <c r="ER191" s="73"/>
      <c r="ES191" s="72">
        <f t="shared" si="5689"/>
        <v>0</v>
      </c>
      <c r="ET191" s="63"/>
      <c r="EU191" s="73"/>
      <c r="EV191" s="72">
        <f t="shared" si="5690"/>
        <v>0</v>
      </c>
      <c r="EW191" s="63"/>
      <c r="EX191" s="73"/>
      <c r="EY191" s="72">
        <f t="shared" si="5691"/>
        <v>0</v>
      </c>
      <c r="EZ191" s="63"/>
      <c r="FA191" s="73"/>
      <c r="FB191" s="72">
        <f t="shared" si="5692"/>
        <v>0</v>
      </c>
      <c r="FC191" s="63"/>
      <c r="FD191" s="73"/>
      <c r="FE191" s="72">
        <f t="shared" si="5693"/>
        <v>0</v>
      </c>
      <c r="FF191" s="63"/>
      <c r="FG191" s="73"/>
      <c r="FH191" s="72">
        <f t="shared" si="5694"/>
        <v>0</v>
      </c>
      <c r="FI191" s="63"/>
      <c r="FJ191" s="73"/>
      <c r="FK191" s="72">
        <f t="shared" si="5695"/>
        <v>0</v>
      </c>
      <c r="FL191" s="63"/>
      <c r="FM191" s="73"/>
      <c r="FN191" s="72">
        <f t="shared" si="5696"/>
        <v>0</v>
      </c>
      <c r="FO191" s="63"/>
      <c r="FP191" s="73"/>
      <c r="FQ191" s="72">
        <f t="shared" si="5697"/>
        <v>0</v>
      </c>
      <c r="FR191" s="63"/>
      <c r="FS191" s="73"/>
      <c r="FT191" s="72">
        <f t="shared" si="5698"/>
        <v>0</v>
      </c>
      <c r="FU191" s="63"/>
      <c r="FV191" s="73"/>
      <c r="FW191" s="72">
        <f t="shared" si="5699"/>
        <v>0</v>
      </c>
      <c r="FX191" s="63"/>
      <c r="FY191" s="73"/>
      <c r="FZ191" s="72">
        <f t="shared" si="5700"/>
        <v>0</v>
      </c>
      <c r="GA191" s="63"/>
      <c r="GB191" s="73"/>
      <c r="GC191" s="72">
        <f t="shared" si="5701"/>
        <v>0</v>
      </c>
      <c r="GD191" s="63"/>
      <c r="GE191" s="73"/>
      <c r="GF191" s="72">
        <f t="shared" si="5702"/>
        <v>0</v>
      </c>
      <c r="GG191" s="63"/>
      <c r="GH191" s="73"/>
      <c r="GI191" s="72">
        <f t="shared" si="5703"/>
        <v>0</v>
      </c>
      <c r="GJ191" s="63"/>
      <c r="GK191" s="73"/>
      <c r="GL191" s="72">
        <f t="shared" si="5704"/>
        <v>0</v>
      </c>
      <c r="GM191" s="63"/>
      <c r="GN191" s="73"/>
      <c r="GO191" s="72">
        <f t="shared" si="5705"/>
        <v>0</v>
      </c>
      <c r="GP191" s="63"/>
      <c r="GQ191" s="73"/>
      <c r="GR191" s="72">
        <f t="shared" si="5706"/>
        <v>0</v>
      </c>
      <c r="GS191" s="63"/>
      <c r="GT191" s="73"/>
      <c r="GU191" s="72">
        <f t="shared" si="5707"/>
        <v>0</v>
      </c>
      <c r="GV191" s="63"/>
      <c r="GW191" s="73"/>
      <c r="GX191" s="72">
        <f t="shared" si="5708"/>
        <v>0</v>
      </c>
      <c r="GY191" s="63"/>
      <c r="GZ191" s="73"/>
      <c r="HA191" s="72">
        <f t="shared" si="5709"/>
        <v>0</v>
      </c>
      <c r="HB191" s="63"/>
      <c r="HC191" s="73"/>
      <c r="HD191" s="72">
        <f t="shared" si="5710"/>
        <v>0</v>
      </c>
      <c r="HE191" s="63"/>
      <c r="HF191" s="73"/>
      <c r="HG191" s="72">
        <f t="shared" si="5711"/>
        <v>0</v>
      </c>
      <c r="HH191" s="63"/>
      <c r="HI191" s="73"/>
      <c r="HJ191" s="72">
        <f t="shared" si="5712"/>
        <v>0</v>
      </c>
      <c r="HK191" s="63"/>
      <c r="HL191" s="73"/>
      <c r="HM191" s="72">
        <f t="shared" si="5713"/>
        <v>0</v>
      </c>
      <c r="HN191" s="63"/>
      <c r="HO191" s="73"/>
      <c r="HP191" s="72">
        <f t="shared" si="5714"/>
        <v>0</v>
      </c>
      <c r="HQ191" s="63"/>
      <c r="HR191" s="73"/>
      <c r="HS191" s="72">
        <f t="shared" si="5715"/>
        <v>0</v>
      </c>
      <c r="HT191" s="63"/>
      <c r="HU191" s="73"/>
      <c r="HV191" s="72">
        <f t="shared" si="5716"/>
        <v>0</v>
      </c>
      <c r="HW191" s="63"/>
      <c r="HX191" s="73"/>
      <c r="HY191" s="72">
        <f t="shared" si="5717"/>
        <v>0</v>
      </c>
      <c r="HZ191" s="63"/>
      <c r="IA191" s="73"/>
      <c r="IB191" s="72">
        <f t="shared" si="5718"/>
        <v>0</v>
      </c>
      <c r="IC191" s="63"/>
      <c r="ID191" s="73"/>
      <c r="IE191" s="72">
        <f t="shared" si="5719"/>
        <v>0</v>
      </c>
      <c r="IF191" s="63"/>
      <c r="IG191" s="73"/>
      <c r="IH191" s="72">
        <f t="shared" si="5720"/>
        <v>0</v>
      </c>
      <c r="II191" s="63"/>
      <c r="IJ191" s="73"/>
      <c r="IK191" s="72">
        <f t="shared" si="5721"/>
        <v>0</v>
      </c>
      <c r="IL191" s="63"/>
      <c r="IM191" s="73"/>
      <c r="IN191" s="72">
        <f t="shared" si="5722"/>
        <v>0</v>
      </c>
      <c r="IO191" s="63"/>
      <c r="IP191" s="73"/>
      <c r="IQ191" s="72">
        <f t="shared" si="5723"/>
        <v>0</v>
      </c>
      <c r="IR191" s="63"/>
      <c r="IS191" s="73"/>
      <c r="IT191" s="72">
        <f t="shared" si="5724"/>
        <v>0</v>
      </c>
      <c r="IU191" s="63"/>
      <c r="IV191" s="73"/>
      <c r="IW191" s="72">
        <f t="shared" si="5725"/>
        <v>0</v>
      </c>
      <c r="IX191" s="63"/>
      <c r="IY191" s="73"/>
      <c r="IZ191" s="72">
        <f t="shared" si="5726"/>
        <v>0</v>
      </c>
      <c r="JA191" s="63"/>
      <c r="JB191" s="73"/>
      <c r="JC191" s="72">
        <f t="shared" si="5727"/>
        <v>0</v>
      </c>
      <c r="JD191" s="63"/>
      <c r="JE191" s="73"/>
      <c r="JF191" s="72">
        <f t="shared" si="5728"/>
        <v>0</v>
      </c>
      <c r="JG191" s="63"/>
      <c r="JH191" s="73"/>
      <c r="JI191" s="72">
        <f t="shared" si="5729"/>
        <v>0</v>
      </c>
      <c r="JJ191" s="63"/>
      <c r="JK191" s="73"/>
      <c r="JL191" s="72">
        <f t="shared" si="5730"/>
        <v>0</v>
      </c>
      <c r="JM191" s="63"/>
      <c r="JN191" s="73"/>
      <c r="JO191" s="72">
        <f t="shared" si="5731"/>
        <v>0</v>
      </c>
      <c r="JP191" s="63"/>
      <c r="JQ191" s="73"/>
      <c r="JR191" s="72">
        <f t="shared" si="5732"/>
        <v>0</v>
      </c>
      <c r="JS191" s="63"/>
      <c r="JT191" s="73"/>
      <c r="JU191" s="72">
        <f t="shared" si="5733"/>
        <v>0</v>
      </c>
      <c r="JV191" s="63"/>
      <c r="JW191" s="73"/>
      <c r="JX191" s="72">
        <f t="shared" si="5734"/>
        <v>0</v>
      </c>
      <c r="JY191" s="63"/>
      <c r="JZ191" s="73"/>
      <c r="KA191" s="72">
        <f t="shared" si="5735"/>
        <v>0</v>
      </c>
      <c r="KB191" s="63"/>
      <c r="KC191" s="73"/>
      <c r="KD191" s="72">
        <f t="shared" si="5736"/>
        <v>0</v>
      </c>
      <c r="KE191" s="63"/>
      <c r="KF191" s="73"/>
      <c r="KG191" s="72">
        <f t="shared" si="5737"/>
        <v>0</v>
      </c>
      <c r="KH191" s="63"/>
      <c r="KI191" s="73"/>
      <c r="KJ191" s="72">
        <f t="shared" si="5738"/>
        <v>0</v>
      </c>
      <c r="KK191" s="63"/>
      <c r="KL191" s="73"/>
      <c r="KM191" s="72">
        <f t="shared" si="5739"/>
        <v>0</v>
      </c>
      <c r="KN191" s="63"/>
      <c r="KO191" s="73"/>
      <c r="KP191" s="72">
        <f t="shared" si="5740"/>
        <v>0</v>
      </c>
      <c r="KQ191" s="63"/>
      <c r="KR191" s="73"/>
      <c r="KS191" s="72">
        <f t="shared" si="5741"/>
        <v>0</v>
      </c>
      <c r="KT191" s="63"/>
      <c r="KU191" s="73"/>
      <c r="KV191" s="72">
        <f t="shared" si="5742"/>
        <v>0</v>
      </c>
      <c r="KW191" s="63"/>
      <c r="KX191" s="73"/>
      <c r="KY191" s="72">
        <f t="shared" si="5743"/>
        <v>0</v>
      </c>
      <c r="KZ191" s="63"/>
      <c r="LA191" s="73"/>
      <c r="LB191" s="72">
        <f t="shared" si="5744"/>
        <v>0</v>
      </c>
      <c r="LC191" s="63"/>
      <c r="LD191" s="73"/>
      <c r="LE191" s="72">
        <f t="shared" si="5745"/>
        <v>0</v>
      </c>
      <c r="LF191" s="63"/>
    </row>
    <row r="192" spans="1:318" s="784" customFormat="1">
      <c r="A192" s="25"/>
      <c r="B192" s="25"/>
      <c r="C192" s="25"/>
      <c r="D192" s="25"/>
      <c r="E192" s="25"/>
      <c r="F192" s="406">
        <f t="shared" si="5746"/>
        <v>30</v>
      </c>
      <c r="G192" s="406">
        <f ca="1">VLOOKUP(H192,Equipos!$Q$1:$R$25,2,0)</f>
        <v>20</v>
      </c>
      <c r="H192" s="444" t="str">
        <f>Idiomas!$D$260</f>
        <v>Dieciseisavos de final</v>
      </c>
      <c r="I192" s="50"/>
      <c r="J192" s="843"/>
      <c r="K192" s="56" t="str">
        <f>Idiomas!$D$199&amp;"-"&amp;ROWS($L$182:L192)</f>
        <v>Octavofinalista-11</v>
      </c>
      <c r="L192" s="53"/>
      <c r="M192" s="55" t="str">
        <f>WORLDCUP!AF122</f>
        <v>W78</v>
      </c>
      <c r="N192" s="25"/>
      <c r="O192" s="25"/>
      <c r="P192" s="25"/>
      <c r="Q192" s="25"/>
      <c r="R192" s="108"/>
      <c r="S192" s="796" t="s">
        <v>135</v>
      </c>
      <c r="T192" s="72">
        <f t="shared" si="5646"/>
        <v>0</v>
      </c>
      <c r="U192" s="63"/>
      <c r="V192" s="73" t="s">
        <v>135</v>
      </c>
      <c r="W192" s="72">
        <f t="shared" si="5647"/>
        <v>0</v>
      </c>
      <c r="X192" s="63"/>
      <c r="Y192" s="796" t="s">
        <v>77</v>
      </c>
      <c r="Z192" s="72">
        <f t="shared" si="5648"/>
        <v>0</v>
      </c>
      <c r="AA192" s="63"/>
      <c r="AB192" s="796" t="s">
        <v>1261</v>
      </c>
      <c r="AC192" s="72">
        <f t="shared" si="5649"/>
        <v>0</v>
      </c>
      <c r="AD192" s="63"/>
      <c r="AE192" s="796" t="s">
        <v>135</v>
      </c>
      <c r="AF192" s="72">
        <f t="shared" si="5650"/>
        <v>0</v>
      </c>
      <c r="AG192" s="63"/>
      <c r="AH192" s="796" t="s">
        <v>74</v>
      </c>
      <c r="AI192" s="72">
        <f t="shared" si="5651"/>
        <v>0</v>
      </c>
      <c r="AJ192" s="63"/>
      <c r="AK192" s="806" t="s">
        <v>135</v>
      </c>
      <c r="AL192" s="72">
        <f t="shared" si="5652"/>
        <v>0</v>
      </c>
      <c r="AM192" s="63"/>
      <c r="AN192" s="796" t="s">
        <v>135</v>
      </c>
      <c r="AO192" s="72">
        <f t="shared" si="5653"/>
        <v>0</v>
      </c>
      <c r="AP192" s="63"/>
      <c r="AQ192" s="806" t="s">
        <v>1261</v>
      </c>
      <c r="AR192" s="72">
        <f t="shared" si="5654"/>
        <v>0</v>
      </c>
      <c r="AS192" s="63"/>
      <c r="AT192" s="796" t="s">
        <v>74</v>
      </c>
      <c r="AU192" s="72">
        <f t="shared" si="5655"/>
        <v>0</v>
      </c>
      <c r="AV192" s="63"/>
      <c r="AW192" s="796" t="s">
        <v>135</v>
      </c>
      <c r="AX192" s="72">
        <f t="shared" si="5656"/>
        <v>0</v>
      </c>
      <c r="AY192" s="63"/>
      <c r="AZ192" s="796" t="s">
        <v>1633</v>
      </c>
      <c r="BA192" s="72">
        <f t="shared" si="5657"/>
        <v>0</v>
      </c>
      <c r="BB192" s="63"/>
      <c r="BC192" s="796" t="s">
        <v>1261</v>
      </c>
      <c r="BD192" s="72">
        <f t="shared" si="5658"/>
        <v>0</v>
      </c>
      <c r="BE192" s="63"/>
      <c r="BF192" s="796" t="s">
        <v>74</v>
      </c>
      <c r="BG192" s="72">
        <f t="shared" si="5659"/>
        <v>0</v>
      </c>
      <c r="BH192" s="63"/>
      <c r="BI192" s="796" t="s">
        <v>135</v>
      </c>
      <c r="BJ192" s="72">
        <f t="shared" si="5660"/>
        <v>0</v>
      </c>
      <c r="BK192" s="63"/>
      <c r="BL192" s="796" t="s">
        <v>74</v>
      </c>
      <c r="BM192" s="72">
        <f t="shared" si="5661"/>
        <v>0</v>
      </c>
      <c r="BN192" s="63"/>
      <c r="BO192" s="816" t="s">
        <v>1261</v>
      </c>
      <c r="BP192" s="72">
        <f t="shared" si="5662"/>
        <v>0</v>
      </c>
      <c r="BQ192" s="63"/>
      <c r="BR192" s="796" t="s">
        <v>74</v>
      </c>
      <c r="BS192" s="72">
        <f t="shared" si="5663"/>
        <v>0</v>
      </c>
      <c r="BT192" s="63"/>
      <c r="BU192" s="796" t="s">
        <v>135</v>
      </c>
      <c r="BV192" s="72">
        <f t="shared" si="5664"/>
        <v>0</v>
      </c>
      <c r="BW192" s="63"/>
      <c r="BX192" s="73" t="s">
        <v>135</v>
      </c>
      <c r="BY192" s="72">
        <f t="shared" si="5665"/>
        <v>0</v>
      </c>
      <c r="BZ192" s="63"/>
      <c r="CA192" s="816" t="s">
        <v>1261</v>
      </c>
      <c r="CB192" s="72">
        <f t="shared" si="5666"/>
        <v>0</v>
      </c>
      <c r="CC192" s="63"/>
      <c r="CD192" s="825" t="s">
        <v>1261</v>
      </c>
      <c r="CE192" s="72">
        <f t="shared" si="5667"/>
        <v>0</v>
      </c>
      <c r="CF192" s="63"/>
      <c r="CG192" s="796" t="s">
        <v>74</v>
      </c>
      <c r="CH192" s="72">
        <f t="shared" si="5668"/>
        <v>0</v>
      </c>
      <c r="CI192" s="63"/>
      <c r="CJ192" s="796" t="s">
        <v>1261</v>
      </c>
      <c r="CK192" s="72">
        <f t="shared" si="5669"/>
        <v>0</v>
      </c>
      <c r="CL192" s="63"/>
      <c r="CM192" s="796" t="s">
        <v>1261</v>
      </c>
      <c r="CN192" s="72">
        <f t="shared" si="5670"/>
        <v>0</v>
      </c>
      <c r="CO192" s="63"/>
      <c r="CP192" s="796" t="s">
        <v>135</v>
      </c>
      <c r="CQ192" s="72">
        <f t="shared" si="5671"/>
        <v>0</v>
      </c>
      <c r="CR192" s="63"/>
      <c r="CS192" s="796" t="s">
        <v>1261</v>
      </c>
      <c r="CT192" s="72">
        <f t="shared" si="5672"/>
        <v>0</v>
      </c>
      <c r="CU192" s="63"/>
      <c r="CV192" s="796" t="s">
        <v>77</v>
      </c>
      <c r="CW192" s="72">
        <f t="shared" si="5673"/>
        <v>0</v>
      </c>
      <c r="CX192" s="63"/>
      <c r="CY192" s="796" t="s">
        <v>1634</v>
      </c>
      <c r="CZ192" s="72">
        <f t="shared" si="5674"/>
        <v>0</v>
      </c>
      <c r="DA192" s="63"/>
      <c r="DB192" s="796" t="s">
        <v>1261</v>
      </c>
      <c r="DC192" s="72">
        <f t="shared" si="5675"/>
        <v>0</v>
      </c>
      <c r="DD192" s="63"/>
      <c r="DE192" s="796" t="s">
        <v>135</v>
      </c>
      <c r="DF192" s="72">
        <f t="shared" si="5676"/>
        <v>0</v>
      </c>
      <c r="DG192" s="63"/>
      <c r="DH192" s="796" t="s">
        <v>135</v>
      </c>
      <c r="DI192" s="72">
        <f t="shared" si="5677"/>
        <v>0</v>
      </c>
      <c r="DJ192" s="63"/>
      <c r="DK192" s="796" t="s">
        <v>135</v>
      </c>
      <c r="DL192" s="72">
        <f t="shared" si="5678"/>
        <v>0</v>
      </c>
      <c r="DM192" s="63"/>
      <c r="DN192" s="73"/>
      <c r="DO192" s="72">
        <f t="shared" si="5679"/>
        <v>0</v>
      </c>
      <c r="DP192" s="63"/>
      <c r="DQ192" s="796" t="s">
        <v>1261</v>
      </c>
      <c r="DR192" s="72">
        <f t="shared" si="5680"/>
        <v>0</v>
      </c>
      <c r="DS192" s="63"/>
      <c r="DT192" s="73" t="s">
        <v>1261</v>
      </c>
      <c r="DU192" s="72">
        <f t="shared" si="5681"/>
        <v>0</v>
      </c>
      <c r="DV192" s="63"/>
      <c r="DW192" s="73"/>
      <c r="DX192" s="72">
        <f t="shared" si="5682"/>
        <v>0</v>
      </c>
      <c r="DY192" s="63"/>
      <c r="DZ192" s="73"/>
      <c r="EA192" s="72">
        <f t="shared" si="5683"/>
        <v>0</v>
      </c>
      <c r="EB192" s="63"/>
      <c r="EC192" s="73"/>
      <c r="ED192" s="72">
        <f t="shared" si="5684"/>
        <v>0</v>
      </c>
      <c r="EE192" s="63"/>
      <c r="EF192" s="73"/>
      <c r="EG192" s="72">
        <f t="shared" si="5685"/>
        <v>0</v>
      </c>
      <c r="EH192" s="63"/>
      <c r="EI192" s="73"/>
      <c r="EJ192" s="72">
        <f t="shared" si="5686"/>
        <v>0</v>
      </c>
      <c r="EK192" s="63"/>
      <c r="EL192" s="73"/>
      <c r="EM192" s="72">
        <f t="shared" si="5687"/>
        <v>0</v>
      </c>
      <c r="EN192" s="63"/>
      <c r="EO192" s="73"/>
      <c r="EP192" s="72">
        <f t="shared" si="5688"/>
        <v>0</v>
      </c>
      <c r="EQ192" s="63"/>
      <c r="ER192" s="73"/>
      <c r="ES192" s="72">
        <f t="shared" si="5689"/>
        <v>0</v>
      </c>
      <c r="ET192" s="63"/>
      <c r="EU192" s="73"/>
      <c r="EV192" s="72">
        <f t="shared" si="5690"/>
        <v>0</v>
      </c>
      <c r="EW192" s="63"/>
      <c r="EX192" s="73"/>
      <c r="EY192" s="72">
        <f t="shared" si="5691"/>
        <v>0</v>
      </c>
      <c r="EZ192" s="63"/>
      <c r="FA192" s="73"/>
      <c r="FB192" s="72">
        <f t="shared" si="5692"/>
        <v>0</v>
      </c>
      <c r="FC192" s="63"/>
      <c r="FD192" s="73"/>
      <c r="FE192" s="72">
        <f t="shared" si="5693"/>
        <v>0</v>
      </c>
      <c r="FF192" s="63"/>
      <c r="FG192" s="73"/>
      <c r="FH192" s="72">
        <f t="shared" si="5694"/>
        <v>0</v>
      </c>
      <c r="FI192" s="63"/>
      <c r="FJ192" s="73"/>
      <c r="FK192" s="72">
        <f t="shared" si="5695"/>
        <v>0</v>
      </c>
      <c r="FL192" s="63"/>
      <c r="FM192" s="73"/>
      <c r="FN192" s="72">
        <f t="shared" si="5696"/>
        <v>0</v>
      </c>
      <c r="FO192" s="63"/>
      <c r="FP192" s="73"/>
      <c r="FQ192" s="72">
        <f t="shared" si="5697"/>
        <v>0</v>
      </c>
      <c r="FR192" s="63"/>
      <c r="FS192" s="73"/>
      <c r="FT192" s="72">
        <f t="shared" si="5698"/>
        <v>0</v>
      </c>
      <c r="FU192" s="63"/>
      <c r="FV192" s="73"/>
      <c r="FW192" s="72">
        <f t="shared" si="5699"/>
        <v>0</v>
      </c>
      <c r="FX192" s="63"/>
      <c r="FY192" s="73"/>
      <c r="FZ192" s="72">
        <f t="shared" si="5700"/>
        <v>0</v>
      </c>
      <c r="GA192" s="63"/>
      <c r="GB192" s="73"/>
      <c r="GC192" s="72">
        <f t="shared" si="5701"/>
        <v>0</v>
      </c>
      <c r="GD192" s="63"/>
      <c r="GE192" s="73"/>
      <c r="GF192" s="72">
        <f t="shared" si="5702"/>
        <v>0</v>
      </c>
      <c r="GG192" s="63"/>
      <c r="GH192" s="73"/>
      <c r="GI192" s="72">
        <f t="shared" si="5703"/>
        <v>0</v>
      </c>
      <c r="GJ192" s="63"/>
      <c r="GK192" s="73"/>
      <c r="GL192" s="72">
        <f t="shared" si="5704"/>
        <v>0</v>
      </c>
      <c r="GM192" s="63"/>
      <c r="GN192" s="73"/>
      <c r="GO192" s="72">
        <f t="shared" si="5705"/>
        <v>0</v>
      </c>
      <c r="GP192" s="63"/>
      <c r="GQ192" s="73"/>
      <c r="GR192" s="72">
        <f t="shared" si="5706"/>
        <v>0</v>
      </c>
      <c r="GS192" s="63"/>
      <c r="GT192" s="73"/>
      <c r="GU192" s="72">
        <f t="shared" si="5707"/>
        <v>0</v>
      </c>
      <c r="GV192" s="63"/>
      <c r="GW192" s="73"/>
      <c r="GX192" s="72">
        <f t="shared" si="5708"/>
        <v>0</v>
      </c>
      <c r="GY192" s="63"/>
      <c r="GZ192" s="73"/>
      <c r="HA192" s="72">
        <f t="shared" si="5709"/>
        <v>0</v>
      </c>
      <c r="HB192" s="63"/>
      <c r="HC192" s="73"/>
      <c r="HD192" s="72">
        <f t="shared" si="5710"/>
        <v>0</v>
      </c>
      <c r="HE192" s="63"/>
      <c r="HF192" s="73"/>
      <c r="HG192" s="72">
        <f t="shared" si="5711"/>
        <v>0</v>
      </c>
      <c r="HH192" s="63"/>
      <c r="HI192" s="73"/>
      <c r="HJ192" s="72">
        <f t="shared" si="5712"/>
        <v>0</v>
      </c>
      <c r="HK192" s="63"/>
      <c r="HL192" s="73"/>
      <c r="HM192" s="72">
        <f t="shared" si="5713"/>
        <v>0</v>
      </c>
      <c r="HN192" s="63"/>
      <c r="HO192" s="73"/>
      <c r="HP192" s="72">
        <f t="shared" si="5714"/>
        <v>0</v>
      </c>
      <c r="HQ192" s="63"/>
      <c r="HR192" s="73"/>
      <c r="HS192" s="72">
        <f t="shared" si="5715"/>
        <v>0</v>
      </c>
      <c r="HT192" s="63"/>
      <c r="HU192" s="73"/>
      <c r="HV192" s="72">
        <f t="shared" si="5716"/>
        <v>0</v>
      </c>
      <c r="HW192" s="63"/>
      <c r="HX192" s="73"/>
      <c r="HY192" s="72">
        <f t="shared" si="5717"/>
        <v>0</v>
      </c>
      <c r="HZ192" s="63"/>
      <c r="IA192" s="73"/>
      <c r="IB192" s="72">
        <f t="shared" si="5718"/>
        <v>0</v>
      </c>
      <c r="IC192" s="63"/>
      <c r="ID192" s="73"/>
      <c r="IE192" s="72">
        <f t="shared" si="5719"/>
        <v>0</v>
      </c>
      <c r="IF192" s="63"/>
      <c r="IG192" s="73"/>
      <c r="IH192" s="72">
        <f t="shared" si="5720"/>
        <v>0</v>
      </c>
      <c r="II192" s="63"/>
      <c r="IJ192" s="73"/>
      <c r="IK192" s="72">
        <f t="shared" si="5721"/>
        <v>0</v>
      </c>
      <c r="IL192" s="63"/>
      <c r="IM192" s="73"/>
      <c r="IN192" s="72">
        <f t="shared" si="5722"/>
        <v>0</v>
      </c>
      <c r="IO192" s="63"/>
      <c r="IP192" s="73"/>
      <c r="IQ192" s="72">
        <f t="shared" si="5723"/>
        <v>0</v>
      </c>
      <c r="IR192" s="63"/>
      <c r="IS192" s="73"/>
      <c r="IT192" s="72">
        <f t="shared" si="5724"/>
        <v>0</v>
      </c>
      <c r="IU192" s="63"/>
      <c r="IV192" s="73"/>
      <c r="IW192" s="72">
        <f t="shared" si="5725"/>
        <v>0</v>
      </c>
      <c r="IX192" s="63"/>
      <c r="IY192" s="73"/>
      <c r="IZ192" s="72">
        <f t="shared" si="5726"/>
        <v>0</v>
      </c>
      <c r="JA192" s="63"/>
      <c r="JB192" s="73"/>
      <c r="JC192" s="72">
        <f t="shared" si="5727"/>
        <v>0</v>
      </c>
      <c r="JD192" s="63"/>
      <c r="JE192" s="73"/>
      <c r="JF192" s="72">
        <f t="shared" si="5728"/>
        <v>0</v>
      </c>
      <c r="JG192" s="63"/>
      <c r="JH192" s="73"/>
      <c r="JI192" s="72">
        <f t="shared" si="5729"/>
        <v>0</v>
      </c>
      <c r="JJ192" s="63"/>
      <c r="JK192" s="73"/>
      <c r="JL192" s="72">
        <f t="shared" si="5730"/>
        <v>0</v>
      </c>
      <c r="JM192" s="63"/>
      <c r="JN192" s="73"/>
      <c r="JO192" s="72">
        <f t="shared" si="5731"/>
        <v>0</v>
      </c>
      <c r="JP192" s="63"/>
      <c r="JQ192" s="73"/>
      <c r="JR192" s="72">
        <f t="shared" si="5732"/>
        <v>0</v>
      </c>
      <c r="JS192" s="63"/>
      <c r="JT192" s="73"/>
      <c r="JU192" s="72">
        <f t="shared" si="5733"/>
        <v>0</v>
      </c>
      <c r="JV192" s="63"/>
      <c r="JW192" s="73"/>
      <c r="JX192" s="72">
        <f t="shared" si="5734"/>
        <v>0</v>
      </c>
      <c r="JY192" s="63"/>
      <c r="JZ192" s="73"/>
      <c r="KA192" s="72">
        <f t="shared" si="5735"/>
        <v>0</v>
      </c>
      <c r="KB192" s="63"/>
      <c r="KC192" s="73"/>
      <c r="KD192" s="72">
        <f t="shared" si="5736"/>
        <v>0</v>
      </c>
      <c r="KE192" s="63"/>
      <c r="KF192" s="73"/>
      <c r="KG192" s="72">
        <f t="shared" si="5737"/>
        <v>0</v>
      </c>
      <c r="KH192" s="63"/>
      <c r="KI192" s="73"/>
      <c r="KJ192" s="72">
        <f t="shared" si="5738"/>
        <v>0</v>
      </c>
      <c r="KK192" s="63"/>
      <c r="KL192" s="73"/>
      <c r="KM192" s="72">
        <f t="shared" si="5739"/>
        <v>0</v>
      </c>
      <c r="KN192" s="63"/>
      <c r="KO192" s="73"/>
      <c r="KP192" s="72">
        <f t="shared" si="5740"/>
        <v>0</v>
      </c>
      <c r="KQ192" s="63"/>
      <c r="KR192" s="73"/>
      <c r="KS192" s="72">
        <f t="shared" si="5741"/>
        <v>0</v>
      </c>
      <c r="KT192" s="63"/>
      <c r="KU192" s="73"/>
      <c r="KV192" s="72">
        <f t="shared" si="5742"/>
        <v>0</v>
      </c>
      <c r="KW192" s="63"/>
      <c r="KX192" s="73"/>
      <c r="KY192" s="72">
        <f t="shared" si="5743"/>
        <v>0</v>
      </c>
      <c r="KZ192" s="63"/>
      <c r="LA192" s="73"/>
      <c r="LB192" s="72">
        <f t="shared" si="5744"/>
        <v>0</v>
      </c>
      <c r="LC192" s="63"/>
      <c r="LD192" s="73"/>
      <c r="LE192" s="72">
        <f t="shared" si="5745"/>
        <v>0</v>
      </c>
      <c r="LF192" s="63"/>
    </row>
    <row r="193" spans="1:318" s="784" customFormat="1">
      <c r="A193" s="25"/>
      <c r="B193" s="25"/>
      <c r="C193" s="25"/>
      <c r="D193" s="25"/>
      <c r="E193" s="25"/>
      <c r="F193" s="406">
        <f t="shared" si="5746"/>
        <v>30</v>
      </c>
      <c r="G193" s="406">
        <f ca="1">VLOOKUP(H193,Equipos!$Q$1:$R$25,2,0)</f>
        <v>20</v>
      </c>
      <c r="H193" s="444" t="str">
        <f>Idiomas!$D$260</f>
        <v>Dieciseisavos de final</v>
      </c>
      <c r="I193" s="50"/>
      <c r="J193" s="843"/>
      <c r="K193" s="56" t="str">
        <f>Idiomas!$D$199&amp;"-"&amp;ROWS($L$182:L193)</f>
        <v>Octavofinalista-12</v>
      </c>
      <c r="L193" s="53"/>
      <c r="M193" s="55" t="str">
        <f>WORLDCUP!AF123</f>
        <v>W80</v>
      </c>
      <c r="N193" s="25"/>
      <c r="O193" s="25"/>
      <c r="P193" s="25"/>
      <c r="Q193" s="25"/>
      <c r="R193" s="108"/>
      <c r="S193" s="796" t="s">
        <v>76</v>
      </c>
      <c r="T193" s="72">
        <f t="shared" si="5646"/>
        <v>0</v>
      </c>
      <c r="U193" s="63"/>
      <c r="V193" s="73" t="s">
        <v>76</v>
      </c>
      <c r="W193" s="72">
        <f t="shared" si="5647"/>
        <v>0</v>
      </c>
      <c r="X193" s="63"/>
      <c r="Y193" s="796" t="s">
        <v>78</v>
      </c>
      <c r="Z193" s="72">
        <f t="shared" si="5648"/>
        <v>0</v>
      </c>
      <c r="AA193" s="63"/>
      <c r="AB193" s="796" t="s">
        <v>76</v>
      </c>
      <c r="AC193" s="72">
        <f t="shared" si="5649"/>
        <v>0</v>
      </c>
      <c r="AD193" s="63"/>
      <c r="AE193" s="796" t="s">
        <v>76</v>
      </c>
      <c r="AF193" s="72">
        <f t="shared" si="5650"/>
        <v>0</v>
      </c>
      <c r="AG193" s="63"/>
      <c r="AH193" s="796" t="s">
        <v>76</v>
      </c>
      <c r="AI193" s="72">
        <f t="shared" si="5651"/>
        <v>0</v>
      </c>
      <c r="AJ193" s="63"/>
      <c r="AK193" s="806" t="s">
        <v>76</v>
      </c>
      <c r="AL193" s="72">
        <f t="shared" si="5652"/>
        <v>0</v>
      </c>
      <c r="AM193" s="63"/>
      <c r="AN193" s="796" t="s">
        <v>76</v>
      </c>
      <c r="AO193" s="72">
        <f t="shared" si="5653"/>
        <v>0</v>
      </c>
      <c r="AP193" s="63"/>
      <c r="AQ193" s="806" t="s">
        <v>78</v>
      </c>
      <c r="AR193" s="72">
        <f t="shared" si="5654"/>
        <v>0</v>
      </c>
      <c r="AS193" s="63"/>
      <c r="AT193" s="796" t="s">
        <v>135</v>
      </c>
      <c r="AU193" s="72">
        <f t="shared" si="5655"/>
        <v>0</v>
      </c>
      <c r="AV193" s="63"/>
      <c r="AW193" s="796" t="s">
        <v>76</v>
      </c>
      <c r="AX193" s="72">
        <f t="shared" si="5656"/>
        <v>0</v>
      </c>
      <c r="AY193" s="63"/>
      <c r="AZ193" s="796" t="s">
        <v>1730</v>
      </c>
      <c r="BA193" s="72">
        <f t="shared" si="5657"/>
        <v>0</v>
      </c>
      <c r="BB193" s="63"/>
      <c r="BC193" s="796" t="s">
        <v>76</v>
      </c>
      <c r="BD193" s="72">
        <f t="shared" si="5658"/>
        <v>0</v>
      </c>
      <c r="BE193" s="63"/>
      <c r="BF193" s="796" t="s">
        <v>1634</v>
      </c>
      <c r="BG193" s="72">
        <f t="shared" si="5659"/>
        <v>0</v>
      </c>
      <c r="BH193" s="63"/>
      <c r="BI193" s="796" t="s">
        <v>76</v>
      </c>
      <c r="BJ193" s="72">
        <f t="shared" si="5660"/>
        <v>0</v>
      </c>
      <c r="BK193" s="63"/>
      <c r="BL193" s="796" t="s">
        <v>78</v>
      </c>
      <c r="BM193" s="72">
        <f t="shared" si="5661"/>
        <v>0</v>
      </c>
      <c r="BN193" s="63"/>
      <c r="BO193" s="816" t="s">
        <v>76</v>
      </c>
      <c r="BP193" s="72">
        <f t="shared" si="5662"/>
        <v>0</v>
      </c>
      <c r="BQ193" s="63"/>
      <c r="BR193" s="796" t="s">
        <v>78</v>
      </c>
      <c r="BS193" s="72">
        <f t="shared" si="5663"/>
        <v>0</v>
      </c>
      <c r="BT193" s="63"/>
      <c r="BU193" s="796" t="s">
        <v>76</v>
      </c>
      <c r="BV193" s="72">
        <f t="shared" si="5664"/>
        <v>0</v>
      </c>
      <c r="BW193" s="63"/>
      <c r="BX193" s="73" t="s">
        <v>76</v>
      </c>
      <c r="BY193" s="72">
        <f t="shared" si="5665"/>
        <v>0</v>
      </c>
      <c r="BZ193" s="63"/>
      <c r="CA193" s="816" t="s">
        <v>76</v>
      </c>
      <c r="CB193" s="72">
        <f t="shared" si="5666"/>
        <v>0</v>
      </c>
      <c r="CC193" s="63"/>
      <c r="CD193" s="825" t="s">
        <v>76</v>
      </c>
      <c r="CE193" s="72">
        <f t="shared" si="5667"/>
        <v>0</v>
      </c>
      <c r="CF193" s="63"/>
      <c r="CG193" s="796" t="s">
        <v>76</v>
      </c>
      <c r="CH193" s="72">
        <f t="shared" si="5668"/>
        <v>0</v>
      </c>
      <c r="CI193" s="63"/>
      <c r="CJ193" s="796" t="s">
        <v>76</v>
      </c>
      <c r="CK193" s="72">
        <f t="shared" si="5669"/>
        <v>0</v>
      </c>
      <c r="CL193" s="63"/>
      <c r="CM193" s="796" t="s">
        <v>76</v>
      </c>
      <c r="CN193" s="72">
        <f t="shared" si="5670"/>
        <v>0</v>
      </c>
      <c r="CO193" s="63"/>
      <c r="CP193" s="796" t="s">
        <v>76</v>
      </c>
      <c r="CQ193" s="72">
        <f t="shared" si="5671"/>
        <v>0</v>
      </c>
      <c r="CR193" s="63"/>
      <c r="CS193" s="796" t="s">
        <v>76</v>
      </c>
      <c r="CT193" s="72">
        <f t="shared" si="5672"/>
        <v>0</v>
      </c>
      <c r="CU193" s="63"/>
      <c r="CV193" s="796" t="s">
        <v>76</v>
      </c>
      <c r="CW193" s="72">
        <f t="shared" si="5673"/>
        <v>0</v>
      </c>
      <c r="CX193" s="63"/>
      <c r="CY193" s="796" t="s">
        <v>78</v>
      </c>
      <c r="CZ193" s="72">
        <f t="shared" si="5674"/>
        <v>0</v>
      </c>
      <c r="DA193" s="63"/>
      <c r="DB193" s="796" t="s">
        <v>78</v>
      </c>
      <c r="DC193" s="72">
        <f t="shared" si="5675"/>
        <v>0</v>
      </c>
      <c r="DD193" s="63"/>
      <c r="DE193" s="796" t="s">
        <v>76</v>
      </c>
      <c r="DF193" s="72">
        <f t="shared" si="5676"/>
        <v>0</v>
      </c>
      <c r="DG193" s="63"/>
      <c r="DH193" s="796" t="s">
        <v>76</v>
      </c>
      <c r="DI193" s="72">
        <f t="shared" si="5677"/>
        <v>0</v>
      </c>
      <c r="DJ193" s="63"/>
      <c r="DK193" s="796" t="s">
        <v>76</v>
      </c>
      <c r="DL193" s="72">
        <f t="shared" si="5678"/>
        <v>0</v>
      </c>
      <c r="DM193" s="63"/>
      <c r="DN193" s="73"/>
      <c r="DO193" s="72">
        <f t="shared" si="5679"/>
        <v>0</v>
      </c>
      <c r="DP193" s="63"/>
      <c r="DQ193" s="796" t="s">
        <v>76</v>
      </c>
      <c r="DR193" s="72">
        <f t="shared" si="5680"/>
        <v>0</v>
      </c>
      <c r="DS193" s="63"/>
      <c r="DT193" s="73" t="s">
        <v>76</v>
      </c>
      <c r="DU193" s="72">
        <f t="shared" si="5681"/>
        <v>0</v>
      </c>
      <c r="DV193" s="63"/>
      <c r="DW193" s="73"/>
      <c r="DX193" s="72">
        <f t="shared" si="5682"/>
        <v>0</v>
      </c>
      <c r="DY193" s="63"/>
      <c r="DZ193" s="73"/>
      <c r="EA193" s="72">
        <f t="shared" si="5683"/>
        <v>0</v>
      </c>
      <c r="EB193" s="63"/>
      <c r="EC193" s="73"/>
      <c r="ED193" s="72">
        <f t="shared" si="5684"/>
        <v>0</v>
      </c>
      <c r="EE193" s="63"/>
      <c r="EF193" s="73"/>
      <c r="EG193" s="72">
        <f t="shared" si="5685"/>
        <v>0</v>
      </c>
      <c r="EH193" s="63"/>
      <c r="EI193" s="73"/>
      <c r="EJ193" s="72">
        <f t="shared" si="5686"/>
        <v>0</v>
      </c>
      <c r="EK193" s="63"/>
      <c r="EL193" s="73"/>
      <c r="EM193" s="72">
        <f t="shared" si="5687"/>
        <v>0</v>
      </c>
      <c r="EN193" s="63"/>
      <c r="EO193" s="73"/>
      <c r="EP193" s="72">
        <f t="shared" si="5688"/>
        <v>0</v>
      </c>
      <c r="EQ193" s="63"/>
      <c r="ER193" s="73"/>
      <c r="ES193" s="72">
        <f t="shared" si="5689"/>
        <v>0</v>
      </c>
      <c r="ET193" s="63"/>
      <c r="EU193" s="73"/>
      <c r="EV193" s="72">
        <f t="shared" si="5690"/>
        <v>0</v>
      </c>
      <c r="EW193" s="63"/>
      <c r="EX193" s="73"/>
      <c r="EY193" s="72">
        <f t="shared" si="5691"/>
        <v>0</v>
      </c>
      <c r="EZ193" s="63"/>
      <c r="FA193" s="73"/>
      <c r="FB193" s="72">
        <f t="shared" si="5692"/>
        <v>0</v>
      </c>
      <c r="FC193" s="63"/>
      <c r="FD193" s="73"/>
      <c r="FE193" s="72">
        <f t="shared" si="5693"/>
        <v>0</v>
      </c>
      <c r="FF193" s="63"/>
      <c r="FG193" s="73"/>
      <c r="FH193" s="72">
        <f t="shared" si="5694"/>
        <v>0</v>
      </c>
      <c r="FI193" s="63"/>
      <c r="FJ193" s="73"/>
      <c r="FK193" s="72">
        <f t="shared" si="5695"/>
        <v>0</v>
      </c>
      <c r="FL193" s="63"/>
      <c r="FM193" s="73"/>
      <c r="FN193" s="72">
        <f t="shared" si="5696"/>
        <v>0</v>
      </c>
      <c r="FO193" s="63"/>
      <c r="FP193" s="73"/>
      <c r="FQ193" s="72">
        <f t="shared" si="5697"/>
        <v>0</v>
      </c>
      <c r="FR193" s="63"/>
      <c r="FS193" s="73"/>
      <c r="FT193" s="72">
        <f t="shared" si="5698"/>
        <v>0</v>
      </c>
      <c r="FU193" s="63"/>
      <c r="FV193" s="73"/>
      <c r="FW193" s="72">
        <f t="shared" si="5699"/>
        <v>0</v>
      </c>
      <c r="FX193" s="63"/>
      <c r="FY193" s="73"/>
      <c r="FZ193" s="72">
        <f t="shared" si="5700"/>
        <v>0</v>
      </c>
      <c r="GA193" s="63"/>
      <c r="GB193" s="73"/>
      <c r="GC193" s="72">
        <f t="shared" si="5701"/>
        <v>0</v>
      </c>
      <c r="GD193" s="63"/>
      <c r="GE193" s="73"/>
      <c r="GF193" s="72">
        <f t="shared" si="5702"/>
        <v>0</v>
      </c>
      <c r="GG193" s="63"/>
      <c r="GH193" s="73"/>
      <c r="GI193" s="72">
        <f t="shared" si="5703"/>
        <v>0</v>
      </c>
      <c r="GJ193" s="63"/>
      <c r="GK193" s="73"/>
      <c r="GL193" s="72">
        <f t="shared" si="5704"/>
        <v>0</v>
      </c>
      <c r="GM193" s="63"/>
      <c r="GN193" s="73"/>
      <c r="GO193" s="72">
        <f t="shared" si="5705"/>
        <v>0</v>
      </c>
      <c r="GP193" s="63"/>
      <c r="GQ193" s="73"/>
      <c r="GR193" s="72">
        <f t="shared" si="5706"/>
        <v>0</v>
      </c>
      <c r="GS193" s="63"/>
      <c r="GT193" s="73"/>
      <c r="GU193" s="72">
        <f t="shared" si="5707"/>
        <v>0</v>
      </c>
      <c r="GV193" s="63"/>
      <c r="GW193" s="73"/>
      <c r="GX193" s="72">
        <f t="shared" si="5708"/>
        <v>0</v>
      </c>
      <c r="GY193" s="63"/>
      <c r="GZ193" s="73"/>
      <c r="HA193" s="72">
        <f t="shared" si="5709"/>
        <v>0</v>
      </c>
      <c r="HB193" s="63"/>
      <c r="HC193" s="73"/>
      <c r="HD193" s="72">
        <f t="shared" si="5710"/>
        <v>0</v>
      </c>
      <c r="HE193" s="63"/>
      <c r="HF193" s="73"/>
      <c r="HG193" s="72">
        <f t="shared" si="5711"/>
        <v>0</v>
      </c>
      <c r="HH193" s="63"/>
      <c r="HI193" s="73"/>
      <c r="HJ193" s="72">
        <f t="shared" si="5712"/>
        <v>0</v>
      </c>
      <c r="HK193" s="63"/>
      <c r="HL193" s="73"/>
      <c r="HM193" s="72">
        <f t="shared" si="5713"/>
        <v>0</v>
      </c>
      <c r="HN193" s="63"/>
      <c r="HO193" s="73"/>
      <c r="HP193" s="72">
        <f t="shared" si="5714"/>
        <v>0</v>
      </c>
      <c r="HQ193" s="63"/>
      <c r="HR193" s="73"/>
      <c r="HS193" s="72">
        <f t="shared" si="5715"/>
        <v>0</v>
      </c>
      <c r="HT193" s="63"/>
      <c r="HU193" s="73"/>
      <c r="HV193" s="72">
        <f t="shared" si="5716"/>
        <v>0</v>
      </c>
      <c r="HW193" s="63"/>
      <c r="HX193" s="73"/>
      <c r="HY193" s="72">
        <f t="shared" si="5717"/>
        <v>0</v>
      </c>
      <c r="HZ193" s="63"/>
      <c r="IA193" s="73"/>
      <c r="IB193" s="72">
        <f t="shared" si="5718"/>
        <v>0</v>
      </c>
      <c r="IC193" s="63"/>
      <c r="ID193" s="73"/>
      <c r="IE193" s="72">
        <f t="shared" si="5719"/>
        <v>0</v>
      </c>
      <c r="IF193" s="63"/>
      <c r="IG193" s="73"/>
      <c r="IH193" s="72">
        <f t="shared" si="5720"/>
        <v>0</v>
      </c>
      <c r="II193" s="63"/>
      <c r="IJ193" s="73"/>
      <c r="IK193" s="72">
        <f t="shared" si="5721"/>
        <v>0</v>
      </c>
      <c r="IL193" s="63"/>
      <c r="IM193" s="73"/>
      <c r="IN193" s="72">
        <f t="shared" si="5722"/>
        <v>0</v>
      </c>
      <c r="IO193" s="63"/>
      <c r="IP193" s="73"/>
      <c r="IQ193" s="72">
        <f t="shared" si="5723"/>
        <v>0</v>
      </c>
      <c r="IR193" s="63"/>
      <c r="IS193" s="73"/>
      <c r="IT193" s="72">
        <f t="shared" si="5724"/>
        <v>0</v>
      </c>
      <c r="IU193" s="63"/>
      <c r="IV193" s="73"/>
      <c r="IW193" s="72">
        <f t="shared" si="5725"/>
        <v>0</v>
      </c>
      <c r="IX193" s="63"/>
      <c r="IY193" s="73"/>
      <c r="IZ193" s="72">
        <f t="shared" si="5726"/>
        <v>0</v>
      </c>
      <c r="JA193" s="63"/>
      <c r="JB193" s="73"/>
      <c r="JC193" s="72">
        <f t="shared" si="5727"/>
        <v>0</v>
      </c>
      <c r="JD193" s="63"/>
      <c r="JE193" s="73"/>
      <c r="JF193" s="72">
        <f t="shared" si="5728"/>
        <v>0</v>
      </c>
      <c r="JG193" s="63"/>
      <c r="JH193" s="73"/>
      <c r="JI193" s="72">
        <f t="shared" si="5729"/>
        <v>0</v>
      </c>
      <c r="JJ193" s="63"/>
      <c r="JK193" s="73"/>
      <c r="JL193" s="72">
        <f t="shared" si="5730"/>
        <v>0</v>
      </c>
      <c r="JM193" s="63"/>
      <c r="JN193" s="73"/>
      <c r="JO193" s="72">
        <f t="shared" si="5731"/>
        <v>0</v>
      </c>
      <c r="JP193" s="63"/>
      <c r="JQ193" s="73"/>
      <c r="JR193" s="72">
        <f t="shared" si="5732"/>
        <v>0</v>
      </c>
      <c r="JS193" s="63"/>
      <c r="JT193" s="73"/>
      <c r="JU193" s="72">
        <f t="shared" si="5733"/>
        <v>0</v>
      </c>
      <c r="JV193" s="63"/>
      <c r="JW193" s="73"/>
      <c r="JX193" s="72">
        <f t="shared" si="5734"/>
        <v>0</v>
      </c>
      <c r="JY193" s="63"/>
      <c r="JZ193" s="73"/>
      <c r="KA193" s="72">
        <f t="shared" si="5735"/>
        <v>0</v>
      </c>
      <c r="KB193" s="63"/>
      <c r="KC193" s="73"/>
      <c r="KD193" s="72">
        <f t="shared" si="5736"/>
        <v>0</v>
      </c>
      <c r="KE193" s="63"/>
      <c r="KF193" s="73"/>
      <c r="KG193" s="72">
        <f t="shared" si="5737"/>
        <v>0</v>
      </c>
      <c r="KH193" s="63"/>
      <c r="KI193" s="73"/>
      <c r="KJ193" s="72">
        <f t="shared" si="5738"/>
        <v>0</v>
      </c>
      <c r="KK193" s="63"/>
      <c r="KL193" s="73"/>
      <c r="KM193" s="72">
        <f t="shared" si="5739"/>
        <v>0</v>
      </c>
      <c r="KN193" s="63"/>
      <c r="KO193" s="73"/>
      <c r="KP193" s="72">
        <f t="shared" si="5740"/>
        <v>0</v>
      </c>
      <c r="KQ193" s="63"/>
      <c r="KR193" s="73"/>
      <c r="KS193" s="72">
        <f t="shared" si="5741"/>
        <v>0</v>
      </c>
      <c r="KT193" s="63"/>
      <c r="KU193" s="73"/>
      <c r="KV193" s="72">
        <f t="shared" si="5742"/>
        <v>0</v>
      </c>
      <c r="KW193" s="63"/>
      <c r="KX193" s="73"/>
      <c r="KY193" s="72">
        <f t="shared" si="5743"/>
        <v>0</v>
      </c>
      <c r="KZ193" s="63"/>
      <c r="LA193" s="73"/>
      <c r="LB193" s="72">
        <f t="shared" si="5744"/>
        <v>0</v>
      </c>
      <c r="LC193" s="63"/>
      <c r="LD193" s="73"/>
      <c r="LE193" s="72">
        <f t="shared" si="5745"/>
        <v>0</v>
      </c>
      <c r="LF193" s="63"/>
    </row>
    <row r="194" spans="1:318" s="784" customFormat="1">
      <c r="A194" s="25"/>
      <c r="B194" s="25"/>
      <c r="C194" s="25"/>
      <c r="D194" s="25"/>
      <c r="E194" s="25"/>
      <c r="F194" s="406">
        <f t="shared" si="5746"/>
        <v>30</v>
      </c>
      <c r="G194" s="406">
        <f ca="1">VLOOKUP(H194,Equipos!$Q$1:$R$25,2,0)</f>
        <v>20</v>
      </c>
      <c r="H194" s="444" t="str">
        <f>Idiomas!$D$260</f>
        <v>Dieciseisavos de final</v>
      </c>
      <c r="I194" s="50"/>
      <c r="J194" s="843"/>
      <c r="K194" s="56" t="str">
        <f>Idiomas!$D$199&amp;"-"&amp;ROWS($L$182:L194)</f>
        <v>Octavofinalista-13</v>
      </c>
      <c r="L194" s="53"/>
      <c r="M194" s="55" t="str">
        <f>WORLDCUP!AF124</f>
        <v>W84</v>
      </c>
      <c r="N194" s="25"/>
      <c r="O194" s="25"/>
      <c r="P194" s="25"/>
      <c r="Q194" s="25"/>
      <c r="R194" s="108"/>
      <c r="S194" s="796" t="s">
        <v>38</v>
      </c>
      <c r="T194" s="72">
        <f t="shared" si="5646"/>
        <v>0</v>
      </c>
      <c r="U194" s="63"/>
      <c r="V194" s="73" t="s">
        <v>38</v>
      </c>
      <c r="W194" s="72">
        <f t="shared" si="5647"/>
        <v>0</v>
      </c>
      <c r="X194" s="63"/>
      <c r="Y194" s="796" t="s">
        <v>38</v>
      </c>
      <c r="Z194" s="72">
        <f t="shared" si="5648"/>
        <v>0</v>
      </c>
      <c r="AA194" s="63"/>
      <c r="AB194" s="796" t="s">
        <v>38</v>
      </c>
      <c r="AC194" s="72">
        <f t="shared" si="5649"/>
        <v>0</v>
      </c>
      <c r="AD194" s="63"/>
      <c r="AE194" s="796" t="s">
        <v>38</v>
      </c>
      <c r="AF194" s="72">
        <f t="shared" si="5650"/>
        <v>0</v>
      </c>
      <c r="AG194" s="63"/>
      <c r="AH194" s="796" t="s">
        <v>38</v>
      </c>
      <c r="AI194" s="72">
        <f t="shared" si="5651"/>
        <v>0</v>
      </c>
      <c r="AJ194" s="63"/>
      <c r="AK194" s="806" t="s">
        <v>38</v>
      </c>
      <c r="AL194" s="72">
        <f t="shared" si="5652"/>
        <v>0</v>
      </c>
      <c r="AM194" s="63"/>
      <c r="AN194" s="796" t="s">
        <v>38</v>
      </c>
      <c r="AO194" s="72">
        <f t="shared" si="5653"/>
        <v>0</v>
      </c>
      <c r="AP194" s="63"/>
      <c r="AQ194" s="806" t="s">
        <v>38</v>
      </c>
      <c r="AR194" s="72">
        <f t="shared" si="5654"/>
        <v>0</v>
      </c>
      <c r="AS194" s="63"/>
      <c r="AT194" s="796" t="s">
        <v>38</v>
      </c>
      <c r="AU194" s="72">
        <f t="shared" si="5655"/>
        <v>0</v>
      </c>
      <c r="AV194" s="63"/>
      <c r="AW194" s="796" t="s">
        <v>38</v>
      </c>
      <c r="AX194" s="72">
        <f t="shared" si="5656"/>
        <v>0</v>
      </c>
      <c r="AY194" s="63"/>
      <c r="AZ194" s="796" t="s">
        <v>1632</v>
      </c>
      <c r="BA194" s="72">
        <f t="shared" si="5657"/>
        <v>0</v>
      </c>
      <c r="BB194" s="63"/>
      <c r="BC194" s="796" t="s">
        <v>38</v>
      </c>
      <c r="BD194" s="72">
        <f t="shared" si="5658"/>
        <v>0</v>
      </c>
      <c r="BE194" s="63"/>
      <c r="BF194" s="796" t="s">
        <v>1318</v>
      </c>
      <c r="BG194" s="72">
        <f t="shared" si="5659"/>
        <v>0</v>
      </c>
      <c r="BH194" s="63"/>
      <c r="BI194" s="796" t="s">
        <v>38</v>
      </c>
      <c r="BJ194" s="72">
        <f t="shared" si="5660"/>
        <v>0</v>
      </c>
      <c r="BK194" s="63"/>
      <c r="BL194" s="796" t="s">
        <v>38</v>
      </c>
      <c r="BM194" s="72">
        <f t="shared" si="5661"/>
        <v>0</v>
      </c>
      <c r="BN194" s="63"/>
      <c r="BO194" s="816" t="s">
        <v>38</v>
      </c>
      <c r="BP194" s="72">
        <f t="shared" si="5662"/>
        <v>0</v>
      </c>
      <c r="BQ194" s="63"/>
      <c r="BR194" s="796" t="s">
        <v>38</v>
      </c>
      <c r="BS194" s="72">
        <f t="shared" si="5663"/>
        <v>0</v>
      </c>
      <c r="BT194" s="63"/>
      <c r="BU194" s="796" t="s">
        <v>38</v>
      </c>
      <c r="BV194" s="72">
        <f t="shared" si="5664"/>
        <v>0</v>
      </c>
      <c r="BW194" s="63"/>
      <c r="BX194" s="73" t="s">
        <v>38</v>
      </c>
      <c r="BY194" s="72">
        <f t="shared" si="5665"/>
        <v>0</v>
      </c>
      <c r="BZ194" s="63"/>
      <c r="CA194" s="816" t="s">
        <v>38</v>
      </c>
      <c r="CB194" s="72">
        <f t="shared" si="5666"/>
        <v>0</v>
      </c>
      <c r="CC194" s="63"/>
      <c r="CD194" s="825" t="s">
        <v>38</v>
      </c>
      <c r="CE194" s="72">
        <f t="shared" si="5667"/>
        <v>0</v>
      </c>
      <c r="CF194" s="63"/>
      <c r="CG194" s="796" t="s">
        <v>38</v>
      </c>
      <c r="CH194" s="72">
        <f t="shared" si="5668"/>
        <v>0</v>
      </c>
      <c r="CI194" s="63"/>
      <c r="CJ194" s="796" t="s">
        <v>38</v>
      </c>
      <c r="CK194" s="72">
        <f t="shared" si="5669"/>
        <v>0</v>
      </c>
      <c r="CL194" s="63"/>
      <c r="CM194" s="796" t="s">
        <v>38</v>
      </c>
      <c r="CN194" s="72">
        <f t="shared" si="5670"/>
        <v>0</v>
      </c>
      <c r="CO194" s="63"/>
      <c r="CP194" s="796" t="s">
        <v>1318</v>
      </c>
      <c r="CQ194" s="72">
        <f t="shared" si="5671"/>
        <v>0</v>
      </c>
      <c r="CR194" s="63"/>
      <c r="CS194" s="796" t="s">
        <v>38</v>
      </c>
      <c r="CT194" s="72">
        <f t="shared" si="5672"/>
        <v>0</v>
      </c>
      <c r="CU194" s="63"/>
      <c r="CV194" s="796" t="s">
        <v>38</v>
      </c>
      <c r="CW194" s="72">
        <f t="shared" si="5673"/>
        <v>0</v>
      </c>
      <c r="CX194" s="63"/>
      <c r="CY194" s="796" t="s">
        <v>38</v>
      </c>
      <c r="CZ194" s="72">
        <f t="shared" si="5674"/>
        <v>0</v>
      </c>
      <c r="DA194" s="63"/>
      <c r="DB194" s="796" t="s">
        <v>38</v>
      </c>
      <c r="DC194" s="72">
        <f t="shared" si="5675"/>
        <v>0</v>
      </c>
      <c r="DD194" s="63"/>
      <c r="DE194" s="796" t="s">
        <v>38</v>
      </c>
      <c r="DF194" s="72">
        <f t="shared" si="5676"/>
        <v>0</v>
      </c>
      <c r="DG194" s="63"/>
      <c r="DH194" s="796" t="s">
        <v>38</v>
      </c>
      <c r="DI194" s="72">
        <f t="shared" si="5677"/>
        <v>0</v>
      </c>
      <c r="DJ194" s="63"/>
      <c r="DK194" s="796" t="s">
        <v>38</v>
      </c>
      <c r="DL194" s="72">
        <f t="shared" si="5678"/>
        <v>0</v>
      </c>
      <c r="DM194" s="63"/>
      <c r="DN194" s="73"/>
      <c r="DO194" s="72">
        <f t="shared" si="5679"/>
        <v>0</v>
      </c>
      <c r="DP194" s="63"/>
      <c r="DQ194" s="796" t="s">
        <v>38</v>
      </c>
      <c r="DR194" s="72">
        <f t="shared" si="5680"/>
        <v>0</v>
      </c>
      <c r="DS194" s="63"/>
      <c r="DT194" s="73" t="s">
        <v>38</v>
      </c>
      <c r="DU194" s="72">
        <f t="shared" si="5681"/>
        <v>0</v>
      </c>
      <c r="DV194" s="63"/>
      <c r="DW194" s="73"/>
      <c r="DX194" s="72">
        <f t="shared" si="5682"/>
        <v>0</v>
      </c>
      <c r="DY194" s="63"/>
      <c r="DZ194" s="73"/>
      <c r="EA194" s="72">
        <f t="shared" si="5683"/>
        <v>0</v>
      </c>
      <c r="EB194" s="63"/>
      <c r="EC194" s="73"/>
      <c r="ED194" s="72">
        <f t="shared" si="5684"/>
        <v>0</v>
      </c>
      <c r="EE194" s="63"/>
      <c r="EF194" s="73"/>
      <c r="EG194" s="72">
        <f t="shared" si="5685"/>
        <v>0</v>
      </c>
      <c r="EH194" s="63"/>
      <c r="EI194" s="73"/>
      <c r="EJ194" s="72">
        <f t="shared" si="5686"/>
        <v>0</v>
      </c>
      <c r="EK194" s="63"/>
      <c r="EL194" s="73"/>
      <c r="EM194" s="72">
        <f t="shared" si="5687"/>
        <v>0</v>
      </c>
      <c r="EN194" s="63"/>
      <c r="EO194" s="73"/>
      <c r="EP194" s="72">
        <f t="shared" si="5688"/>
        <v>0</v>
      </c>
      <c r="EQ194" s="63"/>
      <c r="ER194" s="73"/>
      <c r="ES194" s="72">
        <f t="shared" si="5689"/>
        <v>0</v>
      </c>
      <c r="ET194" s="63"/>
      <c r="EU194" s="73"/>
      <c r="EV194" s="72">
        <f t="shared" si="5690"/>
        <v>0</v>
      </c>
      <c r="EW194" s="63"/>
      <c r="EX194" s="73"/>
      <c r="EY194" s="72">
        <f t="shared" si="5691"/>
        <v>0</v>
      </c>
      <c r="EZ194" s="63"/>
      <c r="FA194" s="73"/>
      <c r="FB194" s="72">
        <f t="shared" si="5692"/>
        <v>0</v>
      </c>
      <c r="FC194" s="63"/>
      <c r="FD194" s="73"/>
      <c r="FE194" s="72">
        <f t="shared" si="5693"/>
        <v>0</v>
      </c>
      <c r="FF194" s="63"/>
      <c r="FG194" s="73"/>
      <c r="FH194" s="72">
        <f t="shared" si="5694"/>
        <v>0</v>
      </c>
      <c r="FI194" s="63"/>
      <c r="FJ194" s="73"/>
      <c r="FK194" s="72">
        <f t="shared" si="5695"/>
        <v>0</v>
      </c>
      <c r="FL194" s="63"/>
      <c r="FM194" s="73"/>
      <c r="FN194" s="72">
        <f t="shared" si="5696"/>
        <v>0</v>
      </c>
      <c r="FO194" s="63"/>
      <c r="FP194" s="73"/>
      <c r="FQ194" s="72">
        <f t="shared" si="5697"/>
        <v>0</v>
      </c>
      <c r="FR194" s="63"/>
      <c r="FS194" s="73"/>
      <c r="FT194" s="72">
        <f t="shared" si="5698"/>
        <v>0</v>
      </c>
      <c r="FU194" s="63"/>
      <c r="FV194" s="73"/>
      <c r="FW194" s="72">
        <f t="shared" si="5699"/>
        <v>0</v>
      </c>
      <c r="FX194" s="63"/>
      <c r="FY194" s="73"/>
      <c r="FZ194" s="72">
        <f t="shared" si="5700"/>
        <v>0</v>
      </c>
      <c r="GA194" s="63"/>
      <c r="GB194" s="73"/>
      <c r="GC194" s="72">
        <f t="shared" si="5701"/>
        <v>0</v>
      </c>
      <c r="GD194" s="63"/>
      <c r="GE194" s="73"/>
      <c r="GF194" s="72">
        <f t="shared" si="5702"/>
        <v>0</v>
      </c>
      <c r="GG194" s="63"/>
      <c r="GH194" s="73"/>
      <c r="GI194" s="72">
        <f t="shared" si="5703"/>
        <v>0</v>
      </c>
      <c r="GJ194" s="63"/>
      <c r="GK194" s="73"/>
      <c r="GL194" s="72">
        <f t="shared" si="5704"/>
        <v>0</v>
      </c>
      <c r="GM194" s="63"/>
      <c r="GN194" s="73"/>
      <c r="GO194" s="72">
        <f t="shared" si="5705"/>
        <v>0</v>
      </c>
      <c r="GP194" s="63"/>
      <c r="GQ194" s="73"/>
      <c r="GR194" s="72">
        <f t="shared" si="5706"/>
        <v>0</v>
      </c>
      <c r="GS194" s="63"/>
      <c r="GT194" s="73"/>
      <c r="GU194" s="72">
        <f t="shared" si="5707"/>
        <v>0</v>
      </c>
      <c r="GV194" s="63"/>
      <c r="GW194" s="73"/>
      <c r="GX194" s="72">
        <f t="shared" si="5708"/>
        <v>0</v>
      </c>
      <c r="GY194" s="63"/>
      <c r="GZ194" s="73"/>
      <c r="HA194" s="72">
        <f t="shared" si="5709"/>
        <v>0</v>
      </c>
      <c r="HB194" s="63"/>
      <c r="HC194" s="73"/>
      <c r="HD194" s="72">
        <f t="shared" si="5710"/>
        <v>0</v>
      </c>
      <c r="HE194" s="63"/>
      <c r="HF194" s="73"/>
      <c r="HG194" s="72">
        <f t="shared" si="5711"/>
        <v>0</v>
      </c>
      <c r="HH194" s="63"/>
      <c r="HI194" s="73"/>
      <c r="HJ194" s="72">
        <f t="shared" si="5712"/>
        <v>0</v>
      </c>
      <c r="HK194" s="63"/>
      <c r="HL194" s="73"/>
      <c r="HM194" s="72">
        <f t="shared" si="5713"/>
        <v>0</v>
      </c>
      <c r="HN194" s="63"/>
      <c r="HO194" s="73"/>
      <c r="HP194" s="72">
        <f t="shared" si="5714"/>
        <v>0</v>
      </c>
      <c r="HQ194" s="63"/>
      <c r="HR194" s="73"/>
      <c r="HS194" s="72">
        <f t="shared" si="5715"/>
        <v>0</v>
      </c>
      <c r="HT194" s="63"/>
      <c r="HU194" s="73"/>
      <c r="HV194" s="72">
        <f t="shared" si="5716"/>
        <v>0</v>
      </c>
      <c r="HW194" s="63"/>
      <c r="HX194" s="73"/>
      <c r="HY194" s="72">
        <f t="shared" si="5717"/>
        <v>0</v>
      </c>
      <c r="HZ194" s="63"/>
      <c r="IA194" s="73"/>
      <c r="IB194" s="72">
        <f t="shared" si="5718"/>
        <v>0</v>
      </c>
      <c r="IC194" s="63"/>
      <c r="ID194" s="73"/>
      <c r="IE194" s="72">
        <f t="shared" si="5719"/>
        <v>0</v>
      </c>
      <c r="IF194" s="63"/>
      <c r="IG194" s="73"/>
      <c r="IH194" s="72">
        <f t="shared" si="5720"/>
        <v>0</v>
      </c>
      <c r="II194" s="63"/>
      <c r="IJ194" s="73"/>
      <c r="IK194" s="72">
        <f t="shared" si="5721"/>
        <v>0</v>
      </c>
      <c r="IL194" s="63"/>
      <c r="IM194" s="73"/>
      <c r="IN194" s="72">
        <f t="shared" si="5722"/>
        <v>0</v>
      </c>
      <c r="IO194" s="63"/>
      <c r="IP194" s="73"/>
      <c r="IQ194" s="72">
        <f t="shared" si="5723"/>
        <v>0</v>
      </c>
      <c r="IR194" s="63"/>
      <c r="IS194" s="73"/>
      <c r="IT194" s="72">
        <f t="shared" si="5724"/>
        <v>0</v>
      </c>
      <c r="IU194" s="63"/>
      <c r="IV194" s="73"/>
      <c r="IW194" s="72">
        <f t="shared" si="5725"/>
        <v>0</v>
      </c>
      <c r="IX194" s="63"/>
      <c r="IY194" s="73"/>
      <c r="IZ194" s="72">
        <f t="shared" si="5726"/>
        <v>0</v>
      </c>
      <c r="JA194" s="63"/>
      <c r="JB194" s="73"/>
      <c r="JC194" s="72">
        <f t="shared" si="5727"/>
        <v>0</v>
      </c>
      <c r="JD194" s="63"/>
      <c r="JE194" s="73"/>
      <c r="JF194" s="72">
        <f t="shared" si="5728"/>
        <v>0</v>
      </c>
      <c r="JG194" s="63"/>
      <c r="JH194" s="73"/>
      <c r="JI194" s="72">
        <f t="shared" si="5729"/>
        <v>0</v>
      </c>
      <c r="JJ194" s="63"/>
      <c r="JK194" s="73"/>
      <c r="JL194" s="72">
        <f t="shared" si="5730"/>
        <v>0</v>
      </c>
      <c r="JM194" s="63"/>
      <c r="JN194" s="73"/>
      <c r="JO194" s="72">
        <f t="shared" si="5731"/>
        <v>0</v>
      </c>
      <c r="JP194" s="63"/>
      <c r="JQ194" s="73"/>
      <c r="JR194" s="72">
        <f t="shared" si="5732"/>
        <v>0</v>
      </c>
      <c r="JS194" s="63"/>
      <c r="JT194" s="73"/>
      <c r="JU194" s="72">
        <f t="shared" si="5733"/>
        <v>0</v>
      </c>
      <c r="JV194" s="63"/>
      <c r="JW194" s="73"/>
      <c r="JX194" s="72">
        <f t="shared" si="5734"/>
        <v>0</v>
      </c>
      <c r="JY194" s="63"/>
      <c r="JZ194" s="73"/>
      <c r="KA194" s="72">
        <f t="shared" si="5735"/>
        <v>0</v>
      </c>
      <c r="KB194" s="63"/>
      <c r="KC194" s="73"/>
      <c r="KD194" s="72">
        <f t="shared" si="5736"/>
        <v>0</v>
      </c>
      <c r="KE194" s="63"/>
      <c r="KF194" s="73"/>
      <c r="KG194" s="72">
        <f t="shared" si="5737"/>
        <v>0</v>
      </c>
      <c r="KH194" s="63"/>
      <c r="KI194" s="73"/>
      <c r="KJ194" s="72">
        <f t="shared" si="5738"/>
        <v>0</v>
      </c>
      <c r="KK194" s="63"/>
      <c r="KL194" s="73"/>
      <c r="KM194" s="72">
        <f t="shared" si="5739"/>
        <v>0</v>
      </c>
      <c r="KN194" s="63"/>
      <c r="KO194" s="73"/>
      <c r="KP194" s="72">
        <f t="shared" si="5740"/>
        <v>0</v>
      </c>
      <c r="KQ194" s="63"/>
      <c r="KR194" s="73"/>
      <c r="KS194" s="72">
        <f t="shared" si="5741"/>
        <v>0</v>
      </c>
      <c r="KT194" s="63"/>
      <c r="KU194" s="73"/>
      <c r="KV194" s="72">
        <f t="shared" si="5742"/>
        <v>0</v>
      </c>
      <c r="KW194" s="63"/>
      <c r="KX194" s="73"/>
      <c r="KY194" s="72">
        <f t="shared" si="5743"/>
        <v>0</v>
      </c>
      <c r="KZ194" s="63"/>
      <c r="LA194" s="73"/>
      <c r="LB194" s="72">
        <f t="shared" si="5744"/>
        <v>0</v>
      </c>
      <c r="LC194" s="63"/>
      <c r="LD194" s="73"/>
      <c r="LE194" s="72">
        <f t="shared" si="5745"/>
        <v>0</v>
      </c>
      <c r="LF194" s="63"/>
    </row>
    <row r="195" spans="1:318" s="784" customFormat="1">
      <c r="A195" s="25"/>
      <c r="B195" s="25"/>
      <c r="C195" s="25"/>
      <c r="D195" s="25"/>
      <c r="E195" s="25"/>
      <c r="F195" s="406">
        <f t="shared" si="5746"/>
        <v>30</v>
      </c>
      <c r="G195" s="406">
        <f ca="1">VLOOKUP(H195,Equipos!$Q$1:$R$25,2,0)</f>
        <v>20</v>
      </c>
      <c r="H195" s="444" t="str">
        <f>Idiomas!$D$260</f>
        <v>Dieciseisavos de final</v>
      </c>
      <c r="I195" s="50"/>
      <c r="J195" s="843"/>
      <c r="K195" s="56" t="str">
        <f>Idiomas!$D$199&amp;"-"&amp;ROWS($L$182:L195)</f>
        <v>Octavofinalista-14</v>
      </c>
      <c r="L195" s="53"/>
      <c r="M195" s="55" t="str">
        <f>WORLDCUP!AF125</f>
        <v>W82</v>
      </c>
      <c r="N195" s="25"/>
      <c r="O195" s="25"/>
      <c r="P195" s="25"/>
      <c r="Q195" s="25"/>
      <c r="R195" s="108"/>
      <c r="S195" s="796" t="s">
        <v>110</v>
      </c>
      <c r="T195" s="72">
        <f t="shared" si="5646"/>
        <v>0</v>
      </c>
      <c r="U195" s="63"/>
      <c r="V195" s="73" t="s">
        <v>110</v>
      </c>
      <c r="W195" s="72">
        <f t="shared" si="5647"/>
        <v>0</v>
      </c>
      <c r="X195" s="63"/>
      <c r="Y195" s="796" t="s">
        <v>110</v>
      </c>
      <c r="Z195" s="72">
        <f t="shared" si="5648"/>
        <v>0</v>
      </c>
      <c r="AA195" s="63"/>
      <c r="AB195" s="796" t="s">
        <v>110</v>
      </c>
      <c r="AC195" s="72">
        <f t="shared" si="5649"/>
        <v>0</v>
      </c>
      <c r="AD195" s="63"/>
      <c r="AE195" s="796" t="s">
        <v>110</v>
      </c>
      <c r="AF195" s="72">
        <f t="shared" si="5650"/>
        <v>0</v>
      </c>
      <c r="AG195" s="63"/>
      <c r="AH195" s="796" t="s">
        <v>110</v>
      </c>
      <c r="AI195" s="72">
        <f t="shared" si="5651"/>
        <v>0</v>
      </c>
      <c r="AJ195" s="63"/>
      <c r="AK195" s="806" t="s">
        <v>110</v>
      </c>
      <c r="AL195" s="72">
        <f t="shared" si="5652"/>
        <v>0</v>
      </c>
      <c r="AM195" s="63"/>
      <c r="AN195" s="796" t="s">
        <v>110</v>
      </c>
      <c r="AO195" s="72">
        <f t="shared" si="5653"/>
        <v>0</v>
      </c>
      <c r="AP195" s="63"/>
      <c r="AQ195" s="806" t="s">
        <v>110</v>
      </c>
      <c r="AR195" s="72">
        <f t="shared" si="5654"/>
        <v>0</v>
      </c>
      <c r="AS195" s="63"/>
      <c r="AT195" s="796" t="s">
        <v>110</v>
      </c>
      <c r="AU195" s="72">
        <f t="shared" si="5655"/>
        <v>0</v>
      </c>
      <c r="AV195" s="63"/>
      <c r="AW195" s="796" t="s">
        <v>110</v>
      </c>
      <c r="AX195" s="72">
        <f t="shared" si="5656"/>
        <v>0</v>
      </c>
      <c r="AY195" s="63"/>
      <c r="AZ195" s="796" t="s">
        <v>1262</v>
      </c>
      <c r="BA195" s="72">
        <f t="shared" si="5657"/>
        <v>0</v>
      </c>
      <c r="BB195" s="63"/>
      <c r="BC195" s="796" t="s">
        <v>110</v>
      </c>
      <c r="BD195" s="72">
        <f t="shared" si="5658"/>
        <v>0</v>
      </c>
      <c r="BE195" s="63"/>
      <c r="BF195" s="796" t="s">
        <v>110</v>
      </c>
      <c r="BG195" s="72">
        <f t="shared" si="5659"/>
        <v>0</v>
      </c>
      <c r="BH195" s="63"/>
      <c r="BI195" s="796" t="s">
        <v>110</v>
      </c>
      <c r="BJ195" s="72">
        <f t="shared" si="5660"/>
        <v>0</v>
      </c>
      <c r="BK195" s="63"/>
      <c r="BL195" s="796" t="s">
        <v>110</v>
      </c>
      <c r="BM195" s="72">
        <f t="shared" si="5661"/>
        <v>0</v>
      </c>
      <c r="BN195" s="63"/>
      <c r="BO195" s="816" t="s">
        <v>110</v>
      </c>
      <c r="BP195" s="72">
        <f t="shared" si="5662"/>
        <v>0</v>
      </c>
      <c r="BQ195" s="63"/>
      <c r="BR195" s="796" t="s">
        <v>110</v>
      </c>
      <c r="BS195" s="72">
        <f t="shared" si="5663"/>
        <v>0</v>
      </c>
      <c r="BT195" s="63"/>
      <c r="BU195" s="796" t="s">
        <v>110</v>
      </c>
      <c r="BV195" s="72">
        <f t="shared" si="5664"/>
        <v>0</v>
      </c>
      <c r="BW195" s="63"/>
      <c r="BX195" s="73" t="s">
        <v>1550</v>
      </c>
      <c r="BY195" s="72">
        <f t="shared" si="5665"/>
        <v>0</v>
      </c>
      <c r="BZ195" s="63"/>
      <c r="CA195" s="816" t="s">
        <v>110</v>
      </c>
      <c r="CB195" s="72">
        <f t="shared" si="5666"/>
        <v>0</v>
      </c>
      <c r="CC195" s="63"/>
      <c r="CD195" s="825" t="s">
        <v>110</v>
      </c>
      <c r="CE195" s="72">
        <f t="shared" si="5667"/>
        <v>0</v>
      </c>
      <c r="CF195" s="63"/>
      <c r="CG195" s="796" t="s">
        <v>110</v>
      </c>
      <c r="CH195" s="72">
        <f t="shared" si="5668"/>
        <v>0</v>
      </c>
      <c r="CI195" s="63"/>
      <c r="CJ195" s="796" t="s">
        <v>110</v>
      </c>
      <c r="CK195" s="72">
        <f t="shared" si="5669"/>
        <v>0</v>
      </c>
      <c r="CL195" s="63"/>
      <c r="CM195" s="796" t="s">
        <v>110</v>
      </c>
      <c r="CN195" s="72">
        <f t="shared" si="5670"/>
        <v>0</v>
      </c>
      <c r="CO195" s="63"/>
      <c r="CP195" s="796" t="s">
        <v>110</v>
      </c>
      <c r="CQ195" s="72">
        <f t="shared" si="5671"/>
        <v>0</v>
      </c>
      <c r="CR195" s="63"/>
      <c r="CS195" s="796" t="s">
        <v>110</v>
      </c>
      <c r="CT195" s="72">
        <f t="shared" si="5672"/>
        <v>0</v>
      </c>
      <c r="CU195" s="63"/>
      <c r="CV195" s="796" t="s">
        <v>1550</v>
      </c>
      <c r="CW195" s="72">
        <f t="shared" si="5673"/>
        <v>0</v>
      </c>
      <c r="CX195" s="63"/>
      <c r="CY195" s="796" t="s">
        <v>110</v>
      </c>
      <c r="CZ195" s="72">
        <f t="shared" si="5674"/>
        <v>0</v>
      </c>
      <c r="DA195" s="63"/>
      <c r="DB195" s="796" t="s">
        <v>110</v>
      </c>
      <c r="DC195" s="72">
        <f t="shared" si="5675"/>
        <v>0</v>
      </c>
      <c r="DD195" s="63"/>
      <c r="DE195" s="796" t="s">
        <v>110</v>
      </c>
      <c r="DF195" s="72">
        <f t="shared" si="5676"/>
        <v>0</v>
      </c>
      <c r="DG195" s="63"/>
      <c r="DH195" s="796" t="s">
        <v>110</v>
      </c>
      <c r="DI195" s="72">
        <f t="shared" si="5677"/>
        <v>0</v>
      </c>
      <c r="DJ195" s="63"/>
      <c r="DK195" s="796" t="s">
        <v>110</v>
      </c>
      <c r="DL195" s="72">
        <f t="shared" si="5678"/>
        <v>0</v>
      </c>
      <c r="DM195" s="63"/>
      <c r="DN195" s="73"/>
      <c r="DO195" s="72">
        <f t="shared" si="5679"/>
        <v>0</v>
      </c>
      <c r="DP195" s="63"/>
      <c r="DQ195" s="796" t="s">
        <v>110</v>
      </c>
      <c r="DR195" s="72">
        <f t="shared" si="5680"/>
        <v>0</v>
      </c>
      <c r="DS195" s="63"/>
      <c r="DT195" s="73" t="s">
        <v>110</v>
      </c>
      <c r="DU195" s="72">
        <f t="shared" si="5681"/>
        <v>0</v>
      </c>
      <c r="DV195" s="63"/>
      <c r="DW195" s="73"/>
      <c r="DX195" s="72">
        <f t="shared" si="5682"/>
        <v>0</v>
      </c>
      <c r="DY195" s="63"/>
      <c r="DZ195" s="73"/>
      <c r="EA195" s="72">
        <f t="shared" si="5683"/>
        <v>0</v>
      </c>
      <c r="EB195" s="63"/>
      <c r="EC195" s="73"/>
      <c r="ED195" s="72">
        <f t="shared" si="5684"/>
        <v>0</v>
      </c>
      <c r="EE195" s="63"/>
      <c r="EF195" s="73"/>
      <c r="EG195" s="72">
        <f t="shared" si="5685"/>
        <v>0</v>
      </c>
      <c r="EH195" s="63"/>
      <c r="EI195" s="73"/>
      <c r="EJ195" s="72">
        <f t="shared" si="5686"/>
        <v>0</v>
      </c>
      <c r="EK195" s="63"/>
      <c r="EL195" s="73"/>
      <c r="EM195" s="72">
        <f t="shared" si="5687"/>
        <v>0</v>
      </c>
      <c r="EN195" s="63"/>
      <c r="EO195" s="73"/>
      <c r="EP195" s="72">
        <f t="shared" si="5688"/>
        <v>0</v>
      </c>
      <c r="EQ195" s="63"/>
      <c r="ER195" s="73"/>
      <c r="ES195" s="72">
        <f t="shared" si="5689"/>
        <v>0</v>
      </c>
      <c r="ET195" s="63"/>
      <c r="EU195" s="73"/>
      <c r="EV195" s="72">
        <f t="shared" si="5690"/>
        <v>0</v>
      </c>
      <c r="EW195" s="63"/>
      <c r="EX195" s="73"/>
      <c r="EY195" s="72">
        <f t="shared" si="5691"/>
        <v>0</v>
      </c>
      <c r="EZ195" s="63"/>
      <c r="FA195" s="73"/>
      <c r="FB195" s="72">
        <f t="shared" si="5692"/>
        <v>0</v>
      </c>
      <c r="FC195" s="63"/>
      <c r="FD195" s="73"/>
      <c r="FE195" s="72">
        <f t="shared" si="5693"/>
        <v>0</v>
      </c>
      <c r="FF195" s="63"/>
      <c r="FG195" s="73"/>
      <c r="FH195" s="72">
        <f t="shared" si="5694"/>
        <v>0</v>
      </c>
      <c r="FI195" s="63"/>
      <c r="FJ195" s="73"/>
      <c r="FK195" s="72">
        <f t="shared" si="5695"/>
        <v>0</v>
      </c>
      <c r="FL195" s="63"/>
      <c r="FM195" s="73"/>
      <c r="FN195" s="72">
        <f t="shared" si="5696"/>
        <v>0</v>
      </c>
      <c r="FO195" s="63"/>
      <c r="FP195" s="73"/>
      <c r="FQ195" s="72">
        <f t="shared" si="5697"/>
        <v>0</v>
      </c>
      <c r="FR195" s="63"/>
      <c r="FS195" s="73"/>
      <c r="FT195" s="72">
        <f t="shared" si="5698"/>
        <v>0</v>
      </c>
      <c r="FU195" s="63"/>
      <c r="FV195" s="73"/>
      <c r="FW195" s="72">
        <f t="shared" si="5699"/>
        <v>0</v>
      </c>
      <c r="FX195" s="63"/>
      <c r="FY195" s="73"/>
      <c r="FZ195" s="72">
        <f t="shared" si="5700"/>
        <v>0</v>
      </c>
      <c r="GA195" s="63"/>
      <c r="GB195" s="73"/>
      <c r="GC195" s="72">
        <f t="shared" si="5701"/>
        <v>0</v>
      </c>
      <c r="GD195" s="63"/>
      <c r="GE195" s="73"/>
      <c r="GF195" s="72">
        <f t="shared" si="5702"/>
        <v>0</v>
      </c>
      <c r="GG195" s="63"/>
      <c r="GH195" s="73"/>
      <c r="GI195" s="72">
        <f t="shared" si="5703"/>
        <v>0</v>
      </c>
      <c r="GJ195" s="63"/>
      <c r="GK195" s="73"/>
      <c r="GL195" s="72">
        <f t="shared" si="5704"/>
        <v>0</v>
      </c>
      <c r="GM195" s="63"/>
      <c r="GN195" s="73"/>
      <c r="GO195" s="72">
        <f t="shared" si="5705"/>
        <v>0</v>
      </c>
      <c r="GP195" s="63"/>
      <c r="GQ195" s="73"/>
      <c r="GR195" s="72">
        <f t="shared" si="5706"/>
        <v>0</v>
      </c>
      <c r="GS195" s="63"/>
      <c r="GT195" s="73"/>
      <c r="GU195" s="72">
        <f t="shared" si="5707"/>
        <v>0</v>
      </c>
      <c r="GV195" s="63"/>
      <c r="GW195" s="73"/>
      <c r="GX195" s="72">
        <f t="shared" si="5708"/>
        <v>0</v>
      </c>
      <c r="GY195" s="63"/>
      <c r="GZ195" s="73"/>
      <c r="HA195" s="72">
        <f t="shared" si="5709"/>
        <v>0</v>
      </c>
      <c r="HB195" s="63"/>
      <c r="HC195" s="73"/>
      <c r="HD195" s="72">
        <f t="shared" si="5710"/>
        <v>0</v>
      </c>
      <c r="HE195" s="63"/>
      <c r="HF195" s="73"/>
      <c r="HG195" s="72">
        <f t="shared" si="5711"/>
        <v>0</v>
      </c>
      <c r="HH195" s="63"/>
      <c r="HI195" s="73"/>
      <c r="HJ195" s="72">
        <f t="shared" si="5712"/>
        <v>0</v>
      </c>
      <c r="HK195" s="63"/>
      <c r="HL195" s="73"/>
      <c r="HM195" s="72">
        <f t="shared" si="5713"/>
        <v>0</v>
      </c>
      <c r="HN195" s="63"/>
      <c r="HO195" s="73"/>
      <c r="HP195" s="72">
        <f t="shared" si="5714"/>
        <v>0</v>
      </c>
      <c r="HQ195" s="63"/>
      <c r="HR195" s="73"/>
      <c r="HS195" s="72">
        <f t="shared" si="5715"/>
        <v>0</v>
      </c>
      <c r="HT195" s="63"/>
      <c r="HU195" s="73"/>
      <c r="HV195" s="72">
        <f t="shared" si="5716"/>
        <v>0</v>
      </c>
      <c r="HW195" s="63"/>
      <c r="HX195" s="73"/>
      <c r="HY195" s="72">
        <f t="shared" si="5717"/>
        <v>0</v>
      </c>
      <c r="HZ195" s="63"/>
      <c r="IA195" s="73"/>
      <c r="IB195" s="72">
        <f t="shared" si="5718"/>
        <v>0</v>
      </c>
      <c r="IC195" s="63"/>
      <c r="ID195" s="73"/>
      <c r="IE195" s="72">
        <f t="shared" si="5719"/>
        <v>0</v>
      </c>
      <c r="IF195" s="63"/>
      <c r="IG195" s="73"/>
      <c r="IH195" s="72">
        <f t="shared" si="5720"/>
        <v>0</v>
      </c>
      <c r="II195" s="63"/>
      <c r="IJ195" s="73"/>
      <c r="IK195" s="72">
        <f t="shared" si="5721"/>
        <v>0</v>
      </c>
      <c r="IL195" s="63"/>
      <c r="IM195" s="73"/>
      <c r="IN195" s="72">
        <f t="shared" si="5722"/>
        <v>0</v>
      </c>
      <c r="IO195" s="63"/>
      <c r="IP195" s="73"/>
      <c r="IQ195" s="72">
        <f t="shared" si="5723"/>
        <v>0</v>
      </c>
      <c r="IR195" s="63"/>
      <c r="IS195" s="73"/>
      <c r="IT195" s="72">
        <f t="shared" si="5724"/>
        <v>0</v>
      </c>
      <c r="IU195" s="63"/>
      <c r="IV195" s="73"/>
      <c r="IW195" s="72">
        <f t="shared" si="5725"/>
        <v>0</v>
      </c>
      <c r="IX195" s="63"/>
      <c r="IY195" s="73"/>
      <c r="IZ195" s="72">
        <f t="shared" si="5726"/>
        <v>0</v>
      </c>
      <c r="JA195" s="63"/>
      <c r="JB195" s="73"/>
      <c r="JC195" s="72">
        <f t="shared" si="5727"/>
        <v>0</v>
      </c>
      <c r="JD195" s="63"/>
      <c r="JE195" s="73"/>
      <c r="JF195" s="72">
        <f t="shared" si="5728"/>
        <v>0</v>
      </c>
      <c r="JG195" s="63"/>
      <c r="JH195" s="73"/>
      <c r="JI195" s="72">
        <f t="shared" si="5729"/>
        <v>0</v>
      </c>
      <c r="JJ195" s="63"/>
      <c r="JK195" s="73"/>
      <c r="JL195" s="72">
        <f t="shared" si="5730"/>
        <v>0</v>
      </c>
      <c r="JM195" s="63"/>
      <c r="JN195" s="73"/>
      <c r="JO195" s="72">
        <f t="shared" si="5731"/>
        <v>0</v>
      </c>
      <c r="JP195" s="63"/>
      <c r="JQ195" s="73"/>
      <c r="JR195" s="72">
        <f t="shared" si="5732"/>
        <v>0</v>
      </c>
      <c r="JS195" s="63"/>
      <c r="JT195" s="73"/>
      <c r="JU195" s="72">
        <f t="shared" si="5733"/>
        <v>0</v>
      </c>
      <c r="JV195" s="63"/>
      <c r="JW195" s="73"/>
      <c r="JX195" s="72">
        <f t="shared" si="5734"/>
        <v>0</v>
      </c>
      <c r="JY195" s="63"/>
      <c r="JZ195" s="73"/>
      <c r="KA195" s="72">
        <f t="shared" si="5735"/>
        <v>0</v>
      </c>
      <c r="KB195" s="63"/>
      <c r="KC195" s="73"/>
      <c r="KD195" s="72">
        <f t="shared" si="5736"/>
        <v>0</v>
      </c>
      <c r="KE195" s="63"/>
      <c r="KF195" s="73"/>
      <c r="KG195" s="72">
        <f t="shared" si="5737"/>
        <v>0</v>
      </c>
      <c r="KH195" s="63"/>
      <c r="KI195" s="73"/>
      <c r="KJ195" s="72">
        <f t="shared" si="5738"/>
        <v>0</v>
      </c>
      <c r="KK195" s="63"/>
      <c r="KL195" s="73"/>
      <c r="KM195" s="72">
        <f t="shared" si="5739"/>
        <v>0</v>
      </c>
      <c r="KN195" s="63"/>
      <c r="KO195" s="73"/>
      <c r="KP195" s="72">
        <f t="shared" si="5740"/>
        <v>0</v>
      </c>
      <c r="KQ195" s="63"/>
      <c r="KR195" s="73"/>
      <c r="KS195" s="72">
        <f t="shared" si="5741"/>
        <v>0</v>
      </c>
      <c r="KT195" s="63"/>
      <c r="KU195" s="73"/>
      <c r="KV195" s="72">
        <f t="shared" si="5742"/>
        <v>0</v>
      </c>
      <c r="KW195" s="63"/>
      <c r="KX195" s="73"/>
      <c r="KY195" s="72">
        <f t="shared" si="5743"/>
        <v>0</v>
      </c>
      <c r="KZ195" s="63"/>
      <c r="LA195" s="73"/>
      <c r="LB195" s="72">
        <f t="shared" si="5744"/>
        <v>0</v>
      </c>
      <c r="LC195" s="63"/>
      <c r="LD195" s="73"/>
      <c r="LE195" s="72">
        <f t="shared" si="5745"/>
        <v>0</v>
      </c>
      <c r="LF195" s="63"/>
    </row>
    <row r="196" spans="1:318" s="784" customFormat="1">
      <c r="A196" s="25"/>
      <c r="B196" s="25"/>
      <c r="C196" s="25"/>
      <c r="D196" s="25"/>
      <c r="E196" s="25"/>
      <c r="F196" s="406">
        <f t="shared" si="5746"/>
        <v>30</v>
      </c>
      <c r="G196" s="406">
        <f ca="1">VLOOKUP(H196,Equipos!$Q$1:$R$25,2,0)</f>
        <v>20</v>
      </c>
      <c r="H196" s="444" t="str">
        <f>Idiomas!$D$260</f>
        <v>Dieciseisavos de final</v>
      </c>
      <c r="I196" s="50"/>
      <c r="J196" s="843"/>
      <c r="K196" s="56" t="str">
        <f>Idiomas!$D$199&amp;"-"&amp;ROWS($L$182:L196)</f>
        <v>Octavofinalista-15</v>
      </c>
      <c r="L196" s="53"/>
      <c r="M196" s="55" t="str">
        <f>WORLDCUP!AF126</f>
        <v>W88</v>
      </c>
      <c r="N196" s="25"/>
      <c r="O196" s="25"/>
      <c r="P196" s="25"/>
      <c r="Q196" s="25"/>
      <c r="R196" s="108"/>
      <c r="S196" s="796" t="s">
        <v>1835</v>
      </c>
      <c r="T196" s="72">
        <f t="shared" si="5646"/>
        <v>0</v>
      </c>
      <c r="U196" s="63"/>
      <c r="V196" s="73" t="s">
        <v>497</v>
      </c>
      <c r="W196" s="72">
        <f t="shared" si="5647"/>
        <v>0</v>
      </c>
      <c r="X196" s="63"/>
      <c r="Y196" s="796" t="s">
        <v>497</v>
      </c>
      <c r="Z196" s="72">
        <f t="shared" si="5648"/>
        <v>0</v>
      </c>
      <c r="AA196" s="63"/>
      <c r="AB196" s="796" t="s">
        <v>1319</v>
      </c>
      <c r="AC196" s="72">
        <f t="shared" si="5649"/>
        <v>0</v>
      </c>
      <c r="AD196" s="63"/>
      <c r="AE196" s="796" t="s">
        <v>1319</v>
      </c>
      <c r="AF196" s="72">
        <f t="shared" si="5650"/>
        <v>0</v>
      </c>
      <c r="AG196" s="63"/>
      <c r="AH196" s="796" t="s">
        <v>1550</v>
      </c>
      <c r="AI196" s="72">
        <f t="shared" si="5651"/>
        <v>0</v>
      </c>
      <c r="AJ196" s="63"/>
      <c r="AK196" s="806" t="s">
        <v>1319</v>
      </c>
      <c r="AL196" s="72">
        <f t="shared" si="5652"/>
        <v>0</v>
      </c>
      <c r="AM196" s="63"/>
      <c r="AN196" s="796" t="s">
        <v>1550</v>
      </c>
      <c r="AO196" s="72">
        <f t="shared" si="5653"/>
        <v>0</v>
      </c>
      <c r="AP196" s="63"/>
      <c r="AQ196" s="806" t="s">
        <v>1550</v>
      </c>
      <c r="AR196" s="72">
        <f t="shared" si="5654"/>
        <v>0</v>
      </c>
      <c r="AS196" s="63"/>
      <c r="AT196" s="796" t="s">
        <v>1262</v>
      </c>
      <c r="AU196" s="72">
        <f t="shared" si="5655"/>
        <v>0</v>
      </c>
      <c r="AV196" s="63"/>
      <c r="AW196" s="796" t="s">
        <v>497</v>
      </c>
      <c r="AX196" s="72">
        <f t="shared" si="5656"/>
        <v>0</v>
      </c>
      <c r="AY196" s="63"/>
      <c r="AZ196" s="796" t="s">
        <v>1550</v>
      </c>
      <c r="BA196" s="72">
        <f t="shared" si="5657"/>
        <v>0</v>
      </c>
      <c r="BB196" s="63"/>
      <c r="BC196" s="796" t="s">
        <v>497</v>
      </c>
      <c r="BD196" s="72">
        <f t="shared" si="5658"/>
        <v>0</v>
      </c>
      <c r="BE196" s="63"/>
      <c r="BF196" s="796" t="s">
        <v>1319</v>
      </c>
      <c r="BG196" s="72">
        <f t="shared" si="5659"/>
        <v>0</v>
      </c>
      <c r="BH196" s="63"/>
      <c r="BI196" s="796" t="s">
        <v>497</v>
      </c>
      <c r="BJ196" s="72">
        <f t="shared" si="5660"/>
        <v>0</v>
      </c>
      <c r="BK196" s="63"/>
      <c r="BL196" s="796" t="s">
        <v>1835</v>
      </c>
      <c r="BM196" s="72">
        <f t="shared" si="5661"/>
        <v>0</v>
      </c>
      <c r="BN196" s="63"/>
      <c r="BO196" s="816" t="s">
        <v>1550</v>
      </c>
      <c r="BP196" s="72">
        <f t="shared" si="5662"/>
        <v>0</v>
      </c>
      <c r="BQ196" s="63"/>
      <c r="BR196" s="796" t="s">
        <v>1319</v>
      </c>
      <c r="BS196" s="72">
        <f t="shared" si="5663"/>
        <v>0</v>
      </c>
      <c r="BT196" s="63"/>
      <c r="BU196" s="796" t="s">
        <v>497</v>
      </c>
      <c r="BV196" s="72">
        <f t="shared" si="5664"/>
        <v>0</v>
      </c>
      <c r="BW196" s="63"/>
      <c r="BX196" s="73" t="s">
        <v>110</v>
      </c>
      <c r="BY196" s="72">
        <f t="shared" si="5665"/>
        <v>0</v>
      </c>
      <c r="BZ196" s="63"/>
      <c r="CA196" s="816" t="s">
        <v>497</v>
      </c>
      <c r="CB196" s="72">
        <f t="shared" si="5666"/>
        <v>0</v>
      </c>
      <c r="CC196" s="63"/>
      <c r="CD196" s="825" t="s">
        <v>1550</v>
      </c>
      <c r="CE196" s="72">
        <f t="shared" si="5667"/>
        <v>0</v>
      </c>
      <c r="CF196" s="63"/>
      <c r="CG196" s="796" t="s">
        <v>1319</v>
      </c>
      <c r="CH196" s="72">
        <f t="shared" si="5668"/>
        <v>0</v>
      </c>
      <c r="CI196" s="63"/>
      <c r="CJ196" s="796" t="s">
        <v>497</v>
      </c>
      <c r="CK196" s="72">
        <f t="shared" si="5669"/>
        <v>0</v>
      </c>
      <c r="CL196" s="63"/>
      <c r="CM196" s="796" t="s">
        <v>497</v>
      </c>
      <c r="CN196" s="72">
        <f t="shared" si="5670"/>
        <v>0</v>
      </c>
      <c r="CO196" s="63"/>
      <c r="CP196" s="796" t="s">
        <v>497</v>
      </c>
      <c r="CQ196" s="72">
        <f t="shared" si="5671"/>
        <v>0</v>
      </c>
      <c r="CR196" s="63"/>
      <c r="CS196" s="796" t="s">
        <v>1319</v>
      </c>
      <c r="CT196" s="72">
        <f t="shared" si="5672"/>
        <v>0</v>
      </c>
      <c r="CU196" s="63"/>
      <c r="CV196" s="796" t="s">
        <v>1319</v>
      </c>
      <c r="CW196" s="72">
        <f t="shared" si="5673"/>
        <v>0</v>
      </c>
      <c r="CX196" s="63"/>
      <c r="CY196" s="796" t="s">
        <v>1550</v>
      </c>
      <c r="CZ196" s="72">
        <f t="shared" si="5674"/>
        <v>0</v>
      </c>
      <c r="DA196" s="63"/>
      <c r="DB196" s="796" t="s">
        <v>497</v>
      </c>
      <c r="DC196" s="72">
        <f t="shared" si="5675"/>
        <v>0</v>
      </c>
      <c r="DD196" s="63"/>
      <c r="DE196" s="796" t="s">
        <v>497</v>
      </c>
      <c r="DF196" s="72">
        <f t="shared" si="5676"/>
        <v>0</v>
      </c>
      <c r="DG196" s="63"/>
      <c r="DH196" s="796" t="s">
        <v>1319</v>
      </c>
      <c r="DI196" s="72">
        <f t="shared" si="5677"/>
        <v>0</v>
      </c>
      <c r="DJ196" s="63"/>
      <c r="DK196" s="796" t="s">
        <v>497</v>
      </c>
      <c r="DL196" s="72">
        <f t="shared" si="5678"/>
        <v>0</v>
      </c>
      <c r="DM196" s="63"/>
      <c r="DN196" s="73"/>
      <c r="DO196" s="72">
        <f t="shared" si="5679"/>
        <v>0</v>
      </c>
      <c r="DP196" s="63"/>
      <c r="DQ196" s="796" t="s">
        <v>1835</v>
      </c>
      <c r="DR196" s="72">
        <f t="shared" si="5680"/>
        <v>0</v>
      </c>
      <c r="DS196" s="63"/>
      <c r="DT196" s="73" t="s">
        <v>1835</v>
      </c>
      <c r="DU196" s="72">
        <f t="shared" si="5681"/>
        <v>0</v>
      </c>
      <c r="DV196" s="63"/>
      <c r="DW196" s="73"/>
      <c r="DX196" s="72">
        <f t="shared" si="5682"/>
        <v>0</v>
      </c>
      <c r="DY196" s="63"/>
      <c r="DZ196" s="73"/>
      <c r="EA196" s="72">
        <f t="shared" si="5683"/>
        <v>0</v>
      </c>
      <c r="EB196" s="63"/>
      <c r="EC196" s="73"/>
      <c r="ED196" s="72">
        <f t="shared" si="5684"/>
        <v>0</v>
      </c>
      <c r="EE196" s="63"/>
      <c r="EF196" s="73"/>
      <c r="EG196" s="72">
        <f t="shared" si="5685"/>
        <v>0</v>
      </c>
      <c r="EH196" s="63"/>
      <c r="EI196" s="73"/>
      <c r="EJ196" s="72">
        <f t="shared" si="5686"/>
        <v>0</v>
      </c>
      <c r="EK196" s="63"/>
      <c r="EL196" s="73"/>
      <c r="EM196" s="72">
        <f t="shared" si="5687"/>
        <v>0</v>
      </c>
      <c r="EN196" s="63"/>
      <c r="EO196" s="73"/>
      <c r="EP196" s="72">
        <f t="shared" si="5688"/>
        <v>0</v>
      </c>
      <c r="EQ196" s="63"/>
      <c r="ER196" s="73"/>
      <c r="ES196" s="72">
        <f t="shared" si="5689"/>
        <v>0</v>
      </c>
      <c r="ET196" s="63"/>
      <c r="EU196" s="73"/>
      <c r="EV196" s="72">
        <f t="shared" si="5690"/>
        <v>0</v>
      </c>
      <c r="EW196" s="63"/>
      <c r="EX196" s="73"/>
      <c r="EY196" s="72">
        <f t="shared" si="5691"/>
        <v>0</v>
      </c>
      <c r="EZ196" s="63"/>
      <c r="FA196" s="73"/>
      <c r="FB196" s="72">
        <f t="shared" si="5692"/>
        <v>0</v>
      </c>
      <c r="FC196" s="63"/>
      <c r="FD196" s="73"/>
      <c r="FE196" s="72">
        <f t="shared" si="5693"/>
        <v>0</v>
      </c>
      <c r="FF196" s="63"/>
      <c r="FG196" s="73"/>
      <c r="FH196" s="72">
        <f t="shared" si="5694"/>
        <v>0</v>
      </c>
      <c r="FI196" s="63"/>
      <c r="FJ196" s="73"/>
      <c r="FK196" s="72">
        <f t="shared" si="5695"/>
        <v>0</v>
      </c>
      <c r="FL196" s="63"/>
      <c r="FM196" s="73"/>
      <c r="FN196" s="72">
        <f t="shared" si="5696"/>
        <v>0</v>
      </c>
      <c r="FO196" s="63"/>
      <c r="FP196" s="73"/>
      <c r="FQ196" s="72">
        <f t="shared" si="5697"/>
        <v>0</v>
      </c>
      <c r="FR196" s="63"/>
      <c r="FS196" s="73"/>
      <c r="FT196" s="72">
        <f t="shared" si="5698"/>
        <v>0</v>
      </c>
      <c r="FU196" s="63"/>
      <c r="FV196" s="73"/>
      <c r="FW196" s="72">
        <f t="shared" si="5699"/>
        <v>0</v>
      </c>
      <c r="FX196" s="63"/>
      <c r="FY196" s="73"/>
      <c r="FZ196" s="72">
        <f t="shared" si="5700"/>
        <v>0</v>
      </c>
      <c r="GA196" s="63"/>
      <c r="GB196" s="73"/>
      <c r="GC196" s="72">
        <f t="shared" si="5701"/>
        <v>0</v>
      </c>
      <c r="GD196" s="63"/>
      <c r="GE196" s="73"/>
      <c r="GF196" s="72">
        <f t="shared" si="5702"/>
        <v>0</v>
      </c>
      <c r="GG196" s="63"/>
      <c r="GH196" s="73"/>
      <c r="GI196" s="72">
        <f t="shared" si="5703"/>
        <v>0</v>
      </c>
      <c r="GJ196" s="63"/>
      <c r="GK196" s="73"/>
      <c r="GL196" s="72">
        <f t="shared" si="5704"/>
        <v>0</v>
      </c>
      <c r="GM196" s="63"/>
      <c r="GN196" s="73"/>
      <c r="GO196" s="72">
        <f t="shared" si="5705"/>
        <v>0</v>
      </c>
      <c r="GP196" s="63"/>
      <c r="GQ196" s="73"/>
      <c r="GR196" s="72">
        <f t="shared" si="5706"/>
        <v>0</v>
      </c>
      <c r="GS196" s="63"/>
      <c r="GT196" s="73"/>
      <c r="GU196" s="72">
        <f t="shared" si="5707"/>
        <v>0</v>
      </c>
      <c r="GV196" s="63"/>
      <c r="GW196" s="73"/>
      <c r="GX196" s="72">
        <f t="shared" si="5708"/>
        <v>0</v>
      </c>
      <c r="GY196" s="63"/>
      <c r="GZ196" s="73"/>
      <c r="HA196" s="72">
        <f t="shared" si="5709"/>
        <v>0</v>
      </c>
      <c r="HB196" s="63"/>
      <c r="HC196" s="73"/>
      <c r="HD196" s="72">
        <f t="shared" si="5710"/>
        <v>0</v>
      </c>
      <c r="HE196" s="63"/>
      <c r="HF196" s="73"/>
      <c r="HG196" s="72">
        <f t="shared" si="5711"/>
        <v>0</v>
      </c>
      <c r="HH196" s="63"/>
      <c r="HI196" s="73"/>
      <c r="HJ196" s="72">
        <f t="shared" si="5712"/>
        <v>0</v>
      </c>
      <c r="HK196" s="63"/>
      <c r="HL196" s="73"/>
      <c r="HM196" s="72">
        <f t="shared" si="5713"/>
        <v>0</v>
      </c>
      <c r="HN196" s="63"/>
      <c r="HO196" s="73"/>
      <c r="HP196" s="72">
        <f t="shared" si="5714"/>
        <v>0</v>
      </c>
      <c r="HQ196" s="63"/>
      <c r="HR196" s="73"/>
      <c r="HS196" s="72">
        <f t="shared" si="5715"/>
        <v>0</v>
      </c>
      <c r="HT196" s="63"/>
      <c r="HU196" s="73"/>
      <c r="HV196" s="72">
        <f t="shared" si="5716"/>
        <v>0</v>
      </c>
      <c r="HW196" s="63"/>
      <c r="HX196" s="73"/>
      <c r="HY196" s="72">
        <f t="shared" si="5717"/>
        <v>0</v>
      </c>
      <c r="HZ196" s="63"/>
      <c r="IA196" s="73"/>
      <c r="IB196" s="72">
        <f t="shared" si="5718"/>
        <v>0</v>
      </c>
      <c r="IC196" s="63"/>
      <c r="ID196" s="73"/>
      <c r="IE196" s="72">
        <f t="shared" si="5719"/>
        <v>0</v>
      </c>
      <c r="IF196" s="63"/>
      <c r="IG196" s="73"/>
      <c r="IH196" s="72">
        <f t="shared" si="5720"/>
        <v>0</v>
      </c>
      <c r="II196" s="63"/>
      <c r="IJ196" s="73"/>
      <c r="IK196" s="72">
        <f t="shared" si="5721"/>
        <v>0</v>
      </c>
      <c r="IL196" s="63"/>
      <c r="IM196" s="73"/>
      <c r="IN196" s="72">
        <f t="shared" si="5722"/>
        <v>0</v>
      </c>
      <c r="IO196" s="63"/>
      <c r="IP196" s="73"/>
      <c r="IQ196" s="72">
        <f t="shared" si="5723"/>
        <v>0</v>
      </c>
      <c r="IR196" s="63"/>
      <c r="IS196" s="73"/>
      <c r="IT196" s="72">
        <f t="shared" si="5724"/>
        <v>0</v>
      </c>
      <c r="IU196" s="63"/>
      <c r="IV196" s="73"/>
      <c r="IW196" s="72">
        <f t="shared" si="5725"/>
        <v>0</v>
      </c>
      <c r="IX196" s="63"/>
      <c r="IY196" s="73"/>
      <c r="IZ196" s="72">
        <f t="shared" si="5726"/>
        <v>0</v>
      </c>
      <c r="JA196" s="63"/>
      <c r="JB196" s="73"/>
      <c r="JC196" s="72">
        <f t="shared" si="5727"/>
        <v>0</v>
      </c>
      <c r="JD196" s="63"/>
      <c r="JE196" s="73"/>
      <c r="JF196" s="72">
        <f t="shared" si="5728"/>
        <v>0</v>
      </c>
      <c r="JG196" s="63"/>
      <c r="JH196" s="73"/>
      <c r="JI196" s="72">
        <f t="shared" si="5729"/>
        <v>0</v>
      </c>
      <c r="JJ196" s="63"/>
      <c r="JK196" s="73"/>
      <c r="JL196" s="72">
        <f t="shared" si="5730"/>
        <v>0</v>
      </c>
      <c r="JM196" s="63"/>
      <c r="JN196" s="73"/>
      <c r="JO196" s="72">
        <f t="shared" si="5731"/>
        <v>0</v>
      </c>
      <c r="JP196" s="63"/>
      <c r="JQ196" s="73"/>
      <c r="JR196" s="72">
        <f t="shared" si="5732"/>
        <v>0</v>
      </c>
      <c r="JS196" s="63"/>
      <c r="JT196" s="73"/>
      <c r="JU196" s="72">
        <f t="shared" si="5733"/>
        <v>0</v>
      </c>
      <c r="JV196" s="63"/>
      <c r="JW196" s="73"/>
      <c r="JX196" s="72">
        <f t="shared" si="5734"/>
        <v>0</v>
      </c>
      <c r="JY196" s="63"/>
      <c r="JZ196" s="73"/>
      <c r="KA196" s="72">
        <f t="shared" si="5735"/>
        <v>0</v>
      </c>
      <c r="KB196" s="63"/>
      <c r="KC196" s="73"/>
      <c r="KD196" s="72">
        <f t="shared" si="5736"/>
        <v>0</v>
      </c>
      <c r="KE196" s="63"/>
      <c r="KF196" s="73"/>
      <c r="KG196" s="72">
        <f t="shared" si="5737"/>
        <v>0</v>
      </c>
      <c r="KH196" s="63"/>
      <c r="KI196" s="73"/>
      <c r="KJ196" s="72">
        <f t="shared" si="5738"/>
        <v>0</v>
      </c>
      <c r="KK196" s="63"/>
      <c r="KL196" s="73"/>
      <c r="KM196" s="72">
        <f t="shared" si="5739"/>
        <v>0</v>
      </c>
      <c r="KN196" s="63"/>
      <c r="KO196" s="73"/>
      <c r="KP196" s="72">
        <f t="shared" si="5740"/>
        <v>0</v>
      </c>
      <c r="KQ196" s="63"/>
      <c r="KR196" s="73"/>
      <c r="KS196" s="72">
        <f t="shared" si="5741"/>
        <v>0</v>
      </c>
      <c r="KT196" s="63"/>
      <c r="KU196" s="73"/>
      <c r="KV196" s="72">
        <f t="shared" si="5742"/>
        <v>0</v>
      </c>
      <c r="KW196" s="63"/>
      <c r="KX196" s="73"/>
      <c r="KY196" s="72">
        <f t="shared" si="5743"/>
        <v>0</v>
      </c>
      <c r="KZ196" s="63"/>
      <c r="LA196" s="73"/>
      <c r="LB196" s="72">
        <f t="shared" si="5744"/>
        <v>0</v>
      </c>
      <c r="LC196" s="63"/>
      <c r="LD196" s="73"/>
      <c r="LE196" s="72">
        <f t="shared" si="5745"/>
        <v>0</v>
      </c>
      <c r="LF196" s="63"/>
    </row>
    <row r="197" spans="1:318" s="784" customFormat="1">
      <c r="A197" s="25"/>
      <c r="B197" s="25"/>
      <c r="C197" s="25"/>
      <c r="D197" s="25"/>
      <c r="E197" s="25"/>
      <c r="F197" s="406">
        <f t="shared" si="5746"/>
        <v>30</v>
      </c>
      <c r="G197" s="406">
        <f ca="1">VLOOKUP(H197,Equipos!$Q$1:$R$25,2,0)</f>
        <v>20</v>
      </c>
      <c r="H197" s="444" t="str">
        <f>Idiomas!$D$260</f>
        <v>Dieciseisavos de final</v>
      </c>
      <c r="I197" s="50"/>
      <c r="J197" s="843"/>
      <c r="K197" s="113" t="str">
        <f>Idiomas!$D$199&amp;"-"&amp;ROWS($L$182:L197)</f>
        <v>Octavofinalista-16</v>
      </c>
      <c r="L197" s="113"/>
      <c r="M197" s="114" t="str">
        <f>WORLDCUP!AF127</f>
        <v>W87</v>
      </c>
      <c r="N197" s="25"/>
      <c r="O197" s="25"/>
      <c r="P197" s="25"/>
      <c r="Q197" s="25"/>
      <c r="R197" s="108"/>
      <c r="S197" s="796" t="s">
        <v>79</v>
      </c>
      <c r="T197" s="80">
        <f t="shared" si="5646"/>
        <v>0</v>
      </c>
      <c r="U197" s="63"/>
      <c r="V197" s="79" t="s">
        <v>79</v>
      </c>
      <c r="W197" s="80">
        <f t="shared" si="5647"/>
        <v>0</v>
      </c>
      <c r="X197" s="63"/>
      <c r="Y197" s="796" t="s">
        <v>79</v>
      </c>
      <c r="Z197" s="80">
        <f t="shared" si="5648"/>
        <v>0</v>
      </c>
      <c r="AA197" s="63"/>
      <c r="AB197" s="796" t="s">
        <v>79</v>
      </c>
      <c r="AC197" s="80">
        <f t="shared" si="5649"/>
        <v>0</v>
      </c>
      <c r="AD197" s="63"/>
      <c r="AE197" s="796" t="s">
        <v>79</v>
      </c>
      <c r="AF197" s="80">
        <f t="shared" si="5650"/>
        <v>0</v>
      </c>
      <c r="AG197" s="63"/>
      <c r="AH197" s="796" t="s">
        <v>79</v>
      </c>
      <c r="AI197" s="80">
        <f t="shared" si="5651"/>
        <v>0</v>
      </c>
      <c r="AJ197" s="63"/>
      <c r="AK197" s="806" t="s">
        <v>79</v>
      </c>
      <c r="AL197" s="80">
        <f t="shared" si="5652"/>
        <v>0</v>
      </c>
      <c r="AM197" s="63"/>
      <c r="AN197" s="796" t="s">
        <v>79</v>
      </c>
      <c r="AO197" s="80">
        <f t="shared" si="5653"/>
        <v>0</v>
      </c>
      <c r="AP197" s="63"/>
      <c r="AQ197" s="806" t="s">
        <v>79</v>
      </c>
      <c r="AR197" s="80">
        <f t="shared" si="5654"/>
        <v>0</v>
      </c>
      <c r="AS197" s="63"/>
      <c r="AT197" s="796" t="s">
        <v>79</v>
      </c>
      <c r="AU197" s="80">
        <f t="shared" si="5655"/>
        <v>0</v>
      </c>
      <c r="AV197" s="63"/>
      <c r="AW197" s="796" t="s">
        <v>79</v>
      </c>
      <c r="AX197" s="80">
        <f t="shared" si="5656"/>
        <v>0</v>
      </c>
      <c r="AY197" s="63"/>
      <c r="AZ197" s="796" t="s">
        <v>1267</v>
      </c>
      <c r="BA197" s="80">
        <f t="shared" si="5657"/>
        <v>0</v>
      </c>
      <c r="BB197" s="63"/>
      <c r="BC197" s="796" t="s">
        <v>79</v>
      </c>
      <c r="BD197" s="80">
        <f t="shared" si="5658"/>
        <v>0</v>
      </c>
      <c r="BE197" s="63"/>
      <c r="BF197" s="796" t="s">
        <v>79</v>
      </c>
      <c r="BG197" s="80">
        <f t="shared" si="5659"/>
        <v>0</v>
      </c>
      <c r="BH197" s="63"/>
      <c r="BI197" s="796" t="s">
        <v>79</v>
      </c>
      <c r="BJ197" s="80">
        <f t="shared" si="5660"/>
        <v>0</v>
      </c>
      <c r="BK197" s="63"/>
      <c r="BL197" s="796" t="s">
        <v>79</v>
      </c>
      <c r="BM197" s="80">
        <f t="shared" si="5661"/>
        <v>0</v>
      </c>
      <c r="BN197" s="63"/>
      <c r="BO197" s="816" t="s">
        <v>79</v>
      </c>
      <c r="BP197" s="80">
        <f t="shared" si="5662"/>
        <v>0</v>
      </c>
      <c r="BQ197" s="63"/>
      <c r="BR197" s="796" t="s">
        <v>79</v>
      </c>
      <c r="BS197" s="80">
        <f t="shared" si="5663"/>
        <v>0</v>
      </c>
      <c r="BT197" s="63"/>
      <c r="BU197" s="796" t="s">
        <v>79</v>
      </c>
      <c r="BV197" s="80">
        <f t="shared" si="5664"/>
        <v>0</v>
      </c>
      <c r="BW197" s="63"/>
      <c r="BX197" s="79" t="s">
        <v>79</v>
      </c>
      <c r="BY197" s="80">
        <f t="shared" si="5665"/>
        <v>0</v>
      </c>
      <c r="BZ197" s="63"/>
      <c r="CA197" s="816" t="s">
        <v>79</v>
      </c>
      <c r="CB197" s="80">
        <f t="shared" si="5666"/>
        <v>0</v>
      </c>
      <c r="CC197" s="63"/>
      <c r="CD197" s="825" t="s">
        <v>79</v>
      </c>
      <c r="CE197" s="80">
        <f t="shared" si="5667"/>
        <v>0</v>
      </c>
      <c r="CF197" s="63"/>
      <c r="CG197" s="796" t="s">
        <v>79</v>
      </c>
      <c r="CH197" s="80">
        <f t="shared" si="5668"/>
        <v>0</v>
      </c>
      <c r="CI197" s="63"/>
      <c r="CJ197" s="796" t="s">
        <v>79</v>
      </c>
      <c r="CK197" s="80">
        <f t="shared" si="5669"/>
        <v>0</v>
      </c>
      <c r="CL197" s="63"/>
      <c r="CM197" s="796" t="s">
        <v>1320</v>
      </c>
      <c r="CN197" s="80">
        <f t="shared" si="5670"/>
        <v>0</v>
      </c>
      <c r="CO197" s="63"/>
      <c r="CP197" s="796" t="s">
        <v>79</v>
      </c>
      <c r="CQ197" s="80">
        <f t="shared" si="5671"/>
        <v>0</v>
      </c>
      <c r="CR197" s="63"/>
      <c r="CS197" s="796" t="s">
        <v>79</v>
      </c>
      <c r="CT197" s="80">
        <f t="shared" si="5672"/>
        <v>0</v>
      </c>
      <c r="CU197" s="63"/>
      <c r="CV197" s="796" t="s">
        <v>79</v>
      </c>
      <c r="CW197" s="80">
        <f t="shared" si="5673"/>
        <v>0</v>
      </c>
      <c r="CX197" s="63"/>
      <c r="CY197" s="796" t="s">
        <v>79</v>
      </c>
      <c r="CZ197" s="80">
        <f t="shared" si="5674"/>
        <v>0</v>
      </c>
      <c r="DA197" s="63"/>
      <c r="DB197" s="796" t="s">
        <v>1320</v>
      </c>
      <c r="DC197" s="80">
        <f t="shared" si="5675"/>
        <v>0</v>
      </c>
      <c r="DD197" s="63"/>
      <c r="DE197" s="796" t="s">
        <v>79</v>
      </c>
      <c r="DF197" s="80">
        <f t="shared" si="5676"/>
        <v>0</v>
      </c>
      <c r="DG197" s="63"/>
      <c r="DH197" s="796" t="s">
        <v>79</v>
      </c>
      <c r="DI197" s="80">
        <f t="shared" si="5677"/>
        <v>0</v>
      </c>
      <c r="DJ197" s="63"/>
      <c r="DK197" s="796" t="s">
        <v>79</v>
      </c>
      <c r="DL197" s="80">
        <f t="shared" si="5678"/>
        <v>0</v>
      </c>
      <c r="DM197" s="63"/>
      <c r="DN197" s="79"/>
      <c r="DO197" s="80">
        <f t="shared" si="5679"/>
        <v>0</v>
      </c>
      <c r="DP197" s="63"/>
      <c r="DQ197" s="796" t="s">
        <v>79</v>
      </c>
      <c r="DR197" s="80">
        <f t="shared" si="5680"/>
        <v>0</v>
      </c>
      <c r="DS197" s="63"/>
      <c r="DT197" s="79" t="s">
        <v>79</v>
      </c>
      <c r="DU197" s="80">
        <f t="shared" si="5681"/>
        <v>0</v>
      </c>
      <c r="DV197" s="63"/>
      <c r="DW197" s="79"/>
      <c r="DX197" s="80">
        <f t="shared" si="5682"/>
        <v>0</v>
      </c>
      <c r="DY197" s="63"/>
      <c r="DZ197" s="79"/>
      <c r="EA197" s="80">
        <f t="shared" si="5683"/>
        <v>0</v>
      </c>
      <c r="EB197" s="63"/>
      <c r="EC197" s="79"/>
      <c r="ED197" s="80">
        <f t="shared" si="5684"/>
        <v>0</v>
      </c>
      <c r="EE197" s="63"/>
      <c r="EF197" s="79"/>
      <c r="EG197" s="80">
        <f t="shared" si="5685"/>
        <v>0</v>
      </c>
      <c r="EH197" s="63"/>
      <c r="EI197" s="79"/>
      <c r="EJ197" s="80">
        <f t="shared" si="5686"/>
        <v>0</v>
      </c>
      <c r="EK197" s="63"/>
      <c r="EL197" s="79"/>
      <c r="EM197" s="80">
        <f t="shared" si="5687"/>
        <v>0</v>
      </c>
      <c r="EN197" s="63"/>
      <c r="EO197" s="79"/>
      <c r="EP197" s="80">
        <f t="shared" si="5688"/>
        <v>0</v>
      </c>
      <c r="EQ197" s="63"/>
      <c r="ER197" s="79"/>
      <c r="ES197" s="80">
        <f t="shared" si="5689"/>
        <v>0</v>
      </c>
      <c r="ET197" s="63"/>
      <c r="EU197" s="79"/>
      <c r="EV197" s="80">
        <f t="shared" si="5690"/>
        <v>0</v>
      </c>
      <c r="EW197" s="63"/>
      <c r="EX197" s="79"/>
      <c r="EY197" s="80">
        <f t="shared" si="5691"/>
        <v>0</v>
      </c>
      <c r="EZ197" s="63"/>
      <c r="FA197" s="79"/>
      <c r="FB197" s="80">
        <f t="shared" si="5692"/>
        <v>0</v>
      </c>
      <c r="FC197" s="63"/>
      <c r="FD197" s="79"/>
      <c r="FE197" s="80">
        <f t="shared" si="5693"/>
        <v>0</v>
      </c>
      <c r="FF197" s="63"/>
      <c r="FG197" s="79"/>
      <c r="FH197" s="80">
        <f t="shared" si="5694"/>
        <v>0</v>
      </c>
      <c r="FI197" s="63"/>
      <c r="FJ197" s="79"/>
      <c r="FK197" s="80">
        <f t="shared" si="5695"/>
        <v>0</v>
      </c>
      <c r="FL197" s="63"/>
      <c r="FM197" s="79"/>
      <c r="FN197" s="80">
        <f t="shared" si="5696"/>
        <v>0</v>
      </c>
      <c r="FO197" s="63"/>
      <c r="FP197" s="79"/>
      <c r="FQ197" s="80">
        <f t="shared" si="5697"/>
        <v>0</v>
      </c>
      <c r="FR197" s="63"/>
      <c r="FS197" s="79"/>
      <c r="FT197" s="80">
        <f t="shared" si="5698"/>
        <v>0</v>
      </c>
      <c r="FU197" s="63"/>
      <c r="FV197" s="79"/>
      <c r="FW197" s="80">
        <f t="shared" si="5699"/>
        <v>0</v>
      </c>
      <c r="FX197" s="63"/>
      <c r="FY197" s="79"/>
      <c r="FZ197" s="80">
        <f t="shared" si="5700"/>
        <v>0</v>
      </c>
      <c r="GA197" s="63"/>
      <c r="GB197" s="79"/>
      <c r="GC197" s="80">
        <f t="shared" si="5701"/>
        <v>0</v>
      </c>
      <c r="GD197" s="63"/>
      <c r="GE197" s="79"/>
      <c r="GF197" s="80">
        <f t="shared" si="5702"/>
        <v>0</v>
      </c>
      <c r="GG197" s="63"/>
      <c r="GH197" s="79"/>
      <c r="GI197" s="80">
        <f t="shared" si="5703"/>
        <v>0</v>
      </c>
      <c r="GJ197" s="63"/>
      <c r="GK197" s="79"/>
      <c r="GL197" s="80">
        <f t="shared" si="5704"/>
        <v>0</v>
      </c>
      <c r="GM197" s="63"/>
      <c r="GN197" s="79"/>
      <c r="GO197" s="80">
        <f t="shared" si="5705"/>
        <v>0</v>
      </c>
      <c r="GP197" s="63"/>
      <c r="GQ197" s="79"/>
      <c r="GR197" s="80">
        <f t="shared" si="5706"/>
        <v>0</v>
      </c>
      <c r="GS197" s="63"/>
      <c r="GT197" s="79"/>
      <c r="GU197" s="80">
        <f t="shared" si="5707"/>
        <v>0</v>
      </c>
      <c r="GV197" s="63"/>
      <c r="GW197" s="79"/>
      <c r="GX197" s="80">
        <f t="shared" si="5708"/>
        <v>0</v>
      </c>
      <c r="GY197" s="63"/>
      <c r="GZ197" s="79"/>
      <c r="HA197" s="80">
        <f t="shared" si="5709"/>
        <v>0</v>
      </c>
      <c r="HB197" s="63"/>
      <c r="HC197" s="79"/>
      <c r="HD197" s="80">
        <f t="shared" si="5710"/>
        <v>0</v>
      </c>
      <c r="HE197" s="63"/>
      <c r="HF197" s="79"/>
      <c r="HG197" s="80">
        <f t="shared" si="5711"/>
        <v>0</v>
      </c>
      <c r="HH197" s="63"/>
      <c r="HI197" s="79"/>
      <c r="HJ197" s="80">
        <f t="shared" si="5712"/>
        <v>0</v>
      </c>
      <c r="HK197" s="63"/>
      <c r="HL197" s="79"/>
      <c r="HM197" s="80">
        <f t="shared" si="5713"/>
        <v>0</v>
      </c>
      <c r="HN197" s="63"/>
      <c r="HO197" s="79"/>
      <c r="HP197" s="80">
        <f t="shared" si="5714"/>
        <v>0</v>
      </c>
      <c r="HQ197" s="63"/>
      <c r="HR197" s="79"/>
      <c r="HS197" s="80">
        <f t="shared" si="5715"/>
        <v>0</v>
      </c>
      <c r="HT197" s="63"/>
      <c r="HU197" s="79"/>
      <c r="HV197" s="80">
        <f t="shared" si="5716"/>
        <v>0</v>
      </c>
      <c r="HW197" s="63"/>
      <c r="HX197" s="79"/>
      <c r="HY197" s="80">
        <f t="shared" si="5717"/>
        <v>0</v>
      </c>
      <c r="HZ197" s="63"/>
      <c r="IA197" s="79"/>
      <c r="IB197" s="80">
        <f t="shared" si="5718"/>
        <v>0</v>
      </c>
      <c r="IC197" s="63"/>
      <c r="ID197" s="79"/>
      <c r="IE197" s="80">
        <f t="shared" si="5719"/>
        <v>0</v>
      </c>
      <c r="IF197" s="63"/>
      <c r="IG197" s="79"/>
      <c r="IH197" s="80">
        <f t="shared" si="5720"/>
        <v>0</v>
      </c>
      <c r="II197" s="63"/>
      <c r="IJ197" s="79"/>
      <c r="IK197" s="80">
        <f t="shared" si="5721"/>
        <v>0</v>
      </c>
      <c r="IL197" s="63"/>
      <c r="IM197" s="79"/>
      <c r="IN197" s="80">
        <f t="shared" si="5722"/>
        <v>0</v>
      </c>
      <c r="IO197" s="63"/>
      <c r="IP197" s="79"/>
      <c r="IQ197" s="80">
        <f t="shared" si="5723"/>
        <v>0</v>
      </c>
      <c r="IR197" s="63"/>
      <c r="IS197" s="79"/>
      <c r="IT197" s="80">
        <f t="shared" si="5724"/>
        <v>0</v>
      </c>
      <c r="IU197" s="63"/>
      <c r="IV197" s="79"/>
      <c r="IW197" s="80">
        <f t="shared" si="5725"/>
        <v>0</v>
      </c>
      <c r="IX197" s="63"/>
      <c r="IY197" s="79"/>
      <c r="IZ197" s="80">
        <f t="shared" si="5726"/>
        <v>0</v>
      </c>
      <c r="JA197" s="63"/>
      <c r="JB197" s="79"/>
      <c r="JC197" s="80">
        <f t="shared" si="5727"/>
        <v>0</v>
      </c>
      <c r="JD197" s="63"/>
      <c r="JE197" s="79"/>
      <c r="JF197" s="80">
        <f t="shared" si="5728"/>
        <v>0</v>
      </c>
      <c r="JG197" s="63"/>
      <c r="JH197" s="79"/>
      <c r="JI197" s="80">
        <f t="shared" si="5729"/>
        <v>0</v>
      </c>
      <c r="JJ197" s="63"/>
      <c r="JK197" s="79"/>
      <c r="JL197" s="80">
        <f t="shared" si="5730"/>
        <v>0</v>
      </c>
      <c r="JM197" s="63"/>
      <c r="JN197" s="79"/>
      <c r="JO197" s="80">
        <f t="shared" si="5731"/>
        <v>0</v>
      </c>
      <c r="JP197" s="63"/>
      <c r="JQ197" s="79"/>
      <c r="JR197" s="80">
        <f t="shared" si="5732"/>
        <v>0</v>
      </c>
      <c r="JS197" s="63"/>
      <c r="JT197" s="79"/>
      <c r="JU197" s="80">
        <f t="shared" si="5733"/>
        <v>0</v>
      </c>
      <c r="JV197" s="63"/>
      <c r="JW197" s="79"/>
      <c r="JX197" s="80">
        <f t="shared" si="5734"/>
        <v>0</v>
      </c>
      <c r="JY197" s="63"/>
      <c r="JZ197" s="79"/>
      <c r="KA197" s="80">
        <f t="shared" si="5735"/>
        <v>0</v>
      </c>
      <c r="KB197" s="63"/>
      <c r="KC197" s="79"/>
      <c r="KD197" s="80">
        <f t="shared" si="5736"/>
        <v>0</v>
      </c>
      <c r="KE197" s="63"/>
      <c r="KF197" s="79"/>
      <c r="KG197" s="80">
        <f t="shared" si="5737"/>
        <v>0</v>
      </c>
      <c r="KH197" s="63"/>
      <c r="KI197" s="79"/>
      <c r="KJ197" s="80">
        <f t="shared" si="5738"/>
        <v>0</v>
      </c>
      <c r="KK197" s="63"/>
      <c r="KL197" s="79"/>
      <c r="KM197" s="80">
        <f t="shared" si="5739"/>
        <v>0</v>
      </c>
      <c r="KN197" s="63"/>
      <c r="KO197" s="79"/>
      <c r="KP197" s="80">
        <f t="shared" si="5740"/>
        <v>0</v>
      </c>
      <c r="KQ197" s="63"/>
      <c r="KR197" s="79"/>
      <c r="KS197" s="80">
        <f t="shared" si="5741"/>
        <v>0</v>
      </c>
      <c r="KT197" s="63"/>
      <c r="KU197" s="79"/>
      <c r="KV197" s="80">
        <f t="shared" si="5742"/>
        <v>0</v>
      </c>
      <c r="KW197" s="63"/>
      <c r="KX197" s="79"/>
      <c r="KY197" s="80">
        <f t="shared" si="5743"/>
        <v>0</v>
      </c>
      <c r="KZ197" s="63"/>
      <c r="LA197" s="79"/>
      <c r="LB197" s="80">
        <f t="shared" si="5744"/>
        <v>0</v>
      </c>
      <c r="LC197" s="63"/>
      <c r="LD197" s="79"/>
      <c r="LE197" s="80">
        <f t="shared" si="5745"/>
        <v>0</v>
      </c>
      <c r="LF197" s="63"/>
    </row>
    <row r="198" spans="1:318" s="784" customFormat="1">
      <c r="A198" s="25"/>
      <c r="B198" s="25"/>
      <c r="C198" s="25"/>
      <c r="D198" s="25"/>
      <c r="E198" s="25"/>
      <c r="F198" s="406"/>
      <c r="G198" s="406"/>
      <c r="H198" s="64"/>
      <c r="I198" s="50"/>
      <c r="J198" s="92"/>
      <c r="K198" s="432" t="str">
        <f>Idiomas!D459</f>
        <v>Equipos 1/8</v>
      </c>
      <c r="L198" s="433"/>
      <c r="M198" s="432" t="str">
        <f>"Max: "&amp;$D$19*COUNT(T182:T197)</f>
        <v>Max: 480</v>
      </c>
      <c r="N198" s="25"/>
      <c r="O198" s="25"/>
      <c r="P198" s="25"/>
      <c r="Q198" s="25"/>
      <c r="R198" s="49"/>
      <c r="S198" s="797"/>
      <c r="T198" s="70">
        <f t="shared" ref="T198" si="5747">SUM(T182:T197)</f>
        <v>0</v>
      </c>
      <c r="U198" s="64"/>
      <c r="V198" s="83"/>
      <c r="W198" s="70">
        <f t="shared" ref="W198" si="5748">SUM(W182:W197)</f>
        <v>0</v>
      </c>
      <c r="X198" s="64"/>
      <c r="Y198" s="797"/>
      <c r="Z198" s="70">
        <f t="shared" ref="Z198" si="5749">SUM(Z182:Z197)</f>
        <v>0</v>
      </c>
      <c r="AA198" s="64"/>
      <c r="AB198" s="797"/>
      <c r="AC198" s="70">
        <f t="shared" ref="AC198" si="5750">SUM(AC182:AC197)</f>
        <v>0</v>
      </c>
      <c r="AD198" s="64"/>
      <c r="AE198" s="797"/>
      <c r="AF198" s="70">
        <f t="shared" ref="AF198" si="5751">SUM(AF182:AF197)</f>
        <v>0</v>
      </c>
      <c r="AG198" s="64"/>
      <c r="AH198" s="797"/>
      <c r="AI198" s="70">
        <f t="shared" ref="AI198" si="5752">SUM(AI182:AI197)</f>
        <v>0</v>
      </c>
      <c r="AJ198" s="64"/>
      <c r="AK198" s="802"/>
      <c r="AL198" s="70">
        <f t="shared" ref="AL198" si="5753">SUM(AL182:AL197)</f>
        <v>0</v>
      </c>
      <c r="AM198" s="64"/>
      <c r="AN198" s="797"/>
      <c r="AO198" s="70">
        <f t="shared" ref="AO198" si="5754">SUM(AO182:AO197)</f>
        <v>0</v>
      </c>
      <c r="AP198" s="64"/>
      <c r="AQ198" s="802"/>
      <c r="AR198" s="70">
        <f t="shared" ref="AR198" si="5755">SUM(AR182:AR197)</f>
        <v>0</v>
      </c>
      <c r="AS198" s="64"/>
      <c r="AT198" s="797"/>
      <c r="AU198" s="70">
        <f t="shared" ref="AU198" si="5756">SUM(AU182:AU197)</f>
        <v>0</v>
      </c>
      <c r="AV198" s="64"/>
      <c r="AW198" s="797"/>
      <c r="AX198" s="70">
        <f t="shared" ref="AX198" si="5757">SUM(AX182:AX197)</f>
        <v>0</v>
      </c>
      <c r="AY198" s="64"/>
      <c r="AZ198" s="797"/>
      <c r="BA198" s="70">
        <f t="shared" ref="BA198" si="5758">SUM(BA182:BA197)</f>
        <v>0</v>
      </c>
      <c r="BB198" s="64"/>
      <c r="BC198" s="797"/>
      <c r="BD198" s="70">
        <f t="shared" ref="BD198" si="5759">SUM(BD182:BD197)</f>
        <v>0</v>
      </c>
      <c r="BE198" s="64"/>
      <c r="BF198" s="797"/>
      <c r="BG198" s="70">
        <f t="shared" ref="BG198" si="5760">SUM(BG182:BG197)</f>
        <v>0</v>
      </c>
      <c r="BH198" s="64"/>
      <c r="BI198" s="797"/>
      <c r="BJ198" s="70">
        <f t="shared" ref="BJ198" si="5761">SUM(BJ182:BJ197)</f>
        <v>0</v>
      </c>
      <c r="BK198" s="64"/>
      <c r="BL198" s="797"/>
      <c r="BM198" s="70">
        <f t="shared" ref="BM198" si="5762">SUM(BM182:BM197)</f>
        <v>0</v>
      </c>
      <c r="BN198" s="64"/>
      <c r="BO198" s="812"/>
      <c r="BP198" s="70">
        <f t="shared" ref="BP198" si="5763">SUM(BP182:BP197)</f>
        <v>0</v>
      </c>
      <c r="BQ198" s="64"/>
      <c r="BR198" s="797"/>
      <c r="BS198" s="70">
        <f t="shared" ref="BS198" si="5764">SUM(BS182:BS197)</f>
        <v>0</v>
      </c>
      <c r="BT198" s="64"/>
      <c r="BU198" s="797"/>
      <c r="BV198" s="70">
        <f t="shared" ref="BV198" si="5765">SUM(BV182:BV197)</f>
        <v>0</v>
      </c>
      <c r="BW198" s="64"/>
      <c r="BX198" s="83"/>
      <c r="BY198" s="70">
        <f t="shared" ref="BY198" si="5766">SUM(BY182:BY197)</f>
        <v>0</v>
      </c>
      <c r="BZ198" s="64"/>
      <c r="CA198" s="812"/>
      <c r="CB198" s="70">
        <f t="shared" ref="CB198" si="5767">SUM(CB182:CB197)</f>
        <v>0</v>
      </c>
      <c r="CC198" s="64"/>
      <c r="CD198" s="821"/>
      <c r="CE198" s="70">
        <f t="shared" ref="CE198" si="5768">SUM(CE182:CE197)</f>
        <v>0</v>
      </c>
      <c r="CF198" s="64"/>
      <c r="CG198" s="797"/>
      <c r="CH198" s="70">
        <f t="shared" ref="CH198" si="5769">SUM(CH182:CH197)</f>
        <v>0</v>
      </c>
      <c r="CI198" s="64"/>
      <c r="CJ198" s="797"/>
      <c r="CK198" s="70">
        <f t="shared" ref="CK198" si="5770">SUM(CK182:CK197)</f>
        <v>0</v>
      </c>
      <c r="CL198" s="64"/>
      <c r="CM198" s="797"/>
      <c r="CN198" s="70">
        <f t="shared" ref="CN198" si="5771">SUM(CN182:CN197)</f>
        <v>0</v>
      </c>
      <c r="CO198" s="64"/>
      <c r="CP198" s="797"/>
      <c r="CQ198" s="70">
        <f t="shared" ref="CQ198" si="5772">SUM(CQ182:CQ197)</f>
        <v>0</v>
      </c>
      <c r="CR198" s="64"/>
      <c r="CS198" s="797"/>
      <c r="CT198" s="70">
        <f t="shared" ref="CT198" si="5773">SUM(CT182:CT197)</f>
        <v>0</v>
      </c>
      <c r="CU198" s="64"/>
      <c r="CV198" s="797"/>
      <c r="CW198" s="70">
        <f t="shared" ref="CW198" si="5774">SUM(CW182:CW197)</f>
        <v>0</v>
      </c>
      <c r="CX198" s="64"/>
      <c r="CY198" s="797"/>
      <c r="CZ198" s="70">
        <f t="shared" ref="CZ198" si="5775">SUM(CZ182:CZ197)</f>
        <v>0</v>
      </c>
      <c r="DA198" s="64"/>
      <c r="DB198" s="797"/>
      <c r="DC198" s="70">
        <f t="shared" ref="DC198" si="5776">SUM(DC182:DC197)</f>
        <v>0</v>
      </c>
      <c r="DD198" s="64"/>
      <c r="DE198" s="797"/>
      <c r="DF198" s="70">
        <f t="shared" ref="DF198" si="5777">SUM(DF182:DF197)</f>
        <v>0</v>
      </c>
      <c r="DG198" s="64"/>
      <c r="DH198" s="797"/>
      <c r="DI198" s="70">
        <f t="shared" ref="DI198" si="5778">SUM(DI182:DI197)</f>
        <v>0</v>
      </c>
      <c r="DJ198" s="64"/>
      <c r="DK198" s="797"/>
      <c r="DL198" s="70">
        <f t="shared" ref="DL198" si="5779">SUM(DL182:DL197)</f>
        <v>0</v>
      </c>
      <c r="DM198" s="64"/>
      <c r="DN198" s="83"/>
      <c r="DO198" s="70">
        <f t="shared" ref="DO198" si="5780">SUM(DO182:DO197)</f>
        <v>0</v>
      </c>
      <c r="DP198" s="64"/>
      <c r="DQ198" s="797"/>
      <c r="DR198" s="70">
        <f t="shared" ref="DR198" si="5781">SUM(DR182:DR197)</f>
        <v>0</v>
      </c>
      <c r="DS198" s="64"/>
      <c r="DT198" s="83"/>
      <c r="DU198" s="70">
        <f t="shared" ref="DU198" si="5782">SUM(DU182:DU197)</f>
        <v>0</v>
      </c>
      <c r="DV198" s="64"/>
      <c r="DW198" s="83"/>
      <c r="DX198" s="70">
        <f t="shared" ref="DX198" si="5783">SUM(DX182:DX197)</f>
        <v>0</v>
      </c>
      <c r="DY198" s="64"/>
      <c r="DZ198" s="83"/>
      <c r="EA198" s="70">
        <f t="shared" ref="EA198" si="5784">SUM(EA182:EA197)</f>
        <v>0</v>
      </c>
      <c r="EB198" s="64"/>
      <c r="EC198" s="83"/>
      <c r="ED198" s="70">
        <f t="shared" ref="ED198" si="5785">SUM(ED182:ED197)</f>
        <v>0</v>
      </c>
      <c r="EE198" s="64"/>
      <c r="EF198" s="83"/>
      <c r="EG198" s="70">
        <f t="shared" ref="EG198" si="5786">SUM(EG182:EG197)</f>
        <v>0</v>
      </c>
      <c r="EH198" s="64"/>
      <c r="EI198" s="83"/>
      <c r="EJ198" s="70">
        <f t="shared" ref="EJ198" si="5787">SUM(EJ182:EJ197)</f>
        <v>0</v>
      </c>
      <c r="EK198" s="64"/>
      <c r="EL198" s="83"/>
      <c r="EM198" s="70">
        <f t="shared" ref="EM198" si="5788">SUM(EM182:EM197)</f>
        <v>0</v>
      </c>
      <c r="EN198" s="64"/>
      <c r="EO198" s="83"/>
      <c r="EP198" s="70">
        <f t="shared" ref="EP198" si="5789">SUM(EP182:EP197)</f>
        <v>0</v>
      </c>
      <c r="EQ198" s="64"/>
      <c r="ER198" s="83"/>
      <c r="ES198" s="70">
        <f t="shared" ref="ES198" si="5790">SUM(ES182:ES197)</f>
        <v>0</v>
      </c>
      <c r="ET198" s="64"/>
      <c r="EU198" s="83"/>
      <c r="EV198" s="70">
        <f t="shared" ref="EV198" si="5791">SUM(EV182:EV197)</f>
        <v>0</v>
      </c>
      <c r="EW198" s="64"/>
      <c r="EX198" s="83"/>
      <c r="EY198" s="70">
        <f t="shared" ref="EY198" si="5792">SUM(EY182:EY197)</f>
        <v>0</v>
      </c>
      <c r="EZ198" s="64"/>
      <c r="FA198" s="83"/>
      <c r="FB198" s="70">
        <f t="shared" ref="FB198" si="5793">SUM(FB182:FB197)</f>
        <v>0</v>
      </c>
      <c r="FC198" s="64"/>
      <c r="FD198" s="83"/>
      <c r="FE198" s="70">
        <f t="shared" ref="FE198" si="5794">SUM(FE182:FE197)</f>
        <v>0</v>
      </c>
      <c r="FF198" s="64"/>
      <c r="FG198" s="83"/>
      <c r="FH198" s="70">
        <f t="shared" ref="FH198" si="5795">SUM(FH182:FH197)</f>
        <v>0</v>
      </c>
      <c r="FI198" s="64"/>
      <c r="FJ198" s="83"/>
      <c r="FK198" s="70">
        <f t="shared" ref="FK198" si="5796">SUM(FK182:FK197)</f>
        <v>0</v>
      </c>
      <c r="FL198" s="64"/>
      <c r="FM198" s="83"/>
      <c r="FN198" s="70">
        <f t="shared" ref="FN198" si="5797">SUM(FN182:FN197)</f>
        <v>0</v>
      </c>
      <c r="FO198" s="64"/>
      <c r="FP198" s="83"/>
      <c r="FQ198" s="70">
        <f t="shared" ref="FQ198" si="5798">SUM(FQ182:FQ197)</f>
        <v>0</v>
      </c>
      <c r="FR198" s="64"/>
      <c r="FS198" s="83"/>
      <c r="FT198" s="70">
        <f t="shared" ref="FT198" si="5799">SUM(FT182:FT197)</f>
        <v>0</v>
      </c>
      <c r="FU198" s="64"/>
      <c r="FV198" s="83"/>
      <c r="FW198" s="70">
        <f t="shared" ref="FW198" si="5800">SUM(FW182:FW197)</f>
        <v>0</v>
      </c>
      <c r="FX198" s="64"/>
      <c r="FY198" s="83"/>
      <c r="FZ198" s="70">
        <f t="shared" ref="FZ198" si="5801">SUM(FZ182:FZ197)</f>
        <v>0</v>
      </c>
      <c r="GA198" s="64"/>
      <c r="GB198" s="83"/>
      <c r="GC198" s="70">
        <f t="shared" ref="GC198" si="5802">SUM(GC182:GC197)</f>
        <v>0</v>
      </c>
      <c r="GD198" s="64"/>
      <c r="GE198" s="83"/>
      <c r="GF198" s="70">
        <f t="shared" ref="GF198" si="5803">SUM(GF182:GF197)</f>
        <v>0</v>
      </c>
      <c r="GG198" s="64"/>
      <c r="GH198" s="83"/>
      <c r="GI198" s="70">
        <f t="shared" ref="GI198" si="5804">SUM(GI182:GI197)</f>
        <v>0</v>
      </c>
      <c r="GJ198" s="64"/>
      <c r="GK198" s="83"/>
      <c r="GL198" s="70">
        <f t="shared" ref="GL198" si="5805">SUM(GL182:GL197)</f>
        <v>0</v>
      </c>
      <c r="GM198" s="64"/>
      <c r="GN198" s="83"/>
      <c r="GO198" s="70">
        <f t="shared" ref="GO198" si="5806">SUM(GO182:GO197)</f>
        <v>0</v>
      </c>
      <c r="GP198" s="64"/>
      <c r="GQ198" s="83"/>
      <c r="GR198" s="70">
        <f t="shared" ref="GR198" si="5807">SUM(GR182:GR197)</f>
        <v>0</v>
      </c>
      <c r="GS198" s="64"/>
      <c r="GT198" s="83"/>
      <c r="GU198" s="70">
        <f t="shared" ref="GU198" si="5808">SUM(GU182:GU197)</f>
        <v>0</v>
      </c>
      <c r="GV198" s="64"/>
      <c r="GW198" s="83"/>
      <c r="GX198" s="70">
        <f t="shared" ref="GX198" si="5809">SUM(GX182:GX197)</f>
        <v>0</v>
      </c>
      <c r="GY198" s="64"/>
      <c r="GZ198" s="83"/>
      <c r="HA198" s="70">
        <f t="shared" ref="HA198" si="5810">SUM(HA182:HA197)</f>
        <v>0</v>
      </c>
      <c r="HB198" s="64"/>
      <c r="HC198" s="83"/>
      <c r="HD198" s="70">
        <f t="shared" ref="HD198" si="5811">SUM(HD182:HD197)</f>
        <v>0</v>
      </c>
      <c r="HE198" s="64"/>
      <c r="HF198" s="83"/>
      <c r="HG198" s="70">
        <f t="shared" ref="HG198" si="5812">SUM(HG182:HG197)</f>
        <v>0</v>
      </c>
      <c r="HH198" s="64"/>
      <c r="HI198" s="83"/>
      <c r="HJ198" s="70">
        <f t="shared" ref="HJ198" si="5813">SUM(HJ182:HJ197)</f>
        <v>0</v>
      </c>
      <c r="HK198" s="64"/>
      <c r="HL198" s="83"/>
      <c r="HM198" s="70">
        <f t="shared" ref="HM198" si="5814">SUM(HM182:HM197)</f>
        <v>0</v>
      </c>
      <c r="HN198" s="64"/>
      <c r="HO198" s="83"/>
      <c r="HP198" s="70">
        <f t="shared" ref="HP198" si="5815">SUM(HP182:HP197)</f>
        <v>0</v>
      </c>
      <c r="HQ198" s="64"/>
      <c r="HR198" s="83"/>
      <c r="HS198" s="70">
        <f t="shared" ref="HS198" si="5816">SUM(HS182:HS197)</f>
        <v>0</v>
      </c>
      <c r="HT198" s="64"/>
      <c r="HU198" s="83"/>
      <c r="HV198" s="70">
        <f t="shared" ref="HV198" si="5817">SUM(HV182:HV197)</f>
        <v>0</v>
      </c>
      <c r="HW198" s="64"/>
      <c r="HX198" s="83"/>
      <c r="HY198" s="70">
        <f t="shared" ref="HY198" si="5818">SUM(HY182:HY197)</f>
        <v>0</v>
      </c>
      <c r="HZ198" s="64"/>
      <c r="IA198" s="83"/>
      <c r="IB198" s="70">
        <f t="shared" ref="IB198" si="5819">SUM(IB182:IB197)</f>
        <v>0</v>
      </c>
      <c r="IC198" s="64"/>
      <c r="ID198" s="83"/>
      <c r="IE198" s="70">
        <f t="shared" ref="IE198" si="5820">SUM(IE182:IE197)</f>
        <v>0</v>
      </c>
      <c r="IF198" s="64"/>
      <c r="IG198" s="83"/>
      <c r="IH198" s="70">
        <f t="shared" ref="IH198" si="5821">SUM(IH182:IH197)</f>
        <v>0</v>
      </c>
      <c r="II198" s="64"/>
      <c r="IJ198" s="83"/>
      <c r="IK198" s="70">
        <f t="shared" ref="IK198" si="5822">SUM(IK182:IK197)</f>
        <v>0</v>
      </c>
      <c r="IL198" s="64"/>
      <c r="IM198" s="83"/>
      <c r="IN198" s="70">
        <f t="shared" ref="IN198" si="5823">SUM(IN182:IN197)</f>
        <v>0</v>
      </c>
      <c r="IO198" s="64"/>
      <c r="IP198" s="83"/>
      <c r="IQ198" s="70">
        <f t="shared" ref="IQ198" si="5824">SUM(IQ182:IQ197)</f>
        <v>0</v>
      </c>
      <c r="IR198" s="64"/>
      <c r="IS198" s="83"/>
      <c r="IT198" s="70">
        <f t="shared" ref="IT198" si="5825">SUM(IT182:IT197)</f>
        <v>0</v>
      </c>
      <c r="IU198" s="64"/>
      <c r="IV198" s="83"/>
      <c r="IW198" s="70">
        <f t="shared" ref="IW198" si="5826">SUM(IW182:IW197)</f>
        <v>0</v>
      </c>
      <c r="IX198" s="64"/>
      <c r="IY198" s="83"/>
      <c r="IZ198" s="70">
        <f t="shared" ref="IZ198" si="5827">SUM(IZ182:IZ197)</f>
        <v>0</v>
      </c>
      <c r="JA198" s="64"/>
      <c r="JB198" s="83"/>
      <c r="JC198" s="70">
        <f t="shared" ref="JC198" si="5828">SUM(JC182:JC197)</f>
        <v>0</v>
      </c>
      <c r="JD198" s="64"/>
      <c r="JE198" s="83"/>
      <c r="JF198" s="70">
        <f t="shared" ref="JF198" si="5829">SUM(JF182:JF197)</f>
        <v>0</v>
      </c>
      <c r="JG198" s="64"/>
      <c r="JH198" s="83"/>
      <c r="JI198" s="70">
        <f t="shared" ref="JI198" si="5830">SUM(JI182:JI197)</f>
        <v>0</v>
      </c>
      <c r="JJ198" s="64"/>
      <c r="JK198" s="83"/>
      <c r="JL198" s="70">
        <f t="shared" ref="JL198" si="5831">SUM(JL182:JL197)</f>
        <v>0</v>
      </c>
      <c r="JM198" s="64"/>
      <c r="JN198" s="83"/>
      <c r="JO198" s="70">
        <f t="shared" ref="JO198" si="5832">SUM(JO182:JO197)</f>
        <v>0</v>
      </c>
      <c r="JP198" s="64"/>
      <c r="JQ198" s="83"/>
      <c r="JR198" s="70">
        <f t="shared" ref="JR198" si="5833">SUM(JR182:JR197)</f>
        <v>0</v>
      </c>
      <c r="JS198" s="64"/>
      <c r="JT198" s="83"/>
      <c r="JU198" s="70">
        <f t="shared" ref="JU198" si="5834">SUM(JU182:JU197)</f>
        <v>0</v>
      </c>
      <c r="JV198" s="64"/>
      <c r="JW198" s="83"/>
      <c r="JX198" s="70">
        <f t="shared" ref="JX198" si="5835">SUM(JX182:JX197)</f>
        <v>0</v>
      </c>
      <c r="JY198" s="64"/>
      <c r="JZ198" s="83"/>
      <c r="KA198" s="70">
        <f t="shared" ref="KA198" si="5836">SUM(KA182:KA197)</f>
        <v>0</v>
      </c>
      <c r="KB198" s="64"/>
      <c r="KC198" s="83"/>
      <c r="KD198" s="70">
        <f t="shared" ref="KD198" si="5837">SUM(KD182:KD197)</f>
        <v>0</v>
      </c>
      <c r="KE198" s="64"/>
      <c r="KF198" s="83"/>
      <c r="KG198" s="70">
        <f t="shared" ref="KG198" si="5838">SUM(KG182:KG197)</f>
        <v>0</v>
      </c>
      <c r="KH198" s="64"/>
      <c r="KI198" s="83"/>
      <c r="KJ198" s="70">
        <f t="shared" ref="KJ198" si="5839">SUM(KJ182:KJ197)</f>
        <v>0</v>
      </c>
      <c r="KK198" s="64"/>
      <c r="KL198" s="83"/>
      <c r="KM198" s="70">
        <f t="shared" ref="KM198" si="5840">SUM(KM182:KM197)</f>
        <v>0</v>
      </c>
      <c r="KN198" s="64"/>
      <c r="KO198" s="83"/>
      <c r="KP198" s="70">
        <f t="shared" ref="KP198" si="5841">SUM(KP182:KP197)</f>
        <v>0</v>
      </c>
      <c r="KQ198" s="64"/>
      <c r="KR198" s="83"/>
      <c r="KS198" s="70">
        <f t="shared" ref="KS198" si="5842">SUM(KS182:KS197)</f>
        <v>0</v>
      </c>
      <c r="KT198" s="64"/>
      <c r="KU198" s="83"/>
      <c r="KV198" s="70">
        <f t="shared" ref="KV198" si="5843">SUM(KV182:KV197)</f>
        <v>0</v>
      </c>
      <c r="KW198" s="64"/>
      <c r="KX198" s="83"/>
      <c r="KY198" s="70">
        <f t="shared" ref="KY198" si="5844">SUM(KY182:KY197)</f>
        <v>0</v>
      </c>
      <c r="KZ198" s="64"/>
      <c r="LA198" s="83"/>
      <c r="LB198" s="70">
        <f t="shared" ref="LB198" si="5845">SUM(LB182:LB197)</f>
        <v>0</v>
      </c>
      <c r="LC198" s="64"/>
      <c r="LD198" s="83"/>
      <c r="LE198" s="70">
        <f t="shared" ref="LE198" si="5846">SUM(LE182:LE197)</f>
        <v>0</v>
      </c>
      <c r="LF198" s="64"/>
    </row>
    <row r="199" spans="1:318" s="784" customFormat="1">
      <c r="A199" s="25"/>
      <c r="B199" s="25"/>
      <c r="C199" s="25"/>
      <c r="D199" s="25"/>
      <c r="E199" s="25"/>
      <c r="F199" s="406"/>
      <c r="G199" s="406"/>
      <c r="H199" s="64"/>
      <c r="I199" s="52" t="s">
        <v>1578</v>
      </c>
      <c r="J199" s="92"/>
      <c r="K199" s="111" t="str">
        <f>Idiomas!D140</f>
        <v>ENFRENTAMIENTOS OCTAVOS</v>
      </c>
      <c r="L199" s="50"/>
      <c r="M199" s="70"/>
      <c r="N199" s="25"/>
      <c r="O199" s="25"/>
      <c r="P199" s="25"/>
      <c r="Q199" s="25"/>
      <c r="R199" s="49"/>
      <c r="S199" s="797"/>
      <c r="T199" s="70"/>
      <c r="U199" s="64"/>
      <c r="V199" s="83"/>
      <c r="W199" s="70"/>
      <c r="X199" s="64"/>
      <c r="Y199" s="797"/>
      <c r="Z199" s="70"/>
      <c r="AA199" s="64"/>
      <c r="AB199" s="797"/>
      <c r="AC199" s="70"/>
      <c r="AD199" s="64"/>
      <c r="AE199" s="797"/>
      <c r="AF199" s="70"/>
      <c r="AG199" s="64"/>
      <c r="AH199" s="797"/>
      <c r="AI199" s="70"/>
      <c r="AJ199" s="64"/>
      <c r="AK199" s="802"/>
      <c r="AL199" s="70"/>
      <c r="AM199" s="64"/>
      <c r="AN199" s="797"/>
      <c r="AO199" s="70"/>
      <c r="AP199" s="64"/>
      <c r="AQ199" s="802"/>
      <c r="AR199" s="70"/>
      <c r="AS199" s="64"/>
      <c r="AT199" s="797"/>
      <c r="AU199" s="70"/>
      <c r="AV199" s="64"/>
      <c r="AW199" s="797"/>
      <c r="AX199" s="70"/>
      <c r="AY199" s="64"/>
      <c r="AZ199" s="797"/>
      <c r="BA199" s="70"/>
      <c r="BB199" s="64"/>
      <c r="BC199" s="797"/>
      <c r="BD199" s="70"/>
      <c r="BE199" s="64"/>
      <c r="BF199" s="797"/>
      <c r="BG199" s="70"/>
      <c r="BH199" s="64"/>
      <c r="BI199" s="797"/>
      <c r="BJ199" s="70"/>
      <c r="BK199" s="64"/>
      <c r="BL199" s="797"/>
      <c r="BM199" s="70"/>
      <c r="BN199" s="64"/>
      <c r="BO199" s="812"/>
      <c r="BP199" s="70"/>
      <c r="BQ199" s="64"/>
      <c r="BR199" s="797"/>
      <c r="BS199" s="70"/>
      <c r="BT199" s="64"/>
      <c r="BU199" s="797"/>
      <c r="BV199" s="70"/>
      <c r="BW199" s="64"/>
      <c r="BX199" s="83"/>
      <c r="BY199" s="70"/>
      <c r="BZ199" s="64"/>
      <c r="CA199" s="812"/>
      <c r="CB199" s="70"/>
      <c r="CC199" s="64"/>
      <c r="CD199" s="821"/>
      <c r="CE199" s="70"/>
      <c r="CF199" s="64"/>
      <c r="CG199" s="797"/>
      <c r="CH199" s="70"/>
      <c r="CI199" s="64"/>
      <c r="CJ199" s="797"/>
      <c r="CK199" s="70"/>
      <c r="CL199" s="64"/>
      <c r="CM199" s="797"/>
      <c r="CN199" s="70"/>
      <c r="CO199" s="64"/>
      <c r="CP199" s="797"/>
      <c r="CQ199" s="70"/>
      <c r="CR199" s="64"/>
      <c r="CS199" s="797"/>
      <c r="CT199" s="70"/>
      <c r="CU199" s="64"/>
      <c r="CV199" s="797"/>
      <c r="CW199" s="70"/>
      <c r="CX199" s="64"/>
      <c r="CY199" s="797"/>
      <c r="CZ199" s="70"/>
      <c r="DA199" s="64"/>
      <c r="DB199" s="797"/>
      <c r="DC199" s="70"/>
      <c r="DD199" s="64"/>
      <c r="DE199" s="797"/>
      <c r="DF199" s="70"/>
      <c r="DG199" s="64"/>
      <c r="DH199" s="797"/>
      <c r="DI199" s="70"/>
      <c r="DJ199" s="64"/>
      <c r="DK199" s="797"/>
      <c r="DL199" s="70"/>
      <c r="DM199" s="64"/>
      <c r="DN199" s="83"/>
      <c r="DO199" s="70"/>
      <c r="DP199" s="64"/>
      <c r="DQ199" s="797"/>
      <c r="DR199" s="70"/>
      <c r="DS199" s="64"/>
      <c r="DT199" s="83"/>
      <c r="DU199" s="70"/>
      <c r="DV199" s="64"/>
      <c r="DW199" s="83"/>
      <c r="DX199" s="70"/>
      <c r="DY199" s="64"/>
      <c r="DZ199" s="83"/>
      <c r="EA199" s="70"/>
      <c r="EB199" s="64"/>
      <c r="EC199" s="83"/>
      <c r="ED199" s="70"/>
      <c r="EE199" s="64"/>
      <c r="EF199" s="83"/>
      <c r="EG199" s="70"/>
      <c r="EH199" s="64"/>
      <c r="EI199" s="83"/>
      <c r="EJ199" s="70"/>
      <c r="EK199" s="64"/>
      <c r="EL199" s="83"/>
      <c r="EM199" s="70"/>
      <c r="EN199" s="64"/>
      <c r="EO199" s="83"/>
      <c r="EP199" s="70"/>
      <c r="EQ199" s="64"/>
      <c r="ER199" s="83"/>
      <c r="ES199" s="70"/>
      <c r="ET199" s="64"/>
      <c r="EU199" s="83"/>
      <c r="EV199" s="70"/>
      <c r="EW199" s="64"/>
      <c r="EX199" s="83"/>
      <c r="EY199" s="70"/>
      <c r="EZ199" s="64"/>
      <c r="FA199" s="83"/>
      <c r="FB199" s="70"/>
      <c r="FC199" s="64"/>
      <c r="FD199" s="83"/>
      <c r="FE199" s="70"/>
      <c r="FF199" s="64"/>
      <c r="FG199" s="83"/>
      <c r="FH199" s="70"/>
      <c r="FI199" s="64"/>
      <c r="FJ199" s="83"/>
      <c r="FK199" s="70"/>
      <c r="FL199" s="64"/>
      <c r="FM199" s="83"/>
      <c r="FN199" s="70"/>
      <c r="FO199" s="64"/>
      <c r="FP199" s="83"/>
      <c r="FQ199" s="70"/>
      <c r="FR199" s="64"/>
      <c r="FS199" s="83"/>
      <c r="FT199" s="70"/>
      <c r="FU199" s="64"/>
      <c r="FV199" s="83"/>
      <c r="FW199" s="70"/>
      <c r="FX199" s="64"/>
      <c r="FY199" s="83"/>
      <c r="FZ199" s="70"/>
      <c r="GA199" s="64"/>
      <c r="GB199" s="83"/>
      <c r="GC199" s="70"/>
      <c r="GD199" s="64"/>
      <c r="GE199" s="83"/>
      <c r="GF199" s="70"/>
      <c r="GG199" s="64"/>
      <c r="GH199" s="83"/>
      <c r="GI199" s="70"/>
      <c r="GJ199" s="64"/>
      <c r="GK199" s="83"/>
      <c r="GL199" s="70"/>
      <c r="GM199" s="64"/>
      <c r="GN199" s="83"/>
      <c r="GO199" s="70"/>
      <c r="GP199" s="64"/>
      <c r="GQ199" s="83"/>
      <c r="GR199" s="70"/>
      <c r="GS199" s="64"/>
      <c r="GT199" s="83"/>
      <c r="GU199" s="70"/>
      <c r="GV199" s="64"/>
      <c r="GW199" s="83"/>
      <c r="GX199" s="70"/>
      <c r="GY199" s="64"/>
      <c r="GZ199" s="83"/>
      <c r="HA199" s="70"/>
      <c r="HB199" s="64"/>
      <c r="HC199" s="83"/>
      <c r="HD199" s="70"/>
      <c r="HE199" s="64"/>
      <c r="HF199" s="83"/>
      <c r="HG199" s="70"/>
      <c r="HH199" s="64"/>
      <c r="HI199" s="83"/>
      <c r="HJ199" s="70"/>
      <c r="HK199" s="64"/>
      <c r="HL199" s="83"/>
      <c r="HM199" s="70"/>
      <c r="HN199" s="64"/>
      <c r="HO199" s="83"/>
      <c r="HP199" s="70"/>
      <c r="HQ199" s="64"/>
      <c r="HR199" s="83"/>
      <c r="HS199" s="70"/>
      <c r="HT199" s="64"/>
      <c r="HU199" s="83"/>
      <c r="HV199" s="70"/>
      <c r="HW199" s="64"/>
      <c r="HX199" s="83"/>
      <c r="HY199" s="70"/>
      <c r="HZ199" s="64"/>
      <c r="IA199" s="83"/>
      <c r="IB199" s="70"/>
      <c r="IC199" s="64"/>
      <c r="ID199" s="83"/>
      <c r="IE199" s="70"/>
      <c r="IF199" s="64"/>
      <c r="IG199" s="83"/>
      <c r="IH199" s="70"/>
      <c r="II199" s="64"/>
      <c r="IJ199" s="83"/>
      <c r="IK199" s="70"/>
      <c r="IL199" s="64"/>
      <c r="IM199" s="83"/>
      <c r="IN199" s="70"/>
      <c r="IO199" s="64"/>
      <c r="IP199" s="83"/>
      <c r="IQ199" s="70"/>
      <c r="IR199" s="64"/>
      <c r="IS199" s="83"/>
      <c r="IT199" s="70"/>
      <c r="IU199" s="64"/>
      <c r="IV199" s="83"/>
      <c r="IW199" s="70"/>
      <c r="IX199" s="64"/>
      <c r="IY199" s="83"/>
      <c r="IZ199" s="70"/>
      <c r="JA199" s="64"/>
      <c r="JB199" s="83"/>
      <c r="JC199" s="70"/>
      <c r="JD199" s="64"/>
      <c r="JE199" s="83"/>
      <c r="JF199" s="70"/>
      <c r="JG199" s="64"/>
      <c r="JH199" s="83"/>
      <c r="JI199" s="70"/>
      <c r="JJ199" s="64"/>
      <c r="JK199" s="83"/>
      <c r="JL199" s="70"/>
      <c r="JM199" s="64"/>
      <c r="JN199" s="83"/>
      <c r="JO199" s="70"/>
      <c r="JP199" s="64"/>
      <c r="JQ199" s="83"/>
      <c r="JR199" s="70"/>
      <c r="JS199" s="64"/>
      <c r="JT199" s="83"/>
      <c r="JU199" s="70"/>
      <c r="JV199" s="64"/>
      <c r="JW199" s="83"/>
      <c r="JX199" s="70"/>
      <c r="JY199" s="64"/>
      <c r="JZ199" s="83"/>
      <c r="KA199" s="70"/>
      <c r="KB199" s="64"/>
      <c r="KC199" s="83"/>
      <c r="KD199" s="70"/>
      <c r="KE199" s="64"/>
      <c r="KF199" s="83"/>
      <c r="KG199" s="70"/>
      <c r="KH199" s="64"/>
      <c r="KI199" s="83"/>
      <c r="KJ199" s="70"/>
      <c r="KK199" s="64"/>
      <c r="KL199" s="83"/>
      <c r="KM199" s="70"/>
      <c r="KN199" s="64"/>
      <c r="KO199" s="83"/>
      <c r="KP199" s="70"/>
      <c r="KQ199" s="64"/>
      <c r="KR199" s="83"/>
      <c r="KS199" s="70"/>
      <c r="KT199" s="64"/>
      <c r="KU199" s="83"/>
      <c r="KV199" s="70"/>
      <c r="KW199" s="64"/>
      <c r="KX199" s="83"/>
      <c r="KY199" s="70"/>
      <c r="KZ199" s="64"/>
      <c r="LA199" s="83"/>
      <c r="LB199" s="70"/>
      <c r="LC199" s="64"/>
      <c r="LD199" s="83"/>
      <c r="LE199" s="70"/>
      <c r="LF199" s="64"/>
    </row>
    <row r="200" spans="1:318" s="784" customFormat="1">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6">
        <f>SUM($D$20:$D$22)*I200</f>
        <v>30</v>
      </c>
      <c r="G200" s="406">
        <f ca="1">VLOOKUP(H200,Equipos!$Q$1:$R$25,2,0)</f>
        <v>21</v>
      </c>
      <c r="H200" s="64" t="str">
        <f>Idiomas!$D$261</f>
        <v>Octavos de final</v>
      </c>
      <c r="I200" s="45">
        <v>1</v>
      </c>
      <c r="J200" s="843" t="s">
        <v>88</v>
      </c>
      <c r="K200" s="53" t="str">
        <f>CONCATENATE(WORLDCUP!AA120,"-",WORLDCUP!AF120)</f>
        <v>W73-W75</v>
      </c>
      <c r="L200" s="53" t="str">
        <f>IF(OR(WORLDCUP!AC120="",WORLDCUP!AD120=""),"PD",IF(WORLDCUP!AC120&gt;WORLDCUP!AD120,1,IF(WORLDCUP!AC120&lt;WORLDCUP!AD120,2,0)))</f>
        <v>PD</v>
      </c>
      <c r="M200" s="55" t="str">
        <f t="shared" ref="M200:M207" si="5847">IF(L200="PD","-",N200&amp;"-"&amp;O200)</f>
        <v>-</v>
      </c>
      <c r="N200" s="25">
        <f>WORLDCUP!AC120</f>
        <v>0</v>
      </c>
      <c r="O200" s="25">
        <f>WORLDCUP!AD120</f>
        <v>0</v>
      </c>
      <c r="P200" s="25">
        <f t="shared" ref="P200:P207" si="5848">+N200-O200</f>
        <v>0</v>
      </c>
      <c r="Q200" s="25">
        <f t="shared" ref="Q200:Q207" si="5849">+A200-B200</f>
        <v>0</v>
      </c>
      <c r="R200" s="108"/>
      <c r="S200" s="798" t="s">
        <v>1980</v>
      </c>
      <c r="T200" s="84">
        <f t="shared" ref="T200:T207" si="5850">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08"/>
      <c r="V200" s="65" t="s">
        <v>2025</v>
      </c>
      <c r="W200" s="84">
        <f t="shared" ref="W200:W207" si="5851">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08"/>
      <c r="Y200" s="798" t="s">
        <v>2068</v>
      </c>
      <c r="Z200" s="84">
        <f t="shared" ref="Z200:Z207" si="5852">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08"/>
      <c r="AB200" s="798" t="s">
        <v>2103</v>
      </c>
      <c r="AC200" s="84">
        <f t="shared" ref="AC200:AC207" si="5853">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08"/>
      <c r="AE200" s="798" t="s">
        <v>2141</v>
      </c>
      <c r="AF200" s="84">
        <f t="shared" ref="AF200" si="5854">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08"/>
      <c r="AH200" s="798" t="s">
        <v>2173</v>
      </c>
      <c r="AI200" s="84">
        <f t="shared" ref="AI200:AI207" si="5855">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08"/>
      <c r="AK200" s="806" t="s">
        <v>2211</v>
      </c>
      <c r="AL200" s="84">
        <f t="shared" ref="AL200:AL207" si="5856">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08"/>
      <c r="AN200" s="798" t="s">
        <v>1980</v>
      </c>
      <c r="AO200" s="84">
        <f t="shared" ref="AO200:AO207" si="5857">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08"/>
      <c r="AQ200" s="806" t="s">
        <v>2266</v>
      </c>
      <c r="AR200" s="84">
        <f t="shared" ref="AR200:AR207" si="5858">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08"/>
      <c r="AT200" s="798" t="s">
        <v>2301</v>
      </c>
      <c r="AU200" s="84">
        <f t="shared" ref="AU200:AU207" si="5859">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08"/>
      <c r="AW200" s="798" t="s">
        <v>2322</v>
      </c>
      <c r="AX200" s="84">
        <f t="shared" ref="AX200:AX207" si="5860">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08"/>
      <c r="AZ200" s="798" t="s">
        <v>2367</v>
      </c>
      <c r="BA200" s="84">
        <f t="shared" ref="BA200:BA207" si="5861">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08"/>
      <c r="BC200" s="798" t="s">
        <v>2301</v>
      </c>
      <c r="BD200" s="84">
        <f t="shared" ref="BD200:BD207" si="5862">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08"/>
      <c r="BF200" s="798" t="s">
        <v>2427</v>
      </c>
      <c r="BG200" s="84">
        <f t="shared" ref="BG200:BG207" si="5863">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08"/>
      <c r="BI200" s="798" t="s">
        <v>2462</v>
      </c>
      <c r="BJ200" s="84">
        <f t="shared" ref="BJ200:BJ207" si="5864">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08"/>
      <c r="BL200" s="798" t="s">
        <v>2322</v>
      </c>
      <c r="BM200" s="84">
        <f t="shared" ref="BM200:BM207" si="5865">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08"/>
      <c r="BO200" s="816" t="s">
        <v>2506</v>
      </c>
      <c r="BP200" s="84">
        <f t="shared" ref="BP200:BP207" si="5866">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08"/>
      <c r="BR200" s="798" t="s">
        <v>2523</v>
      </c>
      <c r="BS200" s="84">
        <f t="shared" ref="BS200:BS207" si="5867">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08"/>
      <c r="BU200" s="798" t="s">
        <v>2540</v>
      </c>
      <c r="BV200" s="84">
        <f t="shared" ref="BV200:BV207" si="5868">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08"/>
      <c r="BX200" s="65" t="s">
        <v>2563</v>
      </c>
      <c r="BY200" s="84">
        <f t="shared" ref="BY200:BY207" si="5869">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08"/>
      <c r="CA200" s="816" t="s">
        <v>2427</v>
      </c>
      <c r="CB200" s="84">
        <f t="shared" ref="CB200:CB207" si="5870">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08"/>
      <c r="CD200" s="825" t="s">
        <v>2427</v>
      </c>
      <c r="CE200" s="84">
        <f t="shared" ref="CE200:CE207" si="5871">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08"/>
      <c r="CG200" s="798" t="s">
        <v>2616</v>
      </c>
      <c r="CH200" s="84">
        <f t="shared" ref="CH200:CH207" si="5872">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08"/>
      <c r="CJ200" s="798" t="s">
        <v>2632</v>
      </c>
      <c r="CK200" s="84">
        <f t="shared" ref="CK200:CK207" si="5873">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08"/>
      <c r="CM200" s="798" t="s">
        <v>2654</v>
      </c>
      <c r="CN200" s="84">
        <f t="shared" ref="CN200:CN207" si="5874">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08"/>
      <c r="CP200" s="798" t="s">
        <v>2680</v>
      </c>
      <c r="CQ200" s="84">
        <f t="shared" ref="CQ200:CQ207" si="5875">IFERROR(IF(COUNTIF($K$200:$K$207,LEFT(CP200,FIND("·",CP200)-1))&gt;0,IF(INDEX($L$200:$L$207,MATCH(LEFT(CP200,FIND("·",CP200)-1),$K$200:$K$207,0))=IFERROR(VALUE(MID(CP200,FIND("·",CP200)+1,1)),0),($D$20+(INDEX($M$200:$M$207,MATCH(LEFT(CP200,FIND("·",CP200)-1),$K$200:$K$207,0))=MID(CP200,FIND("|",CP200)+1,10))*$D$22+MAX(0,IF($D$50=1,$D$21*(1-(ABS(INDEX($P$200:$P$207,MATCH(LEFT(CP200,FIND("·",CP200)-1),$K$200:$K$207,0))-(VALUE(MID(CP200,FIND("|",CP200)+1,FIND("-",CP200,FIND("|",CP200))-FIND("|",CP200)-1))-VALUE(MID(CP200,FIND("-",CP200,FIND("|",CP200))+1,10)))))*$D$50),$D$21*(1-(IF(INDEX($L$200:$L$207,MATCH(LEFT(CP200,FIND("·",CP200)-1),$K$200:$K$207,0))=0,ABS(INDEX($N$200:$N$207,MATCH(LEFT(CP200,FIND("·",CP200)-1),$K$200:$K$207,0))-VALUE(MID(CP200,FIND("|",CP200)+1,FIND("-",CP200,FIND("|",CP200))-FIND("|",CP200)-1))),ABS(INDEX($P$200:$P$207,MATCH(LEFT(CP200,FIND("·",CP200)-1),$K$200:$K$207,0))-(VALUE(MID(CP200,FIND("|",CP200)+1,FIND("-",CP200,FIND("|",CP200))-FIND("|",CP200)-1))-VALUE(MID(CP200,FIND("-",CP200,FIND("|",CP200))+1,10)))))*$D$50)))))*INDEX($I$200:$I$207,MATCH(LEFT(CP200,FIND("·",CP200)-1),$K$200:$K$207,0)),0),0),0)+IFERROR(IF(COUNTIF($C$200:$C$207,LEFT(CP200,FIND("·",CP200)-1))&gt;0,IF(INDEX($D$200:$D$207,MATCH(LEFT(CP200,FIND("·",CP200)-1),$C$200:$C$207,0))=IFERROR(VALUE(MID(CP200,FIND("·",CP200)+1,1)),0),($D$20+(INDEX($E$200:$E$207,MATCH(LEFT(CP200,FIND("·",CP200)-1),$C$200:$C$207,0))=MID(CP200,FIND("|",CP200)+1,10))*$D$22+MAX(0,IF($D$50=1,$D$21*(1-(ABS(INDEX($Q$200:$Q$207,MATCH(LEFT(CP200,FIND("·",CP200)-1),$C$200:$C$207,0))-(VALUE(MID(CP200,FIND("|",CP200)+1,FIND("-",CP200,FIND("|",CP200))-FIND("|",CP200)-1))-VALUE(MID(CP200,FIND("-",CP200,FIND("|",CP200))+1,10)))))*$D$50),$D$21*(1-(IF(INDEX($D$200:$D$207,MATCH(LEFT(CP200,FIND("·",CP200)-1),$C$200:$C$207,0))=0,ABS(INDEX($A$200:$A$207,MATCH(LEFT(CP200,FIND("·",CP200)-1),$C$200:$C$207,0))-VALUE(MID(CP200,FIND("|",CP200)+1,FIND("-",CP200,FIND("|",CP200))-FIND("|",CP200)-1))),ABS(INDEX($Q$200:$Q$207,MATCH(LEFT(CP200,FIND("·",CP200)-1),$C$200:$C$207,0))-(VALUE(MID(CP200,FIND("|",CP200)+1,FIND("-",CP200,FIND("|",CP200))-FIND("|",CP200)-1))-VALUE(MID(CP200,FIND("-",CP200,FIND("|",CP200))+1,10)))))*$D$50)))))*INDEX($I$200:$I$207,MATCH(LEFT(CP200,FIND("·",CP200)-1),$C$200:$C$207,0)),0),0),0)</f>
        <v>0</v>
      </c>
      <c r="CR200" s="108"/>
      <c r="CS200" s="798" t="s">
        <v>2540</v>
      </c>
      <c r="CT200" s="84">
        <f t="shared" ref="CT200:CT207" si="5876">IFERROR(IF(COUNTIF($K$200:$K$207,LEFT(CS200,FIND("·",CS200)-1))&gt;0,IF(INDEX($L$200:$L$207,MATCH(LEFT(CS200,FIND("·",CS200)-1),$K$200:$K$207,0))=IFERROR(VALUE(MID(CS200,FIND("·",CS200)+1,1)),0),($D$20+(INDEX($M$200:$M$207,MATCH(LEFT(CS200,FIND("·",CS200)-1),$K$200:$K$207,0))=MID(CS200,FIND("|",CS200)+1,10))*$D$22+MAX(0,IF($D$50=1,$D$21*(1-(ABS(INDEX($P$200:$P$207,MATCH(LEFT(CS200,FIND("·",CS200)-1),$K$200:$K$207,0))-(VALUE(MID(CS200,FIND("|",CS200)+1,FIND("-",CS200,FIND("|",CS200))-FIND("|",CS200)-1))-VALUE(MID(CS200,FIND("-",CS200,FIND("|",CS200))+1,10)))))*$D$50),$D$21*(1-(IF(INDEX($L$200:$L$207,MATCH(LEFT(CS200,FIND("·",CS200)-1),$K$200:$K$207,0))=0,ABS(INDEX($N$200:$N$207,MATCH(LEFT(CS200,FIND("·",CS200)-1),$K$200:$K$207,0))-VALUE(MID(CS200,FIND("|",CS200)+1,FIND("-",CS200,FIND("|",CS200))-FIND("|",CS200)-1))),ABS(INDEX($P$200:$P$207,MATCH(LEFT(CS200,FIND("·",CS200)-1),$K$200:$K$207,0))-(VALUE(MID(CS200,FIND("|",CS200)+1,FIND("-",CS200,FIND("|",CS200))-FIND("|",CS200)-1))-VALUE(MID(CS200,FIND("-",CS200,FIND("|",CS200))+1,10)))))*$D$50)))))*INDEX($I$200:$I$207,MATCH(LEFT(CS200,FIND("·",CS200)-1),$K$200:$K$207,0)),0),0),0)+IFERROR(IF(COUNTIF($C$200:$C$207,LEFT(CS200,FIND("·",CS200)-1))&gt;0,IF(INDEX($D$200:$D$207,MATCH(LEFT(CS200,FIND("·",CS200)-1),$C$200:$C$207,0))=IFERROR(VALUE(MID(CS200,FIND("·",CS200)+1,1)),0),($D$20+(INDEX($E$200:$E$207,MATCH(LEFT(CS200,FIND("·",CS200)-1),$C$200:$C$207,0))=MID(CS200,FIND("|",CS200)+1,10))*$D$22+MAX(0,IF($D$50=1,$D$21*(1-(ABS(INDEX($Q$200:$Q$207,MATCH(LEFT(CS200,FIND("·",CS200)-1),$C$200:$C$207,0))-(VALUE(MID(CS200,FIND("|",CS200)+1,FIND("-",CS200,FIND("|",CS200))-FIND("|",CS200)-1))-VALUE(MID(CS200,FIND("-",CS200,FIND("|",CS200))+1,10)))))*$D$50),$D$21*(1-(IF(INDEX($D$200:$D$207,MATCH(LEFT(CS200,FIND("·",CS200)-1),$C$200:$C$207,0))=0,ABS(INDEX($A$200:$A$207,MATCH(LEFT(CS200,FIND("·",CS200)-1),$C$200:$C$207,0))-VALUE(MID(CS200,FIND("|",CS200)+1,FIND("-",CS200,FIND("|",CS200))-FIND("|",CS200)-1))),ABS(INDEX($Q$200:$Q$207,MATCH(LEFT(CS200,FIND("·",CS200)-1),$C$200:$C$207,0))-(VALUE(MID(CS200,FIND("|",CS200)+1,FIND("-",CS200,FIND("|",CS200))-FIND("|",CS200)-1))-VALUE(MID(CS200,FIND("-",CS200,FIND("|",CS200))+1,10)))))*$D$50)))))*INDEX($I$200:$I$207,MATCH(LEFT(CS200,FIND("·",CS200)-1),$C$200:$C$207,0)),0),0),0)</f>
        <v>0</v>
      </c>
      <c r="CU200" s="108"/>
      <c r="CV200" s="798" t="s">
        <v>2728</v>
      </c>
      <c r="CW200" s="84">
        <f t="shared" ref="CW200:CW207" si="5877">IFERROR(IF(COUNTIF($K$200:$K$207,LEFT(CV200,FIND("·",CV200)-1))&gt;0,IF(INDEX($L$200:$L$207,MATCH(LEFT(CV200,FIND("·",CV200)-1),$K$200:$K$207,0))=IFERROR(VALUE(MID(CV200,FIND("·",CV200)+1,1)),0),($D$20+(INDEX($M$200:$M$207,MATCH(LEFT(CV200,FIND("·",CV200)-1),$K$200:$K$207,0))=MID(CV200,FIND("|",CV200)+1,10))*$D$22+MAX(0,IF($D$50=1,$D$21*(1-(ABS(INDEX($P$200:$P$207,MATCH(LEFT(CV200,FIND("·",CV200)-1),$K$200:$K$207,0))-(VALUE(MID(CV200,FIND("|",CV200)+1,FIND("-",CV200,FIND("|",CV200))-FIND("|",CV200)-1))-VALUE(MID(CV200,FIND("-",CV200,FIND("|",CV200))+1,10)))))*$D$50),$D$21*(1-(IF(INDEX($L$200:$L$207,MATCH(LEFT(CV200,FIND("·",CV200)-1),$K$200:$K$207,0))=0,ABS(INDEX($N$200:$N$207,MATCH(LEFT(CV200,FIND("·",CV200)-1),$K$200:$K$207,0))-VALUE(MID(CV200,FIND("|",CV200)+1,FIND("-",CV200,FIND("|",CV200))-FIND("|",CV200)-1))),ABS(INDEX($P$200:$P$207,MATCH(LEFT(CV200,FIND("·",CV200)-1),$K$200:$K$207,0))-(VALUE(MID(CV200,FIND("|",CV200)+1,FIND("-",CV200,FIND("|",CV200))-FIND("|",CV200)-1))-VALUE(MID(CV200,FIND("-",CV200,FIND("|",CV200))+1,10)))))*$D$50)))))*INDEX($I$200:$I$207,MATCH(LEFT(CV200,FIND("·",CV200)-1),$K$200:$K$207,0)),0),0),0)+IFERROR(IF(COUNTIF($C$200:$C$207,LEFT(CV200,FIND("·",CV200)-1))&gt;0,IF(INDEX($D$200:$D$207,MATCH(LEFT(CV200,FIND("·",CV200)-1),$C$200:$C$207,0))=IFERROR(VALUE(MID(CV200,FIND("·",CV200)+1,1)),0),($D$20+(INDEX($E$200:$E$207,MATCH(LEFT(CV200,FIND("·",CV200)-1),$C$200:$C$207,0))=MID(CV200,FIND("|",CV200)+1,10))*$D$22+MAX(0,IF($D$50=1,$D$21*(1-(ABS(INDEX($Q$200:$Q$207,MATCH(LEFT(CV200,FIND("·",CV200)-1),$C$200:$C$207,0))-(VALUE(MID(CV200,FIND("|",CV200)+1,FIND("-",CV200,FIND("|",CV200))-FIND("|",CV200)-1))-VALUE(MID(CV200,FIND("-",CV200,FIND("|",CV200))+1,10)))))*$D$50),$D$21*(1-(IF(INDEX($D$200:$D$207,MATCH(LEFT(CV200,FIND("·",CV200)-1),$C$200:$C$207,0))=0,ABS(INDEX($A$200:$A$207,MATCH(LEFT(CV200,FIND("·",CV200)-1),$C$200:$C$207,0))-VALUE(MID(CV200,FIND("|",CV200)+1,FIND("-",CV200,FIND("|",CV200))-FIND("|",CV200)-1))),ABS(INDEX($Q$200:$Q$207,MATCH(LEFT(CV200,FIND("·",CV200)-1),$C$200:$C$207,0))-(VALUE(MID(CV200,FIND("|",CV200)+1,FIND("-",CV200,FIND("|",CV200))-FIND("|",CV200)-1))-VALUE(MID(CV200,FIND("-",CV200,FIND("|",CV200))+1,10)))))*$D$50)))))*INDEX($I$200:$I$207,MATCH(LEFT(CV200,FIND("·",CV200)-1),$C$200:$C$207,0)),0),0),0)</f>
        <v>0</v>
      </c>
      <c r="CX200" s="108"/>
      <c r="CY200" s="798" t="s">
        <v>2301</v>
      </c>
      <c r="CZ200" s="84">
        <f t="shared" ref="CZ200:CZ207" si="5878">IFERROR(IF(COUNTIF($K$200:$K$207,LEFT(CY200,FIND("·",CY200)-1))&gt;0,IF(INDEX($L$200:$L$207,MATCH(LEFT(CY200,FIND("·",CY200)-1),$K$200:$K$207,0))=IFERROR(VALUE(MID(CY200,FIND("·",CY200)+1,1)),0),($D$20+(INDEX($M$200:$M$207,MATCH(LEFT(CY200,FIND("·",CY200)-1),$K$200:$K$207,0))=MID(CY200,FIND("|",CY200)+1,10))*$D$22+MAX(0,IF($D$50=1,$D$21*(1-(ABS(INDEX($P$200:$P$207,MATCH(LEFT(CY200,FIND("·",CY200)-1),$K$200:$K$207,0))-(VALUE(MID(CY200,FIND("|",CY200)+1,FIND("-",CY200,FIND("|",CY200))-FIND("|",CY200)-1))-VALUE(MID(CY200,FIND("-",CY200,FIND("|",CY200))+1,10)))))*$D$50),$D$21*(1-(IF(INDEX($L$200:$L$207,MATCH(LEFT(CY200,FIND("·",CY200)-1),$K$200:$K$207,0))=0,ABS(INDEX($N$200:$N$207,MATCH(LEFT(CY200,FIND("·",CY200)-1),$K$200:$K$207,0))-VALUE(MID(CY200,FIND("|",CY200)+1,FIND("-",CY200,FIND("|",CY200))-FIND("|",CY200)-1))),ABS(INDEX($P$200:$P$207,MATCH(LEFT(CY200,FIND("·",CY200)-1),$K$200:$K$207,0))-(VALUE(MID(CY200,FIND("|",CY200)+1,FIND("-",CY200,FIND("|",CY200))-FIND("|",CY200)-1))-VALUE(MID(CY200,FIND("-",CY200,FIND("|",CY200))+1,10)))))*$D$50)))))*INDEX($I$200:$I$207,MATCH(LEFT(CY200,FIND("·",CY200)-1),$K$200:$K$207,0)),0),0),0)+IFERROR(IF(COUNTIF($C$200:$C$207,LEFT(CY200,FIND("·",CY200)-1))&gt;0,IF(INDEX($D$200:$D$207,MATCH(LEFT(CY200,FIND("·",CY200)-1),$C$200:$C$207,0))=IFERROR(VALUE(MID(CY200,FIND("·",CY200)+1,1)),0),($D$20+(INDEX($E$200:$E$207,MATCH(LEFT(CY200,FIND("·",CY200)-1),$C$200:$C$207,0))=MID(CY200,FIND("|",CY200)+1,10))*$D$22+MAX(0,IF($D$50=1,$D$21*(1-(ABS(INDEX($Q$200:$Q$207,MATCH(LEFT(CY200,FIND("·",CY200)-1),$C$200:$C$207,0))-(VALUE(MID(CY200,FIND("|",CY200)+1,FIND("-",CY200,FIND("|",CY200))-FIND("|",CY200)-1))-VALUE(MID(CY200,FIND("-",CY200,FIND("|",CY200))+1,10)))))*$D$50),$D$21*(1-(IF(INDEX($D$200:$D$207,MATCH(LEFT(CY200,FIND("·",CY200)-1),$C$200:$C$207,0))=0,ABS(INDEX($A$200:$A$207,MATCH(LEFT(CY200,FIND("·",CY200)-1),$C$200:$C$207,0))-VALUE(MID(CY200,FIND("|",CY200)+1,FIND("-",CY200,FIND("|",CY200))-FIND("|",CY200)-1))),ABS(INDEX($Q$200:$Q$207,MATCH(LEFT(CY200,FIND("·",CY200)-1),$C$200:$C$207,0))-(VALUE(MID(CY200,FIND("|",CY200)+1,FIND("-",CY200,FIND("|",CY200))-FIND("|",CY200)-1))-VALUE(MID(CY200,FIND("-",CY200,FIND("|",CY200))+1,10)))))*$D$50)))))*INDEX($I$200:$I$207,MATCH(LEFT(CY200,FIND("·",CY200)-1),$C$200:$C$207,0)),0),0),0)</f>
        <v>0</v>
      </c>
      <c r="DA200" s="108"/>
      <c r="DB200" s="798" t="s">
        <v>2563</v>
      </c>
      <c r="DC200" s="84">
        <f t="shared" ref="DC200:DC207" si="5879">IFERROR(IF(COUNTIF($K$200:$K$207,LEFT(DB200,FIND("·",DB200)-1))&gt;0,IF(INDEX($L$200:$L$207,MATCH(LEFT(DB200,FIND("·",DB200)-1),$K$200:$K$207,0))=IFERROR(VALUE(MID(DB200,FIND("·",DB200)+1,1)),0),($D$20+(INDEX($M$200:$M$207,MATCH(LEFT(DB200,FIND("·",DB200)-1),$K$200:$K$207,0))=MID(DB200,FIND("|",DB200)+1,10))*$D$22+MAX(0,IF($D$50=1,$D$21*(1-(ABS(INDEX($P$200:$P$207,MATCH(LEFT(DB200,FIND("·",DB200)-1),$K$200:$K$207,0))-(VALUE(MID(DB200,FIND("|",DB200)+1,FIND("-",DB200,FIND("|",DB200))-FIND("|",DB200)-1))-VALUE(MID(DB200,FIND("-",DB200,FIND("|",DB200))+1,10)))))*$D$50),$D$21*(1-(IF(INDEX($L$200:$L$207,MATCH(LEFT(DB200,FIND("·",DB200)-1),$K$200:$K$207,0))=0,ABS(INDEX($N$200:$N$207,MATCH(LEFT(DB200,FIND("·",DB200)-1),$K$200:$K$207,0))-VALUE(MID(DB200,FIND("|",DB200)+1,FIND("-",DB200,FIND("|",DB200))-FIND("|",DB200)-1))),ABS(INDEX($P$200:$P$207,MATCH(LEFT(DB200,FIND("·",DB200)-1),$K$200:$K$207,0))-(VALUE(MID(DB200,FIND("|",DB200)+1,FIND("-",DB200,FIND("|",DB200))-FIND("|",DB200)-1))-VALUE(MID(DB200,FIND("-",DB200,FIND("|",DB200))+1,10)))))*$D$50)))))*INDEX($I$200:$I$207,MATCH(LEFT(DB200,FIND("·",DB200)-1),$K$200:$K$207,0)),0),0),0)+IFERROR(IF(COUNTIF($C$200:$C$207,LEFT(DB200,FIND("·",DB200)-1))&gt;0,IF(INDEX($D$200:$D$207,MATCH(LEFT(DB200,FIND("·",DB200)-1),$C$200:$C$207,0))=IFERROR(VALUE(MID(DB200,FIND("·",DB200)+1,1)),0),($D$20+(INDEX($E$200:$E$207,MATCH(LEFT(DB200,FIND("·",DB200)-1),$C$200:$C$207,0))=MID(DB200,FIND("|",DB200)+1,10))*$D$22+MAX(0,IF($D$50=1,$D$21*(1-(ABS(INDEX($Q$200:$Q$207,MATCH(LEFT(DB200,FIND("·",DB200)-1),$C$200:$C$207,0))-(VALUE(MID(DB200,FIND("|",DB200)+1,FIND("-",DB200,FIND("|",DB200))-FIND("|",DB200)-1))-VALUE(MID(DB200,FIND("-",DB200,FIND("|",DB200))+1,10)))))*$D$50),$D$21*(1-(IF(INDEX($D$200:$D$207,MATCH(LEFT(DB200,FIND("·",DB200)-1),$C$200:$C$207,0))=0,ABS(INDEX($A$200:$A$207,MATCH(LEFT(DB200,FIND("·",DB200)-1),$C$200:$C$207,0))-VALUE(MID(DB200,FIND("|",DB200)+1,FIND("-",DB200,FIND("|",DB200))-FIND("|",DB200)-1))),ABS(INDEX($Q$200:$Q$207,MATCH(LEFT(DB200,FIND("·",DB200)-1),$C$200:$C$207,0))-(VALUE(MID(DB200,FIND("|",DB200)+1,FIND("-",DB200,FIND("|",DB200))-FIND("|",DB200)-1))-VALUE(MID(DB200,FIND("-",DB200,FIND("|",DB200))+1,10)))))*$D$50)))))*INDEX($I$200:$I$207,MATCH(LEFT(DB200,FIND("·",DB200)-1),$C$200:$C$207,0)),0),0),0)</f>
        <v>0</v>
      </c>
      <c r="DD200" s="108"/>
      <c r="DE200" s="798" t="s">
        <v>2800</v>
      </c>
      <c r="DF200" s="84">
        <f t="shared" ref="DF200:DF207" si="5880">IFERROR(IF(COUNTIF($K$200:$K$207,LEFT(DE200,FIND("·",DE200)-1))&gt;0,IF(INDEX($L$200:$L$207,MATCH(LEFT(DE200,FIND("·",DE200)-1),$K$200:$K$207,0))=IFERROR(VALUE(MID(DE200,FIND("·",DE200)+1,1)),0),($D$20+(INDEX($M$200:$M$207,MATCH(LEFT(DE200,FIND("·",DE200)-1),$K$200:$K$207,0))=MID(DE200,FIND("|",DE200)+1,10))*$D$22+MAX(0,IF($D$50=1,$D$21*(1-(ABS(INDEX($P$200:$P$207,MATCH(LEFT(DE200,FIND("·",DE200)-1),$K$200:$K$207,0))-(VALUE(MID(DE200,FIND("|",DE200)+1,FIND("-",DE200,FIND("|",DE200))-FIND("|",DE200)-1))-VALUE(MID(DE200,FIND("-",DE200,FIND("|",DE200))+1,10)))))*$D$50),$D$21*(1-(IF(INDEX($L$200:$L$207,MATCH(LEFT(DE200,FIND("·",DE200)-1),$K$200:$K$207,0))=0,ABS(INDEX($N$200:$N$207,MATCH(LEFT(DE200,FIND("·",DE200)-1),$K$200:$K$207,0))-VALUE(MID(DE200,FIND("|",DE200)+1,FIND("-",DE200,FIND("|",DE200))-FIND("|",DE200)-1))),ABS(INDEX($P$200:$P$207,MATCH(LEFT(DE200,FIND("·",DE200)-1),$K$200:$K$207,0))-(VALUE(MID(DE200,FIND("|",DE200)+1,FIND("-",DE200,FIND("|",DE200))-FIND("|",DE200)-1))-VALUE(MID(DE200,FIND("-",DE200,FIND("|",DE200))+1,10)))))*$D$50)))))*INDEX($I$200:$I$207,MATCH(LEFT(DE200,FIND("·",DE200)-1),$K$200:$K$207,0)),0),0),0)+IFERROR(IF(COUNTIF($C$200:$C$207,LEFT(DE200,FIND("·",DE200)-1))&gt;0,IF(INDEX($D$200:$D$207,MATCH(LEFT(DE200,FIND("·",DE200)-1),$C$200:$C$207,0))=IFERROR(VALUE(MID(DE200,FIND("·",DE200)+1,1)),0),($D$20+(INDEX($E$200:$E$207,MATCH(LEFT(DE200,FIND("·",DE200)-1),$C$200:$C$207,0))=MID(DE200,FIND("|",DE200)+1,10))*$D$22+MAX(0,IF($D$50=1,$D$21*(1-(ABS(INDEX($Q$200:$Q$207,MATCH(LEFT(DE200,FIND("·",DE200)-1),$C$200:$C$207,0))-(VALUE(MID(DE200,FIND("|",DE200)+1,FIND("-",DE200,FIND("|",DE200))-FIND("|",DE200)-1))-VALUE(MID(DE200,FIND("-",DE200,FIND("|",DE200))+1,10)))))*$D$50),$D$21*(1-(IF(INDEX($D$200:$D$207,MATCH(LEFT(DE200,FIND("·",DE200)-1),$C$200:$C$207,0))=0,ABS(INDEX($A$200:$A$207,MATCH(LEFT(DE200,FIND("·",DE200)-1),$C$200:$C$207,0))-VALUE(MID(DE200,FIND("|",DE200)+1,FIND("-",DE200,FIND("|",DE200))-FIND("|",DE200)-1))),ABS(INDEX($Q$200:$Q$207,MATCH(LEFT(DE200,FIND("·",DE200)-1),$C$200:$C$207,0))-(VALUE(MID(DE200,FIND("|",DE200)+1,FIND("-",DE200,FIND("|",DE200))-FIND("|",DE200)-1))-VALUE(MID(DE200,FIND("-",DE200,FIND("|",DE200))+1,10)))))*$D$50)))))*INDEX($I$200:$I$207,MATCH(LEFT(DE200,FIND("·",DE200)-1),$C$200:$C$207,0)),0),0),0)</f>
        <v>0</v>
      </c>
      <c r="DG200" s="108"/>
      <c r="DH200" s="798" t="s">
        <v>2858</v>
      </c>
      <c r="DI200" s="84">
        <f t="shared" ref="DI200:DI207" si="5881">IFERROR(IF(COUNTIF($K$200:$K$207,LEFT(DH200,FIND("·",DH200)-1))&gt;0,IF(INDEX($L$200:$L$207,MATCH(LEFT(DH200,FIND("·",DH200)-1),$K$200:$K$207,0))=IFERROR(VALUE(MID(DH200,FIND("·",DH200)+1,1)),0),($D$20+(INDEX($M$200:$M$207,MATCH(LEFT(DH200,FIND("·",DH200)-1),$K$200:$K$207,0))=MID(DH200,FIND("|",DH200)+1,10))*$D$22+MAX(0,IF($D$50=1,$D$21*(1-(ABS(INDEX($P$200:$P$207,MATCH(LEFT(DH200,FIND("·",DH200)-1),$K$200:$K$207,0))-(VALUE(MID(DH200,FIND("|",DH200)+1,FIND("-",DH200,FIND("|",DH200))-FIND("|",DH200)-1))-VALUE(MID(DH200,FIND("-",DH200,FIND("|",DH200))+1,10)))))*$D$50),$D$21*(1-(IF(INDEX($L$200:$L$207,MATCH(LEFT(DH200,FIND("·",DH200)-1),$K$200:$K$207,0))=0,ABS(INDEX($N$200:$N$207,MATCH(LEFT(DH200,FIND("·",DH200)-1),$K$200:$K$207,0))-VALUE(MID(DH200,FIND("|",DH200)+1,FIND("-",DH200,FIND("|",DH200))-FIND("|",DH200)-1))),ABS(INDEX($P$200:$P$207,MATCH(LEFT(DH200,FIND("·",DH200)-1),$K$200:$K$207,0))-(VALUE(MID(DH200,FIND("|",DH200)+1,FIND("-",DH200,FIND("|",DH200))-FIND("|",DH200)-1))-VALUE(MID(DH200,FIND("-",DH200,FIND("|",DH200))+1,10)))))*$D$50)))))*INDEX($I$200:$I$207,MATCH(LEFT(DH200,FIND("·",DH200)-1),$K$200:$K$207,0)),0),0),0)+IFERROR(IF(COUNTIF($C$200:$C$207,LEFT(DH200,FIND("·",DH200)-1))&gt;0,IF(INDEX($D$200:$D$207,MATCH(LEFT(DH200,FIND("·",DH200)-1),$C$200:$C$207,0))=IFERROR(VALUE(MID(DH200,FIND("·",DH200)+1,1)),0),($D$20+(INDEX($E$200:$E$207,MATCH(LEFT(DH200,FIND("·",DH200)-1),$C$200:$C$207,0))=MID(DH200,FIND("|",DH200)+1,10))*$D$22+MAX(0,IF($D$50=1,$D$21*(1-(ABS(INDEX($Q$200:$Q$207,MATCH(LEFT(DH200,FIND("·",DH200)-1),$C$200:$C$207,0))-(VALUE(MID(DH200,FIND("|",DH200)+1,FIND("-",DH200,FIND("|",DH200))-FIND("|",DH200)-1))-VALUE(MID(DH200,FIND("-",DH200,FIND("|",DH200))+1,10)))))*$D$50),$D$21*(1-(IF(INDEX($D$200:$D$207,MATCH(LEFT(DH200,FIND("·",DH200)-1),$C$200:$C$207,0))=0,ABS(INDEX($A$200:$A$207,MATCH(LEFT(DH200,FIND("·",DH200)-1),$C$200:$C$207,0))-VALUE(MID(DH200,FIND("|",DH200)+1,FIND("-",DH200,FIND("|",DH200))-FIND("|",DH200)-1))),ABS(INDEX($Q$200:$Q$207,MATCH(LEFT(DH200,FIND("·",DH200)-1),$C$200:$C$207,0))-(VALUE(MID(DH200,FIND("|",DH200)+1,FIND("-",DH200,FIND("|",DH200))-FIND("|",DH200)-1))-VALUE(MID(DH200,FIND("-",DH200,FIND("|",DH200))+1,10)))))*$D$50)))))*INDEX($I$200:$I$207,MATCH(LEFT(DH200,FIND("·",DH200)-1),$C$200:$C$207,0)),0),0),0)</f>
        <v>0</v>
      </c>
      <c r="DJ200" s="108"/>
      <c r="DK200" s="798" t="s">
        <v>2818</v>
      </c>
      <c r="DL200" s="84">
        <f t="shared" ref="DL200:DL207" si="5882">IFERROR(IF(COUNTIF($K$200:$K$207,LEFT(DK200,FIND("·",DK200)-1))&gt;0,IF(INDEX($L$200:$L$207,MATCH(LEFT(DK200,FIND("·",DK200)-1),$K$200:$K$207,0))=IFERROR(VALUE(MID(DK200,FIND("·",DK200)+1,1)),0),($D$20+(INDEX($M$200:$M$207,MATCH(LEFT(DK200,FIND("·",DK200)-1),$K$200:$K$207,0))=MID(DK200,FIND("|",DK200)+1,10))*$D$22+MAX(0,IF($D$50=1,$D$21*(1-(ABS(INDEX($P$200:$P$207,MATCH(LEFT(DK200,FIND("·",DK200)-1),$K$200:$K$207,0))-(VALUE(MID(DK200,FIND("|",DK200)+1,FIND("-",DK200,FIND("|",DK200))-FIND("|",DK200)-1))-VALUE(MID(DK200,FIND("-",DK200,FIND("|",DK200))+1,10)))))*$D$50),$D$21*(1-(IF(INDEX($L$200:$L$207,MATCH(LEFT(DK200,FIND("·",DK200)-1),$K$200:$K$207,0))=0,ABS(INDEX($N$200:$N$207,MATCH(LEFT(DK200,FIND("·",DK200)-1),$K$200:$K$207,0))-VALUE(MID(DK200,FIND("|",DK200)+1,FIND("-",DK200,FIND("|",DK200))-FIND("|",DK200)-1))),ABS(INDEX($P$200:$P$207,MATCH(LEFT(DK200,FIND("·",DK200)-1),$K$200:$K$207,0))-(VALUE(MID(DK200,FIND("|",DK200)+1,FIND("-",DK200,FIND("|",DK200))-FIND("|",DK200)-1))-VALUE(MID(DK200,FIND("-",DK200,FIND("|",DK200))+1,10)))))*$D$50)))))*INDEX($I$200:$I$207,MATCH(LEFT(DK200,FIND("·",DK200)-1),$K$200:$K$207,0)),0),0),0)+IFERROR(IF(COUNTIF($C$200:$C$207,LEFT(DK200,FIND("·",DK200)-1))&gt;0,IF(INDEX($D$200:$D$207,MATCH(LEFT(DK200,FIND("·",DK200)-1),$C$200:$C$207,0))=IFERROR(VALUE(MID(DK200,FIND("·",DK200)+1,1)),0),($D$20+(INDEX($E$200:$E$207,MATCH(LEFT(DK200,FIND("·",DK200)-1),$C$200:$C$207,0))=MID(DK200,FIND("|",DK200)+1,10))*$D$22+MAX(0,IF($D$50=1,$D$21*(1-(ABS(INDEX($Q$200:$Q$207,MATCH(LEFT(DK200,FIND("·",DK200)-1),$C$200:$C$207,0))-(VALUE(MID(DK200,FIND("|",DK200)+1,FIND("-",DK200,FIND("|",DK200))-FIND("|",DK200)-1))-VALUE(MID(DK200,FIND("-",DK200,FIND("|",DK200))+1,10)))))*$D$50),$D$21*(1-(IF(INDEX($D$200:$D$207,MATCH(LEFT(DK200,FIND("·",DK200)-1),$C$200:$C$207,0))=0,ABS(INDEX($A$200:$A$207,MATCH(LEFT(DK200,FIND("·",DK200)-1),$C$200:$C$207,0))-VALUE(MID(DK200,FIND("|",DK200)+1,FIND("-",DK200,FIND("|",DK200))-FIND("|",DK200)-1))),ABS(INDEX($Q$200:$Q$207,MATCH(LEFT(DK200,FIND("·",DK200)-1),$C$200:$C$207,0))-(VALUE(MID(DK200,FIND("|",DK200)+1,FIND("-",DK200,FIND("|",DK200))-FIND("|",DK200)-1))-VALUE(MID(DK200,FIND("-",DK200,FIND("|",DK200))+1,10)))))*$D$50)))))*INDEX($I$200:$I$207,MATCH(LEFT(DK200,FIND("·",DK200)-1),$C$200:$C$207,0)),0),0),0)</f>
        <v>0</v>
      </c>
      <c r="DM200" s="108"/>
      <c r="DN200" s="65" t="str">
        <f>Idiomas!$D$368</f>
        <v>Pegar Valores Octavos</v>
      </c>
      <c r="DO200" s="84">
        <f t="shared" ref="DO200:DO207" si="5883">IFERROR(IF(COUNTIF($K$200:$K$207,LEFT(DN200,FIND("·",DN200)-1))&gt;0,IF(INDEX($L$200:$L$207,MATCH(LEFT(DN200,FIND("·",DN200)-1),$K$200:$K$207,0))=IFERROR(VALUE(MID(DN200,FIND("·",DN200)+1,1)),0),($D$20+(INDEX($M$200:$M$207,MATCH(LEFT(DN200,FIND("·",DN200)-1),$K$200:$K$207,0))=MID(DN200,FIND("|",DN200)+1,10))*$D$22+MAX(0,IF($D$50=1,$D$21*(1-(ABS(INDEX($P$200:$P$207,MATCH(LEFT(DN200,FIND("·",DN200)-1),$K$200:$K$207,0))-(VALUE(MID(DN200,FIND("|",DN200)+1,FIND("-",DN200,FIND("|",DN200))-FIND("|",DN200)-1))-VALUE(MID(DN200,FIND("-",DN200,FIND("|",DN200))+1,10)))))*$D$50),$D$21*(1-(IF(INDEX($L$200:$L$207,MATCH(LEFT(DN200,FIND("·",DN200)-1),$K$200:$K$207,0))=0,ABS(INDEX($N$200:$N$207,MATCH(LEFT(DN200,FIND("·",DN200)-1),$K$200:$K$207,0))-VALUE(MID(DN200,FIND("|",DN200)+1,FIND("-",DN200,FIND("|",DN200))-FIND("|",DN200)-1))),ABS(INDEX($P$200:$P$207,MATCH(LEFT(DN200,FIND("·",DN200)-1),$K$200:$K$207,0))-(VALUE(MID(DN200,FIND("|",DN200)+1,FIND("-",DN200,FIND("|",DN200))-FIND("|",DN200)-1))-VALUE(MID(DN200,FIND("-",DN200,FIND("|",DN200))+1,10)))))*$D$50)))))*INDEX($I$200:$I$207,MATCH(LEFT(DN200,FIND("·",DN200)-1),$K$200:$K$207,0)),0),0),0)+IFERROR(IF(COUNTIF($C$200:$C$207,LEFT(DN200,FIND("·",DN200)-1))&gt;0,IF(INDEX($D$200:$D$207,MATCH(LEFT(DN200,FIND("·",DN200)-1),$C$200:$C$207,0))=IFERROR(VALUE(MID(DN200,FIND("·",DN200)+1,1)),0),($D$20+(INDEX($E$200:$E$207,MATCH(LEFT(DN200,FIND("·",DN200)-1),$C$200:$C$207,0))=MID(DN200,FIND("|",DN200)+1,10))*$D$22+MAX(0,IF($D$50=1,$D$21*(1-(ABS(INDEX($Q$200:$Q$207,MATCH(LEFT(DN200,FIND("·",DN200)-1),$C$200:$C$207,0))-(VALUE(MID(DN200,FIND("|",DN200)+1,FIND("-",DN200,FIND("|",DN200))-FIND("|",DN200)-1))-VALUE(MID(DN200,FIND("-",DN200,FIND("|",DN200))+1,10)))))*$D$50),$D$21*(1-(IF(INDEX($D$200:$D$207,MATCH(LEFT(DN200,FIND("·",DN200)-1),$C$200:$C$207,0))=0,ABS(INDEX($A$200:$A$207,MATCH(LEFT(DN200,FIND("·",DN200)-1),$C$200:$C$207,0))-VALUE(MID(DN200,FIND("|",DN200)+1,FIND("-",DN200,FIND("|",DN200))-FIND("|",DN200)-1))),ABS(INDEX($Q$200:$Q$207,MATCH(LEFT(DN200,FIND("·",DN200)-1),$C$200:$C$207,0))-(VALUE(MID(DN200,FIND("|",DN200)+1,FIND("-",DN200,FIND("|",DN200))-FIND("|",DN200)-1))-VALUE(MID(DN200,FIND("-",DN200,FIND("|",DN200))+1,10)))))*$D$50)))))*INDEX($I$200:$I$207,MATCH(LEFT(DN200,FIND("·",DN200)-1),$C$200:$C$207,0)),0),0),0)</f>
        <v>0</v>
      </c>
      <c r="DP200" s="108"/>
      <c r="DQ200" s="798" t="s">
        <v>2838</v>
      </c>
      <c r="DR200" s="84">
        <f t="shared" ref="DR200:DR207" si="5884">IFERROR(IF(COUNTIF($K$200:$K$207,LEFT(DQ200,FIND("·",DQ200)-1))&gt;0,IF(INDEX($L$200:$L$207,MATCH(LEFT(DQ200,FIND("·",DQ200)-1),$K$200:$K$207,0))=IFERROR(VALUE(MID(DQ200,FIND("·",DQ200)+1,1)),0),($D$20+(INDEX($M$200:$M$207,MATCH(LEFT(DQ200,FIND("·",DQ200)-1),$K$200:$K$207,0))=MID(DQ200,FIND("|",DQ200)+1,10))*$D$22+MAX(0,IF($D$50=1,$D$21*(1-(ABS(INDEX($P$200:$P$207,MATCH(LEFT(DQ200,FIND("·",DQ200)-1),$K$200:$K$207,0))-(VALUE(MID(DQ200,FIND("|",DQ200)+1,FIND("-",DQ200,FIND("|",DQ200))-FIND("|",DQ200)-1))-VALUE(MID(DQ200,FIND("-",DQ200,FIND("|",DQ200))+1,10)))))*$D$50),$D$21*(1-(IF(INDEX($L$200:$L$207,MATCH(LEFT(DQ200,FIND("·",DQ200)-1),$K$200:$K$207,0))=0,ABS(INDEX($N$200:$N$207,MATCH(LEFT(DQ200,FIND("·",DQ200)-1),$K$200:$K$207,0))-VALUE(MID(DQ200,FIND("|",DQ200)+1,FIND("-",DQ200,FIND("|",DQ200))-FIND("|",DQ200)-1))),ABS(INDEX($P$200:$P$207,MATCH(LEFT(DQ200,FIND("·",DQ200)-1),$K$200:$K$207,0))-(VALUE(MID(DQ200,FIND("|",DQ200)+1,FIND("-",DQ200,FIND("|",DQ200))-FIND("|",DQ200)-1))-VALUE(MID(DQ200,FIND("-",DQ200,FIND("|",DQ200))+1,10)))))*$D$50)))))*INDEX($I$200:$I$207,MATCH(LEFT(DQ200,FIND("·",DQ200)-1),$K$200:$K$207,0)),0),0),0)+IFERROR(IF(COUNTIF($C$200:$C$207,LEFT(DQ200,FIND("·",DQ200)-1))&gt;0,IF(INDEX($D$200:$D$207,MATCH(LEFT(DQ200,FIND("·",DQ200)-1),$C$200:$C$207,0))=IFERROR(VALUE(MID(DQ200,FIND("·",DQ200)+1,1)),0),($D$20+(INDEX($E$200:$E$207,MATCH(LEFT(DQ200,FIND("·",DQ200)-1),$C$200:$C$207,0))=MID(DQ200,FIND("|",DQ200)+1,10))*$D$22+MAX(0,IF($D$50=1,$D$21*(1-(ABS(INDEX($Q$200:$Q$207,MATCH(LEFT(DQ200,FIND("·",DQ200)-1),$C$200:$C$207,0))-(VALUE(MID(DQ200,FIND("|",DQ200)+1,FIND("-",DQ200,FIND("|",DQ200))-FIND("|",DQ200)-1))-VALUE(MID(DQ200,FIND("-",DQ200,FIND("|",DQ200))+1,10)))))*$D$50),$D$21*(1-(IF(INDEX($D$200:$D$207,MATCH(LEFT(DQ200,FIND("·",DQ200)-1),$C$200:$C$207,0))=0,ABS(INDEX($A$200:$A$207,MATCH(LEFT(DQ200,FIND("·",DQ200)-1),$C$200:$C$207,0))-VALUE(MID(DQ200,FIND("|",DQ200)+1,FIND("-",DQ200,FIND("|",DQ200))-FIND("|",DQ200)-1))),ABS(INDEX($Q$200:$Q$207,MATCH(LEFT(DQ200,FIND("·",DQ200)-1),$C$200:$C$207,0))-(VALUE(MID(DQ200,FIND("|",DQ200)+1,FIND("-",DQ200,FIND("|",DQ200))-FIND("|",DQ200)-1))-VALUE(MID(DQ200,FIND("-",DQ200,FIND("|",DQ200))+1,10)))))*$D$50)))))*INDEX($I$200:$I$207,MATCH(LEFT(DQ200,FIND("·",DQ200)-1),$C$200:$C$207,0)),0),0),0)</f>
        <v>0</v>
      </c>
      <c r="DS200" s="108"/>
      <c r="DT200" s="65" t="s">
        <v>2025</v>
      </c>
      <c r="DU200" s="84">
        <f t="shared" ref="DU200:DU207" si="5885">IFERROR(IF(COUNTIF($K$200:$K$207,LEFT(DT200,FIND("·",DT200)-1))&gt;0,IF(INDEX($L$200:$L$207,MATCH(LEFT(DT200,FIND("·",DT200)-1),$K$200:$K$207,0))=IFERROR(VALUE(MID(DT200,FIND("·",DT200)+1,1)),0),($D$20+(INDEX($M$200:$M$207,MATCH(LEFT(DT200,FIND("·",DT200)-1),$K$200:$K$207,0))=MID(DT200,FIND("|",DT200)+1,10))*$D$22+MAX(0,IF($D$50=1,$D$21*(1-(ABS(INDEX($P$200:$P$207,MATCH(LEFT(DT200,FIND("·",DT200)-1),$K$200:$K$207,0))-(VALUE(MID(DT200,FIND("|",DT200)+1,FIND("-",DT200,FIND("|",DT200))-FIND("|",DT200)-1))-VALUE(MID(DT200,FIND("-",DT200,FIND("|",DT200))+1,10)))))*$D$50),$D$21*(1-(IF(INDEX($L$200:$L$207,MATCH(LEFT(DT200,FIND("·",DT200)-1),$K$200:$K$207,0))=0,ABS(INDEX($N$200:$N$207,MATCH(LEFT(DT200,FIND("·",DT200)-1),$K$200:$K$207,0))-VALUE(MID(DT200,FIND("|",DT200)+1,FIND("-",DT200,FIND("|",DT200))-FIND("|",DT200)-1))),ABS(INDEX($P$200:$P$207,MATCH(LEFT(DT200,FIND("·",DT200)-1),$K$200:$K$207,0))-(VALUE(MID(DT200,FIND("|",DT200)+1,FIND("-",DT200,FIND("|",DT200))-FIND("|",DT200)-1))-VALUE(MID(DT200,FIND("-",DT200,FIND("|",DT200))+1,10)))))*$D$50)))))*INDEX($I$200:$I$207,MATCH(LEFT(DT200,FIND("·",DT200)-1),$K$200:$K$207,0)),0),0),0)+IFERROR(IF(COUNTIF($C$200:$C$207,LEFT(DT200,FIND("·",DT200)-1))&gt;0,IF(INDEX($D$200:$D$207,MATCH(LEFT(DT200,FIND("·",DT200)-1),$C$200:$C$207,0))=IFERROR(VALUE(MID(DT200,FIND("·",DT200)+1,1)),0),($D$20+(INDEX($E$200:$E$207,MATCH(LEFT(DT200,FIND("·",DT200)-1),$C$200:$C$207,0))=MID(DT200,FIND("|",DT200)+1,10))*$D$22+MAX(0,IF($D$50=1,$D$21*(1-(ABS(INDEX($Q$200:$Q$207,MATCH(LEFT(DT200,FIND("·",DT200)-1),$C$200:$C$207,0))-(VALUE(MID(DT200,FIND("|",DT200)+1,FIND("-",DT200,FIND("|",DT200))-FIND("|",DT200)-1))-VALUE(MID(DT200,FIND("-",DT200,FIND("|",DT200))+1,10)))))*$D$50),$D$21*(1-(IF(INDEX($D$200:$D$207,MATCH(LEFT(DT200,FIND("·",DT200)-1),$C$200:$C$207,0))=0,ABS(INDEX($A$200:$A$207,MATCH(LEFT(DT200,FIND("·",DT200)-1),$C$200:$C$207,0))-VALUE(MID(DT200,FIND("|",DT200)+1,FIND("-",DT200,FIND("|",DT200))-FIND("|",DT200)-1))),ABS(INDEX($Q$200:$Q$207,MATCH(LEFT(DT200,FIND("·",DT200)-1),$C$200:$C$207,0))-(VALUE(MID(DT200,FIND("|",DT200)+1,FIND("-",DT200,FIND("|",DT200))-FIND("|",DT200)-1))-VALUE(MID(DT200,FIND("-",DT200,FIND("|",DT200))+1,10)))))*$D$50)))))*INDEX($I$200:$I$207,MATCH(LEFT(DT200,FIND("·",DT200)-1),$C$200:$C$207,0)),0),0),0)</f>
        <v>0</v>
      </c>
      <c r="DV200" s="108"/>
      <c r="DW200" s="65" t="str">
        <f>Idiomas!$D$368</f>
        <v>Pegar Valores Octavos</v>
      </c>
      <c r="DX200" s="84">
        <f t="shared" ref="DX200:DX207" si="5886">IFERROR(IF(COUNTIF($K$200:$K$207,LEFT(DW200,FIND("·",DW200)-1))&gt;0,IF(INDEX($L$200:$L$207,MATCH(LEFT(DW200,FIND("·",DW200)-1),$K$200:$K$207,0))=IFERROR(VALUE(MID(DW200,FIND("·",DW200)+1,1)),0),($D$20+(INDEX($M$200:$M$207,MATCH(LEFT(DW200,FIND("·",DW200)-1),$K$200:$K$207,0))=MID(DW200,FIND("|",DW200)+1,10))*$D$22+MAX(0,IF($D$50=1,$D$21*(1-(ABS(INDEX($P$200:$P$207,MATCH(LEFT(DW200,FIND("·",DW200)-1),$K$200:$K$207,0))-(VALUE(MID(DW200,FIND("|",DW200)+1,FIND("-",DW200,FIND("|",DW200))-FIND("|",DW200)-1))-VALUE(MID(DW200,FIND("-",DW200,FIND("|",DW200))+1,10)))))*$D$50),$D$21*(1-(IF(INDEX($L$200:$L$207,MATCH(LEFT(DW200,FIND("·",DW200)-1),$K$200:$K$207,0))=0,ABS(INDEX($N$200:$N$207,MATCH(LEFT(DW200,FIND("·",DW200)-1),$K$200:$K$207,0))-VALUE(MID(DW200,FIND("|",DW200)+1,FIND("-",DW200,FIND("|",DW200))-FIND("|",DW200)-1))),ABS(INDEX($P$200:$P$207,MATCH(LEFT(DW200,FIND("·",DW200)-1),$K$200:$K$207,0))-(VALUE(MID(DW200,FIND("|",DW200)+1,FIND("-",DW200,FIND("|",DW200))-FIND("|",DW200)-1))-VALUE(MID(DW200,FIND("-",DW200,FIND("|",DW200))+1,10)))))*$D$50)))))*INDEX($I$200:$I$207,MATCH(LEFT(DW200,FIND("·",DW200)-1),$K$200:$K$207,0)),0),0),0)+IFERROR(IF(COUNTIF($C$200:$C$207,LEFT(DW200,FIND("·",DW200)-1))&gt;0,IF(INDEX($D$200:$D$207,MATCH(LEFT(DW200,FIND("·",DW200)-1),$C$200:$C$207,0))=IFERROR(VALUE(MID(DW200,FIND("·",DW200)+1,1)),0),($D$20+(INDEX($E$200:$E$207,MATCH(LEFT(DW200,FIND("·",DW200)-1),$C$200:$C$207,0))=MID(DW200,FIND("|",DW200)+1,10))*$D$22+MAX(0,IF($D$50=1,$D$21*(1-(ABS(INDEX($Q$200:$Q$207,MATCH(LEFT(DW200,FIND("·",DW200)-1),$C$200:$C$207,0))-(VALUE(MID(DW200,FIND("|",DW200)+1,FIND("-",DW200,FIND("|",DW200))-FIND("|",DW200)-1))-VALUE(MID(DW200,FIND("-",DW200,FIND("|",DW200))+1,10)))))*$D$50),$D$21*(1-(IF(INDEX($D$200:$D$207,MATCH(LEFT(DW200,FIND("·",DW200)-1),$C$200:$C$207,0))=0,ABS(INDEX($A$200:$A$207,MATCH(LEFT(DW200,FIND("·",DW200)-1),$C$200:$C$207,0))-VALUE(MID(DW200,FIND("|",DW200)+1,FIND("-",DW200,FIND("|",DW200))-FIND("|",DW200)-1))),ABS(INDEX($Q$200:$Q$207,MATCH(LEFT(DW200,FIND("·",DW200)-1),$C$200:$C$207,0))-(VALUE(MID(DW200,FIND("|",DW200)+1,FIND("-",DW200,FIND("|",DW200))-FIND("|",DW200)-1))-VALUE(MID(DW200,FIND("-",DW200,FIND("|",DW200))+1,10)))))*$D$50)))))*INDEX($I$200:$I$207,MATCH(LEFT(DW200,FIND("·",DW200)-1),$C$200:$C$207,0)),0),0),0)</f>
        <v>0</v>
      </c>
      <c r="DY200" s="108"/>
      <c r="DZ200" s="65" t="str">
        <f>Idiomas!$D$368</f>
        <v>Pegar Valores Octavos</v>
      </c>
      <c r="EA200" s="84">
        <f t="shared" ref="EA200:EA207" si="5887">IFERROR(IF(COUNTIF($K$200:$K$207,LEFT(DZ200,FIND("·",DZ200)-1))&gt;0,IF(INDEX($L$200:$L$207,MATCH(LEFT(DZ200,FIND("·",DZ200)-1),$K$200:$K$207,0))=IFERROR(VALUE(MID(DZ200,FIND("·",DZ200)+1,1)),0),($D$20+(INDEX($M$200:$M$207,MATCH(LEFT(DZ200,FIND("·",DZ200)-1),$K$200:$K$207,0))=MID(DZ200,FIND("|",DZ200)+1,10))*$D$22+MAX(0,IF($D$50=1,$D$21*(1-(ABS(INDEX($P$200:$P$207,MATCH(LEFT(DZ200,FIND("·",DZ200)-1),$K$200:$K$207,0))-(VALUE(MID(DZ200,FIND("|",DZ200)+1,FIND("-",DZ200,FIND("|",DZ200))-FIND("|",DZ200)-1))-VALUE(MID(DZ200,FIND("-",DZ200,FIND("|",DZ200))+1,10)))))*$D$50),$D$21*(1-(IF(INDEX($L$200:$L$207,MATCH(LEFT(DZ200,FIND("·",DZ200)-1),$K$200:$K$207,0))=0,ABS(INDEX($N$200:$N$207,MATCH(LEFT(DZ200,FIND("·",DZ200)-1),$K$200:$K$207,0))-VALUE(MID(DZ200,FIND("|",DZ200)+1,FIND("-",DZ200,FIND("|",DZ200))-FIND("|",DZ200)-1))),ABS(INDEX($P$200:$P$207,MATCH(LEFT(DZ200,FIND("·",DZ200)-1),$K$200:$K$207,0))-(VALUE(MID(DZ200,FIND("|",DZ200)+1,FIND("-",DZ200,FIND("|",DZ200))-FIND("|",DZ200)-1))-VALUE(MID(DZ200,FIND("-",DZ200,FIND("|",DZ200))+1,10)))))*$D$50)))))*INDEX($I$200:$I$207,MATCH(LEFT(DZ200,FIND("·",DZ200)-1),$K$200:$K$207,0)),0),0),0)+IFERROR(IF(COUNTIF($C$200:$C$207,LEFT(DZ200,FIND("·",DZ200)-1))&gt;0,IF(INDEX($D$200:$D$207,MATCH(LEFT(DZ200,FIND("·",DZ200)-1),$C$200:$C$207,0))=IFERROR(VALUE(MID(DZ200,FIND("·",DZ200)+1,1)),0),($D$20+(INDEX($E$200:$E$207,MATCH(LEFT(DZ200,FIND("·",DZ200)-1),$C$200:$C$207,0))=MID(DZ200,FIND("|",DZ200)+1,10))*$D$22+MAX(0,IF($D$50=1,$D$21*(1-(ABS(INDEX($Q$200:$Q$207,MATCH(LEFT(DZ200,FIND("·",DZ200)-1),$C$200:$C$207,0))-(VALUE(MID(DZ200,FIND("|",DZ200)+1,FIND("-",DZ200,FIND("|",DZ200))-FIND("|",DZ200)-1))-VALUE(MID(DZ200,FIND("-",DZ200,FIND("|",DZ200))+1,10)))))*$D$50),$D$21*(1-(IF(INDEX($D$200:$D$207,MATCH(LEFT(DZ200,FIND("·",DZ200)-1),$C$200:$C$207,0))=0,ABS(INDEX($A$200:$A$207,MATCH(LEFT(DZ200,FIND("·",DZ200)-1),$C$200:$C$207,0))-VALUE(MID(DZ200,FIND("|",DZ200)+1,FIND("-",DZ200,FIND("|",DZ200))-FIND("|",DZ200)-1))),ABS(INDEX($Q$200:$Q$207,MATCH(LEFT(DZ200,FIND("·",DZ200)-1),$C$200:$C$207,0))-(VALUE(MID(DZ200,FIND("|",DZ200)+1,FIND("-",DZ200,FIND("|",DZ200))-FIND("|",DZ200)-1))-VALUE(MID(DZ200,FIND("-",DZ200,FIND("|",DZ200))+1,10)))))*$D$50)))))*INDEX($I$200:$I$207,MATCH(LEFT(DZ200,FIND("·",DZ200)-1),$C$200:$C$207,0)),0),0),0)</f>
        <v>0</v>
      </c>
      <c r="EB200" s="108"/>
      <c r="EC200" s="65" t="str">
        <f>Idiomas!$D$368</f>
        <v>Pegar Valores Octavos</v>
      </c>
      <c r="ED200" s="84">
        <f t="shared" ref="ED200:ED207" si="5888">IFERROR(IF(COUNTIF($K$200:$K$207,LEFT(EC200,FIND("·",EC200)-1))&gt;0,IF(INDEX($L$200:$L$207,MATCH(LEFT(EC200,FIND("·",EC200)-1),$K$200:$K$207,0))=IFERROR(VALUE(MID(EC200,FIND("·",EC200)+1,1)),0),($D$20+(INDEX($M$200:$M$207,MATCH(LEFT(EC200,FIND("·",EC200)-1),$K$200:$K$207,0))=MID(EC200,FIND("|",EC200)+1,10))*$D$22+MAX(0,IF($D$50=1,$D$21*(1-(ABS(INDEX($P$200:$P$207,MATCH(LEFT(EC200,FIND("·",EC200)-1),$K$200:$K$207,0))-(VALUE(MID(EC200,FIND("|",EC200)+1,FIND("-",EC200,FIND("|",EC200))-FIND("|",EC200)-1))-VALUE(MID(EC200,FIND("-",EC200,FIND("|",EC200))+1,10)))))*$D$50),$D$21*(1-(IF(INDEX($L$200:$L$207,MATCH(LEFT(EC200,FIND("·",EC200)-1),$K$200:$K$207,0))=0,ABS(INDEX($N$200:$N$207,MATCH(LEFT(EC200,FIND("·",EC200)-1),$K$200:$K$207,0))-VALUE(MID(EC200,FIND("|",EC200)+1,FIND("-",EC200,FIND("|",EC200))-FIND("|",EC200)-1))),ABS(INDEX($P$200:$P$207,MATCH(LEFT(EC200,FIND("·",EC200)-1),$K$200:$K$207,0))-(VALUE(MID(EC200,FIND("|",EC200)+1,FIND("-",EC200,FIND("|",EC200))-FIND("|",EC200)-1))-VALUE(MID(EC200,FIND("-",EC200,FIND("|",EC200))+1,10)))))*$D$50)))))*INDEX($I$200:$I$207,MATCH(LEFT(EC200,FIND("·",EC200)-1),$K$200:$K$207,0)),0),0),0)+IFERROR(IF(COUNTIF($C$200:$C$207,LEFT(EC200,FIND("·",EC200)-1))&gt;0,IF(INDEX($D$200:$D$207,MATCH(LEFT(EC200,FIND("·",EC200)-1),$C$200:$C$207,0))=IFERROR(VALUE(MID(EC200,FIND("·",EC200)+1,1)),0),($D$20+(INDEX($E$200:$E$207,MATCH(LEFT(EC200,FIND("·",EC200)-1),$C$200:$C$207,0))=MID(EC200,FIND("|",EC200)+1,10))*$D$22+MAX(0,IF($D$50=1,$D$21*(1-(ABS(INDEX($Q$200:$Q$207,MATCH(LEFT(EC200,FIND("·",EC200)-1),$C$200:$C$207,0))-(VALUE(MID(EC200,FIND("|",EC200)+1,FIND("-",EC200,FIND("|",EC200))-FIND("|",EC200)-1))-VALUE(MID(EC200,FIND("-",EC200,FIND("|",EC200))+1,10)))))*$D$50),$D$21*(1-(IF(INDEX($D$200:$D$207,MATCH(LEFT(EC200,FIND("·",EC200)-1),$C$200:$C$207,0))=0,ABS(INDEX($A$200:$A$207,MATCH(LEFT(EC200,FIND("·",EC200)-1),$C$200:$C$207,0))-VALUE(MID(EC200,FIND("|",EC200)+1,FIND("-",EC200,FIND("|",EC200))-FIND("|",EC200)-1))),ABS(INDEX($Q$200:$Q$207,MATCH(LEFT(EC200,FIND("·",EC200)-1),$C$200:$C$207,0))-(VALUE(MID(EC200,FIND("|",EC200)+1,FIND("-",EC200,FIND("|",EC200))-FIND("|",EC200)-1))-VALUE(MID(EC200,FIND("-",EC200,FIND("|",EC200))+1,10)))))*$D$50)))))*INDEX($I$200:$I$207,MATCH(LEFT(EC200,FIND("·",EC200)-1),$C$200:$C$207,0)),0),0),0)</f>
        <v>0</v>
      </c>
      <c r="EE200" s="108"/>
      <c r="EF200" s="65" t="str">
        <f>Idiomas!$D$368</f>
        <v>Pegar Valores Octavos</v>
      </c>
      <c r="EG200" s="84">
        <f t="shared" ref="EG200:EG207" si="5889">IFERROR(IF(COUNTIF($K$200:$K$207,LEFT(EF200,FIND("·",EF200)-1))&gt;0,IF(INDEX($L$200:$L$207,MATCH(LEFT(EF200,FIND("·",EF200)-1),$K$200:$K$207,0))=IFERROR(VALUE(MID(EF200,FIND("·",EF200)+1,1)),0),($D$20+(INDEX($M$200:$M$207,MATCH(LEFT(EF200,FIND("·",EF200)-1),$K$200:$K$207,0))=MID(EF200,FIND("|",EF200)+1,10))*$D$22+MAX(0,IF($D$50=1,$D$21*(1-(ABS(INDEX($P$200:$P$207,MATCH(LEFT(EF200,FIND("·",EF200)-1),$K$200:$K$207,0))-(VALUE(MID(EF200,FIND("|",EF200)+1,FIND("-",EF200,FIND("|",EF200))-FIND("|",EF200)-1))-VALUE(MID(EF200,FIND("-",EF200,FIND("|",EF200))+1,10)))))*$D$50),$D$21*(1-(IF(INDEX($L$200:$L$207,MATCH(LEFT(EF200,FIND("·",EF200)-1),$K$200:$K$207,0))=0,ABS(INDEX($N$200:$N$207,MATCH(LEFT(EF200,FIND("·",EF200)-1),$K$200:$K$207,0))-VALUE(MID(EF200,FIND("|",EF200)+1,FIND("-",EF200,FIND("|",EF200))-FIND("|",EF200)-1))),ABS(INDEX($P$200:$P$207,MATCH(LEFT(EF200,FIND("·",EF200)-1),$K$200:$K$207,0))-(VALUE(MID(EF200,FIND("|",EF200)+1,FIND("-",EF200,FIND("|",EF200))-FIND("|",EF200)-1))-VALUE(MID(EF200,FIND("-",EF200,FIND("|",EF200))+1,10)))))*$D$50)))))*INDEX($I$200:$I$207,MATCH(LEFT(EF200,FIND("·",EF200)-1),$K$200:$K$207,0)),0),0),0)+IFERROR(IF(COUNTIF($C$200:$C$207,LEFT(EF200,FIND("·",EF200)-1))&gt;0,IF(INDEX($D$200:$D$207,MATCH(LEFT(EF200,FIND("·",EF200)-1),$C$200:$C$207,0))=IFERROR(VALUE(MID(EF200,FIND("·",EF200)+1,1)),0),($D$20+(INDEX($E$200:$E$207,MATCH(LEFT(EF200,FIND("·",EF200)-1),$C$200:$C$207,0))=MID(EF200,FIND("|",EF200)+1,10))*$D$22+MAX(0,IF($D$50=1,$D$21*(1-(ABS(INDEX($Q$200:$Q$207,MATCH(LEFT(EF200,FIND("·",EF200)-1),$C$200:$C$207,0))-(VALUE(MID(EF200,FIND("|",EF200)+1,FIND("-",EF200,FIND("|",EF200))-FIND("|",EF200)-1))-VALUE(MID(EF200,FIND("-",EF200,FIND("|",EF200))+1,10)))))*$D$50),$D$21*(1-(IF(INDEX($D$200:$D$207,MATCH(LEFT(EF200,FIND("·",EF200)-1),$C$200:$C$207,0))=0,ABS(INDEX($A$200:$A$207,MATCH(LEFT(EF200,FIND("·",EF200)-1),$C$200:$C$207,0))-VALUE(MID(EF200,FIND("|",EF200)+1,FIND("-",EF200,FIND("|",EF200))-FIND("|",EF200)-1))),ABS(INDEX($Q$200:$Q$207,MATCH(LEFT(EF200,FIND("·",EF200)-1),$C$200:$C$207,0))-(VALUE(MID(EF200,FIND("|",EF200)+1,FIND("-",EF200,FIND("|",EF200))-FIND("|",EF200)-1))-VALUE(MID(EF200,FIND("-",EF200,FIND("|",EF200))+1,10)))))*$D$50)))))*INDEX($I$200:$I$207,MATCH(LEFT(EF200,FIND("·",EF200)-1),$C$200:$C$207,0)),0),0),0)</f>
        <v>0</v>
      </c>
      <c r="EH200" s="108"/>
      <c r="EI200" s="65" t="str">
        <f>Idiomas!$D$368</f>
        <v>Pegar Valores Octavos</v>
      </c>
      <c r="EJ200" s="84">
        <f t="shared" ref="EJ200:EJ207" si="5890">IFERROR(IF(COUNTIF($K$200:$K$207,LEFT(EI200,FIND("·",EI200)-1))&gt;0,IF(INDEX($L$200:$L$207,MATCH(LEFT(EI200,FIND("·",EI200)-1),$K$200:$K$207,0))=IFERROR(VALUE(MID(EI200,FIND("·",EI200)+1,1)),0),($D$20+(INDEX($M$200:$M$207,MATCH(LEFT(EI200,FIND("·",EI200)-1),$K$200:$K$207,0))=MID(EI200,FIND("|",EI200)+1,10))*$D$22+MAX(0,IF($D$50=1,$D$21*(1-(ABS(INDEX($P$200:$P$207,MATCH(LEFT(EI200,FIND("·",EI200)-1),$K$200:$K$207,0))-(VALUE(MID(EI200,FIND("|",EI200)+1,FIND("-",EI200,FIND("|",EI200))-FIND("|",EI200)-1))-VALUE(MID(EI200,FIND("-",EI200,FIND("|",EI200))+1,10)))))*$D$50),$D$21*(1-(IF(INDEX($L$200:$L$207,MATCH(LEFT(EI200,FIND("·",EI200)-1),$K$200:$K$207,0))=0,ABS(INDEX($N$200:$N$207,MATCH(LEFT(EI200,FIND("·",EI200)-1),$K$200:$K$207,0))-VALUE(MID(EI200,FIND("|",EI200)+1,FIND("-",EI200,FIND("|",EI200))-FIND("|",EI200)-1))),ABS(INDEX($P$200:$P$207,MATCH(LEFT(EI200,FIND("·",EI200)-1),$K$200:$K$207,0))-(VALUE(MID(EI200,FIND("|",EI200)+1,FIND("-",EI200,FIND("|",EI200))-FIND("|",EI200)-1))-VALUE(MID(EI200,FIND("-",EI200,FIND("|",EI200))+1,10)))))*$D$50)))))*INDEX($I$200:$I$207,MATCH(LEFT(EI200,FIND("·",EI200)-1),$K$200:$K$207,0)),0),0),0)+IFERROR(IF(COUNTIF($C$200:$C$207,LEFT(EI200,FIND("·",EI200)-1))&gt;0,IF(INDEX($D$200:$D$207,MATCH(LEFT(EI200,FIND("·",EI200)-1),$C$200:$C$207,0))=IFERROR(VALUE(MID(EI200,FIND("·",EI200)+1,1)),0),($D$20+(INDEX($E$200:$E$207,MATCH(LEFT(EI200,FIND("·",EI200)-1),$C$200:$C$207,0))=MID(EI200,FIND("|",EI200)+1,10))*$D$22+MAX(0,IF($D$50=1,$D$21*(1-(ABS(INDEX($Q$200:$Q$207,MATCH(LEFT(EI200,FIND("·",EI200)-1),$C$200:$C$207,0))-(VALUE(MID(EI200,FIND("|",EI200)+1,FIND("-",EI200,FIND("|",EI200))-FIND("|",EI200)-1))-VALUE(MID(EI200,FIND("-",EI200,FIND("|",EI200))+1,10)))))*$D$50),$D$21*(1-(IF(INDEX($D$200:$D$207,MATCH(LEFT(EI200,FIND("·",EI200)-1),$C$200:$C$207,0))=0,ABS(INDEX($A$200:$A$207,MATCH(LEFT(EI200,FIND("·",EI200)-1),$C$200:$C$207,0))-VALUE(MID(EI200,FIND("|",EI200)+1,FIND("-",EI200,FIND("|",EI200))-FIND("|",EI200)-1))),ABS(INDEX($Q$200:$Q$207,MATCH(LEFT(EI200,FIND("·",EI200)-1),$C$200:$C$207,0))-(VALUE(MID(EI200,FIND("|",EI200)+1,FIND("-",EI200,FIND("|",EI200))-FIND("|",EI200)-1))-VALUE(MID(EI200,FIND("-",EI200,FIND("|",EI200))+1,10)))))*$D$50)))))*INDEX($I$200:$I$207,MATCH(LEFT(EI200,FIND("·",EI200)-1),$C$200:$C$207,0)),0),0),0)</f>
        <v>0</v>
      </c>
      <c r="EK200" s="108"/>
      <c r="EL200" s="65" t="str">
        <f>Idiomas!$D$368</f>
        <v>Pegar Valores Octavos</v>
      </c>
      <c r="EM200" s="84">
        <f t="shared" ref="EM200:EM207" si="5891">IFERROR(IF(COUNTIF($K$200:$K$207,LEFT(EL200,FIND("·",EL200)-1))&gt;0,IF(INDEX($L$200:$L$207,MATCH(LEFT(EL200,FIND("·",EL200)-1),$K$200:$K$207,0))=IFERROR(VALUE(MID(EL200,FIND("·",EL200)+1,1)),0),($D$20+(INDEX($M$200:$M$207,MATCH(LEFT(EL200,FIND("·",EL200)-1),$K$200:$K$207,0))=MID(EL200,FIND("|",EL200)+1,10))*$D$22+MAX(0,IF($D$50=1,$D$21*(1-(ABS(INDEX($P$200:$P$207,MATCH(LEFT(EL200,FIND("·",EL200)-1),$K$200:$K$207,0))-(VALUE(MID(EL200,FIND("|",EL200)+1,FIND("-",EL200,FIND("|",EL200))-FIND("|",EL200)-1))-VALUE(MID(EL200,FIND("-",EL200,FIND("|",EL200))+1,10)))))*$D$50),$D$21*(1-(IF(INDEX($L$200:$L$207,MATCH(LEFT(EL200,FIND("·",EL200)-1),$K$200:$K$207,0))=0,ABS(INDEX($N$200:$N$207,MATCH(LEFT(EL200,FIND("·",EL200)-1),$K$200:$K$207,0))-VALUE(MID(EL200,FIND("|",EL200)+1,FIND("-",EL200,FIND("|",EL200))-FIND("|",EL200)-1))),ABS(INDEX($P$200:$P$207,MATCH(LEFT(EL200,FIND("·",EL200)-1),$K$200:$K$207,0))-(VALUE(MID(EL200,FIND("|",EL200)+1,FIND("-",EL200,FIND("|",EL200))-FIND("|",EL200)-1))-VALUE(MID(EL200,FIND("-",EL200,FIND("|",EL200))+1,10)))))*$D$50)))))*INDEX($I$200:$I$207,MATCH(LEFT(EL200,FIND("·",EL200)-1),$K$200:$K$207,0)),0),0),0)+IFERROR(IF(COUNTIF($C$200:$C$207,LEFT(EL200,FIND("·",EL200)-1))&gt;0,IF(INDEX($D$200:$D$207,MATCH(LEFT(EL200,FIND("·",EL200)-1),$C$200:$C$207,0))=IFERROR(VALUE(MID(EL200,FIND("·",EL200)+1,1)),0),($D$20+(INDEX($E$200:$E$207,MATCH(LEFT(EL200,FIND("·",EL200)-1),$C$200:$C$207,0))=MID(EL200,FIND("|",EL200)+1,10))*$D$22+MAX(0,IF($D$50=1,$D$21*(1-(ABS(INDEX($Q$200:$Q$207,MATCH(LEFT(EL200,FIND("·",EL200)-1),$C$200:$C$207,0))-(VALUE(MID(EL200,FIND("|",EL200)+1,FIND("-",EL200,FIND("|",EL200))-FIND("|",EL200)-1))-VALUE(MID(EL200,FIND("-",EL200,FIND("|",EL200))+1,10)))))*$D$50),$D$21*(1-(IF(INDEX($D$200:$D$207,MATCH(LEFT(EL200,FIND("·",EL200)-1),$C$200:$C$207,0))=0,ABS(INDEX($A$200:$A$207,MATCH(LEFT(EL200,FIND("·",EL200)-1),$C$200:$C$207,0))-VALUE(MID(EL200,FIND("|",EL200)+1,FIND("-",EL200,FIND("|",EL200))-FIND("|",EL200)-1))),ABS(INDEX($Q$200:$Q$207,MATCH(LEFT(EL200,FIND("·",EL200)-1),$C$200:$C$207,0))-(VALUE(MID(EL200,FIND("|",EL200)+1,FIND("-",EL200,FIND("|",EL200))-FIND("|",EL200)-1))-VALUE(MID(EL200,FIND("-",EL200,FIND("|",EL200))+1,10)))))*$D$50)))))*INDEX($I$200:$I$207,MATCH(LEFT(EL200,FIND("·",EL200)-1),$C$200:$C$207,0)),0),0),0)</f>
        <v>0</v>
      </c>
      <c r="EN200" s="108"/>
      <c r="EO200" s="65" t="str">
        <f>Idiomas!$D$368</f>
        <v>Pegar Valores Octavos</v>
      </c>
      <c r="EP200" s="84">
        <f t="shared" ref="EP200:EP207" si="5892">IFERROR(IF(COUNTIF($K$200:$K$207,LEFT(EO200,FIND("·",EO200)-1))&gt;0,IF(INDEX($L$200:$L$207,MATCH(LEFT(EO200,FIND("·",EO200)-1),$K$200:$K$207,0))=IFERROR(VALUE(MID(EO200,FIND("·",EO200)+1,1)),0),($D$20+(INDEX($M$200:$M$207,MATCH(LEFT(EO200,FIND("·",EO200)-1),$K$200:$K$207,0))=MID(EO200,FIND("|",EO200)+1,10))*$D$22+MAX(0,IF($D$50=1,$D$21*(1-(ABS(INDEX($P$200:$P$207,MATCH(LEFT(EO200,FIND("·",EO200)-1),$K$200:$K$207,0))-(VALUE(MID(EO200,FIND("|",EO200)+1,FIND("-",EO200,FIND("|",EO200))-FIND("|",EO200)-1))-VALUE(MID(EO200,FIND("-",EO200,FIND("|",EO200))+1,10)))))*$D$50),$D$21*(1-(IF(INDEX($L$200:$L$207,MATCH(LEFT(EO200,FIND("·",EO200)-1),$K$200:$K$207,0))=0,ABS(INDEX($N$200:$N$207,MATCH(LEFT(EO200,FIND("·",EO200)-1),$K$200:$K$207,0))-VALUE(MID(EO200,FIND("|",EO200)+1,FIND("-",EO200,FIND("|",EO200))-FIND("|",EO200)-1))),ABS(INDEX($P$200:$P$207,MATCH(LEFT(EO200,FIND("·",EO200)-1),$K$200:$K$207,0))-(VALUE(MID(EO200,FIND("|",EO200)+1,FIND("-",EO200,FIND("|",EO200))-FIND("|",EO200)-1))-VALUE(MID(EO200,FIND("-",EO200,FIND("|",EO200))+1,10)))))*$D$50)))))*INDEX($I$200:$I$207,MATCH(LEFT(EO200,FIND("·",EO200)-1),$K$200:$K$207,0)),0),0),0)+IFERROR(IF(COUNTIF($C$200:$C$207,LEFT(EO200,FIND("·",EO200)-1))&gt;0,IF(INDEX($D$200:$D$207,MATCH(LEFT(EO200,FIND("·",EO200)-1),$C$200:$C$207,0))=IFERROR(VALUE(MID(EO200,FIND("·",EO200)+1,1)),0),($D$20+(INDEX($E$200:$E$207,MATCH(LEFT(EO200,FIND("·",EO200)-1),$C$200:$C$207,0))=MID(EO200,FIND("|",EO200)+1,10))*$D$22+MAX(0,IF($D$50=1,$D$21*(1-(ABS(INDEX($Q$200:$Q$207,MATCH(LEFT(EO200,FIND("·",EO200)-1),$C$200:$C$207,0))-(VALUE(MID(EO200,FIND("|",EO200)+1,FIND("-",EO200,FIND("|",EO200))-FIND("|",EO200)-1))-VALUE(MID(EO200,FIND("-",EO200,FIND("|",EO200))+1,10)))))*$D$50),$D$21*(1-(IF(INDEX($D$200:$D$207,MATCH(LEFT(EO200,FIND("·",EO200)-1),$C$200:$C$207,0))=0,ABS(INDEX($A$200:$A$207,MATCH(LEFT(EO200,FIND("·",EO200)-1),$C$200:$C$207,0))-VALUE(MID(EO200,FIND("|",EO200)+1,FIND("-",EO200,FIND("|",EO200))-FIND("|",EO200)-1))),ABS(INDEX($Q$200:$Q$207,MATCH(LEFT(EO200,FIND("·",EO200)-1),$C$200:$C$207,0))-(VALUE(MID(EO200,FIND("|",EO200)+1,FIND("-",EO200,FIND("|",EO200))-FIND("|",EO200)-1))-VALUE(MID(EO200,FIND("-",EO200,FIND("|",EO200))+1,10)))))*$D$50)))))*INDEX($I$200:$I$207,MATCH(LEFT(EO200,FIND("·",EO200)-1),$C$200:$C$207,0)),0),0),0)</f>
        <v>0</v>
      </c>
      <c r="EQ200" s="108"/>
      <c r="ER200" s="65" t="str">
        <f>Idiomas!$D$368</f>
        <v>Pegar Valores Octavos</v>
      </c>
      <c r="ES200" s="84">
        <f t="shared" ref="ES200:ES207" si="5893">IFERROR(IF(COUNTIF($K$200:$K$207,LEFT(ER200,FIND("·",ER200)-1))&gt;0,IF(INDEX($L$200:$L$207,MATCH(LEFT(ER200,FIND("·",ER200)-1),$K$200:$K$207,0))=IFERROR(VALUE(MID(ER200,FIND("·",ER200)+1,1)),0),($D$20+(INDEX($M$200:$M$207,MATCH(LEFT(ER200,FIND("·",ER200)-1),$K$200:$K$207,0))=MID(ER200,FIND("|",ER200)+1,10))*$D$22+MAX(0,IF($D$50=1,$D$21*(1-(ABS(INDEX($P$200:$P$207,MATCH(LEFT(ER200,FIND("·",ER200)-1),$K$200:$K$207,0))-(VALUE(MID(ER200,FIND("|",ER200)+1,FIND("-",ER200,FIND("|",ER200))-FIND("|",ER200)-1))-VALUE(MID(ER200,FIND("-",ER200,FIND("|",ER200))+1,10)))))*$D$50),$D$21*(1-(IF(INDEX($L$200:$L$207,MATCH(LEFT(ER200,FIND("·",ER200)-1),$K$200:$K$207,0))=0,ABS(INDEX($N$200:$N$207,MATCH(LEFT(ER200,FIND("·",ER200)-1),$K$200:$K$207,0))-VALUE(MID(ER200,FIND("|",ER200)+1,FIND("-",ER200,FIND("|",ER200))-FIND("|",ER200)-1))),ABS(INDEX($P$200:$P$207,MATCH(LEFT(ER200,FIND("·",ER200)-1),$K$200:$K$207,0))-(VALUE(MID(ER200,FIND("|",ER200)+1,FIND("-",ER200,FIND("|",ER200))-FIND("|",ER200)-1))-VALUE(MID(ER200,FIND("-",ER200,FIND("|",ER200))+1,10)))))*$D$50)))))*INDEX($I$200:$I$207,MATCH(LEFT(ER200,FIND("·",ER200)-1),$K$200:$K$207,0)),0),0),0)+IFERROR(IF(COUNTIF($C$200:$C$207,LEFT(ER200,FIND("·",ER200)-1))&gt;0,IF(INDEX($D$200:$D$207,MATCH(LEFT(ER200,FIND("·",ER200)-1),$C$200:$C$207,0))=IFERROR(VALUE(MID(ER200,FIND("·",ER200)+1,1)),0),($D$20+(INDEX($E$200:$E$207,MATCH(LEFT(ER200,FIND("·",ER200)-1),$C$200:$C$207,0))=MID(ER200,FIND("|",ER200)+1,10))*$D$22+MAX(0,IF($D$50=1,$D$21*(1-(ABS(INDEX($Q$200:$Q$207,MATCH(LEFT(ER200,FIND("·",ER200)-1),$C$200:$C$207,0))-(VALUE(MID(ER200,FIND("|",ER200)+1,FIND("-",ER200,FIND("|",ER200))-FIND("|",ER200)-1))-VALUE(MID(ER200,FIND("-",ER200,FIND("|",ER200))+1,10)))))*$D$50),$D$21*(1-(IF(INDEX($D$200:$D$207,MATCH(LEFT(ER200,FIND("·",ER200)-1),$C$200:$C$207,0))=0,ABS(INDEX($A$200:$A$207,MATCH(LEFT(ER200,FIND("·",ER200)-1),$C$200:$C$207,0))-VALUE(MID(ER200,FIND("|",ER200)+1,FIND("-",ER200,FIND("|",ER200))-FIND("|",ER200)-1))),ABS(INDEX($Q$200:$Q$207,MATCH(LEFT(ER200,FIND("·",ER200)-1),$C$200:$C$207,0))-(VALUE(MID(ER200,FIND("|",ER200)+1,FIND("-",ER200,FIND("|",ER200))-FIND("|",ER200)-1))-VALUE(MID(ER200,FIND("-",ER200,FIND("|",ER200))+1,10)))))*$D$50)))))*INDEX($I$200:$I$207,MATCH(LEFT(ER200,FIND("·",ER200)-1),$C$200:$C$207,0)),0),0),0)</f>
        <v>0</v>
      </c>
      <c r="ET200" s="108"/>
      <c r="EU200" s="65" t="str">
        <f>Idiomas!$D$368</f>
        <v>Pegar Valores Octavos</v>
      </c>
      <c r="EV200" s="84">
        <f t="shared" ref="EV200:EV207" si="5894">IFERROR(IF(COUNTIF($K$200:$K$207,LEFT(EU200,FIND("·",EU200)-1))&gt;0,IF(INDEX($L$200:$L$207,MATCH(LEFT(EU200,FIND("·",EU200)-1),$K$200:$K$207,0))=IFERROR(VALUE(MID(EU200,FIND("·",EU200)+1,1)),0),($D$20+(INDEX($M$200:$M$207,MATCH(LEFT(EU200,FIND("·",EU200)-1),$K$200:$K$207,0))=MID(EU200,FIND("|",EU200)+1,10))*$D$22+MAX(0,IF($D$50=1,$D$21*(1-(ABS(INDEX($P$200:$P$207,MATCH(LEFT(EU200,FIND("·",EU200)-1),$K$200:$K$207,0))-(VALUE(MID(EU200,FIND("|",EU200)+1,FIND("-",EU200,FIND("|",EU200))-FIND("|",EU200)-1))-VALUE(MID(EU200,FIND("-",EU200,FIND("|",EU200))+1,10)))))*$D$50),$D$21*(1-(IF(INDEX($L$200:$L$207,MATCH(LEFT(EU200,FIND("·",EU200)-1),$K$200:$K$207,0))=0,ABS(INDEX($N$200:$N$207,MATCH(LEFT(EU200,FIND("·",EU200)-1),$K$200:$K$207,0))-VALUE(MID(EU200,FIND("|",EU200)+1,FIND("-",EU200,FIND("|",EU200))-FIND("|",EU200)-1))),ABS(INDEX($P$200:$P$207,MATCH(LEFT(EU200,FIND("·",EU200)-1),$K$200:$K$207,0))-(VALUE(MID(EU200,FIND("|",EU200)+1,FIND("-",EU200,FIND("|",EU200))-FIND("|",EU200)-1))-VALUE(MID(EU200,FIND("-",EU200,FIND("|",EU200))+1,10)))))*$D$50)))))*INDEX($I$200:$I$207,MATCH(LEFT(EU200,FIND("·",EU200)-1),$K$200:$K$207,0)),0),0),0)+IFERROR(IF(COUNTIF($C$200:$C$207,LEFT(EU200,FIND("·",EU200)-1))&gt;0,IF(INDEX($D$200:$D$207,MATCH(LEFT(EU200,FIND("·",EU200)-1),$C$200:$C$207,0))=IFERROR(VALUE(MID(EU200,FIND("·",EU200)+1,1)),0),($D$20+(INDEX($E$200:$E$207,MATCH(LEFT(EU200,FIND("·",EU200)-1),$C$200:$C$207,0))=MID(EU200,FIND("|",EU200)+1,10))*$D$22+MAX(0,IF($D$50=1,$D$21*(1-(ABS(INDEX($Q$200:$Q$207,MATCH(LEFT(EU200,FIND("·",EU200)-1),$C$200:$C$207,0))-(VALUE(MID(EU200,FIND("|",EU200)+1,FIND("-",EU200,FIND("|",EU200))-FIND("|",EU200)-1))-VALUE(MID(EU200,FIND("-",EU200,FIND("|",EU200))+1,10)))))*$D$50),$D$21*(1-(IF(INDEX($D$200:$D$207,MATCH(LEFT(EU200,FIND("·",EU200)-1),$C$200:$C$207,0))=0,ABS(INDEX($A$200:$A$207,MATCH(LEFT(EU200,FIND("·",EU200)-1),$C$200:$C$207,0))-VALUE(MID(EU200,FIND("|",EU200)+1,FIND("-",EU200,FIND("|",EU200))-FIND("|",EU200)-1))),ABS(INDEX($Q$200:$Q$207,MATCH(LEFT(EU200,FIND("·",EU200)-1),$C$200:$C$207,0))-(VALUE(MID(EU200,FIND("|",EU200)+1,FIND("-",EU200,FIND("|",EU200))-FIND("|",EU200)-1))-VALUE(MID(EU200,FIND("-",EU200,FIND("|",EU200))+1,10)))))*$D$50)))))*INDEX($I$200:$I$207,MATCH(LEFT(EU200,FIND("·",EU200)-1),$C$200:$C$207,0)),0),0),0)</f>
        <v>0</v>
      </c>
      <c r="EW200" s="108"/>
      <c r="EX200" s="65" t="str">
        <f>Idiomas!$D$368</f>
        <v>Pegar Valores Octavos</v>
      </c>
      <c r="EY200" s="84">
        <f t="shared" ref="EY200:EY207" si="5895">IFERROR(IF(COUNTIF($K$200:$K$207,LEFT(EX200,FIND("·",EX200)-1))&gt;0,IF(INDEX($L$200:$L$207,MATCH(LEFT(EX200,FIND("·",EX200)-1),$K$200:$K$207,0))=IFERROR(VALUE(MID(EX200,FIND("·",EX200)+1,1)),0),($D$20+(INDEX($M$200:$M$207,MATCH(LEFT(EX200,FIND("·",EX200)-1),$K$200:$K$207,0))=MID(EX200,FIND("|",EX200)+1,10))*$D$22+MAX(0,IF($D$50=1,$D$21*(1-(ABS(INDEX($P$200:$P$207,MATCH(LEFT(EX200,FIND("·",EX200)-1),$K$200:$K$207,0))-(VALUE(MID(EX200,FIND("|",EX200)+1,FIND("-",EX200,FIND("|",EX200))-FIND("|",EX200)-1))-VALUE(MID(EX200,FIND("-",EX200,FIND("|",EX200))+1,10)))))*$D$50),$D$21*(1-(IF(INDEX($L$200:$L$207,MATCH(LEFT(EX200,FIND("·",EX200)-1),$K$200:$K$207,0))=0,ABS(INDEX($N$200:$N$207,MATCH(LEFT(EX200,FIND("·",EX200)-1),$K$200:$K$207,0))-VALUE(MID(EX200,FIND("|",EX200)+1,FIND("-",EX200,FIND("|",EX200))-FIND("|",EX200)-1))),ABS(INDEX($P$200:$P$207,MATCH(LEFT(EX200,FIND("·",EX200)-1),$K$200:$K$207,0))-(VALUE(MID(EX200,FIND("|",EX200)+1,FIND("-",EX200,FIND("|",EX200))-FIND("|",EX200)-1))-VALUE(MID(EX200,FIND("-",EX200,FIND("|",EX200))+1,10)))))*$D$50)))))*INDEX($I$200:$I$207,MATCH(LEFT(EX200,FIND("·",EX200)-1),$K$200:$K$207,0)),0),0),0)+IFERROR(IF(COUNTIF($C$200:$C$207,LEFT(EX200,FIND("·",EX200)-1))&gt;0,IF(INDEX($D$200:$D$207,MATCH(LEFT(EX200,FIND("·",EX200)-1),$C$200:$C$207,0))=IFERROR(VALUE(MID(EX200,FIND("·",EX200)+1,1)),0),($D$20+(INDEX($E$200:$E$207,MATCH(LEFT(EX200,FIND("·",EX200)-1),$C$200:$C$207,0))=MID(EX200,FIND("|",EX200)+1,10))*$D$22+MAX(0,IF($D$50=1,$D$21*(1-(ABS(INDEX($Q$200:$Q$207,MATCH(LEFT(EX200,FIND("·",EX200)-1),$C$200:$C$207,0))-(VALUE(MID(EX200,FIND("|",EX200)+1,FIND("-",EX200,FIND("|",EX200))-FIND("|",EX200)-1))-VALUE(MID(EX200,FIND("-",EX200,FIND("|",EX200))+1,10)))))*$D$50),$D$21*(1-(IF(INDEX($D$200:$D$207,MATCH(LEFT(EX200,FIND("·",EX200)-1),$C$200:$C$207,0))=0,ABS(INDEX($A$200:$A$207,MATCH(LEFT(EX200,FIND("·",EX200)-1),$C$200:$C$207,0))-VALUE(MID(EX200,FIND("|",EX200)+1,FIND("-",EX200,FIND("|",EX200))-FIND("|",EX200)-1))),ABS(INDEX($Q$200:$Q$207,MATCH(LEFT(EX200,FIND("·",EX200)-1),$C$200:$C$207,0))-(VALUE(MID(EX200,FIND("|",EX200)+1,FIND("-",EX200,FIND("|",EX200))-FIND("|",EX200)-1))-VALUE(MID(EX200,FIND("-",EX200,FIND("|",EX200))+1,10)))))*$D$50)))))*INDEX($I$200:$I$207,MATCH(LEFT(EX200,FIND("·",EX200)-1),$C$200:$C$207,0)),0),0),0)</f>
        <v>0</v>
      </c>
      <c r="EZ200" s="108"/>
      <c r="FA200" s="65" t="str">
        <f>Idiomas!$D$368</f>
        <v>Pegar Valores Octavos</v>
      </c>
      <c r="FB200" s="84">
        <f t="shared" ref="FB200:FB207" si="5896">IFERROR(IF(COUNTIF($K$200:$K$207,LEFT(FA200,FIND("·",FA200)-1))&gt;0,IF(INDEX($L$200:$L$207,MATCH(LEFT(FA200,FIND("·",FA200)-1),$K$200:$K$207,0))=IFERROR(VALUE(MID(FA200,FIND("·",FA200)+1,1)),0),($D$20+(INDEX($M$200:$M$207,MATCH(LEFT(FA200,FIND("·",FA200)-1),$K$200:$K$207,0))=MID(FA200,FIND("|",FA200)+1,10))*$D$22+MAX(0,IF($D$50=1,$D$21*(1-(ABS(INDEX($P$200:$P$207,MATCH(LEFT(FA200,FIND("·",FA200)-1),$K$200:$K$207,0))-(VALUE(MID(FA200,FIND("|",FA200)+1,FIND("-",FA200,FIND("|",FA200))-FIND("|",FA200)-1))-VALUE(MID(FA200,FIND("-",FA200,FIND("|",FA200))+1,10)))))*$D$50),$D$21*(1-(IF(INDEX($L$200:$L$207,MATCH(LEFT(FA200,FIND("·",FA200)-1),$K$200:$K$207,0))=0,ABS(INDEX($N$200:$N$207,MATCH(LEFT(FA200,FIND("·",FA200)-1),$K$200:$K$207,0))-VALUE(MID(FA200,FIND("|",FA200)+1,FIND("-",FA200,FIND("|",FA200))-FIND("|",FA200)-1))),ABS(INDEX($P$200:$P$207,MATCH(LEFT(FA200,FIND("·",FA200)-1),$K$200:$K$207,0))-(VALUE(MID(FA200,FIND("|",FA200)+1,FIND("-",FA200,FIND("|",FA200))-FIND("|",FA200)-1))-VALUE(MID(FA200,FIND("-",FA200,FIND("|",FA200))+1,10)))))*$D$50)))))*INDEX($I$200:$I$207,MATCH(LEFT(FA200,FIND("·",FA200)-1),$K$200:$K$207,0)),0),0),0)+IFERROR(IF(COUNTIF($C$200:$C$207,LEFT(FA200,FIND("·",FA200)-1))&gt;0,IF(INDEX($D$200:$D$207,MATCH(LEFT(FA200,FIND("·",FA200)-1),$C$200:$C$207,0))=IFERROR(VALUE(MID(FA200,FIND("·",FA200)+1,1)),0),($D$20+(INDEX($E$200:$E$207,MATCH(LEFT(FA200,FIND("·",FA200)-1),$C$200:$C$207,0))=MID(FA200,FIND("|",FA200)+1,10))*$D$22+MAX(0,IF($D$50=1,$D$21*(1-(ABS(INDEX($Q$200:$Q$207,MATCH(LEFT(FA200,FIND("·",FA200)-1),$C$200:$C$207,0))-(VALUE(MID(FA200,FIND("|",FA200)+1,FIND("-",FA200,FIND("|",FA200))-FIND("|",FA200)-1))-VALUE(MID(FA200,FIND("-",FA200,FIND("|",FA200))+1,10)))))*$D$50),$D$21*(1-(IF(INDEX($D$200:$D$207,MATCH(LEFT(FA200,FIND("·",FA200)-1),$C$200:$C$207,0))=0,ABS(INDEX($A$200:$A$207,MATCH(LEFT(FA200,FIND("·",FA200)-1),$C$200:$C$207,0))-VALUE(MID(FA200,FIND("|",FA200)+1,FIND("-",FA200,FIND("|",FA200))-FIND("|",FA200)-1))),ABS(INDEX($Q$200:$Q$207,MATCH(LEFT(FA200,FIND("·",FA200)-1),$C$200:$C$207,0))-(VALUE(MID(FA200,FIND("|",FA200)+1,FIND("-",FA200,FIND("|",FA200))-FIND("|",FA200)-1))-VALUE(MID(FA200,FIND("-",FA200,FIND("|",FA200))+1,10)))))*$D$50)))))*INDEX($I$200:$I$207,MATCH(LEFT(FA200,FIND("·",FA200)-1),$C$200:$C$207,0)),0),0),0)</f>
        <v>0</v>
      </c>
      <c r="FC200" s="108"/>
      <c r="FD200" s="65" t="str">
        <f>Idiomas!$D$368</f>
        <v>Pegar Valores Octavos</v>
      </c>
      <c r="FE200" s="84">
        <f t="shared" ref="FE200:FE207" si="5897">IFERROR(IF(COUNTIF($K$200:$K$207,LEFT(FD200,FIND("·",FD200)-1))&gt;0,IF(INDEX($L$200:$L$207,MATCH(LEFT(FD200,FIND("·",FD200)-1),$K$200:$K$207,0))=IFERROR(VALUE(MID(FD200,FIND("·",FD200)+1,1)),0),($D$20+(INDEX($M$200:$M$207,MATCH(LEFT(FD200,FIND("·",FD200)-1),$K$200:$K$207,0))=MID(FD200,FIND("|",FD200)+1,10))*$D$22+MAX(0,IF($D$50=1,$D$21*(1-(ABS(INDEX($P$200:$P$207,MATCH(LEFT(FD200,FIND("·",FD200)-1),$K$200:$K$207,0))-(VALUE(MID(FD200,FIND("|",FD200)+1,FIND("-",FD200,FIND("|",FD200))-FIND("|",FD200)-1))-VALUE(MID(FD200,FIND("-",FD200,FIND("|",FD200))+1,10)))))*$D$50),$D$21*(1-(IF(INDEX($L$200:$L$207,MATCH(LEFT(FD200,FIND("·",FD200)-1),$K$200:$K$207,0))=0,ABS(INDEX($N$200:$N$207,MATCH(LEFT(FD200,FIND("·",FD200)-1),$K$200:$K$207,0))-VALUE(MID(FD200,FIND("|",FD200)+1,FIND("-",FD200,FIND("|",FD200))-FIND("|",FD200)-1))),ABS(INDEX($P$200:$P$207,MATCH(LEFT(FD200,FIND("·",FD200)-1),$K$200:$K$207,0))-(VALUE(MID(FD200,FIND("|",FD200)+1,FIND("-",FD200,FIND("|",FD200))-FIND("|",FD200)-1))-VALUE(MID(FD200,FIND("-",FD200,FIND("|",FD200))+1,10)))))*$D$50)))))*INDEX($I$200:$I$207,MATCH(LEFT(FD200,FIND("·",FD200)-1),$K$200:$K$207,0)),0),0),0)+IFERROR(IF(COUNTIF($C$200:$C$207,LEFT(FD200,FIND("·",FD200)-1))&gt;0,IF(INDEX($D$200:$D$207,MATCH(LEFT(FD200,FIND("·",FD200)-1),$C$200:$C$207,0))=IFERROR(VALUE(MID(FD200,FIND("·",FD200)+1,1)),0),($D$20+(INDEX($E$200:$E$207,MATCH(LEFT(FD200,FIND("·",FD200)-1),$C$200:$C$207,0))=MID(FD200,FIND("|",FD200)+1,10))*$D$22+MAX(0,IF($D$50=1,$D$21*(1-(ABS(INDEX($Q$200:$Q$207,MATCH(LEFT(FD200,FIND("·",FD200)-1),$C$200:$C$207,0))-(VALUE(MID(FD200,FIND("|",FD200)+1,FIND("-",FD200,FIND("|",FD200))-FIND("|",FD200)-1))-VALUE(MID(FD200,FIND("-",FD200,FIND("|",FD200))+1,10)))))*$D$50),$D$21*(1-(IF(INDEX($D$200:$D$207,MATCH(LEFT(FD200,FIND("·",FD200)-1),$C$200:$C$207,0))=0,ABS(INDEX($A$200:$A$207,MATCH(LEFT(FD200,FIND("·",FD200)-1),$C$200:$C$207,0))-VALUE(MID(FD200,FIND("|",FD200)+1,FIND("-",FD200,FIND("|",FD200))-FIND("|",FD200)-1))),ABS(INDEX($Q$200:$Q$207,MATCH(LEFT(FD200,FIND("·",FD200)-1),$C$200:$C$207,0))-(VALUE(MID(FD200,FIND("|",FD200)+1,FIND("-",FD200,FIND("|",FD200))-FIND("|",FD200)-1))-VALUE(MID(FD200,FIND("-",FD200,FIND("|",FD200))+1,10)))))*$D$50)))))*INDEX($I$200:$I$207,MATCH(LEFT(FD200,FIND("·",FD200)-1),$C$200:$C$207,0)),0),0),0)</f>
        <v>0</v>
      </c>
      <c r="FF200" s="108"/>
      <c r="FG200" s="65" t="str">
        <f>Idiomas!$D$368</f>
        <v>Pegar Valores Octavos</v>
      </c>
      <c r="FH200" s="84">
        <f t="shared" ref="FH200:FH207" si="5898">IFERROR(IF(COUNTIF($K$200:$K$207,LEFT(FG200,FIND("·",FG200)-1))&gt;0,IF(INDEX($L$200:$L$207,MATCH(LEFT(FG200,FIND("·",FG200)-1),$K$200:$K$207,0))=IFERROR(VALUE(MID(FG200,FIND("·",FG200)+1,1)),0),($D$20+(INDEX($M$200:$M$207,MATCH(LEFT(FG200,FIND("·",FG200)-1),$K$200:$K$207,0))=MID(FG200,FIND("|",FG200)+1,10))*$D$22+MAX(0,IF($D$50=1,$D$21*(1-(ABS(INDEX($P$200:$P$207,MATCH(LEFT(FG200,FIND("·",FG200)-1),$K$200:$K$207,0))-(VALUE(MID(FG200,FIND("|",FG200)+1,FIND("-",FG200,FIND("|",FG200))-FIND("|",FG200)-1))-VALUE(MID(FG200,FIND("-",FG200,FIND("|",FG200))+1,10)))))*$D$50),$D$21*(1-(IF(INDEX($L$200:$L$207,MATCH(LEFT(FG200,FIND("·",FG200)-1),$K$200:$K$207,0))=0,ABS(INDEX($N$200:$N$207,MATCH(LEFT(FG200,FIND("·",FG200)-1),$K$200:$K$207,0))-VALUE(MID(FG200,FIND("|",FG200)+1,FIND("-",FG200,FIND("|",FG200))-FIND("|",FG200)-1))),ABS(INDEX($P$200:$P$207,MATCH(LEFT(FG200,FIND("·",FG200)-1),$K$200:$K$207,0))-(VALUE(MID(FG200,FIND("|",FG200)+1,FIND("-",FG200,FIND("|",FG200))-FIND("|",FG200)-1))-VALUE(MID(FG200,FIND("-",FG200,FIND("|",FG200))+1,10)))))*$D$50)))))*INDEX($I$200:$I$207,MATCH(LEFT(FG200,FIND("·",FG200)-1),$K$200:$K$207,0)),0),0),0)+IFERROR(IF(COUNTIF($C$200:$C$207,LEFT(FG200,FIND("·",FG200)-1))&gt;0,IF(INDEX($D$200:$D$207,MATCH(LEFT(FG200,FIND("·",FG200)-1),$C$200:$C$207,0))=IFERROR(VALUE(MID(FG200,FIND("·",FG200)+1,1)),0),($D$20+(INDEX($E$200:$E$207,MATCH(LEFT(FG200,FIND("·",FG200)-1),$C$200:$C$207,0))=MID(FG200,FIND("|",FG200)+1,10))*$D$22+MAX(0,IF($D$50=1,$D$21*(1-(ABS(INDEX($Q$200:$Q$207,MATCH(LEFT(FG200,FIND("·",FG200)-1),$C$200:$C$207,0))-(VALUE(MID(FG200,FIND("|",FG200)+1,FIND("-",FG200,FIND("|",FG200))-FIND("|",FG200)-1))-VALUE(MID(FG200,FIND("-",FG200,FIND("|",FG200))+1,10)))))*$D$50),$D$21*(1-(IF(INDEX($D$200:$D$207,MATCH(LEFT(FG200,FIND("·",FG200)-1),$C$200:$C$207,0))=0,ABS(INDEX($A$200:$A$207,MATCH(LEFT(FG200,FIND("·",FG200)-1),$C$200:$C$207,0))-VALUE(MID(FG200,FIND("|",FG200)+1,FIND("-",FG200,FIND("|",FG200))-FIND("|",FG200)-1))),ABS(INDEX($Q$200:$Q$207,MATCH(LEFT(FG200,FIND("·",FG200)-1),$C$200:$C$207,0))-(VALUE(MID(FG200,FIND("|",FG200)+1,FIND("-",FG200,FIND("|",FG200))-FIND("|",FG200)-1))-VALUE(MID(FG200,FIND("-",FG200,FIND("|",FG200))+1,10)))))*$D$50)))))*INDEX($I$200:$I$207,MATCH(LEFT(FG200,FIND("·",FG200)-1),$C$200:$C$207,0)),0),0),0)</f>
        <v>0</v>
      </c>
      <c r="FI200" s="108"/>
      <c r="FJ200" s="65" t="str">
        <f>Idiomas!$D$368</f>
        <v>Pegar Valores Octavos</v>
      </c>
      <c r="FK200" s="84">
        <f t="shared" ref="FK200:FK207" si="5899">IFERROR(IF(COUNTIF($K$200:$K$207,LEFT(FJ200,FIND("·",FJ200)-1))&gt;0,IF(INDEX($L$200:$L$207,MATCH(LEFT(FJ200,FIND("·",FJ200)-1),$K$200:$K$207,0))=IFERROR(VALUE(MID(FJ200,FIND("·",FJ200)+1,1)),0),($D$20+(INDEX($M$200:$M$207,MATCH(LEFT(FJ200,FIND("·",FJ200)-1),$K$200:$K$207,0))=MID(FJ200,FIND("|",FJ200)+1,10))*$D$22+MAX(0,IF($D$50=1,$D$21*(1-(ABS(INDEX($P$200:$P$207,MATCH(LEFT(FJ200,FIND("·",FJ200)-1),$K$200:$K$207,0))-(VALUE(MID(FJ200,FIND("|",FJ200)+1,FIND("-",FJ200,FIND("|",FJ200))-FIND("|",FJ200)-1))-VALUE(MID(FJ200,FIND("-",FJ200,FIND("|",FJ200))+1,10)))))*$D$50),$D$21*(1-(IF(INDEX($L$200:$L$207,MATCH(LEFT(FJ200,FIND("·",FJ200)-1),$K$200:$K$207,0))=0,ABS(INDEX($N$200:$N$207,MATCH(LEFT(FJ200,FIND("·",FJ200)-1),$K$200:$K$207,0))-VALUE(MID(FJ200,FIND("|",FJ200)+1,FIND("-",FJ200,FIND("|",FJ200))-FIND("|",FJ200)-1))),ABS(INDEX($P$200:$P$207,MATCH(LEFT(FJ200,FIND("·",FJ200)-1),$K$200:$K$207,0))-(VALUE(MID(FJ200,FIND("|",FJ200)+1,FIND("-",FJ200,FIND("|",FJ200))-FIND("|",FJ200)-1))-VALUE(MID(FJ200,FIND("-",FJ200,FIND("|",FJ200))+1,10)))))*$D$50)))))*INDEX($I$200:$I$207,MATCH(LEFT(FJ200,FIND("·",FJ200)-1),$K$200:$K$207,0)),0),0),0)+IFERROR(IF(COUNTIF($C$200:$C$207,LEFT(FJ200,FIND("·",FJ200)-1))&gt;0,IF(INDEX($D$200:$D$207,MATCH(LEFT(FJ200,FIND("·",FJ200)-1),$C$200:$C$207,0))=IFERROR(VALUE(MID(FJ200,FIND("·",FJ200)+1,1)),0),($D$20+(INDEX($E$200:$E$207,MATCH(LEFT(FJ200,FIND("·",FJ200)-1),$C$200:$C$207,0))=MID(FJ200,FIND("|",FJ200)+1,10))*$D$22+MAX(0,IF($D$50=1,$D$21*(1-(ABS(INDEX($Q$200:$Q$207,MATCH(LEFT(FJ200,FIND("·",FJ200)-1),$C$200:$C$207,0))-(VALUE(MID(FJ200,FIND("|",FJ200)+1,FIND("-",FJ200,FIND("|",FJ200))-FIND("|",FJ200)-1))-VALUE(MID(FJ200,FIND("-",FJ200,FIND("|",FJ200))+1,10)))))*$D$50),$D$21*(1-(IF(INDEX($D$200:$D$207,MATCH(LEFT(FJ200,FIND("·",FJ200)-1),$C$200:$C$207,0))=0,ABS(INDEX($A$200:$A$207,MATCH(LEFT(FJ200,FIND("·",FJ200)-1),$C$200:$C$207,0))-VALUE(MID(FJ200,FIND("|",FJ200)+1,FIND("-",FJ200,FIND("|",FJ200))-FIND("|",FJ200)-1))),ABS(INDEX($Q$200:$Q$207,MATCH(LEFT(FJ200,FIND("·",FJ200)-1),$C$200:$C$207,0))-(VALUE(MID(FJ200,FIND("|",FJ200)+1,FIND("-",FJ200,FIND("|",FJ200))-FIND("|",FJ200)-1))-VALUE(MID(FJ200,FIND("-",FJ200,FIND("|",FJ200))+1,10)))))*$D$50)))))*INDEX($I$200:$I$207,MATCH(LEFT(FJ200,FIND("·",FJ200)-1),$C$200:$C$207,0)),0),0),0)</f>
        <v>0</v>
      </c>
      <c r="FL200" s="108"/>
      <c r="FM200" s="65" t="str">
        <f>Idiomas!$D$368</f>
        <v>Pegar Valores Octavos</v>
      </c>
      <c r="FN200" s="84">
        <f t="shared" ref="FN200:FN207" si="5900">IFERROR(IF(COUNTIF($K$200:$K$207,LEFT(FM200,FIND("·",FM200)-1))&gt;0,IF(INDEX($L$200:$L$207,MATCH(LEFT(FM200,FIND("·",FM200)-1),$K$200:$K$207,0))=IFERROR(VALUE(MID(FM200,FIND("·",FM200)+1,1)),0),($D$20+(INDEX($M$200:$M$207,MATCH(LEFT(FM200,FIND("·",FM200)-1),$K$200:$K$207,0))=MID(FM200,FIND("|",FM200)+1,10))*$D$22+MAX(0,IF($D$50=1,$D$21*(1-(ABS(INDEX($P$200:$P$207,MATCH(LEFT(FM200,FIND("·",FM200)-1),$K$200:$K$207,0))-(VALUE(MID(FM200,FIND("|",FM200)+1,FIND("-",FM200,FIND("|",FM200))-FIND("|",FM200)-1))-VALUE(MID(FM200,FIND("-",FM200,FIND("|",FM200))+1,10)))))*$D$50),$D$21*(1-(IF(INDEX($L$200:$L$207,MATCH(LEFT(FM200,FIND("·",FM200)-1),$K$200:$K$207,0))=0,ABS(INDEX($N$200:$N$207,MATCH(LEFT(FM200,FIND("·",FM200)-1),$K$200:$K$207,0))-VALUE(MID(FM200,FIND("|",FM200)+1,FIND("-",FM200,FIND("|",FM200))-FIND("|",FM200)-1))),ABS(INDEX($P$200:$P$207,MATCH(LEFT(FM200,FIND("·",FM200)-1),$K$200:$K$207,0))-(VALUE(MID(FM200,FIND("|",FM200)+1,FIND("-",FM200,FIND("|",FM200))-FIND("|",FM200)-1))-VALUE(MID(FM200,FIND("-",FM200,FIND("|",FM200))+1,10)))))*$D$50)))))*INDEX($I$200:$I$207,MATCH(LEFT(FM200,FIND("·",FM200)-1),$K$200:$K$207,0)),0),0),0)+IFERROR(IF(COUNTIF($C$200:$C$207,LEFT(FM200,FIND("·",FM200)-1))&gt;0,IF(INDEX($D$200:$D$207,MATCH(LEFT(FM200,FIND("·",FM200)-1),$C$200:$C$207,0))=IFERROR(VALUE(MID(FM200,FIND("·",FM200)+1,1)),0),($D$20+(INDEX($E$200:$E$207,MATCH(LEFT(FM200,FIND("·",FM200)-1),$C$200:$C$207,0))=MID(FM200,FIND("|",FM200)+1,10))*$D$22+MAX(0,IF($D$50=1,$D$21*(1-(ABS(INDEX($Q$200:$Q$207,MATCH(LEFT(FM200,FIND("·",FM200)-1),$C$200:$C$207,0))-(VALUE(MID(FM200,FIND("|",FM200)+1,FIND("-",FM200,FIND("|",FM200))-FIND("|",FM200)-1))-VALUE(MID(FM200,FIND("-",FM200,FIND("|",FM200))+1,10)))))*$D$50),$D$21*(1-(IF(INDEX($D$200:$D$207,MATCH(LEFT(FM200,FIND("·",FM200)-1),$C$200:$C$207,0))=0,ABS(INDEX($A$200:$A$207,MATCH(LEFT(FM200,FIND("·",FM200)-1),$C$200:$C$207,0))-VALUE(MID(FM200,FIND("|",FM200)+1,FIND("-",FM200,FIND("|",FM200))-FIND("|",FM200)-1))),ABS(INDEX($Q$200:$Q$207,MATCH(LEFT(FM200,FIND("·",FM200)-1),$C$200:$C$207,0))-(VALUE(MID(FM200,FIND("|",FM200)+1,FIND("-",FM200,FIND("|",FM200))-FIND("|",FM200)-1))-VALUE(MID(FM200,FIND("-",FM200,FIND("|",FM200))+1,10)))))*$D$50)))))*INDEX($I$200:$I$207,MATCH(LEFT(FM200,FIND("·",FM200)-1),$C$200:$C$207,0)),0),0),0)</f>
        <v>0</v>
      </c>
      <c r="FO200" s="108"/>
      <c r="FP200" s="65" t="str">
        <f>Idiomas!$D$368</f>
        <v>Pegar Valores Octavos</v>
      </c>
      <c r="FQ200" s="84">
        <f t="shared" ref="FQ200:FQ207" si="5901">IFERROR(IF(COUNTIF($K$200:$K$207,LEFT(FP200,FIND("·",FP200)-1))&gt;0,IF(INDEX($L$200:$L$207,MATCH(LEFT(FP200,FIND("·",FP200)-1),$K$200:$K$207,0))=IFERROR(VALUE(MID(FP200,FIND("·",FP200)+1,1)),0),($D$20+(INDEX($M$200:$M$207,MATCH(LEFT(FP200,FIND("·",FP200)-1),$K$200:$K$207,0))=MID(FP200,FIND("|",FP200)+1,10))*$D$22+MAX(0,IF($D$50=1,$D$21*(1-(ABS(INDEX($P$200:$P$207,MATCH(LEFT(FP200,FIND("·",FP200)-1),$K$200:$K$207,0))-(VALUE(MID(FP200,FIND("|",FP200)+1,FIND("-",FP200,FIND("|",FP200))-FIND("|",FP200)-1))-VALUE(MID(FP200,FIND("-",FP200,FIND("|",FP200))+1,10)))))*$D$50),$D$21*(1-(IF(INDEX($L$200:$L$207,MATCH(LEFT(FP200,FIND("·",FP200)-1),$K$200:$K$207,0))=0,ABS(INDEX($N$200:$N$207,MATCH(LEFT(FP200,FIND("·",FP200)-1),$K$200:$K$207,0))-VALUE(MID(FP200,FIND("|",FP200)+1,FIND("-",FP200,FIND("|",FP200))-FIND("|",FP200)-1))),ABS(INDEX($P$200:$P$207,MATCH(LEFT(FP200,FIND("·",FP200)-1),$K$200:$K$207,0))-(VALUE(MID(FP200,FIND("|",FP200)+1,FIND("-",FP200,FIND("|",FP200))-FIND("|",FP200)-1))-VALUE(MID(FP200,FIND("-",FP200,FIND("|",FP200))+1,10)))))*$D$50)))))*INDEX($I$200:$I$207,MATCH(LEFT(FP200,FIND("·",FP200)-1),$K$200:$K$207,0)),0),0),0)+IFERROR(IF(COUNTIF($C$200:$C$207,LEFT(FP200,FIND("·",FP200)-1))&gt;0,IF(INDEX($D$200:$D$207,MATCH(LEFT(FP200,FIND("·",FP200)-1),$C$200:$C$207,0))=IFERROR(VALUE(MID(FP200,FIND("·",FP200)+1,1)),0),($D$20+(INDEX($E$200:$E$207,MATCH(LEFT(FP200,FIND("·",FP200)-1),$C$200:$C$207,0))=MID(FP200,FIND("|",FP200)+1,10))*$D$22+MAX(0,IF($D$50=1,$D$21*(1-(ABS(INDEX($Q$200:$Q$207,MATCH(LEFT(FP200,FIND("·",FP200)-1),$C$200:$C$207,0))-(VALUE(MID(FP200,FIND("|",FP200)+1,FIND("-",FP200,FIND("|",FP200))-FIND("|",FP200)-1))-VALUE(MID(FP200,FIND("-",FP200,FIND("|",FP200))+1,10)))))*$D$50),$D$21*(1-(IF(INDEX($D$200:$D$207,MATCH(LEFT(FP200,FIND("·",FP200)-1),$C$200:$C$207,0))=0,ABS(INDEX($A$200:$A$207,MATCH(LEFT(FP200,FIND("·",FP200)-1),$C$200:$C$207,0))-VALUE(MID(FP200,FIND("|",FP200)+1,FIND("-",FP200,FIND("|",FP200))-FIND("|",FP200)-1))),ABS(INDEX($Q$200:$Q$207,MATCH(LEFT(FP200,FIND("·",FP200)-1),$C$200:$C$207,0))-(VALUE(MID(FP200,FIND("|",FP200)+1,FIND("-",FP200,FIND("|",FP200))-FIND("|",FP200)-1))-VALUE(MID(FP200,FIND("-",FP200,FIND("|",FP200))+1,10)))))*$D$50)))))*INDEX($I$200:$I$207,MATCH(LEFT(FP200,FIND("·",FP200)-1),$C$200:$C$207,0)),0),0),0)</f>
        <v>0</v>
      </c>
      <c r="FR200" s="108"/>
      <c r="FS200" s="65" t="str">
        <f>Idiomas!$D$368</f>
        <v>Pegar Valores Octavos</v>
      </c>
      <c r="FT200" s="84">
        <f t="shared" ref="FT200:FT207" si="5902">IFERROR(IF(COUNTIF($K$200:$K$207,LEFT(FS200,FIND("·",FS200)-1))&gt;0,IF(INDEX($L$200:$L$207,MATCH(LEFT(FS200,FIND("·",FS200)-1),$K$200:$K$207,0))=IFERROR(VALUE(MID(FS200,FIND("·",FS200)+1,1)),0),($D$20+(INDEX($M$200:$M$207,MATCH(LEFT(FS200,FIND("·",FS200)-1),$K$200:$K$207,0))=MID(FS200,FIND("|",FS200)+1,10))*$D$22+MAX(0,IF($D$50=1,$D$21*(1-(ABS(INDEX($P$200:$P$207,MATCH(LEFT(FS200,FIND("·",FS200)-1),$K$200:$K$207,0))-(VALUE(MID(FS200,FIND("|",FS200)+1,FIND("-",FS200,FIND("|",FS200))-FIND("|",FS200)-1))-VALUE(MID(FS200,FIND("-",FS200,FIND("|",FS200))+1,10)))))*$D$50),$D$21*(1-(IF(INDEX($L$200:$L$207,MATCH(LEFT(FS200,FIND("·",FS200)-1),$K$200:$K$207,0))=0,ABS(INDEX($N$200:$N$207,MATCH(LEFT(FS200,FIND("·",FS200)-1),$K$200:$K$207,0))-VALUE(MID(FS200,FIND("|",FS200)+1,FIND("-",FS200,FIND("|",FS200))-FIND("|",FS200)-1))),ABS(INDEX($P$200:$P$207,MATCH(LEFT(FS200,FIND("·",FS200)-1),$K$200:$K$207,0))-(VALUE(MID(FS200,FIND("|",FS200)+1,FIND("-",FS200,FIND("|",FS200))-FIND("|",FS200)-1))-VALUE(MID(FS200,FIND("-",FS200,FIND("|",FS200))+1,10)))))*$D$50)))))*INDEX($I$200:$I$207,MATCH(LEFT(FS200,FIND("·",FS200)-1),$K$200:$K$207,0)),0),0),0)+IFERROR(IF(COUNTIF($C$200:$C$207,LEFT(FS200,FIND("·",FS200)-1))&gt;0,IF(INDEX($D$200:$D$207,MATCH(LEFT(FS200,FIND("·",FS200)-1),$C$200:$C$207,0))=IFERROR(VALUE(MID(FS200,FIND("·",FS200)+1,1)),0),($D$20+(INDEX($E$200:$E$207,MATCH(LEFT(FS200,FIND("·",FS200)-1),$C$200:$C$207,0))=MID(FS200,FIND("|",FS200)+1,10))*$D$22+MAX(0,IF($D$50=1,$D$21*(1-(ABS(INDEX($Q$200:$Q$207,MATCH(LEFT(FS200,FIND("·",FS200)-1),$C$200:$C$207,0))-(VALUE(MID(FS200,FIND("|",FS200)+1,FIND("-",FS200,FIND("|",FS200))-FIND("|",FS200)-1))-VALUE(MID(FS200,FIND("-",FS200,FIND("|",FS200))+1,10)))))*$D$50),$D$21*(1-(IF(INDEX($D$200:$D$207,MATCH(LEFT(FS200,FIND("·",FS200)-1),$C$200:$C$207,0))=0,ABS(INDEX($A$200:$A$207,MATCH(LEFT(FS200,FIND("·",FS200)-1),$C$200:$C$207,0))-VALUE(MID(FS200,FIND("|",FS200)+1,FIND("-",FS200,FIND("|",FS200))-FIND("|",FS200)-1))),ABS(INDEX($Q$200:$Q$207,MATCH(LEFT(FS200,FIND("·",FS200)-1),$C$200:$C$207,0))-(VALUE(MID(FS200,FIND("|",FS200)+1,FIND("-",FS200,FIND("|",FS200))-FIND("|",FS200)-1))-VALUE(MID(FS200,FIND("-",FS200,FIND("|",FS200))+1,10)))))*$D$50)))))*INDEX($I$200:$I$207,MATCH(LEFT(FS200,FIND("·",FS200)-1),$C$200:$C$207,0)),0),0),0)</f>
        <v>0</v>
      </c>
      <c r="FU200" s="108"/>
      <c r="FV200" s="65" t="str">
        <f>Idiomas!$D$368</f>
        <v>Pegar Valores Octavos</v>
      </c>
      <c r="FW200" s="84">
        <f t="shared" ref="FW200:FW207" si="5903">IFERROR(IF(COUNTIF($K$200:$K$207,LEFT(FV200,FIND("·",FV200)-1))&gt;0,IF(INDEX($L$200:$L$207,MATCH(LEFT(FV200,FIND("·",FV200)-1),$K$200:$K$207,0))=IFERROR(VALUE(MID(FV200,FIND("·",FV200)+1,1)),0),($D$20+(INDEX($M$200:$M$207,MATCH(LEFT(FV200,FIND("·",FV200)-1),$K$200:$K$207,0))=MID(FV200,FIND("|",FV200)+1,10))*$D$22+MAX(0,IF($D$50=1,$D$21*(1-(ABS(INDEX($P$200:$P$207,MATCH(LEFT(FV200,FIND("·",FV200)-1),$K$200:$K$207,0))-(VALUE(MID(FV200,FIND("|",FV200)+1,FIND("-",FV200,FIND("|",FV200))-FIND("|",FV200)-1))-VALUE(MID(FV200,FIND("-",FV200,FIND("|",FV200))+1,10)))))*$D$50),$D$21*(1-(IF(INDEX($L$200:$L$207,MATCH(LEFT(FV200,FIND("·",FV200)-1),$K$200:$K$207,0))=0,ABS(INDEX($N$200:$N$207,MATCH(LEFT(FV200,FIND("·",FV200)-1),$K$200:$K$207,0))-VALUE(MID(FV200,FIND("|",FV200)+1,FIND("-",FV200,FIND("|",FV200))-FIND("|",FV200)-1))),ABS(INDEX($P$200:$P$207,MATCH(LEFT(FV200,FIND("·",FV200)-1),$K$200:$K$207,0))-(VALUE(MID(FV200,FIND("|",FV200)+1,FIND("-",FV200,FIND("|",FV200))-FIND("|",FV200)-1))-VALUE(MID(FV200,FIND("-",FV200,FIND("|",FV200))+1,10)))))*$D$50)))))*INDEX($I$200:$I$207,MATCH(LEFT(FV200,FIND("·",FV200)-1),$K$200:$K$207,0)),0),0),0)+IFERROR(IF(COUNTIF($C$200:$C$207,LEFT(FV200,FIND("·",FV200)-1))&gt;0,IF(INDEX($D$200:$D$207,MATCH(LEFT(FV200,FIND("·",FV200)-1),$C$200:$C$207,0))=IFERROR(VALUE(MID(FV200,FIND("·",FV200)+1,1)),0),($D$20+(INDEX($E$200:$E$207,MATCH(LEFT(FV200,FIND("·",FV200)-1),$C$200:$C$207,0))=MID(FV200,FIND("|",FV200)+1,10))*$D$22+MAX(0,IF($D$50=1,$D$21*(1-(ABS(INDEX($Q$200:$Q$207,MATCH(LEFT(FV200,FIND("·",FV200)-1),$C$200:$C$207,0))-(VALUE(MID(FV200,FIND("|",FV200)+1,FIND("-",FV200,FIND("|",FV200))-FIND("|",FV200)-1))-VALUE(MID(FV200,FIND("-",FV200,FIND("|",FV200))+1,10)))))*$D$50),$D$21*(1-(IF(INDEX($D$200:$D$207,MATCH(LEFT(FV200,FIND("·",FV200)-1),$C$200:$C$207,0))=0,ABS(INDEX($A$200:$A$207,MATCH(LEFT(FV200,FIND("·",FV200)-1),$C$200:$C$207,0))-VALUE(MID(FV200,FIND("|",FV200)+1,FIND("-",FV200,FIND("|",FV200))-FIND("|",FV200)-1))),ABS(INDEX($Q$200:$Q$207,MATCH(LEFT(FV200,FIND("·",FV200)-1),$C$200:$C$207,0))-(VALUE(MID(FV200,FIND("|",FV200)+1,FIND("-",FV200,FIND("|",FV200))-FIND("|",FV200)-1))-VALUE(MID(FV200,FIND("-",FV200,FIND("|",FV200))+1,10)))))*$D$50)))))*INDEX($I$200:$I$207,MATCH(LEFT(FV200,FIND("·",FV200)-1),$C$200:$C$207,0)),0),0),0)</f>
        <v>0</v>
      </c>
      <c r="FX200" s="108"/>
      <c r="FY200" s="65" t="str">
        <f>Idiomas!$D$368</f>
        <v>Pegar Valores Octavos</v>
      </c>
      <c r="FZ200" s="84">
        <f t="shared" ref="FZ200:FZ207" si="5904">IFERROR(IF(COUNTIF($K$200:$K$207,LEFT(FY200,FIND("·",FY200)-1))&gt;0,IF(INDEX($L$200:$L$207,MATCH(LEFT(FY200,FIND("·",FY200)-1),$K$200:$K$207,0))=IFERROR(VALUE(MID(FY200,FIND("·",FY200)+1,1)),0),($D$20+(INDEX($M$200:$M$207,MATCH(LEFT(FY200,FIND("·",FY200)-1),$K$200:$K$207,0))=MID(FY200,FIND("|",FY200)+1,10))*$D$22+MAX(0,IF($D$50=1,$D$21*(1-(ABS(INDEX($P$200:$P$207,MATCH(LEFT(FY200,FIND("·",FY200)-1),$K$200:$K$207,0))-(VALUE(MID(FY200,FIND("|",FY200)+1,FIND("-",FY200,FIND("|",FY200))-FIND("|",FY200)-1))-VALUE(MID(FY200,FIND("-",FY200,FIND("|",FY200))+1,10)))))*$D$50),$D$21*(1-(IF(INDEX($L$200:$L$207,MATCH(LEFT(FY200,FIND("·",FY200)-1),$K$200:$K$207,0))=0,ABS(INDEX($N$200:$N$207,MATCH(LEFT(FY200,FIND("·",FY200)-1),$K$200:$K$207,0))-VALUE(MID(FY200,FIND("|",FY200)+1,FIND("-",FY200,FIND("|",FY200))-FIND("|",FY200)-1))),ABS(INDEX($P$200:$P$207,MATCH(LEFT(FY200,FIND("·",FY200)-1),$K$200:$K$207,0))-(VALUE(MID(FY200,FIND("|",FY200)+1,FIND("-",FY200,FIND("|",FY200))-FIND("|",FY200)-1))-VALUE(MID(FY200,FIND("-",FY200,FIND("|",FY200))+1,10)))))*$D$50)))))*INDEX($I$200:$I$207,MATCH(LEFT(FY200,FIND("·",FY200)-1),$K$200:$K$207,0)),0),0),0)+IFERROR(IF(COUNTIF($C$200:$C$207,LEFT(FY200,FIND("·",FY200)-1))&gt;0,IF(INDEX($D$200:$D$207,MATCH(LEFT(FY200,FIND("·",FY200)-1),$C$200:$C$207,0))=IFERROR(VALUE(MID(FY200,FIND("·",FY200)+1,1)),0),($D$20+(INDEX($E$200:$E$207,MATCH(LEFT(FY200,FIND("·",FY200)-1),$C$200:$C$207,0))=MID(FY200,FIND("|",FY200)+1,10))*$D$22+MAX(0,IF($D$50=1,$D$21*(1-(ABS(INDEX($Q$200:$Q$207,MATCH(LEFT(FY200,FIND("·",FY200)-1),$C$200:$C$207,0))-(VALUE(MID(FY200,FIND("|",FY200)+1,FIND("-",FY200,FIND("|",FY200))-FIND("|",FY200)-1))-VALUE(MID(FY200,FIND("-",FY200,FIND("|",FY200))+1,10)))))*$D$50),$D$21*(1-(IF(INDEX($D$200:$D$207,MATCH(LEFT(FY200,FIND("·",FY200)-1),$C$200:$C$207,0))=0,ABS(INDEX($A$200:$A$207,MATCH(LEFT(FY200,FIND("·",FY200)-1),$C$200:$C$207,0))-VALUE(MID(FY200,FIND("|",FY200)+1,FIND("-",FY200,FIND("|",FY200))-FIND("|",FY200)-1))),ABS(INDEX($Q$200:$Q$207,MATCH(LEFT(FY200,FIND("·",FY200)-1),$C$200:$C$207,0))-(VALUE(MID(FY200,FIND("|",FY200)+1,FIND("-",FY200,FIND("|",FY200))-FIND("|",FY200)-1))-VALUE(MID(FY200,FIND("-",FY200,FIND("|",FY200))+1,10)))))*$D$50)))))*INDEX($I$200:$I$207,MATCH(LEFT(FY200,FIND("·",FY200)-1),$C$200:$C$207,0)),0),0),0)</f>
        <v>0</v>
      </c>
      <c r="GA200" s="108"/>
      <c r="GB200" s="65" t="str">
        <f>Idiomas!$D$368</f>
        <v>Pegar Valores Octavos</v>
      </c>
      <c r="GC200" s="84">
        <f t="shared" ref="GC200:GC207" si="5905">IFERROR(IF(COUNTIF($K$200:$K$207,LEFT(GB200,FIND("·",GB200)-1))&gt;0,IF(INDEX($L$200:$L$207,MATCH(LEFT(GB200,FIND("·",GB200)-1),$K$200:$K$207,0))=IFERROR(VALUE(MID(GB200,FIND("·",GB200)+1,1)),0),($D$20+(INDEX($M$200:$M$207,MATCH(LEFT(GB200,FIND("·",GB200)-1),$K$200:$K$207,0))=MID(GB200,FIND("|",GB200)+1,10))*$D$22+MAX(0,IF($D$50=1,$D$21*(1-(ABS(INDEX($P$200:$P$207,MATCH(LEFT(GB200,FIND("·",GB200)-1),$K$200:$K$207,0))-(VALUE(MID(GB200,FIND("|",GB200)+1,FIND("-",GB200,FIND("|",GB200))-FIND("|",GB200)-1))-VALUE(MID(GB200,FIND("-",GB200,FIND("|",GB200))+1,10)))))*$D$50),$D$21*(1-(IF(INDEX($L$200:$L$207,MATCH(LEFT(GB200,FIND("·",GB200)-1),$K$200:$K$207,0))=0,ABS(INDEX($N$200:$N$207,MATCH(LEFT(GB200,FIND("·",GB200)-1),$K$200:$K$207,0))-VALUE(MID(GB200,FIND("|",GB200)+1,FIND("-",GB200,FIND("|",GB200))-FIND("|",GB200)-1))),ABS(INDEX($P$200:$P$207,MATCH(LEFT(GB200,FIND("·",GB200)-1),$K$200:$K$207,0))-(VALUE(MID(GB200,FIND("|",GB200)+1,FIND("-",GB200,FIND("|",GB200))-FIND("|",GB200)-1))-VALUE(MID(GB200,FIND("-",GB200,FIND("|",GB200))+1,10)))))*$D$50)))))*INDEX($I$200:$I$207,MATCH(LEFT(GB200,FIND("·",GB200)-1),$K$200:$K$207,0)),0),0),0)+IFERROR(IF(COUNTIF($C$200:$C$207,LEFT(GB200,FIND("·",GB200)-1))&gt;0,IF(INDEX($D$200:$D$207,MATCH(LEFT(GB200,FIND("·",GB200)-1),$C$200:$C$207,0))=IFERROR(VALUE(MID(GB200,FIND("·",GB200)+1,1)),0),($D$20+(INDEX($E$200:$E$207,MATCH(LEFT(GB200,FIND("·",GB200)-1),$C$200:$C$207,0))=MID(GB200,FIND("|",GB200)+1,10))*$D$22+MAX(0,IF($D$50=1,$D$21*(1-(ABS(INDEX($Q$200:$Q$207,MATCH(LEFT(GB200,FIND("·",GB200)-1),$C$200:$C$207,0))-(VALUE(MID(GB200,FIND("|",GB200)+1,FIND("-",GB200,FIND("|",GB200))-FIND("|",GB200)-1))-VALUE(MID(GB200,FIND("-",GB200,FIND("|",GB200))+1,10)))))*$D$50),$D$21*(1-(IF(INDEX($D$200:$D$207,MATCH(LEFT(GB200,FIND("·",GB200)-1),$C$200:$C$207,0))=0,ABS(INDEX($A$200:$A$207,MATCH(LEFT(GB200,FIND("·",GB200)-1),$C$200:$C$207,0))-VALUE(MID(GB200,FIND("|",GB200)+1,FIND("-",GB200,FIND("|",GB200))-FIND("|",GB200)-1))),ABS(INDEX($Q$200:$Q$207,MATCH(LEFT(GB200,FIND("·",GB200)-1),$C$200:$C$207,0))-(VALUE(MID(GB200,FIND("|",GB200)+1,FIND("-",GB200,FIND("|",GB200))-FIND("|",GB200)-1))-VALUE(MID(GB200,FIND("-",GB200,FIND("|",GB200))+1,10)))))*$D$50)))))*INDEX($I$200:$I$207,MATCH(LEFT(GB200,FIND("·",GB200)-1),$C$200:$C$207,0)),0),0),0)</f>
        <v>0</v>
      </c>
      <c r="GD200" s="108"/>
      <c r="GE200" s="65" t="str">
        <f>Idiomas!$D$368</f>
        <v>Pegar Valores Octavos</v>
      </c>
      <c r="GF200" s="84">
        <f t="shared" ref="GF200:GF207" si="5906">IFERROR(IF(COUNTIF($K$200:$K$207,LEFT(GE200,FIND("·",GE200)-1))&gt;0,IF(INDEX($L$200:$L$207,MATCH(LEFT(GE200,FIND("·",GE200)-1),$K$200:$K$207,0))=IFERROR(VALUE(MID(GE200,FIND("·",GE200)+1,1)),0),($D$20+(INDEX($M$200:$M$207,MATCH(LEFT(GE200,FIND("·",GE200)-1),$K$200:$K$207,0))=MID(GE200,FIND("|",GE200)+1,10))*$D$22+MAX(0,IF($D$50=1,$D$21*(1-(ABS(INDEX($P$200:$P$207,MATCH(LEFT(GE200,FIND("·",GE200)-1),$K$200:$K$207,0))-(VALUE(MID(GE200,FIND("|",GE200)+1,FIND("-",GE200,FIND("|",GE200))-FIND("|",GE200)-1))-VALUE(MID(GE200,FIND("-",GE200,FIND("|",GE200))+1,10)))))*$D$50),$D$21*(1-(IF(INDEX($L$200:$L$207,MATCH(LEFT(GE200,FIND("·",GE200)-1),$K$200:$K$207,0))=0,ABS(INDEX($N$200:$N$207,MATCH(LEFT(GE200,FIND("·",GE200)-1),$K$200:$K$207,0))-VALUE(MID(GE200,FIND("|",GE200)+1,FIND("-",GE200,FIND("|",GE200))-FIND("|",GE200)-1))),ABS(INDEX($P$200:$P$207,MATCH(LEFT(GE200,FIND("·",GE200)-1),$K$200:$K$207,0))-(VALUE(MID(GE200,FIND("|",GE200)+1,FIND("-",GE200,FIND("|",GE200))-FIND("|",GE200)-1))-VALUE(MID(GE200,FIND("-",GE200,FIND("|",GE200))+1,10)))))*$D$50)))))*INDEX($I$200:$I$207,MATCH(LEFT(GE200,FIND("·",GE200)-1),$K$200:$K$207,0)),0),0),0)+IFERROR(IF(COUNTIF($C$200:$C$207,LEFT(GE200,FIND("·",GE200)-1))&gt;0,IF(INDEX($D$200:$D$207,MATCH(LEFT(GE200,FIND("·",GE200)-1),$C$200:$C$207,0))=IFERROR(VALUE(MID(GE200,FIND("·",GE200)+1,1)),0),($D$20+(INDEX($E$200:$E$207,MATCH(LEFT(GE200,FIND("·",GE200)-1),$C$200:$C$207,0))=MID(GE200,FIND("|",GE200)+1,10))*$D$22+MAX(0,IF($D$50=1,$D$21*(1-(ABS(INDEX($Q$200:$Q$207,MATCH(LEFT(GE200,FIND("·",GE200)-1),$C$200:$C$207,0))-(VALUE(MID(GE200,FIND("|",GE200)+1,FIND("-",GE200,FIND("|",GE200))-FIND("|",GE200)-1))-VALUE(MID(GE200,FIND("-",GE200,FIND("|",GE200))+1,10)))))*$D$50),$D$21*(1-(IF(INDEX($D$200:$D$207,MATCH(LEFT(GE200,FIND("·",GE200)-1),$C$200:$C$207,0))=0,ABS(INDEX($A$200:$A$207,MATCH(LEFT(GE200,FIND("·",GE200)-1),$C$200:$C$207,0))-VALUE(MID(GE200,FIND("|",GE200)+1,FIND("-",GE200,FIND("|",GE200))-FIND("|",GE200)-1))),ABS(INDEX($Q$200:$Q$207,MATCH(LEFT(GE200,FIND("·",GE200)-1),$C$200:$C$207,0))-(VALUE(MID(GE200,FIND("|",GE200)+1,FIND("-",GE200,FIND("|",GE200))-FIND("|",GE200)-1))-VALUE(MID(GE200,FIND("-",GE200,FIND("|",GE200))+1,10)))))*$D$50)))))*INDEX($I$200:$I$207,MATCH(LEFT(GE200,FIND("·",GE200)-1),$C$200:$C$207,0)),0),0),0)</f>
        <v>0</v>
      </c>
      <c r="GG200" s="108"/>
      <c r="GH200" s="65" t="str">
        <f>Idiomas!$D$368</f>
        <v>Pegar Valores Octavos</v>
      </c>
      <c r="GI200" s="84">
        <f t="shared" ref="GI200:GI207" si="5907">IFERROR(IF(COUNTIF($K$200:$K$207,LEFT(GH200,FIND("·",GH200)-1))&gt;0,IF(INDEX($L$200:$L$207,MATCH(LEFT(GH200,FIND("·",GH200)-1),$K$200:$K$207,0))=IFERROR(VALUE(MID(GH200,FIND("·",GH200)+1,1)),0),($D$20+(INDEX($M$200:$M$207,MATCH(LEFT(GH200,FIND("·",GH200)-1),$K$200:$K$207,0))=MID(GH200,FIND("|",GH200)+1,10))*$D$22+MAX(0,IF($D$50=1,$D$21*(1-(ABS(INDEX($P$200:$P$207,MATCH(LEFT(GH200,FIND("·",GH200)-1),$K$200:$K$207,0))-(VALUE(MID(GH200,FIND("|",GH200)+1,FIND("-",GH200,FIND("|",GH200))-FIND("|",GH200)-1))-VALUE(MID(GH200,FIND("-",GH200,FIND("|",GH200))+1,10)))))*$D$50),$D$21*(1-(IF(INDEX($L$200:$L$207,MATCH(LEFT(GH200,FIND("·",GH200)-1),$K$200:$K$207,0))=0,ABS(INDEX($N$200:$N$207,MATCH(LEFT(GH200,FIND("·",GH200)-1),$K$200:$K$207,0))-VALUE(MID(GH200,FIND("|",GH200)+1,FIND("-",GH200,FIND("|",GH200))-FIND("|",GH200)-1))),ABS(INDEX($P$200:$P$207,MATCH(LEFT(GH200,FIND("·",GH200)-1),$K$200:$K$207,0))-(VALUE(MID(GH200,FIND("|",GH200)+1,FIND("-",GH200,FIND("|",GH200))-FIND("|",GH200)-1))-VALUE(MID(GH200,FIND("-",GH200,FIND("|",GH200))+1,10)))))*$D$50)))))*INDEX($I$200:$I$207,MATCH(LEFT(GH200,FIND("·",GH200)-1),$K$200:$K$207,0)),0),0),0)+IFERROR(IF(COUNTIF($C$200:$C$207,LEFT(GH200,FIND("·",GH200)-1))&gt;0,IF(INDEX($D$200:$D$207,MATCH(LEFT(GH200,FIND("·",GH200)-1),$C$200:$C$207,0))=IFERROR(VALUE(MID(GH200,FIND("·",GH200)+1,1)),0),($D$20+(INDEX($E$200:$E$207,MATCH(LEFT(GH200,FIND("·",GH200)-1),$C$200:$C$207,0))=MID(GH200,FIND("|",GH200)+1,10))*$D$22+MAX(0,IF($D$50=1,$D$21*(1-(ABS(INDEX($Q$200:$Q$207,MATCH(LEFT(GH200,FIND("·",GH200)-1),$C$200:$C$207,0))-(VALUE(MID(GH200,FIND("|",GH200)+1,FIND("-",GH200,FIND("|",GH200))-FIND("|",GH200)-1))-VALUE(MID(GH200,FIND("-",GH200,FIND("|",GH200))+1,10)))))*$D$50),$D$21*(1-(IF(INDEX($D$200:$D$207,MATCH(LEFT(GH200,FIND("·",GH200)-1),$C$200:$C$207,0))=0,ABS(INDEX($A$200:$A$207,MATCH(LEFT(GH200,FIND("·",GH200)-1),$C$200:$C$207,0))-VALUE(MID(GH200,FIND("|",GH200)+1,FIND("-",GH200,FIND("|",GH200))-FIND("|",GH200)-1))),ABS(INDEX($Q$200:$Q$207,MATCH(LEFT(GH200,FIND("·",GH200)-1),$C$200:$C$207,0))-(VALUE(MID(GH200,FIND("|",GH200)+1,FIND("-",GH200,FIND("|",GH200))-FIND("|",GH200)-1))-VALUE(MID(GH200,FIND("-",GH200,FIND("|",GH200))+1,10)))))*$D$50)))))*INDEX($I$200:$I$207,MATCH(LEFT(GH200,FIND("·",GH200)-1),$C$200:$C$207,0)),0),0),0)</f>
        <v>0</v>
      </c>
      <c r="GJ200" s="108"/>
      <c r="GK200" s="65" t="str">
        <f>Idiomas!$D$368</f>
        <v>Pegar Valores Octavos</v>
      </c>
      <c r="GL200" s="84">
        <f t="shared" ref="GL200:GL207" si="5908">IFERROR(IF(COUNTIF($K$200:$K$207,LEFT(GK200,FIND("·",GK200)-1))&gt;0,IF(INDEX($L$200:$L$207,MATCH(LEFT(GK200,FIND("·",GK200)-1),$K$200:$K$207,0))=IFERROR(VALUE(MID(GK200,FIND("·",GK200)+1,1)),0),($D$20+(INDEX($M$200:$M$207,MATCH(LEFT(GK200,FIND("·",GK200)-1),$K$200:$K$207,0))=MID(GK200,FIND("|",GK200)+1,10))*$D$22+MAX(0,IF($D$50=1,$D$21*(1-(ABS(INDEX($P$200:$P$207,MATCH(LEFT(GK200,FIND("·",GK200)-1),$K$200:$K$207,0))-(VALUE(MID(GK200,FIND("|",GK200)+1,FIND("-",GK200,FIND("|",GK200))-FIND("|",GK200)-1))-VALUE(MID(GK200,FIND("-",GK200,FIND("|",GK200))+1,10)))))*$D$50),$D$21*(1-(IF(INDEX($L$200:$L$207,MATCH(LEFT(GK200,FIND("·",GK200)-1),$K$200:$K$207,0))=0,ABS(INDEX($N$200:$N$207,MATCH(LEFT(GK200,FIND("·",GK200)-1),$K$200:$K$207,0))-VALUE(MID(GK200,FIND("|",GK200)+1,FIND("-",GK200,FIND("|",GK200))-FIND("|",GK200)-1))),ABS(INDEX($P$200:$P$207,MATCH(LEFT(GK200,FIND("·",GK200)-1),$K$200:$K$207,0))-(VALUE(MID(GK200,FIND("|",GK200)+1,FIND("-",GK200,FIND("|",GK200))-FIND("|",GK200)-1))-VALUE(MID(GK200,FIND("-",GK200,FIND("|",GK200))+1,10)))))*$D$50)))))*INDEX($I$200:$I$207,MATCH(LEFT(GK200,FIND("·",GK200)-1),$K$200:$K$207,0)),0),0),0)+IFERROR(IF(COUNTIF($C$200:$C$207,LEFT(GK200,FIND("·",GK200)-1))&gt;0,IF(INDEX($D$200:$D$207,MATCH(LEFT(GK200,FIND("·",GK200)-1),$C$200:$C$207,0))=IFERROR(VALUE(MID(GK200,FIND("·",GK200)+1,1)),0),($D$20+(INDEX($E$200:$E$207,MATCH(LEFT(GK200,FIND("·",GK200)-1),$C$200:$C$207,0))=MID(GK200,FIND("|",GK200)+1,10))*$D$22+MAX(0,IF($D$50=1,$D$21*(1-(ABS(INDEX($Q$200:$Q$207,MATCH(LEFT(GK200,FIND("·",GK200)-1),$C$200:$C$207,0))-(VALUE(MID(GK200,FIND("|",GK200)+1,FIND("-",GK200,FIND("|",GK200))-FIND("|",GK200)-1))-VALUE(MID(GK200,FIND("-",GK200,FIND("|",GK200))+1,10)))))*$D$50),$D$21*(1-(IF(INDEX($D$200:$D$207,MATCH(LEFT(GK200,FIND("·",GK200)-1),$C$200:$C$207,0))=0,ABS(INDEX($A$200:$A$207,MATCH(LEFT(GK200,FIND("·",GK200)-1),$C$200:$C$207,0))-VALUE(MID(GK200,FIND("|",GK200)+1,FIND("-",GK200,FIND("|",GK200))-FIND("|",GK200)-1))),ABS(INDEX($Q$200:$Q$207,MATCH(LEFT(GK200,FIND("·",GK200)-1),$C$200:$C$207,0))-(VALUE(MID(GK200,FIND("|",GK200)+1,FIND("-",GK200,FIND("|",GK200))-FIND("|",GK200)-1))-VALUE(MID(GK200,FIND("-",GK200,FIND("|",GK200))+1,10)))))*$D$50)))))*INDEX($I$200:$I$207,MATCH(LEFT(GK200,FIND("·",GK200)-1),$C$200:$C$207,0)),0),0),0)</f>
        <v>0</v>
      </c>
      <c r="GM200" s="108"/>
      <c r="GN200" s="65" t="str">
        <f>Idiomas!$D$368</f>
        <v>Pegar Valores Octavos</v>
      </c>
      <c r="GO200" s="84">
        <f t="shared" ref="GO200:GO207" si="5909">IFERROR(IF(COUNTIF($K$200:$K$207,LEFT(GN200,FIND("·",GN200)-1))&gt;0,IF(INDEX($L$200:$L$207,MATCH(LEFT(GN200,FIND("·",GN200)-1),$K$200:$K$207,0))=IFERROR(VALUE(MID(GN200,FIND("·",GN200)+1,1)),0),($D$20+(INDEX($M$200:$M$207,MATCH(LEFT(GN200,FIND("·",GN200)-1),$K$200:$K$207,0))=MID(GN200,FIND("|",GN200)+1,10))*$D$22+MAX(0,IF($D$50=1,$D$21*(1-(ABS(INDEX($P$200:$P$207,MATCH(LEFT(GN200,FIND("·",GN200)-1),$K$200:$K$207,0))-(VALUE(MID(GN200,FIND("|",GN200)+1,FIND("-",GN200,FIND("|",GN200))-FIND("|",GN200)-1))-VALUE(MID(GN200,FIND("-",GN200,FIND("|",GN200))+1,10)))))*$D$50),$D$21*(1-(IF(INDEX($L$200:$L$207,MATCH(LEFT(GN200,FIND("·",GN200)-1),$K$200:$K$207,0))=0,ABS(INDEX($N$200:$N$207,MATCH(LEFT(GN200,FIND("·",GN200)-1),$K$200:$K$207,0))-VALUE(MID(GN200,FIND("|",GN200)+1,FIND("-",GN200,FIND("|",GN200))-FIND("|",GN200)-1))),ABS(INDEX($P$200:$P$207,MATCH(LEFT(GN200,FIND("·",GN200)-1),$K$200:$K$207,0))-(VALUE(MID(GN200,FIND("|",GN200)+1,FIND("-",GN200,FIND("|",GN200))-FIND("|",GN200)-1))-VALUE(MID(GN200,FIND("-",GN200,FIND("|",GN200))+1,10)))))*$D$50)))))*INDEX($I$200:$I$207,MATCH(LEFT(GN200,FIND("·",GN200)-1),$K$200:$K$207,0)),0),0),0)+IFERROR(IF(COUNTIF($C$200:$C$207,LEFT(GN200,FIND("·",GN200)-1))&gt;0,IF(INDEX($D$200:$D$207,MATCH(LEFT(GN200,FIND("·",GN200)-1),$C$200:$C$207,0))=IFERROR(VALUE(MID(GN200,FIND("·",GN200)+1,1)),0),($D$20+(INDEX($E$200:$E$207,MATCH(LEFT(GN200,FIND("·",GN200)-1),$C$200:$C$207,0))=MID(GN200,FIND("|",GN200)+1,10))*$D$22+MAX(0,IF($D$50=1,$D$21*(1-(ABS(INDEX($Q$200:$Q$207,MATCH(LEFT(GN200,FIND("·",GN200)-1),$C$200:$C$207,0))-(VALUE(MID(GN200,FIND("|",GN200)+1,FIND("-",GN200,FIND("|",GN200))-FIND("|",GN200)-1))-VALUE(MID(GN200,FIND("-",GN200,FIND("|",GN200))+1,10)))))*$D$50),$D$21*(1-(IF(INDEX($D$200:$D$207,MATCH(LEFT(GN200,FIND("·",GN200)-1),$C$200:$C$207,0))=0,ABS(INDEX($A$200:$A$207,MATCH(LEFT(GN200,FIND("·",GN200)-1),$C$200:$C$207,0))-VALUE(MID(GN200,FIND("|",GN200)+1,FIND("-",GN200,FIND("|",GN200))-FIND("|",GN200)-1))),ABS(INDEX($Q$200:$Q$207,MATCH(LEFT(GN200,FIND("·",GN200)-1),$C$200:$C$207,0))-(VALUE(MID(GN200,FIND("|",GN200)+1,FIND("-",GN200,FIND("|",GN200))-FIND("|",GN200)-1))-VALUE(MID(GN200,FIND("-",GN200,FIND("|",GN200))+1,10)))))*$D$50)))))*INDEX($I$200:$I$207,MATCH(LEFT(GN200,FIND("·",GN200)-1),$C$200:$C$207,0)),0),0),0)</f>
        <v>0</v>
      </c>
      <c r="GP200" s="108"/>
      <c r="GQ200" s="65" t="str">
        <f>Idiomas!$D$368</f>
        <v>Pegar Valores Octavos</v>
      </c>
      <c r="GR200" s="84">
        <f t="shared" ref="GR200:GR207" si="5910">IFERROR(IF(COUNTIF($K$200:$K$207,LEFT(GQ200,FIND("·",GQ200)-1))&gt;0,IF(INDEX($L$200:$L$207,MATCH(LEFT(GQ200,FIND("·",GQ200)-1),$K$200:$K$207,0))=IFERROR(VALUE(MID(GQ200,FIND("·",GQ200)+1,1)),0),($D$20+(INDEX($M$200:$M$207,MATCH(LEFT(GQ200,FIND("·",GQ200)-1),$K$200:$K$207,0))=MID(GQ200,FIND("|",GQ200)+1,10))*$D$22+MAX(0,IF($D$50=1,$D$21*(1-(ABS(INDEX($P$200:$P$207,MATCH(LEFT(GQ200,FIND("·",GQ200)-1),$K$200:$K$207,0))-(VALUE(MID(GQ200,FIND("|",GQ200)+1,FIND("-",GQ200,FIND("|",GQ200))-FIND("|",GQ200)-1))-VALUE(MID(GQ200,FIND("-",GQ200,FIND("|",GQ200))+1,10)))))*$D$50),$D$21*(1-(IF(INDEX($L$200:$L$207,MATCH(LEFT(GQ200,FIND("·",GQ200)-1),$K$200:$K$207,0))=0,ABS(INDEX($N$200:$N$207,MATCH(LEFT(GQ200,FIND("·",GQ200)-1),$K$200:$K$207,0))-VALUE(MID(GQ200,FIND("|",GQ200)+1,FIND("-",GQ200,FIND("|",GQ200))-FIND("|",GQ200)-1))),ABS(INDEX($P$200:$P$207,MATCH(LEFT(GQ200,FIND("·",GQ200)-1),$K$200:$K$207,0))-(VALUE(MID(GQ200,FIND("|",GQ200)+1,FIND("-",GQ200,FIND("|",GQ200))-FIND("|",GQ200)-1))-VALUE(MID(GQ200,FIND("-",GQ200,FIND("|",GQ200))+1,10)))))*$D$50)))))*INDEX($I$200:$I$207,MATCH(LEFT(GQ200,FIND("·",GQ200)-1),$K$200:$K$207,0)),0),0),0)+IFERROR(IF(COUNTIF($C$200:$C$207,LEFT(GQ200,FIND("·",GQ200)-1))&gt;0,IF(INDEX($D$200:$D$207,MATCH(LEFT(GQ200,FIND("·",GQ200)-1),$C$200:$C$207,0))=IFERROR(VALUE(MID(GQ200,FIND("·",GQ200)+1,1)),0),($D$20+(INDEX($E$200:$E$207,MATCH(LEFT(GQ200,FIND("·",GQ200)-1),$C$200:$C$207,0))=MID(GQ200,FIND("|",GQ200)+1,10))*$D$22+MAX(0,IF($D$50=1,$D$21*(1-(ABS(INDEX($Q$200:$Q$207,MATCH(LEFT(GQ200,FIND("·",GQ200)-1),$C$200:$C$207,0))-(VALUE(MID(GQ200,FIND("|",GQ200)+1,FIND("-",GQ200,FIND("|",GQ200))-FIND("|",GQ200)-1))-VALUE(MID(GQ200,FIND("-",GQ200,FIND("|",GQ200))+1,10)))))*$D$50),$D$21*(1-(IF(INDEX($D$200:$D$207,MATCH(LEFT(GQ200,FIND("·",GQ200)-1),$C$200:$C$207,0))=0,ABS(INDEX($A$200:$A$207,MATCH(LEFT(GQ200,FIND("·",GQ200)-1),$C$200:$C$207,0))-VALUE(MID(GQ200,FIND("|",GQ200)+1,FIND("-",GQ200,FIND("|",GQ200))-FIND("|",GQ200)-1))),ABS(INDEX($Q$200:$Q$207,MATCH(LEFT(GQ200,FIND("·",GQ200)-1),$C$200:$C$207,0))-(VALUE(MID(GQ200,FIND("|",GQ200)+1,FIND("-",GQ200,FIND("|",GQ200))-FIND("|",GQ200)-1))-VALUE(MID(GQ200,FIND("-",GQ200,FIND("|",GQ200))+1,10)))))*$D$50)))))*INDEX($I$200:$I$207,MATCH(LEFT(GQ200,FIND("·",GQ200)-1),$C$200:$C$207,0)),0),0),0)</f>
        <v>0</v>
      </c>
      <c r="GS200" s="108"/>
      <c r="GT200" s="65" t="str">
        <f>Idiomas!$D$368</f>
        <v>Pegar Valores Octavos</v>
      </c>
      <c r="GU200" s="84">
        <f t="shared" ref="GU200:GU207" si="5911">IFERROR(IF(COUNTIF($K$200:$K$207,LEFT(GT200,FIND("·",GT200)-1))&gt;0,IF(INDEX($L$200:$L$207,MATCH(LEFT(GT200,FIND("·",GT200)-1),$K$200:$K$207,0))=IFERROR(VALUE(MID(GT200,FIND("·",GT200)+1,1)),0),($D$20+(INDEX($M$200:$M$207,MATCH(LEFT(GT200,FIND("·",GT200)-1),$K$200:$K$207,0))=MID(GT200,FIND("|",GT200)+1,10))*$D$22+MAX(0,IF($D$50=1,$D$21*(1-(ABS(INDEX($P$200:$P$207,MATCH(LEFT(GT200,FIND("·",GT200)-1),$K$200:$K$207,0))-(VALUE(MID(GT200,FIND("|",GT200)+1,FIND("-",GT200,FIND("|",GT200))-FIND("|",GT200)-1))-VALUE(MID(GT200,FIND("-",GT200,FIND("|",GT200))+1,10)))))*$D$50),$D$21*(1-(IF(INDEX($L$200:$L$207,MATCH(LEFT(GT200,FIND("·",GT200)-1),$K$200:$K$207,0))=0,ABS(INDEX($N$200:$N$207,MATCH(LEFT(GT200,FIND("·",GT200)-1),$K$200:$K$207,0))-VALUE(MID(GT200,FIND("|",GT200)+1,FIND("-",GT200,FIND("|",GT200))-FIND("|",GT200)-1))),ABS(INDEX($P$200:$P$207,MATCH(LEFT(GT200,FIND("·",GT200)-1),$K$200:$K$207,0))-(VALUE(MID(GT200,FIND("|",GT200)+1,FIND("-",GT200,FIND("|",GT200))-FIND("|",GT200)-1))-VALUE(MID(GT200,FIND("-",GT200,FIND("|",GT200))+1,10)))))*$D$50)))))*INDEX($I$200:$I$207,MATCH(LEFT(GT200,FIND("·",GT200)-1),$K$200:$K$207,0)),0),0),0)+IFERROR(IF(COUNTIF($C$200:$C$207,LEFT(GT200,FIND("·",GT200)-1))&gt;0,IF(INDEX($D$200:$D$207,MATCH(LEFT(GT200,FIND("·",GT200)-1),$C$200:$C$207,0))=IFERROR(VALUE(MID(GT200,FIND("·",GT200)+1,1)),0),($D$20+(INDEX($E$200:$E$207,MATCH(LEFT(GT200,FIND("·",GT200)-1),$C$200:$C$207,0))=MID(GT200,FIND("|",GT200)+1,10))*$D$22+MAX(0,IF($D$50=1,$D$21*(1-(ABS(INDEX($Q$200:$Q$207,MATCH(LEFT(GT200,FIND("·",GT200)-1),$C$200:$C$207,0))-(VALUE(MID(GT200,FIND("|",GT200)+1,FIND("-",GT200,FIND("|",GT200))-FIND("|",GT200)-1))-VALUE(MID(GT200,FIND("-",GT200,FIND("|",GT200))+1,10)))))*$D$50),$D$21*(1-(IF(INDEX($D$200:$D$207,MATCH(LEFT(GT200,FIND("·",GT200)-1),$C$200:$C$207,0))=0,ABS(INDEX($A$200:$A$207,MATCH(LEFT(GT200,FIND("·",GT200)-1),$C$200:$C$207,0))-VALUE(MID(GT200,FIND("|",GT200)+1,FIND("-",GT200,FIND("|",GT200))-FIND("|",GT200)-1))),ABS(INDEX($Q$200:$Q$207,MATCH(LEFT(GT200,FIND("·",GT200)-1),$C$200:$C$207,0))-(VALUE(MID(GT200,FIND("|",GT200)+1,FIND("-",GT200,FIND("|",GT200))-FIND("|",GT200)-1))-VALUE(MID(GT200,FIND("-",GT200,FIND("|",GT200))+1,10)))))*$D$50)))))*INDEX($I$200:$I$207,MATCH(LEFT(GT200,FIND("·",GT200)-1),$C$200:$C$207,0)),0),0),0)</f>
        <v>0</v>
      </c>
      <c r="GV200" s="108"/>
      <c r="GW200" s="65" t="str">
        <f>Idiomas!$D$368</f>
        <v>Pegar Valores Octavos</v>
      </c>
      <c r="GX200" s="84">
        <f t="shared" ref="GX200:GX207" si="5912">IFERROR(IF(COUNTIF($K$200:$K$207,LEFT(GW200,FIND("·",GW200)-1))&gt;0,IF(INDEX($L$200:$L$207,MATCH(LEFT(GW200,FIND("·",GW200)-1),$K$200:$K$207,0))=IFERROR(VALUE(MID(GW200,FIND("·",GW200)+1,1)),0),($D$20+(INDEX($M$200:$M$207,MATCH(LEFT(GW200,FIND("·",GW200)-1),$K$200:$K$207,0))=MID(GW200,FIND("|",GW200)+1,10))*$D$22+MAX(0,IF($D$50=1,$D$21*(1-(ABS(INDEX($P$200:$P$207,MATCH(LEFT(GW200,FIND("·",GW200)-1),$K$200:$K$207,0))-(VALUE(MID(GW200,FIND("|",GW200)+1,FIND("-",GW200,FIND("|",GW200))-FIND("|",GW200)-1))-VALUE(MID(GW200,FIND("-",GW200,FIND("|",GW200))+1,10)))))*$D$50),$D$21*(1-(IF(INDEX($L$200:$L$207,MATCH(LEFT(GW200,FIND("·",GW200)-1),$K$200:$K$207,0))=0,ABS(INDEX($N$200:$N$207,MATCH(LEFT(GW200,FIND("·",GW200)-1),$K$200:$K$207,0))-VALUE(MID(GW200,FIND("|",GW200)+1,FIND("-",GW200,FIND("|",GW200))-FIND("|",GW200)-1))),ABS(INDEX($P$200:$P$207,MATCH(LEFT(GW200,FIND("·",GW200)-1),$K$200:$K$207,0))-(VALUE(MID(GW200,FIND("|",GW200)+1,FIND("-",GW200,FIND("|",GW200))-FIND("|",GW200)-1))-VALUE(MID(GW200,FIND("-",GW200,FIND("|",GW200))+1,10)))))*$D$50)))))*INDEX($I$200:$I$207,MATCH(LEFT(GW200,FIND("·",GW200)-1),$K$200:$K$207,0)),0),0),0)+IFERROR(IF(COUNTIF($C$200:$C$207,LEFT(GW200,FIND("·",GW200)-1))&gt;0,IF(INDEX($D$200:$D$207,MATCH(LEFT(GW200,FIND("·",GW200)-1),$C$200:$C$207,0))=IFERROR(VALUE(MID(GW200,FIND("·",GW200)+1,1)),0),($D$20+(INDEX($E$200:$E$207,MATCH(LEFT(GW200,FIND("·",GW200)-1),$C$200:$C$207,0))=MID(GW200,FIND("|",GW200)+1,10))*$D$22+MAX(0,IF($D$50=1,$D$21*(1-(ABS(INDEX($Q$200:$Q$207,MATCH(LEFT(GW200,FIND("·",GW200)-1),$C$200:$C$207,0))-(VALUE(MID(GW200,FIND("|",GW200)+1,FIND("-",GW200,FIND("|",GW200))-FIND("|",GW200)-1))-VALUE(MID(GW200,FIND("-",GW200,FIND("|",GW200))+1,10)))))*$D$50),$D$21*(1-(IF(INDEX($D$200:$D$207,MATCH(LEFT(GW200,FIND("·",GW200)-1),$C$200:$C$207,0))=0,ABS(INDEX($A$200:$A$207,MATCH(LEFT(GW200,FIND("·",GW200)-1),$C$200:$C$207,0))-VALUE(MID(GW200,FIND("|",GW200)+1,FIND("-",GW200,FIND("|",GW200))-FIND("|",GW200)-1))),ABS(INDEX($Q$200:$Q$207,MATCH(LEFT(GW200,FIND("·",GW200)-1),$C$200:$C$207,0))-(VALUE(MID(GW200,FIND("|",GW200)+1,FIND("-",GW200,FIND("|",GW200))-FIND("|",GW200)-1))-VALUE(MID(GW200,FIND("-",GW200,FIND("|",GW200))+1,10)))))*$D$50)))))*INDEX($I$200:$I$207,MATCH(LEFT(GW200,FIND("·",GW200)-1),$C$200:$C$207,0)),0),0),0)</f>
        <v>0</v>
      </c>
      <c r="GY200" s="108"/>
      <c r="GZ200" s="65" t="str">
        <f>Idiomas!$D$368</f>
        <v>Pegar Valores Octavos</v>
      </c>
      <c r="HA200" s="84">
        <f t="shared" ref="HA200:HA207" si="5913">IFERROR(IF(COUNTIF($K$200:$K$207,LEFT(GZ200,FIND("·",GZ200)-1))&gt;0,IF(INDEX($L$200:$L$207,MATCH(LEFT(GZ200,FIND("·",GZ200)-1),$K$200:$K$207,0))=IFERROR(VALUE(MID(GZ200,FIND("·",GZ200)+1,1)),0),($D$20+(INDEX($M$200:$M$207,MATCH(LEFT(GZ200,FIND("·",GZ200)-1),$K$200:$K$207,0))=MID(GZ200,FIND("|",GZ200)+1,10))*$D$22+MAX(0,IF($D$50=1,$D$21*(1-(ABS(INDEX($P$200:$P$207,MATCH(LEFT(GZ200,FIND("·",GZ200)-1),$K$200:$K$207,0))-(VALUE(MID(GZ200,FIND("|",GZ200)+1,FIND("-",GZ200,FIND("|",GZ200))-FIND("|",GZ200)-1))-VALUE(MID(GZ200,FIND("-",GZ200,FIND("|",GZ200))+1,10)))))*$D$50),$D$21*(1-(IF(INDEX($L$200:$L$207,MATCH(LEFT(GZ200,FIND("·",GZ200)-1),$K$200:$K$207,0))=0,ABS(INDEX($N$200:$N$207,MATCH(LEFT(GZ200,FIND("·",GZ200)-1),$K$200:$K$207,0))-VALUE(MID(GZ200,FIND("|",GZ200)+1,FIND("-",GZ200,FIND("|",GZ200))-FIND("|",GZ200)-1))),ABS(INDEX($P$200:$P$207,MATCH(LEFT(GZ200,FIND("·",GZ200)-1),$K$200:$K$207,0))-(VALUE(MID(GZ200,FIND("|",GZ200)+1,FIND("-",GZ200,FIND("|",GZ200))-FIND("|",GZ200)-1))-VALUE(MID(GZ200,FIND("-",GZ200,FIND("|",GZ200))+1,10)))))*$D$50)))))*INDEX($I$200:$I$207,MATCH(LEFT(GZ200,FIND("·",GZ200)-1),$K$200:$K$207,0)),0),0),0)+IFERROR(IF(COUNTIF($C$200:$C$207,LEFT(GZ200,FIND("·",GZ200)-1))&gt;0,IF(INDEX($D$200:$D$207,MATCH(LEFT(GZ200,FIND("·",GZ200)-1),$C$200:$C$207,0))=IFERROR(VALUE(MID(GZ200,FIND("·",GZ200)+1,1)),0),($D$20+(INDEX($E$200:$E$207,MATCH(LEFT(GZ200,FIND("·",GZ200)-1),$C$200:$C$207,0))=MID(GZ200,FIND("|",GZ200)+1,10))*$D$22+MAX(0,IF($D$50=1,$D$21*(1-(ABS(INDEX($Q$200:$Q$207,MATCH(LEFT(GZ200,FIND("·",GZ200)-1),$C$200:$C$207,0))-(VALUE(MID(GZ200,FIND("|",GZ200)+1,FIND("-",GZ200,FIND("|",GZ200))-FIND("|",GZ200)-1))-VALUE(MID(GZ200,FIND("-",GZ200,FIND("|",GZ200))+1,10)))))*$D$50),$D$21*(1-(IF(INDEX($D$200:$D$207,MATCH(LEFT(GZ200,FIND("·",GZ200)-1),$C$200:$C$207,0))=0,ABS(INDEX($A$200:$A$207,MATCH(LEFT(GZ200,FIND("·",GZ200)-1),$C$200:$C$207,0))-VALUE(MID(GZ200,FIND("|",GZ200)+1,FIND("-",GZ200,FIND("|",GZ200))-FIND("|",GZ200)-1))),ABS(INDEX($Q$200:$Q$207,MATCH(LEFT(GZ200,FIND("·",GZ200)-1),$C$200:$C$207,0))-(VALUE(MID(GZ200,FIND("|",GZ200)+1,FIND("-",GZ200,FIND("|",GZ200))-FIND("|",GZ200)-1))-VALUE(MID(GZ200,FIND("-",GZ200,FIND("|",GZ200))+1,10)))))*$D$50)))))*INDEX($I$200:$I$207,MATCH(LEFT(GZ200,FIND("·",GZ200)-1),$C$200:$C$207,0)),0),0),0)</f>
        <v>0</v>
      </c>
      <c r="HB200" s="108"/>
      <c r="HC200" s="65" t="str">
        <f>Idiomas!$D$368</f>
        <v>Pegar Valores Octavos</v>
      </c>
      <c r="HD200" s="84">
        <f t="shared" ref="HD200:HD207" si="5914">IFERROR(IF(COUNTIF($K$200:$K$207,LEFT(HC200,FIND("·",HC200)-1))&gt;0,IF(INDEX($L$200:$L$207,MATCH(LEFT(HC200,FIND("·",HC200)-1),$K$200:$K$207,0))=IFERROR(VALUE(MID(HC200,FIND("·",HC200)+1,1)),0),($D$20+(INDEX($M$200:$M$207,MATCH(LEFT(HC200,FIND("·",HC200)-1),$K$200:$K$207,0))=MID(HC200,FIND("|",HC200)+1,10))*$D$22+MAX(0,IF($D$50=1,$D$21*(1-(ABS(INDEX($P$200:$P$207,MATCH(LEFT(HC200,FIND("·",HC200)-1),$K$200:$K$207,0))-(VALUE(MID(HC200,FIND("|",HC200)+1,FIND("-",HC200,FIND("|",HC200))-FIND("|",HC200)-1))-VALUE(MID(HC200,FIND("-",HC200,FIND("|",HC200))+1,10)))))*$D$50),$D$21*(1-(IF(INDEX($L$200:$L$207,MATCH(LEFT(HC200,FIND("·",HC200)-1),$K$200:$K$207,0))=0,ABS(INDEX($N$200:$N$207,MATCH(LEFT(HC200,FIND("·",HC200)-1),$K$200:$K$207,0))-VALUE(MID(HC200,FIND("|",HC200)+1,FIND("-",HC200,FIND("|",HC200))-FIND("|",HC200)-1))),ABS(INDEX($P$200:$P$207,MATCH(LEFT(HC200,FIND("·",HC200)-1),$K$200:$K$207,0))-(VALUE(MID(HC200,FIND("|",HC200)+1,FIND("-",HC200,FIND("|",HC200))-FIND("|",HC200)-1))-VALUE(MID(HC200,FIND("-",HC200,FIND("|",HC200))+1,10)))))*$D$50)))))*INDEX($I$200:$I$207,MATCH(LEFT(HC200,FIND("·",HC200)-1),$K$200:$K$207,0)),0),0),0)+IFERROR(IF(COUNTIF($C$200:$C$207,LEFT(HC200,FIND("·",HC200)-1))&gt;0,IF(INDEX($D$200:$D$207,MATCH(LEFT(HC200,FIND("·",HC200)-1),$C$200:$C$207,0))=IFERROR(VALUE(MID(HC200,FIND("·",HC200)+1,1)),0),($D$20+(INDEX($E$200:$E$207,MATCH(LEFT(HC200,FIND("·",HC200)-1),$C$200:$C$207,0))=MID(HC200,FIND("|",HC200)+1,10))*$D$22+MAX(0,IF($D$50=1,$D$21*(1-(ABS(INDEX($Q$200:$Q$207,MATCH(LEFT(HC200,FIND("·",HC200)-1),$C$200:$C$207,0))-(VALUE(MID(HC200,FIND("|",HC200)+1,FIND("-",HC200,FIND("|",HC200))-FIND("|",HC200)-1))-VALUE(MID(HC200,FIND("-",HC200,FIND("|",HC200))+1,10)))))*$D$50),$D$21*(1-(IF(INDEX($D$200:$D$207,MATCH(LEFT(HC200,FIND("·",HC200)-1),$C$200:$C$207,0))=0,ABS(INDEX($A$200:$A$207,MATCH(LEFT(HC200,FIND("·",HC200)-1),$C$200:$C$207,0))-VALUE(MID(HC200,FIND("|",HC200)+1,FIND("-",HC200,FIND("|",HC200))-FIND("|",HC200)-1))),ABS(INDEX($Q$200:$Q$207,MATCH(LEFT(HC200,FIND("·",HC200)-1),$C$200:$C$207,0))-(VALUE(MID(HC200,FIND("|",HC200)+1,FIND("-",HC200,FIND("|",HC200))-FIND("|",HC200)-1))-VALUE(MID(HC200,FIND("-",HC200,FIND("|",HC200))+1,10)))))*$D$50)))))*INDEX($I$200:$I$207,MATCH(LEFT(HC200,FIND("·",HC200)-1),$C$200:$C$207,0)),0),0),0)</f>
        <v>0</v>
      </c>
      <c r="HE200" s="108"/>
      <c r="HF200" s="65" t="str">
        <f>Idiomas!$D$368</f>
        <v>Pegar Valores Octavos</v>
      </c>
      <c r="HG200" s="84">
        <f t="shared" ref="HG200:HG207" si="5915">IFERROR(IF(COUNTIF($K$200:$K$207,LEFT(HF200,FIND("·",HF200)-1))&gt;0,IF(INDEX($L$200:$L$207,MATCH(LEFT(HF200,FIND("·",HF200)-1),$K$200:$K$207,0))=IFERROR(VALUE(MID(HF200,FIND("·",HF200)+1,1)),0),($D$20+(INDEX($M$200:$M$207,MATCH(LEFT(HF200,FIND("·",HF200)-1),$K$200:$K$207,0))=MID(HF200,FIND("|",HF200)+1,10))*$D$22+MAX(0,IF($D$50=1,$D$21*(1-(ABS(INDEX($P$200:$P$207,MATCH(LEFT(HF200,FIND("·",HF200)-1),$K$200:$K$207,0))-(VALUE(MID(HF200,FIND("|",HF200)+1,FIND("-",HF200,FIND("|",HF200))-FIND("|",HF200)-1))-VALUE(MID(HF200,FIND("-",HF200,FIND("|",HF200))+1,10)))))*$D$50),$D$21*(1-(IF(INDEX($L$200:$L$207,MATCH(LEFT(HF200,FIND("·",HF200)-1),$K$200:$K$207,0))=0,ABS(INDEX($N$200:$N$207,MATCH(LEFT(HF200,FIND("·",HF200)-1),$K$200:$K$207,0))-VALUE(MID(HF200,FIND("|",HF200)+1,FIND("-",HF200,FIND("|",HF200))-FIND("|",HF200)-1))),ABS(INDEX($P$200:$P$207,MATCH(LEFT(HF200,FIND("·",HF200)-1),$K$200:$K$207,0))-(VALUE(MID(HF200,FIND("|",HF200)+1,FIND("-",HF200,FIND("|",HF200))-FIND("|",HF200)-1))-VALUE(MID(HF200,FIND("-",HF200,FIND("|",HF200))+1,10)))))*$D$50)))))*INDEX($I$200:$I$207,MATCH(LEFT(HF200,FIND("·",HF200)-1),$K$200:$K$207,0)),0),0),0)+IFERROR(IF(COUNTIF($C$200:$C$207,LEFT(HF200,FIND("·",HF200)-1))&gt;0,IF(INDEX($D$200:$D$207,MATCH(LEFT(HF200,FIND("·",HF200)-1),$C$200:$C$207,0))=IFERROR(VALUE(MID(HF200,FIND("·",HF200)+1,1)),0),($D$20+(INDEX($E$200:$E$207,MATCH(LEFT(HF200,FIND("·",HF200)-1),$C$200:$C$207,0))=MID(HF200,FIND("|",HF200)+1,10))*$D$22+MAX(0,IF($D$50=1,$D$21*(1-(ABS(INDEX($Q$200:$Q$207,MATCH(LEFT(HF200,FIND("·",HF200)-1),$C$200:$C$207,0))-(VALUE(MID(HF200,FIND("|",HF200)+1,FIND("-",HF200,FIND("|",HF200))-FIND("|",HF200)-1))-VALUE(MID(HF200,FIND("-",HF200,FIND("|",HF200))+1,10)))))*$D$50),$D$21*(1-(IF(INDEX($D$200:$D$207,MATCH(LEFT(HF200,FIND("·",HF200)-1),$C$200:$C$207,0))=0,ABS(INDEX($A$200:$A$207,MATCH(LEFT(HF200,FIND("·",HF200)-1),$C$200:$C$207,0))-VALUE(MID(HF200,FIND("|",HF200)+1,FIND("-",HF200,FIND("|",HF200))-FIND("|",HF200)-1))),ABS(INDEX($Q$200:$Q$207,MATCH(LEFT(HF200,FIND("·",HF200)-1),$C$200:$C$207,0))-(VALUE(MID(HF200,FIND("|",HF200)+1,FIND("-",HF200,FIND("|",HF200))-FIND("|",HF200)-1))-VALUE(MID(HF200,FIND("-",HF200,FIND("|",HF200))+1,10)))))*$D$50)))))*INDEX($I$200:$I$207,MATCH(LEFT(HF200,FIND("·",HF200)-1),$C$200:$C$207,0)),0),0),0)</f>
        <v>0</v>
      </c>
      <c r="HH200" s="108"/>
      <c r="HI200" s="65" t="str">
        <f>Idiomas!$D$368</f>
        <v>Pegar Valores Octavos</v>
      </c>
      <c r="HJ200" s="84">
        <f t="shared" ref="HJ200:HJ207" si="5916">IFERROR(IF(COUNTIF($K$200:$K$207,LEFT(HI200,FIND("·",HI200)-1))&gt;0,IF(INDEX($L$200:$L$207,MATCH(LEFT(HI200,FIND("·",HI200)-1),$K$200:$K$207,0))=IFERROR(VALUE(MID(HI200,FIND("·",HI200)+1,1)),0),($D$20+(INDEX($M$200:$M$207,MATCH(LEFT(HI200,FIND("·",HI200)-1),$K$200:$K$207,0))=MID(HI200,FIND("|",HI200)+1,10))*$D$22+MAX(0,IF($D$50=1,$D$21*(1-(ABS(INDEX($P$200:$P$207,MATCH(LEFT(HI200,FIND("·",HI200)-1),$K$200:$K$207,0))-(VALUE(MID(HI200,FIND("|",HI200)+1,FIND("-",HI200,FIND("|",HI200))-FIND("|",HI200)-1))-VALUE(MID(HI200,FIND("-",HI200,FIND("|",HI200))+1,10)))))*$D$50),$D$21*(1-(IF(INDEX($L$200:$L$207,MATCH(LEFT(HI200,FIND("·",HI200)-1),$K$200:$K$207,0))=0,ABS(INDEX($N$200:$N$207,MATCH(LEFT(HI200,FIND("·",HI200)-1),$K$200:$K$207,0))-VALUE(MID(HI200,FIND("|",HI200)+1,FIND("-",HI200,FIND("|",HI200))-FIND("|",HI200)-1))),ABS(INDEX($P$200:$P$207,MATCH(LEFT(HI200,FIND("·",HI200)-1),$K$200:$K$207,0))-(VALUE(MID(HI200,FIND("|",HI200)+1,FIND("-",HI200,FIND("|",HI200))-FIND("|",HI200)-1))-VALUE(MID(HI200,FIND("-",HI200,FIND("|",HI200))+1,10)))))*$D$50)))))*INDEX($I$200:$I$207,MATCH(LEFT(HI200,FIND("·",HI200)-1),$K$200:$K$207,0)),0),0),0)+IFERROR(IF(COUNTIF($C$200:$C$207,LEFT(HI200,FIND("·",HI200)-1))&gt;0,IF(INDEX($D$200:$D$207,MATCH(LEFT(HI200,FIND("·",HI200)-1),$C$200:$C$207,0))=IFERROR(VALUE(MID(HI200,FIND("·",HI200)+1,1)),0),($D$20+(INDEX($E$200:$E$207,MATCH(LEFT(HI200,FIND("·",HI200)-1),$C$200:$C$207,0))=MID(HI200,FIND("|",HI200)+1,10))*$D$22+MAX(0,IF($D$50=1,$D$21*(1-(ABS(INDEX($Q$200:$Q$207,MATCH(LEFT(HI200,FIND("·",HI200)-1),$C$200:$C$207,0))-(VALUE(MID(HI200,FIND("|",HI200)+1,FIND("-",HI200,FIND("|",HI200))-FIND("|",HI200)-1))-VALUE(MID(HI200,FIND("-",HI200,FIND("|",HI200))+1,10)))))*$D$50),$D$21*(1-(IF(INDEX($D$200:$D$207,MATCH(LEFT(HI200,FIND("·",HI200)-1),$C$200:$C$207,0))=0,ABS(INDEX($A$200:$A$207,MATCH(LEFT(HI200,FIND("·",HI200)-1),$C$200:$C$207,0))-VALUE(MID(HI200,FIND("|",HI200)+1,FIND("-",HI200,FIND("|",HI200))-FIND("|",HI200)-1))),ABS(INDEX($Q$200:$Q$207,MATCH(LEFT(HI200,FIND("·",HI200)-1),$C$200:$C$207,0))-(VALUE(MID(HI200,FIND("|",HI200)+1,FIND("-",HI200,FIND("|",HI200))-FIND("|",HI200)-1))-VALUE(MID(HI200,FIND("-",HI200,FIND("|",HI200))+1,10)))))*$D$50)))))*INDEX($I$200:$I$207,MATCH(LEFT(HI200,FIND("·",HI200)-1),$C$200:$C$207,0)),0),0),0)</f>
        <v>0</v>
      </c>
      <c r="HK200" s="108"/>
      <c r="HL200" s="65" t="str">
        <f>Idiomas!$D$368</f>
        <v>Pegar Valores Octavos</v>
      </c>
      <c r="HM200" s="84">
        <f t="shared" ref="HM200:HM207" si="5917">IFERROR(IF(COUNTIF($K$200:$K$207,LEFT(HL200,FIND("·",HL200)-1))&gt;0,IF(INDEX($L$200:$L$207,MATCH(LEFT(HL200,FIND("·",HL200)-1),$K$200:$K$207,0))=IFERROR(VALUE(MID(HL200,FIND("·",HL200)+1,1)),0),($D$20+(INDEX($M$200:$M$207,MATCH(LEFT(HL200,FIND("·",HL200)-1),$K$200:$K$207,0))=MID(HL200,FIND("|",HL200)+1,10))*$D$22+MAX(0,IF($D$50=1,$D$21*(1-(ABS(INDEX($P$200:$P$207,MATCH(LEFT(HL200,FIND("·",HL200)-1),$K$200:$K$207,0))-(VALUE(MID(HL200,FIND("|",HL200)+1,FIND("-",HL200,FIND("|",HL200))-FIND("|",HL200)-1))-VALUE(MID(HL200,FIND("-",HL200,FIND("|",HL200))+1,10)))))*$D$50),$D$21*(1-(IF(INDEX($L$200:$L$207,MATCH(LEFT(HL200,FIND("·",HL200)-1),$K$200:$K$207,0))=0,ABS(INDEX($N$200:$N$207,MATCH(LEFT(HL200,FIND("·",HL200)-1),$K$200:$K$207,0))-VALUE(MID(HL200,FIND("|",HL200)+1,FIND("-",HL200,FIND("|",HL200))-FIND("|",HL200)-1))),ABS(INDEX($P$200:$P$207,MATCH(LEFT(HL200,FIND("·",HL200)-1),$K$200:$K$207,0))-(VALUE(MID(HL200,FIND("|",HL200)+1,FIND("-",HL200,FIND("|",HL200))-FIND("|",HL200)-1))-VALUE(MID(HL200,FIND("-",HL200,FIND("|",HL200))+1,10)))))*$D$50)))))*INDEX($I$200:$I$207,MATCH(LEFT(HL200,FIND("·",HL200)-1),$K$200:$K$207,0)),0),0),0)+IFERROR(IF(COUNTIF($C$200:$C$207,LEFT(HL200,FIND("·",HL200)-1))&gt;0,IF(INDEX($D$200:$D$207,MATCH(LEFT(HL200,FIND("·",HL200)-1),$C$200:$C$207,0))=IFERROR(VALUE(MID(HL200,FIND("·",HL200)+1,1)),0),($D$20+(INDEX($E$200:$E$207,MATCH(LEFT(HL200,FIND("·",HL200)-1),$C$200:$C$207,0))=MID(HL200,FIND("|",HL200)+1,10))*$D$22+MAX(0,IF($D$50=1,$D$21*(1-(ABS(INDEX($Q$200:$Q$207,MATCH(LEFT(HL200,FIND("·",HL200)-1),$C$200:$C$207,0))-(VALUE(MID(HL200,FIND("|",HL200)+1,FIND("-",HL200,FIND("|",HL200))-FIND("|",HL200)-1))-VALUE(MID(HL200,FIND("-",HL200,FIND("|",HL200))+1,10)))))*$D$50),$D$21*(1-(IF(INDEX($D$200:$D$207,MATCH(LEFT(HL200,FIND("·",HL200)-1),$C$200:$C$207,0))=0,ABS(INDEX($A$200:$A$207,MATCH(LEFT(HL200,FIND("·",HL200)-1),$C$200:$C$207,0))-VALUE(MID(HL200,FIND("|",HL200)+1,FIND("-",HL200,FIND("|",HL200))-FIND("|",HL200)-1))),ABS(INDEX($Q$200:$Q$207,MATCH(LEFT(HL200,FIND("·",HL200)-1),$C$200:$C$207,0))-(VALUE(MID(HL200,FIND("|",HL200)+1,FIND("-",HL200,FIND("|",HL200))-FIND("|",HL200)-1))-VALUE(MID(HL200,FIND("-",HL200,FIND("|",HL200))+1,10)))))*$D$50)))))*INDEX($I$200:$I$207,MATCH(LEFT(HL200,FIND("·",HL200)-1),$C$200:$C$207,0)),0),0),0)</f>
        <v>0</v>
      </c>
      <c r="HN200" s="108"/>
      <c r="HO200" s="65" t="str">
        <f>Idiomas!$D$368</f>
        <v>Pegar Valores Octavos</v>
      </c>
      <c r="HP200" s="84">
        <f t="shared" ref="HP200:HP207" si="5918">IFERROR(IF(COUNTIF($K$200:$K$207,LEFT(HO200,FIND("·",HO200)-1))&gt;0,IF(INDEX($L$200:$L$207,MATCH(LEFT(HO200,FIND("·",HO200)-1),$K$200:$K$207,0))=IFERROR(VALUE(MID(HO200,FIND("·",HO200)+1,1)),0),($D$20+(INDEX($M$200:$M$207,MATCH(LEFT(HO200,FIND("·",HO200)-1),$K$200:$K$207,0))=MID(HO200,FIND("|",HO200)+1,10))*$D$22+MAX(0,IF($D$50=1,$D$21*(1-(ABS(INDEX($P$200:$P$207,MATCH(LEFT(HO200,FIND("·",HO200)-1),$K$200:$K$207,0))-(VALUE(MID(HO200,FIND("|",HO200)+1,FIND("-",HO200,FIND("|",HO200))-FIND("|",HO200)-1))-VALUE(MID(HO200,FIND("-",HO200,FIND("|",HO200))+1,10)))))*$D$50),$D$21*(1-(IF(INDEX($L$200:$L$207,MATCH(LEFT(HO200,FIND("·",HO200)-1),$K$200:$K$207,0))=0,ABS(INDEX($N$200:$N$207,MATCH(LEFT(HO200,FIND("·",HO200)-1),$K$200:$K$207,0))-VALUE(MID(HO200,FIND("|",HO200)+1,FIND("-",HO200,FIND("|",HO200))-FIND("|",HO200)-1))),ABS(INDEX($P$200:$P$207,MATCH(LEFT(HO200,FIND("·",HO200)-1),$K$200:$K$207,0))-(VALUE(MID(HO200,FIND("|",HO200)+1,FIND("-",HO200,FIND("|",HO200))-FIND("|",HO200)-1))-VALUE(MID(HO200,FIND("-",HO200,FIND("|",HO200))+1,10)))))*$D$50)))))*INDEX($I$200:$I$207,MATCH(LEFT(HO200,FIND("·",HO200)-1),$K$200:$K$207,0)),0),0),0)+IFERROR(IF(COUNTIF($C$200:$C$207,LEFT(HO200,FIND("·",HO200)-1))&gt;0,IF(INDEX($D$200:$D$207,MATCH(LEFT(HO200,FIND("·",HO200)-1),$C$200:$C$207,0))=IFERROR(VALUE(MID(HO200,FIND("·",HO200)+1,1)),0),($D$20+(INDEX($E$200:$E$207,MATCH(LEFT(HO200,FIND("·",HO200)-1),$C$200:$C$207,0))=MID(HO200,FIND("|",HO200)+1,10))*$D$22+MAX(0,IF($D$50=1,$D$21*(1-(ABS(INDEX($Q$200:$Q$207,MATCH(LEFT(HO200,FIND("·",HO200)-1),$C$200:$C$207,0))-(VALUE(MID(HO200,FIND("|",HO200)+1,FIND("-",HO200,FIND("|",HO200))-FIND("|",HO200)-1))-VALUE(MID(HO200,FIND("-",HO200,FIND("|",HO200))+1,10)))))*$D$50),$D$21*(1-(IF(INDEX($D$200:$D$207,MATCH(LEFT(HO200,FIND("·",HO200)-1),$C$200:$C$207,0))=0,ABS(INDEX($A$200:$A$207,MATCH(LEFT(HO200,FIND("·",HO200)-1),$C$200:$C$207,0))-VALUE(MID(HO200,FIND("|",HO200)+1,FIND("-",HO200,FIND("|",HO200))-FIND("|",HO200)-1))),ABS(INDEX($Q$200:$Q$207,MATCH(LEFT(HO200,FIND("·",HO200)-1),$C$200:$C$207,0))-(VALUE(MID(HO200,FIND("|",HO200)+1,FIND("-",HO200,FIND("|",HO200))-FIND("|",HO200)-1))-VALUE(MID(HO200,FIND("-",HO200,FIND("|",HO200))+1,10)))))*$D$50)))))*INDEX($I$200:$I$207,MATCH(LEFT(HO200,FIND("·",HO200)-1),$C$200:$C$207,0)),0),0),0)</f>
        <v>0</v>
      </c>
      <c r="HQ200" s="108"/>
      <c r="HR200" s="65" t="str">
        <f>Idiomas!$D$368</f>
        <v>Pegar Valores Octavos</v>
      </c>
      <c r="HS200" s="84">
        <f t="shared" ref="HS200:HS207" si="5919">IFERROR(IF(COUNTIF($K$200:$K$207,LEFT(HR200,FIND("·",HR200)-1))&gt;0,IF(INDEX($L$200:$L$207,MATCH(LEFT(HR200,FIND("·",HR200)-1),$K$200:$K$207,0))=IFERROR(VALUE(MID(HR200,FIND("·",HR200)+1,1)),0),($D$20+(INDEX($M$200:$M$207,MATCH(LEFT(HR200,FIND("·",HR200)-1),$K$200:$K$207,0))=MID(HR200,FIND("|",HR200)+1,10))*$D$22+MAX(0,IF($D$50=1,$D$21*(1-(ABS(INDEX($P$200:$P$207,MATCH(LEFT(HR200,FIND("·",HR200)-1),$K$200:$K$207,0))-(VALUE(MID(HR200,FIND("|",HR200)+1,FIND("-",HR200,FIND("|",HR200))-FIND("|",HR200)-1))-VALUE(MID(HR200,FIND("-",HR200,FIND("|",HR200))+1,10)))))*$D$50),$D$21*(1-(IF(INDEX($L$200:$L$207,MATCH(LEFT(HR200,FIND("·",HR200)-1),$K$200:$K$207,0))=0,ABS(INDEX($N$200:$N$207,MATCH(LEFT(HR200,FIND("·",HR200)-1),$K$200:$K$207,0))-VALUE(MID(HR200,FIND("|",HR200)+1,FIND("-",HR200,FIND("|",HR200))-FIND("|",HR200)-1))),ABS(INDEX($P$200:$P$207,MATCH(LEFT(HR200,FIND("·",HR200)-1),$K$200:$K$207,0))-(VALUE(MID(HR200,FIND("|",HR200)+1,FIND("-",HR200,FIND("|",HR200))-FIND("|",HR200)-1))-VALUE(MID(HR200,FIND("-",HR200,FIND("|",HR200))+1,10)))))*$D$50)))))*INDEX($I$200:$I$207,MATCH(LEFT(HR200,FIND("·",HR200)-1),$K$200:$K$207,0)),0),0),0)+IFERROR(IF(COUNTIF($C$200:$C$207,LEFT(HR200,FIND("·",HR200)-1))&gt;0,IF(INDEX($D$200:$D$207,MATCH(LEFT(HR200,FIND("·",HR200)-1),$C$200:$C$207,0))=IFERROR(VALUE(MID(HR200,FIND("·",HR200)+1,1)),0),($D$20+(INDEX($E$200:$E$207,MATCH(LEFT(HR200,FIND("·",HR200)-1),$C$200:$C$207,0))=MID(HR200,FIND("|",HR200)+1,10))*$D$22+MAX(0,IF($D$50=1,$D$21*(1-(ABS(INDEX($Q$200:$Q$207,MATCH(LEFT(HR200,FIND("·",HR200)-1),$C$200:$C$207,0))-(VALUE(MID(HR200,FIND("|",HR200)+1,FIND("-",HR200,FIND("|",HR200))-FIND("|",HR200)-1))-VALUE(MID(HR200,FIND("-",HR200,FIND("|",HR200))+1,10)))))*$D$50),$D$21*(1-(IF(INDEX($D$200:$D$207,MATCH(LEFT(HR200,FIND("·",HR200)-1),$C$200:$C$207,0))=0,ABS(INDEX($A$200:$A$207,MATCH(LEFT(HR200,FIND("·",HR200)-1),$C$200:$C$207,0))-VALUE(MID(HR200,FIND("|",HR200)+1,FIND("-",HR200,FIND("|",HR200))-FIND("|",HR200)-1))),ABS(INDEX($Q$200:$Q$207,MATCH(LEFT(HR200,FIND("·",HR200)-1),$C$200:$C$207,0))-(VALUE(MID(HR200,FIND("|",HR200)+1,FIND("-",HR200,FIND("|",HR200))-FIND("|",HR200)-1))-VALUE(MID(HR200,FIND("-",HR200,FIND("|",HR200))+1,10)))))*$D$50)))))*INDEX($I$200:$I$207,MATCH(LEFT(HR200,FIND("·",HR200)-1),$C$200:$C$207,0)),0),0),0)</f>
        <v>0</v>
      </c>
      <c r="HT200" s="108"/>
      <c r="HU200" s="65" t="str">
        <f>Idiomas!$D$368</f>
        <v>Pegar Valores Octavos</v>
      </c>
      <c r="HV200" s="84">
        <f t="shared" ref="HV200:HV207" si="5920">IFERROR(IF(COUNTIF($K$200:$K$207,LEFT(HU200,FIND("·",HU200)-1))&gt;0,IF(INDEX($L$200:$L$207,MATCH(LEFT(HU200,FIND("·",HU200)-1),$K$200:$K$207,0))=IFERROR(VALUE(MID(HU200,FIND("·",HU200)+1,1)),0),($D$20+(INDEX($M$200:$M$207,MATCH(LEFT(HU200,FIND("·",HU200)-1),$K$200:$K$207,0))=MID(HU200,FIND("|",HU200)+1,10))*$D$22+MAX(0,IF($D$50=1,$D$21*(1-(ABS(INDEX($P$200:$P$207,MATCH(LEFT(HU200,FIND("·",HU200)-1),$K$200:$K$207,0))-(VALUE(MID(HU200,FIND("|",HU200)+1,FIND("-",HU200,FIND("|",HU200))-FIND("|",HU200)-1))-VALUE(MID(HU200,FIND("-",HU200,FIND("|",HU200))+1,10)))))*$D$50),$D$21*(1-(IF(INDEX($L$200:$L$207,MATCH(LEFT(HU200,FIND("·",HU200)-1),$K$200:$K$207,0))=0,ABS(INDEX($N$200:$N$207,MATCH(LEFT(HU200,FIND("·",HU200)-1),$K$200:$K$207,0))-VALUE(MID(HU200,FIND("|",HU200)+1,FIND("-",HU200,FIND("|",HU200))-FIND("|",HU200)-1))),ABS(INDEX($P$200:$P$207,MATCH(LEFT(HU200,FIND("·",HU200)-1),$K$200:$K$207,0))-(VALUE(MID(HU200,FIND("|",HU200)+1,FIND("-",HU200,FIND("|",HU200))-FIND("|",HU200)-1))-VALUE(MID(HU200,FIND("-",HU200,FIND("|",HU200))+1,10)))))*$D$50)))))*INDEX($I$200:$I$207,MATCH(LEFT(HU200,FIND("·",HU200)-1),$K$200:$K$207,0)),0),0),0)+IFERROR(IF(COUNTIF($C$200:$C$207,LEFT(HU200,FIND("·",HU200)-1))&gt;0,IF(INDEX($D$200:$D$207,MATCH(LEFT(HU200,FIND("·",HU200)-1),$C$200:$C$207,0))=IFERROR(VALUE(MID(HU200,FIND("·",HU200)+1,1)),0),($D$20+(INDEX($E$200:$E$207,MATCH(LEFT(HU200,FIND("·",HU200)-1),$C$200:$C$207,0))=MID(HU200,FIND("|",HU200)+1,10))*$D$22+MAX(0,IF($D$50=1,$D$21*(1-(ABS(INDEX($Q$200:$Q$207,MATCH(LEFT(HU200,FIND("·",HU200)-1),$C$200:$C$207,0))-(VALUE(MID(HU200,FIND("|",HU200)+1,FIND("-",HU200,FIND("|",HU200))-FIND("|",HU200)-1))-VALUE(MID(HU200,FIND("-",HU200,FIND("|",HU200))+1,10)))))*$D$50),$D$21*(1-(IF(INDEX($D$200:$D$207,MATCH(LEFT(HU200,FIND("·",HU200)-1),$C$200:$C$207,0))=0,ABS(INDEX($A$200:$A$207,MATCH(LEFT(HU200,FIND("·",HU200)-1),$C$200:$C$207,0))-VALUE(MID(HU200,FIND("|",HU200)+1,FIND("-",HU200,FIND("|",HU200))-FIND("|",HU200)-1))),ABS(INDEX($Q$200:$Q$207,MATCH(LEFT(HU200,FIND("·",HU200)-1),$C$200:$C$207,0))-(VALUE(MID(HU200,FIND("|",HU200)+1,FIND("-",HU200,FIND("|",HU200))-FIND("|",HU200)-1))-VALUE(MID(HU200,FIND("-",HU200,FIND("|",HU200))+1,10)))))*$D$50)))))*INDEX($I$200:$I$207,MATCH(LEFT(HU200,FIND("·",HU200)-1),$C$200:$C$207,0)),0),0),0)</f>
        <v>0</v>
      </c>
      <c r="HW200" s="108"/>
      <c r="HX200" s="65" t="str">
        <f>Idiomas!$D$368</f>
        <v>Pegar Valores Octavos</v>
      </c>
      <c r="HY200" s="84">
        <f t="shared" ref="HY200:HY207" si="5921">IFERROR(IF(COUNTIF($K$200:$K$207,LEFT(HX200,FIND("·",HX200)-1))&gt;0,IF(INDEX($L$200:$L$207,MATCH(LEFT(HX200,FIND("·",HX200)-1),$K$200:$K$207,0))=IFERROR(VALUE(MID(HX200,FIND("·",HX200)+1,1)),0),($D$20+(INDEX($M$200:$M$207,MATCH(LEFT(HX200,FIND("·",HX200)-1),$K$200:$K$207,0))=MID(HX200,FIND("|",HX200)+1,10))*$D$22+MAX(0,IF($D$50=1,$D$21*(1-(ABS(INDEX($P$200:$P$207,MATCH(LEFT(HX200,FIND("·",HX200)-1),$K$200:$K$207,0))-(VALUE(MID(HX200,FIND("|",HX200)+1,FIND("-",HX200,FIND("|",HX200))-FIND("|",HX200)-1))-VALUE(MID(HX200,FIND("-",HX200,FIND("|",HX200))+1,10)))))*$D$50),$D$21*(1-(IF(INDEX($L$200:$L$207,MATCH(LEFT(HX200,FIND("·",HX200)-1),$K$200:$K$207,0))=0,ABS(INDEX($N$200:$N$207,MATCH(LEFT(HX200,FIND("·",HX200)-1),$K$200:$K$207,0))-VALUE(MID(HX200,FIND("|",HX200)+1,FIND("-",HX200,FIND("|",HX200))-FIND("|",HX200)-1))),ABS(INDEX($P$200:$P$207,MATCH(LEFT(HX200,FIND("·",HX200)-1),$K$200:$K$207,0))-(VALUE(MID(HX200,FIND("|",HX200)+1,FIND("-",HX200,FIND("|",HX200))-FIND("|",HX200)-1))-VALUE(MID(HX200,FIND("-",HX200,FIND("|",HX200))+1,10)))))*$D$50)))))*INDEX($I$200:$I$207,MATCH(LEFT(HX200,FIND("·",HX200)-1),$K$200:$K$207,0)),0),0),0)+IFERROR(IF(COUNTIF($C$200:$C$207,LEFT(HX200,FIND("·",HX200)-1))&gt;0,IF(INDEX($D$200:$D$207,MATCH(LEFT(HX200,FIND("·",HX200)-1),$C$200:$C$207,0))=IFERROR(VALUE(MID(HX200,FIND("·",HX200)+1,1)),0),($D$20+(INDEX($E$200:$E$207,MATCH(LEFT(HX200,FIND("·",HX200)-1),$C$200:$C$207,0))=MID(HX200,FIND("|",HX200)+1,10))*$D$22+MAX(0,IF($D$50=1,$D$21*(1-(ABS(INDEX($Q$200:$Q$207,MATCH(LEFT(HX200,FIND("·",HX200)-1),$C$200:$C$207,0))-(VALUE(MID(HX200,FIND("|",HX200)+1,FIND("-",HX200,FIND("|",HX200))-FIND("|",HX200)-1))-VALUE(MID(HX200,FIND("-",HX200,FIND("|",HX200))+1,10)))))*$D$50),$D$21*(1-(IF(INDEX($D$200:$D$207,MATCH(LEFT(HX200,FIND("·",HX200)-1),$C$200:$C$207,0))=0,ABS(INDEX($A$200:$A$207,MATCH(LEFT(HX200,FIND("·",HX200)-1),$C$200:$C$207,0))-VALUE(MID(HX200,FIND("|",HX200)+1,FIND("-",HX200,FIND("|",HX200))-FIND("|",HX200)-1))),ABS(INDEX($Q$200:$Q$207,MATCH(LEFT(HX200,FIND("·",HX200)-1),$C$200:$C$207,0))-(VALUE(MID(HX200,FIND("|",HX200)+1,FIND("-",HX200,FIND("|",HX200))-FIND("|",HX200)-1))-VALUE(MID(HX200,FIND("-",HX200,FIND("|",HX200))+1,10)))))*$D$50)))))*INDEX($I$200:$I$207,MATCH(LEFT(HX200,FIND("·",HX200)-1),$C$200:$C$207,0)),0),0),0)</f>
        <v>0</v>
      </c>
      <c r="HZ200" s="108"/>
      <c r="IA200" s="65" t="str">
        <f>Idiomas!$D$368</f>
        <v>Pegar Valores Octavos</v>
      </c>
      <c r="IB200" s="84">
        <f t="shared" ref="IB200:IB207" si="5922">IFERROR(IF(COUNTIF($K$200:$K$207,LEFT(IA200,FIND("·",IA200)-1))&gt;0,IF(INDEX($L$200:$L$207,MATCH(LEFT(IA200,FIND("·",IA200)-1),$K$200:$K$207,0))=IFERROR(VALUE(MID(IA200,FIND("·",IA200)+1,1)),0),($D$20+(INDEX($M$200:$M$207,MATCH(LEFT(IA200,FIND("·",IA200)-1),$K$200:$K$207,0))=MID(IA200,FIND("|",IA200)+1,10))*$D$22+MAX(0,IF($D$50=1,$D$21*(1-(ABS(INDEX($P$200:$P$207,MATCH(LEFT(IA200,FIND("·",IA200)-1),$K$200:$K$207,0))-(VALUE(MID(IA200,FIND("|",IA200)+1,FIND("-",IA200,FIND("|",IA200))-FIND("|",IA200)-1))-VALUE(MID(IA200,FIND("-",IA200,FIND("|",IA200))+1,10)))))*$D$50),$D$21*(1-(IF(INDEX($L$200:$L$207,MATCH(LEFT(IA200,FIND("·",IA200)-1),$K$200:$K$207,0))=0,ABS(INDEX($N$200:$N$207,MATCH(LEFT(IA200,FIND("·",IA200)-1),$K$200:$K$207,0))-VALUE(MID(IA200,FIND("|",IA200)+1,FIND("-",IA200,FIND("|",IA200))-FIND("|",IA200)-1))),ABS(INDEX($P$200:$P$207,MATCH(LEFT(IA200,FIND("·",IA200)-1),$K$200:$K$207,0))-(VALUE(MID(IA200,FIND("|",IA200)+1,FIND("-",IA200,FIND("|",IA200))-FIND("|",IA200)-1))-VALUE(MID(IA200,FIND("-",IA200,FIND("|",IA200))+1,10)))))*$D$50)))))*INDEX($I$200:$I$207,MATCH(LEFT(IA200,FIND("·",IA200)-1),$K$200:$K$207,0)),0),0),0)+IFERROR(IF(COUNTIF($C$200:$C$207,LEFT(IA200,FIND("·",IA200)-1))&gt;0,IF(INDEX($D$200:$D$207,MATCH(LEFT(IA200,FIND("·",IA200)-1),$C$200:$C$207,0))=IFERROR(VALUE(MID(IA200,FIND("·",IA200)+1,1)),0),($D$20+(INDEX($E$200:$E$207,MATCH(LEFT(IA200,FIND("·",IA200)-1),$C$200:$C$207,0))=MID(IA200,FIND("|",IA200)+1,10))*$D$22+MAX(0,IF($D$50=1,$D$21*(1-(ABS(INDEX($Q$200:$Q$207,MATCH(LEFT(IA200,FIND("·",IA200)-1),$C$200:$C$207,0))-(VALUE(MID(IA200,FIND("|",IA200)+1,FIND("-",IA200,FIND("|",IA200))-FIND("|",IA200)-1))-VALUE(MID(IA200,FIND("-",IA200,FIND("|",IA200))+1,10)))))*$D$50),$D$21*(1-(IF(INDEX($D$200:$D$207,MATCH(LEFT(IA200,FIND("·",IA200)-1),$C$200:$C$207,0))=0,ABS(INDEX($A$200:$A$207,MATCH(LEFT(IA200,FIND("·",IA200)-1),$C$200:$C$207,0))-VALUE(MID(IA200,FIND("|",IA200)+1,FIND("-",IA200,FIND("|",IA200))-FIND("|",IA200)-1))),ABS(INDEX($Q$200:$Q$207,MATCH(LEFT(IA200,FIND("·",IA200)-1),$C$200:$C$207,0))-(VALUE(MID(IA200,FIND("|",IA200)+1,FIND("-",IA200,FIND("|",IA200))-FIND("|",IA200)-1))-VALUE(MID(IA200,FIND("-",IA200,FIND("|",IA200))+1,10)))))*$D$50)))))*INDEX($I$200:$I$207,MATCH(LEFT(IA200,FIND("·",IA200)-1),$C$200:$C$207,0)),0),0),0)</f>
        <v>0</v>
      </c>
      <c r="IC200" s="108"/>
      <c r="ID200" s="65" t="str">
        <f>Idiomas!$D$368</f>
        <v>Pegar Valores Octavos</v>
      </c>
      <c r="IE200" s="84">
        <f t="shared" ref="IE200:IE207" si="5923">IFERROR(IF(COUNTIF($K$200:$K$207,LEFT(ID200,FIND("·",ID200)-1))&gt;0,IF(INDEX($L$200:$L$207,MATCH(LEFT(ID200,FIND("·",ID200)-1),$K$200:$K$207,0))=IFERROR(VALUE(MID(ID200,FIND("·",ID200)+1,1)),0),($D$20+(INDEX($M$200:$M$207,MATCH(LEFT(ID200,FIND("·",ID200)-1),$K$200:$K$207,0))=MID(ID200,FIND("|",ID200)+1,10))*$D$22+MAX(0,IF($D$50=1,$D$21*(1-(ABS(INDEX($P$200:$P$207,MATCH(LEFT(ID200,FIND("·",ID200)-1),$K$200:$K$207,0))-(VALUE(MID(ID200,FIND("|",ID200)+1,FIND("-",ID200,FIND("|",ID200))-FIND("|",ID200)-1))-VALUE(MID(ID200,FIND("-",ID200,FIND("|",ID200))+1,10)))))*$D$50),$D$21*(1-(IF(INDEX($L$200:$L$207,MATCH(LEFT(ID200,FIND("·",ID200)-1),$K$200:$K$207,0))=0,ABS(INDEX($N$200:$N$207,MATCH(LEFT(ID200,FIND("·",ID200)-1),$K$200:$K$207,0))-VALUE(MID(ID200,FIND("|",ID200)+1,FIND("-",ID200,FIND("|",ID200))-FIND("|",ID200)-1))),ABS(INDEX($P$200:$P$207,MATCH(LEFT(ID200,FIND("·",ID200)-1),$K$200:$K$207,0))-(VALUE(MID(ID200,FIND("|",ID200)+1,FIND("-",ID200,FIND("|",ID200))-FIND("|",ID200)-1))-VALUE(MID(ID200,FIND("-",ID200,FIND("|",ID200))+1,10)))))*$D$50)))))*INDEX($I$200:$I$207,MATCH(LEFT(ID200,FIND("·",ID200)-1),$K$200:$K$207,0)),0),0),0)+IFERROR(IF(COUNTIF($C$200:$C$207,LEFT(ID200,FIND("·",ID200)-1))&gt;0,IF(INDEX($D$200:$D$207,MATCH(LEFT(ID200,FIND("·",ID200)-1),$C$200:$C$207,0))=IFERROR(VALUE(MID(ID200,FIND("·",ID200)+1,1)),0),($D$20+(INDEX($E$200:$E$207,MATCH(LEFT(ID200,FIND("·",ID200)-1),$C$200:$C$207,0))=MID(ID200,FIND("|",ID200)+1,10))*$D$22+MAX(0,IF($D$50=1,$D$21*(1-(ABS(INDEX($Q$200:$Q$207,MATCH(LEFT(ID200,FIND("·",ID200)-1),$C$200:$C$207,0))-(VALUE(MID(ID200,FIND("|",ID200)+1,FIND("-",ID200,FIND("|",ID200))-FIND("|",ID200)-1))-VALUE(MID(ID200,FIND("-",ID200,FIND("|",ID200))+1,10)))))*$D$50),$D$21*(1-(IF(INDEX($D$200:$D$207,MATCH(LEFT(ID200,FIND("·",ID200)-1),$C$200:$C$207,0))=0,ABS(INDEX($A$200:$A$207,MATCH(LEFT(ID200,FIND("·",ID200)-1),$C$200:$C$207,0))-VALUE(MID(ID200,FIND("|",ID200)+1,FIND("-",ID200,FIND("|",ID200))-FIND("|",ID200)-1))),ABS(INDEX($Q$200:$Q$207,MATCH(LEFT(ID200,FIND("·",ID200)-1),$C$200:$C$207,0))-(VALUE(MID(ID200,FIND("|",ID200)+1,FIND("-",ID200,FIND("|",ID200))-FIND("|",ID200)-1))-VALUE(MID(ID200,FIND("-",ID200,FIND("|",ID200))+1,10)))))*$D$50)))))*INDEX($I$200:$I$207,MATCH(LEFT(ID200,FIND("·",ID200)-1),$C$200:$C$207,0)),0),0),0)</f>
        <v>0</v>
      </c>
      <c r="IF200" s="108"/>
      <c r="IG200" s="65" t="str">
        <f>Idiomas!$D$368</f>
        <v>Pegar Valores Octavos</v>
      </c>
      <c r="IH200" s="84">
        <f t="shared" ref="IH200:IH207" si="5924">IFERROR(IF(COUNTIF($K$200:$K$207,LEFT(IG200,FIND("·",IG200)-1))&gt;0,IF(INDEX($L$200:$L$207,MATCH(LEFT(IG200,FIND("·",IG200)-1),$K$200:$K$207,0))=IFERROR(VALUE(MID(IG200,FIND("·",IG200)+1,1)),0),($D$20+(INDEX($M$200:$M$207,MATCH(LEFT(IG200,FIND("·",IG200)-1),$K$200:$K$207,0))=MID(IG200,FIND("|",IG200)+1,10))*$D$22+MAX(0,IF($D$50=1,$D$21*(1-(ABS(INDEX($P$200:$P$207,MATCH(LEFT(IG200,FIND("·",IG200)-1),$K$200:$K$207,0))-(VALUE(MID(IG200,FIND("|",IG200)+1,FIND("-",IG200,FIND("|",IG200))-FIND("|",IG200)-1))-VALUE(MID(IG200,FIND("-",IG200,FIND("|",IG200))+1,10)))))*$D$50),$D$21*(1-(IF(INDEX($L$200:$L$207,MATCH(LEFT(IG200,FIND("·",IG200)-1),$K$200:$K$207,0))=0,ABS(INDEX($N$200:$N$207,MATCH(LEFT(IG200,FIND("·",IG200)-1),$K$200:$K$207,0))-VALUE(MID(IG200,FIND("|",IG200)+1,FIND("-",IG200,FIND("|",IG200))-FIND("|",IG200)-1))),ABS(INDEX($P$200:$P$207,MATCH(LEFT(IG200,FIND("·",IG200)-1),$K$200:$K$207,0))-(VALUE(MID(IG200,FIND("|",IG200)+1,FIND("-",IG200,FIND("|",IG200))-FIND("|",IG200)-1))-VALUE(MID(IG200,FIND("-",IG200,FIND("|",IG200))+1,10)))))*$D$50)))))*INDEX($I$200:$I$207,MATCH(LEFT(IG200,FIND("·",IG200)-1),$K$200:$K$207,0)),0),0),0)+IFERROR(IF(COUNTIF($C$200:$C$207,LEFT(IG200,FIND("·",IG200)-1))&gt;0,IF(INDEX($D$200:$D$207,MATCH(LEFT(IG200,FIND("·",IG200)-1),$C$200:$C$207,0))=IFERROR(VALUE(MID(IG200,FIND("·",IG200)+1,1)),0),($D$20+(INDEX($E$200:$E$207,MATCH(LEFT(IG200,FIND("·",IG200)-1),$C$200:$C$207,0))=MID(IG200,FIND("|",IG200)+1,10))*$D$22+MAX(0,IF($D$50=1,$D$21*(1-(ABS(INDEX($Q$200:$Q$207,MATCH(LEFT(IG200,FIND("·",IG200)-1),$C$200:$C$207,0))-(VALUE(MID(IG200,FIND("|",IG200)+1,FIND("-",IG200,FIND("|",IG200))-FIND("|",IG200)-1))-VALUE(MID(IG200,FIND("-",IG200,FIND("|",IG200))+1,10)))))*$D$50),$D$21*(1-(IF(INDEX($D$200:$D$207,MATCH(LEFT(IG200,FIND("·",IG200)-1),$C$200:$C$207,0))=0,ABS(INDEX($A$200:$A$207,MATCH(LEFT(IG200,FIND("·",IG200)-1),$C$200:$C$207,0))-VALUE(MID(IG200,FIND("|",IG200)+1,FIND("-",IG200,FIND("|",IG200))-FIND("|",IG200)-1))),ABS(INDEX($Q$200:$Q$207,MATCH(LEFT(IG200,FIND("·",IG200)-1),$C$200:$C$207,0))-(VALUE(MID(IG200,FIND("|",IG200)+1,FIND("-",IG200,FIND("|",IG200))-FIND("|",IG200)-1))-VALUE(MID(IG200,FIND("-",IG200,FIND("|",IG200))+1,10)))))*$D$50)))))*INDEX($I$200:$I$207,MATCH(LEFT(IG200,FIND("·",IG200)-1),$C$200:$C$207,0)),0),0),0)</f>
        <v>0</v>
      </c>
      <c r="II200" s="108"/>
      <c r="IJ200" s="65" t="str">
        <f>Idiomas!$D$368</f>
        <v>Pegar Valores Octavos</v>
      </c>
      <c r="IK200" s="84">
        <f t="shared" ref="IK200:IK207" si="5925">IFERROR(IF(COUNTIF($K$200:$K$207,LEFT(IJ200,FIND("·",IJ200)-1))&gt;0,IF(INDEX($L$200:$L$207,MATCH(LEFT(IJ200,FIND("·",IJ200)-1),$K$200:$K$207,0))=IFERROR(VALUE(MID(IJ200,FIND("·",IJ200)+1,1)),0),($D$20+(INDEX($M$200:$M$207,MATCH(LEFT(IJ200,FIND("·",IJ200)-1),$K$200:$K$207,0))=MID(IJ200,FIND("|",IJ200)+1,10))*$D$22+MAX(0,IF($D$50=1,$D$21*(1-(ABS(INDEX($P$200:$P$207,MATCH(LEFT(IJ200,FIND("·",IJ200)-1),$K$200:$K$207,0))-(VALUE(MID(IJ200,FIND("|",IJ200)+1,FIND("-",IJ200,FIND("|",IJ200))-FIND("|",IJ200)-1))-VALUE(MID(IJ200,FIND("-",IJ200,FIND("|",IJ200))+1,10)))))*$D$50),$D$21*(1-(IF(INDEX($L$200:$L$207,MATCH(LEFT(IJ200,FIND("·",IJ200)-1),$K$200:$K$207,0))=0,ABS(INDEX($N$200:$N$207,MATCH(LEFT(IJ200,FIND("·",IJ200)-1),$K$200:$K$207,0))-VALUE(MID(IJ200,FIND("|",IJ200)+1,FIND("-",IJ200,FIND("|",IJ200))-FIND("|",IJ200)-1))),ABS(INDEX($P$200:$P$207,MATCH(LEFT(IJ200,FIND("·",IJ200)-1),$K$200:$K$207,0))-(VALUE(MID(IJ200,FIND("|",IJ200)+1,FIND("-",IJ200,FIND("|",IJ200))-FIND("|",IJ200)-1))-VALUE(MID(IJ200,FIND("-",IJ200,FIND("|",IJ200))+1,10)))))*$D$50)))))*INDEX($I$200:$I$207,MATCH(LEFT(IJ200,FIND("·",IJ200)-1),$K$200:$K$207,0)),0),0),0)+IFERROR(IF(COUNTIF($C$200:$C$207,LEFT(IJ200,FIND("·",IJ200)-1))&gt;0,IF(INDEX($D$200:$D$207,MATCH(LEFT(IJ200,FIND("·",IJ200)-1),$C$200:$C$207,0))=IFERROR(VALUE(MID(IJ200,FIND("·",IJ200)+1,1)),0),($D$20+(INDEX($E$200:$E$207,MATCH(LEFT(IJ200,FIND("·",IJ200)-1),$C$200:$C$207,0))=MID(IJ200,FIND("|",IJ200)+1,10))*$D$22+MAX(0,IF($D$50=1,$D$21*(1-(ABS(INDEX($Q$200:$Q$207,MATCH(LEFT(IJ200,FIND("·",IJ200)-1),$C$200:$C$207,0))-(VALUE(MID(IJ200,FIND("|",IJ200)+1,FIND("-",IJ200,FIND("|",IJ200))-FIND("|",IJ200)-1))-VALUE(MID(IJ200,FIND("-",IJ200,FIND("|",IJ200))+1,10)))))*$D$50),$D$21*(1-(IF(INDEX($D$200:$D$207,MATCH(LEFT(IJ200,FIND("·",IJ200)-1),$C$200:$C$207,0))=0,ABS(INDEX($A$200:$A$207,MATCH(LEFT(IJ200,FIND("·",IJ200)-1),$C$200:$C$207,0))-VALUE(MID(IJ200,FIND("|",IJ200)+1,FIND("-",IJ200,FIND("|",IJ200))-FIND("|",IJ200)-1))),ABS(INDEX($Q$200:$Q$207,MATCH(LEFT(IJ200,FIND("·",IJ200)-1),$C$200:$C$207,0))-(VALUE(MID(IJ200,FIND("|",IJ200)+1,FIND("-",IJ200,FIND("|",IJ200))-FIND("|",IJ200)-1))-VALUE(MID(IJ200,FIND("-",IJ200,FIND("|",IJ200))+1,10)))))*$D$50)))))*INDEX($I$200:$I$207,MATCH(LEFT(IJ200,FIND("·",IJ200)-1),$C$200:$C$207,0)),0),0),0)</f>
        <v>0</v>
      </c>
      <c r="IL200" s="108"/>
      <c r="IM200" s="65" t="str">
        <f>Idiomas!$D$368</f>
        <v>Pegar Valores Octavos</v>
      </c>
      <c r="IN200" s="84">
        <f t="shared" ref="IN200:IN207" si="5926">IFERROR(IF(COUNTIF($K$200:$K$207,LEFT(IM200,FIND("·",IM200)-1))&gt;0,IF(INDEX($L$200:$L$207,MATCH(LEFT(IM200,FIND("·",IM200)-1),$K$200:$K$207,0))=IFERROR(VALUE(MID(IM200,FIND("·",IM200)+1,1)),0),($D$20+(INDEX($M$200:$M$207,MATCH(LEFT(IM200,FIND("·",IM200)-1),$K$200:$K$207,0))=MID(IM200,FIND("|",IM200)+1,10))*$D$22+MAX(0,IF($D$50=1,$D$21*(1-(ABS(INDEX($P$200:$P$207,MATCH(LEFT(IM200,FIND("·",IM200)-1),$K$200:$K$207,0))-(VALUE(MID(IM200,FIND("|",IM200)+1,FIND("-",IM200,FIND("|",IM200))-FIND("|",IM200)-1))-VALUE(MID(IM200,FIND("-",IM200,FIND("|",IM200))+1,10)))))*$D$50),$D$21*(1-(IF(INDEX($L$200:$L$207,MATCH(LEFT(IM200,FIND("·",IM200)-1),$K$200:$K$207,0))=0,ABS(INDEX($N$200:$N$207,MATCH(LEFT(IM200,FIND("·",IM200)-1),$K$200:$K$207,0))-VALUE(MID(IM200,FIND("|",IM200)+1,FIND("-",IM200,FIND("|",IM200))-FIND("|",IM200)-1))),ABS(INDEX($P$200:$P$207,MATCH(LEFT(IM200,FIND("·",IM200)-1),$K$200:$K$207,0))-(VALUE(MID(IM200,FIND("|",IM200)+1,FIND("-",IM200,FIND("|",IM200))-FIND("|",IM200)-1))-VALUE(MID(IM200,FIND("-",IM200,FIND("|",IM200))+1,10)))))*$D$50)))))*INDEX($I$200:$I$207,MATCH(LEFT(IM200,FIND("·",IM200)-1),$K$200:$K$207,0)),0),0),0)+IFERROR(IF(COUNTIF($C$200:$C$207,LEFT(IM200,FIND("·",IM200)-1))&gt;0,IF(INDEX($D$200:$D$207,MATCH(LEFT(IM200,FIND("·",IM200)-1),$C$200:$C$207,0))=IFERROR(VALUE(MID(IM200,FIND("·",IM200)+1,1)),0),($D$20+(INDEX($E$200:$E$207,MATCH(LEFT(IM200,FIND("·",IM200)-1),$C$200:$C$207,0))=MID(IM200,FIND("|",IM200)+1,10))*$D$22+MAX(0,IF($D$50=1,$D$21*(1-(ABS(INDEX($Q$200:$Q$207,MATCH(LEFT(IM200,FIND("·",IM200)-1),$C$200:$C$207,0))-(VALUE(MID(IM200,FIND("|",IM200)+1,FIND("-",IM200,FIND("|",IM200))-FIND("|",IM200)-1))-VALUE(MID(IM200,FIND("-",IM200,FIND("|",IM200))+1,10)))))*$D$50),$D$21*(1-(IF(INDEX($D$200:$D$207,MATCH(LEFT(IM200,FIND("·",IM200)-1),$C$200:$C$207,0))=0,ABS(INDEX($A$200:$A$207,MATCH(LEFT(IM200,FIND("·",IM200)-1),$C$200:$C$207,0))-VALUE(MID(IM200,FIND("|",IM200)+1,FIND("-",IM200,FIND("|",IM200))-FIND("|",IM200)-1))),ABS(INDEX($Q$200:$Q$207,MATCH(LEFT(IM200,FIND("·",IM200)-1),$C$200:$C$207,0))-(VALUE(MID(IM200,FIND("|",IM200)+1,FIND("-",IM200,FIND("|",IM200))-FIND("|",IM200)-1))-VALUE(MID(IM200,FIND("-",IM200,FIND("|",IM200))+1,10)))))*$D$50)))))*INDEX($I$200:$I$207,MATCH(LEFT(IM200,FIND("·",IM200)-1),$C$200:$C$207,0)),0),0),0)</f>
        <v>0</v>
      </c>
      <c r="IO200" s="108"/>
      <c r="IP200" s="65" t="str">
        <f>Idiomas!$D$368</f>
        <v>Pegar Valores Octavos</v>
      </c>
      <c r="IQ200" s="84">
        <f t="shared" ref="IQ200:IQ207" si="5927">IFERROR(IF(COUNTIF($K$200:$K$207,LEFT(IP200,FIND("·",IP200)-1))&gt;0,IF(INDEX($L$200:$L$207,MATCH(LEFT(IP200,FIND("·",IP200)-1),$K$200:$K$207,0))=IFERROR(VALUE(MID(IP200,FIND("·",IP200)+1,1)),0),($D$20+(INDEX($M$200:$M$207,MATCH(LEFT(IP200,FIND("·",IP200)-1),$K$200:$K$207,0))=MID(IP200,FIND("|",IP200)+1,10))*$D$22+MAX(0,IF($D$50=1,$D$21*(1-(ABS(INDEX($P$200:$P$207,MATCH(LEFT(IP200,FIND("·",IP200)-1),$K$200:$K$207,0))-(VALUE(MID(IP200,FIND("|",IP200)+1,FIND("-",IP200,FIND("|",IP200))-FIND("|",IP200)-1))-VALUE(MID(IP200,FIND("-",IP200,FIND("|",IP200))+1,10)))))*$D$50),$D$21*(1-(IF(INDEX($L$200:$L$207,MATCH(LEFT(IP200,FIND("·",IP200)-1),$K$200:$K$207,0))=0,ABS(INDEX($N$200:$N$207,MATCH(LEFT(IP200,FIND("·",IP200)-1),$K$200:$K$207,0))-VALUE(MID(IP200,FIND("|",IP200)+1,FIND("-",IP200,FIND("|",IP200))-FIND("|",IP200)-1))),ABS(INDEX($P$200:$P$207,MATCH(LEFT(IP200,FIND("·",IP200)-1),$K$200:$K$207,0))-(VALUE(MID(IP200,FIND("|",IP200)+1,FIND("-",IP200,FIND("|",IP200))-FIND("|",IP200)-1))-VALUE(MID(IP200,FIND("-",IP200,FIND("|",IP200))+1,10)))))*$D$50)))))*INDEX($I$200:$I$207,MATCH(LEFT(IP200,FIND("·",IP200)-1),$K$200:$K$207,0)),0),0),0)+IFERROR(IF(COUNTIF($C$200:$C$207,LEFT(IP200,FIND("·",IP200)-1))&gt;0,IF(INDEX($D$200:$D$207,MATCH(LEFT(IP200,FIND("·",IP200)-1),$C$200:$C$207,0))=IFERROR(VALUE(MID(IP200,FIND("·",IP200)+1,1)),0),($D$20+(INDEX($E$200:$E$207,MATCH(LEFT(IP200,FIND("·",IP200)-1),$C$200:$C$207,0))=MID(IP200,FIND("|",IP200)+1,10))*$D$22+MAX(0,IF($D$50=1,$D$21*(1-(ABS(INDEX($Q$200:$Q$207,MATCH(LEFT(IP200,FIND("·",IP200)-1),$C$200:$C$207,0))-(VALUE(MID(IP200,FIND("|",IP200)+1,FIND("-",IP200,FIND("|",IP200))-FIND("|",IP200)-1))-VALUE(MID(IP200,FIND("-",IP200,FIND("|",IP200))+1,10)))))*$D$50),$D$21*(1-(IF(INDEX($D$200:$D$207,MATCH(LEFT(IP200,FIND("·",IP200)-1),$C$200:$C$207,0))=0,ABS(INDEX($A$200:$A$207,MATCH(LEFT(IP200,FIND("·",IP200)-1),$C$200:$C$207,0))-VALUE(MID(IP200,FIND("|",IP200)+1,FIND("-",IP200,FIND("|",IP200))-FIND("|",IP200)-1))),ABS(INDEX($Q$200:$Q$207,MATCH(LEFT(IP200,FIND("·",IP200)-1),$C$200:$C$207,0))-(VALUE(MID(IP200,FIND("|",IP200)+1,FIND("-",IP200,FIND("|",IP200))-FIND("|",IP200)-1))-VALUE(MID(IP200,FIND("-",IP200,FIND("|",IP200))+1,10)))))*$D$50)))))*INDEX($I$200:$I$207,MATCH(LEFT(IP200,FIND("·",IP200)-1),$C$200:$C$207,0)),0),0),0)</f>
        <v>0</v>
      </c>
      <c r="IR200" s="108"/>
      <c r="IS200" s="65" t="str">
        <f>Idiomas!$D$368</f>
        <v>Pegar Valores Octavos</v>
      </c>
      <c r="IT200" s="84">
        <f t="shared" ref="IT200:IT207" si="5928">IFERROR(IF(COUNTIF($K$200:$K$207,LEFT(IS200,FIND("·",IS200)-1))&gt;0,IF(INDEX($L$200:$L$207,MATCH(LEFT(IS200,FIND("·",IS200)-1),$K$200:$K$207,0))=IFERROR(VALUE(MID(IS200,FIND("·",IS200)+1,1)),0),($D$20+(INDEX($M$200:$M$207,MATCH(LEFT(IS200,FIND("·",IS200)-1),$K$200:$K$207,0))=MID(IS200,FIND("|",IS200)+1,10))*$D$22+MAX(0,IF($D$50=1,$D$21*(1-(ABS(INDEX($P$200:$P$207,MATCH(LEFT(IS200,FIND("·",IS200)-1),$K$200:$K$207,0))-(VALUE(MID(IS200,FIND("|",IS200)+1,FIND("-",IS200,FIND("|",IS200))-FIND("|",IS200)-1))-VALUE(MID(IS200,FIND("-",IS200,FIND("|",IS200))+1,10)))))*$D$50),$D$21*(1-(IF(INDEX($L$200:$L$207,MATCH(LEFT(IS200,FIND("·",IS200)-1),$K$200:$K$207,0))=0,ABS(INDEX($N$200:$N$207,MATCH(LEFT(IS200,FIND("·",IS200)-1),$K$200:$K$207,0))-VALUE(MID(IS200,FIND("|",IS200)+1,FIND("-",IS200,FIND("|",IS200))-FIND("|",IS200)-1))),ABS(INDEX($P$200:$P$207,MATCH(LEFT(IS200,FIND("·",IS200)-1),$K$200:$K$207,0))-(VALUE(MID(IS200,FIND("|",IS200)+1,FIND("-",IS200,FIND("|",IS200))-FIND("|",IS200)-1))-VALUE(MID(IS200,FIND("-",IS200,FIND("|",IS200))+1,10)))))*$D$50)))))*INDEX($I$200:$I$207,MATCH(LEFT(IS200,FIND("·",IS200)-1),$K$200:$K$207,0)),0),0),0)+IFERROR(IF(COUNTIF($C$200:$C$207,LEFT(IS200,FIND("·",IS200)-1))&gt;0,IF(INDEX($D$200:$D$207,MATCH(LEFT(IS200,FIND("·",IS200)-1),$C$200:$C$207,0))=IFERROR(VALUE(MID(IS200,FIND("·",IS200)+1,1)),0),($D$20+(INDEX($E$200:$E$207,MATCH(LEFT(IS200,FIND("·",IS200)-1),$C$200:$C$207,0))=MID(IS200,FIND("|",IS200)+1,10))*$D$22+MAX(0,IF($D$50=1,$D$21*(1-(ABS(INDEX($Q$200:$Q$207,MATCH(LEFT(IS200,FIND("·",IS200)-1),$C$200:$C$207,0))-(VALUE(MID(IS200,FIND("|",IS200)+1,FIND("-",IS200,FIND("|",IS200))-FIND("|",IS200)-1))-VALUE(MID(IS200,FIND("-",IS200,FIND("|",IS200))+1,10)))))*$D$50),$D$21*(1-(IF(INDEX($D$200:$D$207,MATCH(LEFT(IS200,FIND("·",IS200)-1),$C$200:$C$207,0))=0,ABS(INDEX($A$200:$A$207,MATCH(LEFT(IS200,FIND("·",IS200)-1),$C$200:$C$207,0))-VALUE(MID(IS200,FIND("|",IS200)+1,FIND("-",IS200,FIND("|",IS200))-FIND("|",IS200)-1))),ABS(INDEX($Q$200:$Q$207,MATCH(LEFT(IS200,FIND("·",IS200)-1),$C$200:$C$207,0))-(VALUE(MID(IS200,FIND("|",IS200)+1,FIND("-",IS200,FIND("|",IS200))-FIND("|",IS200)-1))-VALUE(MID(IS200,FIND("-",IS200,FIND("|",IS200))+1,10)))))*$D$50)))))*INDEX($I$200:$I$207,MATCH(LEFT(IS200,FIND("·",IS200)-1),$C$200:$C$207,0)),0),0),0)</f>
        <v>0</v>
      </c>
      <c r="IU200" s="108"/>
      <c r="IV200" s="65" t="str">
        <f>Idiomas!$D$368</f>
        <v>Pegar Valores Octavos</v>
      </c>
      <c r="IW200" s="84">
        <f t="shared" ref="IW200:IW207" si="5929">IFERROR(IF(COUNTIF($K$200:$K$207,LEFT(IV200,FIND("·",IV200)-1))&gt;0,IF(INDEX($L$200:$L$207,MATCH(LEFT(IV200,FIND("·",IV200)-1),$K$200:$K$207,0))=IFERROR(VALUE(MID(IV200,FIND("·",IV200)+1,1)),0),($D$20+(INDEX($M$200:$M$207,MATCH(LEFT(IV200,FIND("·",IV200)-1),$K$200:$K$207,0))=MID(IV200,FIND("|",IV200)+1,10))*$D$22+MAX(0,IF($D$50=1,$D$21*(1-(ABS(INDEX($P$200:$P$207,MATCH(LEFT(IV200,FIND("·",IV200)-1),$K$200:$K$207,0))-(VALUE(MID(IV200,FIND("|",IV200)+1,FIND("-",IV200,FIND("|",IV200))-FIND("|",IV200)-1))-VALUE(MID(IV200,FIND("-",IV200,FIND("|",IV200))+1,10)))))*$D$50),$D$21*(1-(IF(INDEX($L$200:$L$207,MATCH(LEFT(IV200,FIND("·",IV200)-1),$K$200:$K$207,0))=0,ABS(INDEX($N$200:$N$207,MATCH(LEFT(IV200,FIND("·",IV200)-1),$K$200:$K$207,0))-VALUE(MID(IV200,FIND("|",IV200)+1,FIND("-",IV200,FIND("|",IV200))-FIND("|",IV200)-1))),ABS(INDEX($P$200:$P$207,MATCH(LEFT(IV200,FIND("·",IV200)-1),$K$200:$K$207,0))-(VALUE(MID(IV200,FIND("|",IV200)+1,FIND("-",IV200,FIND("|",IV200))-FIND("|",IV200)-1))-VALUE(MID(IV200,FIND("-",IV200,FIND("|",IV200))+1,10)))))*$D$50)))))*INDEX($I$200:$I$207,MATCH(LEFT(IV200,FIND("·",IV200)-1),$K$200:$K$207,0)),0),0),0)+IFERROR(IF(COUNTIF($C$200:$C$207,LEFT(IV200,FIND("·",IV200)-1))&gt;0,IF(INDEX($D$200:$D$207,MATCH(LEFT(IV200,FIND("·",IV200)-1),$C$200:$C$207,0))=IFERROR(VALUE(MID(IV200,FIND("·",IV200)+1,1)),0),($D$20+(INDEX($E$200:$E$207,MATCH(LEFT(IV200,FIND("·",IV200)-1),$C$200:$C$207,0))=MID(IV200,FIND("|",IV200)+1,10))*$D$22+MAX(0,IF($D$50=1,$D$21*(1-(ABS(INDEX($Q$200:$Q$207,MATCH(LEFT(IV200,FIND("·",IV200)-1),$C$200:$C$207,0))-(VALUE(MID(IV200,FIND("|",IV200)+1,FIND("-",IV200,FIND("|",IV200))-FIND("|",IV200)-1))-VALUE(MID(IV200,FIND("-",IV200,FIND("|",IV200))+1,10)))))*$D$50),$D$21*(1-(IF(INDEX($D$200:$D$207,MATCH(LEFT(IV200,FIND("·",IV200)-1),$C$200:$C$207,0))=0,ABS(INDEX($A$200:$A$207,MATCH(LEFT(IV200,FIND("·",IV200)-1),$C$200:$C$207,0))-VALUE(MID(IV200,FIND("|",IV200)+1,FIND("-",IV200,FIND("|",IV200))-FIND("|",IV200)-1))),ABS(INDEX($Q$200:$Q$207,MATCH(LEFT(IV200,FIND("·",IV200)-1),$C$200:$C$207,0))-(VALUE(MID(IV200,FIND("|",IV200)+1,FIND("-",IV200,FIND("|",IV200))-FIND("|",IV200)-1))-VALUE(MID(IV200,FIND("-",IV200,FIND("|",IV200))+1,10)))))*$D$50)))))*INDEX($I$200:$I$207,MATCH(LEFT(IV200,FIND("·",IV200)-1),$C$200:$C$207,0)),0),0),0)</f>
        <v>0</v>
      </c>
      <c r="IX200" s="108"/>
      <c r="IY200" s="65" t="str">
        <f>Idiomas!$D$368</f>
        <v>Pegar Valores Octavos</v>
      </c>
      <c r="IZ200" s="84">
        <f t="shared" ref="IZ200:IZ207" si="5930">IFERROR(IF(COUNTIF($K$200:$K$207,LEFT(IY200,FIND("·",IY200)-1))&gt;0,IF(INDEX($L$200:$L$207,MATCH(LEFT(IY200,FIND("·",IY200)-1),$K$200:$K$207,0))=IFERROR(VALUE(MID(IY200,FIND("·",IY200)+1,1)),0),($D$20+(INDEX($M$200:$M$207,MATCH(LEFT(IY200,FIND("·",IY200)-1),$K$200:$K$207,0))=MID(IY200,FIND("|",IY200)+1,10))*$D$22+MAX(0,IF($D$50=1,$D$21*(1-(ABS(INDEX($P$200:$P$207,MATCH(LEFT(IY200,FIND("·",IY200)-1),$K$200:$K$207,0))-(VALUE(MID(IY200,FIND("|",IY200)+1,FIND("-",IY200,FIND("|",IY200))-FIND("|",IY200)-1))-VALUE(MID(IY200,FIND("-",IY200,FIND("|",IY200))+1,10)))))*$D$50),$D$21*(1-(IF(INDEX($L$200:$L$207,MATCH(LEFT(IY200,FIND("·",IY200)-1),$K$200:$K$207,0))=0,ABS(INDEX($N$200:$N$207,MATCH(LEFT(IY200,FIND("·",IY200)-1),$K$200:$K$207,0))-VALUE(MID(IY200,FIND("|",IY200)+1,FIND("-",IY200,FIND("|",IY200))-FIND("|",IY200)-1))),ABS(INDEX($P$200:$P$207,MATCH(LEFT(IY200,FIND("·",IY200)-1),$K$200:$K$207,0))-(VALUE(MID(IY200,FIND("|",IY200)+1,FIND("-",IY200,FIND("|",IY200))-FIND("|",IY200)-1))-VALUE(MID(IY200,FIND("-",IY200,FIND("|",IY200))+1,10)))))*$D$50)))))*INDEX($I$200:$I$207,MATCH(LEFT(IY200,FIND("·",IY200)-1),$K$200:$K$207,0)),0),0),0)+IFERROR(IF(COUNTIF($C$200:$C$207,LEFT(IY200,FIND("·",IY200)-1))&gt;0,IF(INDEX($D$200:$D$207,MATCH(LEFT(IY200,FIND("·",IY200)-1),$C$200:$C$207,0))=IFERROR(VALUE(MID(IY200,FIND("·",IY200)+1,1)),0),($D$20+(INDEX($E$200:$E$207,MATCH(LEFT(IY200,FIND("·",IY200)-1),$C$200:$C$207,0))=MID(IY200,FIND("|",IY200)+1,10))*$D$22+MAX(0,IF($D$50=1,$D$21*(1-(ABS(INDEX($Q$200:$Q$207,MATCH(LEFT(IY200,FIND("·",IY200)-1),$C$200:$C$207,0))-(VALUE(MID(IY200,FIND("|",IY200)+1,FIND("-",IY200,FIND("|",IY200))-FIND("|",IY200)-1))-VALUE(MID(IY200,FIND("-",IY200,FIND("|",IY200))+1,10)))))*$D$50),$D$21*(1-(IF(INDEX($D$200:$D$207,MATCH(LEFT(IY200,FIND("·",IY200)-1),$C$200:$C$207,0))=0,ABS(INDEX($A$200:$A$207,MATCH(LEFT(IY200,FIND("·",IY200)-1),$C$200:$C$207,0))-VALUE(MID(IY200,FIND("|",IY200)+1,FIND("-",IY200,FIND("|",IY200))-FIND("|",IY200)-1))),ABS(INDEX($Q$200:$Q$207,MATCH(LEFT(IY200,FIND("·",IY200)-1),$C$200:$C$207,0))-(VALUE(MID(IY200,FIND("|",IY200)+1,FIND("-",IY200,FIND("|",IY200))-FIND("|",IY200)-1))-VALUE(MID(IY200,FIND("-",IY200,FIND("|",IY200))+1,10)))))*$D$50)))))*INDEX($I$200:$I$207,MATCH(LEFT(IY200,FIND("·",IY200)-1),$C$200:$C$207,0)),0),0),0)</f>
        <v>0</v>
      </c>
      <c r="JA200" s="108"/>
      <c r="JB200" s="65" t="str">
        <f>Idiomas!$D$368</f>
        <v>Pegar Valores Octavos</v>
      </c>
      <c r="JC200" s="84">
        <f t="shared" ref="JC200:JC207" si="5931">IFERROR(IF(COUNTIF($K$200:$K$207,LEFT(JB200,FIND("·",JB200)-1))&gt;0,IF(INDEX($L$200:$L$207,MATCH(LEFT(JB200,FIND("·",JB200)-1),$K$200:$K$207,0))=IFERROR(VALUE(MID(JB200,FIND("·",JB200)+1,1)),0),($D$20+(INDEX($M$200:$M$207,MATCH(LEFT(JB200,FIND("·",JB200)-1),$K$200:$K$207,0))=MID(JB200,FIND("|",JB200)+1,10))*$D$22+MAX(0,IF($D$50=1,$D$21*(1-(ABS(INDEX($P$200:$P$207,MATCH(LEFT(JB200,FIND("·",JB200)-1),$K$200:$K$207,0))-(VALUE(MID(JB200,FIND("|",JB200)+1,FIND("-",JB200,FIND("|",JB200))-FIND("|",JB200)-1))-VALUE(MID(JB200,FIND("-",JB200,FIND("|",JB200))+1,10)))))*$D$50),$D$21*(1-(IF(INDEX($L$200:$L$207,MATCH(LEFT(JB200,FIND("·",JB200)-1),$K$200:$K$207,0))=0,ABS(INDEX($N$200:$N$207,MATCH(LEFT(JB200,FIND("·",JB200)-1),$K$200:$K$207,0))-VALUE(MID(JB200,FIND("|",JB200)+1,FIND("-",JB200,FIND("|",JB200))-FIND("|",JB200)-1))),ABS(INDEX($P$200:$P$207,MATCH(LEFT(JB200,FIND("·",JB200)-1),$K$200:$K$207,0))-(VALUE(MID(JB200,FIND("|",JB200)+1,FIND("-",JB200,FIND("|",JB200))-FIND("|",JB200)-1))-VALUE(MID(JB200,FIND("-",JB200,FIND("|",JB200))+1,10)))))*$D$50)))))*INDEX($I$200:$I$207,MATCH(LEFT(JB200,FIND("·",JB200)-1),$K$200:$K$207,0)),0),0),0)+IFERROR(IF(COUNTIF($C$200:$C$207,LEFT(JB200,FIND("·",JB200)-1))&gt;0,IF(INDEX($D$200:$D$207,MATCH(LEFT(JB200,FIND("·",JB200)-1),$C$200:$C$207,0))=IFERROR(VALUE(MID(JB200,FIND("·",JB200)+1,1)),0),($D$20+(INDEX($E$200:$E$207,MATCH(LEFT(JB200,FIND("·",JB200)-1),$C$200:$C$207,0))=MID(JB200,FIND("|",JB200)+1,10))*$D$22+MAX(0,IF($D$50=1,$D$21*(1-(ABS(INDEX($Q$200:$Q$207,MATCH(LEFT(JB200,FIND("·",JB200)-1),$C$200:$C$207,0))-(VALUE(MID(JB200,FIND("|",JB200)+1,FIND("-",JB200,FIND("|",JB200))-FIND("|",JB200)-1))-VALUE(MID(JB200,FIND("-",JB200,FIND("|",JB200))+1,10)))))*$D$50),$D$21*(1-(IF(INDEX($D$200:$D$207,MATCH(LEFT(JB200,FIND("·",JB200)-1),$C$200:$C$207,0))=0,ABS(INDEX($A$200:$A$207,MATCH(LEFT(JB200,FIND("·",JB200)-1),$C$200:$C$207,0))-VALUE(MID(JB200,FIND("|",JB200)+1,FIND("-",JB200,FIND("|",JB200))-FIND("|",JB200)-1))),ABS(INDEX($Q$200:$Q$207,MATCH(LEFT(JB200,FIND("·",JB200)-1),$C$200:$C$207,0))-(VALUE(MID(JB200,FIND("|",JB200)+1,FIND("-",JB200,FIND("|",JB200))-FIND("|",JB200)-1))-VALUE(MID(JB200,FIND("-",JB200,FIND("|",JB200))+1,10)))))*$D$50)))))*INDEX($I$200:$I$207,MATCH(LEFT(JB200,FIND("·",JB200)-1),$C$200:$C$207,0)),0),0),0)</f>
        <v>0</v>
      </c>
      <c r="JD200" s="108"/>
      <c r="JE200" s="65" t="str">
        <f>Idiomas!$D$368</f>
        <v>Pegar Valores Octavos</v>
      </c>
      <c r="JF200" s="84">
        <f t="shared" ref="JF200:JF207" si="5932">IFERROR(IF(COUNTIF($K$200:$K$207,LEFT(JE200,FIND("·",JE200)-1))&gt;0,IF(INDEX($L$200:$L$207,MATCH(LEFT(JE200,FIND("·",JE200)-1),$K$200:$K$207,0))=IFERROR(VALUE(MID(JE200,FIND("·",JE200)+1,1)),0),($D$20+(INDEX($M$200:$M$207,MATCH(LEFT(JE200,FIND("·",JE200)-1),$K$200:$K$207,0))=MID(JE200,FIND("|",JE200)+1,10))*$D$22+MAX(0,IF($D$50=1,$D$21*(1-(ABS(INDEX($P$200:$P$207,MATCH(LEFT(JE200,FIND("·",JE200)-1),$K$200:$K$207,0))-(VALUE(MID(JE200,FIND("|",JE200)+1,FIND("-",JE200,FIND("|",JE200))-FIND("|",JE200)-1))-VALUE(MID(JE200,FIND("-",JE200,FIND("|",JE200))+1,10)))))*$D$50),$D$21*(1-(IF(INDEX($L$200:$L$207,MATCH(LEFT(JE200,FIND("·",JE200)-1),$K$200:$K$207,0))=0,ABS(INDEX($N$200:$N$207,MATCH(LEFT(JE200,FIND("·",JE200)-1),$K$200:$K$207,0))-VALUE(MID(JE200,FIND("|",JE200)+1,FIND("-",JE200,FIND("|",JE200))-FIND("|",JE200)-1))),ABS(INDEX($P$200:$P$207,MATCH(LEFT(JE200,FIND("·",JE200)-1),$K$200:$K$207,0))-(VALUE(MID(JE200,FIND("|",JE200)+1,FIND("-",JE200,FIND("|",JE200))-FIND("|",JE200)-1))-VALUE(MID(JE200,FIND("-",JE200,FIND("|",JE200))+1,10)))))*$D$50)))))*INDEX($I$200:$I$207,MATCH(LEFT(JE200,FIND("·",JE200)-1),$K$200:$K$207,0)),0),0),0)+IFERROR(IF(COUNTIF($C$200:$C$207,LEFT(JE200,FIND("·",JE200)-1))&gt;0,IF(INDEX($D$200:$D$207,MATCH(LEFT(JE200,FIND("·",JE200)-1),$C$200:$C$207,0))=IFERROR(VALUE(MID(JE200,FIND("·",JE200)+1,1)),0),($D$20+(INDEX($E$200:$E$207,MATCH(LEFT(JE200,FIND("·",JE200)-1),$C$200:$C$207,0))=MID(JE200,FIND("|",JE200)+1,10))*$D$22+MAX(0,IF($D$50=1,$D$21*(1-(ABS(INDEX($Q$200:$Q$207,MATCH(LEFT(JE200,FIND("·",JE200)-1),$C$200:$C$207,0))-(VALUE(MID(JE200,FIND("|",JE200)+1,FIND("-",JE200,FIND("|",JE200))-FIND("|",JE200)-1))-VALUE(MID(JE200,FIND("-",JE200,FIND("|",JE200))+1,10)))))*$D$50),$D$21*(1-(IF(INDEX($D$200:$D$207,MATCH(LEFT(JE200,FIND("·",JE200)-1),$C$200:$C$207,0))=0,ABS(INDEX($A$200:$A$207,MATCH(LEFT(JE200,FIND("·",JE200)-1),$C$200:$C$207,0))-VALUE(MID(JE200,FIND("|",JE200)+1,FIND("-",JE200,FIND("|",JE200))-FIND("|",JE200)-1))),ABS(INDEX($Q$200:$Q$207,MATCH(LEFT(JE200,FIND("·",JE200)-1),$C$200:$C$207,0))-(VALUE(MID(JE200,FIND("|",JE200)+1,FIND("-",JE200,FIND("|",JE200))-FIND("|",JE200)-1))-VALUE(MID(JE200,FIND("-",JE200,FIND("|",JE200))+1,10)))))*$D$50)))))*INDEX($I$200:$I$207,MATCH(LEFT(JE200,FIND("·",JE200)-1),$C$200:$C$207,0)),0),0),0)</f>
        <v>0</v>
      </c>
      <c r="JG200" s="108"/>
      <c r="JH200" s="65" t="str">
        <f>Idiomas!$D$368</f>
        <v>Pegar Valores Octavos</v>
      </c>
      <c r="JI200" s="84">
        <f t="shared" ref="JI200:JI207" si="5933">IFERROR(IF(COUNTIF($K$200:$K$207,LEFT(JH200,FIND("·",JH200)-1))&gt;0,IF(INDEX($L$200:$L$207,MATCH(LEFT(JH200,FIND("·",JH200)-1),$K$200:$K$207,0))=IFERROR(VALUE(MID(JH200,FIND("·",JH200)+1,1)),0),($D$20+(INDEX($M$200:$M$207,MATCH(LEFT(JH200,FIND("·",JH200)-1),$K$200:$K$207,0))=MID(JH200,FIND("|",JH200)+1,10))*$D$22+MAX(0,IF($D$50=1,$D$21*(1-(ABS(INDEX($P$200:$P$207,MATCH(LEFT(JH200,FIND("·",JH200)-1),$K$200:$K$207,0))-(VALUE(MID(JH200,FIND("|",JH200)+1,FIND("-",JH200,FIND("|",JH200))-FIND("|",JH200)-1))-VALUE(MID(JH200,FIND("-",JH200,FIND("|",JH200))+1,10)))))*$D$50),$D$21*(1-(IF(INDEX($L$200:$L$207,MATCH(LEFT(JH200,FIND("·",JH200)-1),$K$200:$K$207,0))=0,ABS(INDEX($N$200:$N$207,MATCH(LEFT(JH200,FIND("·",JH200)-1),$K$200:$K$207,0))-VALUE(MID(JH200,FIND("|",JH200)+1,FIND("-",JH200,FIND("|",JH200))-FIND("|",JH200)-1))),ABS(INDEX($P$200:$P$207,MATCH(LEFT(JH200,FIND("·",JH200)-1),$K$200:$K$207,0))-(VALUE(MID(JH200,FIND("|",JH200)+1,FIND("-",JH200,FIND("|",JH200))-FIND("|",JH200)-1))-VALUE(MID(JH200,FIND("-",JH200,FIND("|",JH200))+1,10)))))*$D$50)))))*INDEX($I$200:$I$207,MATCH(LEFT(JH200,FIND("·",JH200)-1),$K$200:$K$207,0)),0),0),0)+IFERROR(IF(COUNTIF($C$200:$C$207,LEFT(JH200,FIND("·",JH200)-1))&gt;0,IF(INDEX($D$200:$D$207,MATCH(LEFT(JH200,FIND("·",JH200)-1),$C$200:$C$207,0))=IFERROR(VALUE(MID(JH200,FIND("·",JH200)+1,1)),0),($D$20+(INDEX($E$200:$E$207,MATCH(LEFT(JH200,FIND("·",JH200)-1),$C$200:$C$207,0))=MID(JH200,FIND("|",JH200)+1,10))*$D$22+MAX(0,IF($D$50=1,$D$21*(1-(ABS(INDEX($Q$200:$Q$207,MATCH(LEFT(JH200,FIND("·",JH200)-1),$C$200:$C$207,0))-(VALUE(MID(JH200,FIND("|",JH200)+1,FIND("-",JH200,FIND("|",JH200))-FIND("|",JH200)-1))-VALUE(MID(JH200,FIND("-",JH200,FIND("|",JH200))+1,10)))))*$D$50),$D$21*(1-(IF(INDEX($D$200:$D$207,MATCH(LEFT(JH200,FIND("·",JH200)-1),$C$200:$C$207,0))=0,ABS(INDEX($A$200:$A$207,MATCH(LEFT(JH200,FIND("·",JH200)-1),$C$200:$C$207,0))-VALUE(MID(JH200,FIND("|",JH200)+1,FIND("-",JH200,FIND("|",JH200))-FIND("|",JH200)-1))),ABS(INDEX($Q$200:$Q$207,MATCH(LEFT(JH200,FIND("·",JH200)-1),$C$200:$C$207,0))-(VALUE(MID(JH200,FIND("|",JH200)+1,FIND("-",JH200,FIND("|",JH200))-FIND("|",JH200)-1))-VALUE(MID(JH200,FIND("-",JH200,FIND("|",JH200))+1,10)))))*$D$50)))))*INDEX($I$200:$I$207,MATCH(LEFT(JH200,FIND("·",JH200)-1),$C$200:$C$207,0)),0),0),0)</f>
        <v>0</v>
      </c>
      <c r="JJ200" s="108"/>
      <c r="JK200" s="65" t="str">
        <f>Idiomas!$D$368</f>
        <v>Pegar Valores Octavos</v>
      </c>
      <c r="JL200" s="84">
        <f t="shared" ref="JL200:JL207" si="5934">IFERROR(IF(COUNTIF($K$200:$K$207,LEFT(JK200,FIND("·",JK200)-1))&gt;0,IF(INDEX($L$200:$L$207,MATCH(LEFT(JK200,FIND("·",JK200)-1),$K$200:$K$207,0))=IFERROR(VALUE(MID(JK200,FIND("·",JK200)+1,1)),0),($D$20+(INDEX($M$200:$M$207,MATCH(LEFT(JK200,FIND("·",JK200)-1),$K$200:$K$207,0))=MID(JK200,FIND("|",JK200)+1,10))*$D$22+MAX(0,IF($D$50=1,$D$21*(1-(ABS(INDEX($P$200:$P$207,MATCH(LEFT(JK200,FIND("·",JK200)-1),$K$200:$K$207,0))-(VALUE(MID(JK200,FIND("|",JK200)+1,FIND("-",JK200,FIND("|",JK200))-FIND("|",JK200)-1))-VALUE(MID(JK200,FIND("-",JK200,FIND("|",JK200))+1,10)))))*$D$50),$D$21*(1-(IF(INDEX($L$200:$L$207,MATCH(LEFT(JK200,FIND("·",JK200)-1),$K$200:$K$207,0))=0,ABS(INDEX($N$200:$N$207,MATCH(LEFT(JK200,FIND("·",JK200)-1),$K$200:$K$207,0))-VALUE(MID(JK200,FIND("|",JK200)+1,FIND("-",JK200,FIND("|",JK200))-FIND("|",JK200)-1))),ABS(INDEX($P$200:$P$207,MATCH(LEFT(JK200,FIND("·",JK200)-1),$K$200:$K$207,0))-(VALUE(MID(JK200,FIND("|",JK200)+1,FIND("-",JK200,FIND("|",JK200))-FIND("|",JK200)-1))-VALUE(MID(JK200,FIND("-",JK200,FIND("|",JK200))+1,10)))))*$D$50)))))*INDEX($I$200:$I$207,MATCH(LEFT(JK200,FIND("·",JK200)-1),$K$200:$K$207,0)),0),0),0)+IFERROR(IF(COUNTIF($C$200:$C$207,LEFT(JK200,FIND("·",JK200)-1))&gt;0,IF(INDEX($D$200:$D$207,MATCH(LEFT(JK200,FIND("·",JK200)-1),$C$200:$C$207,0))=IFERROR(VALUE(MID(JK200,FIND("·",JK200)+1,1)),0),($D$20+(INDEX($E$200:$E$207,MATCH(LEFT(JK200,FIND("·",JK200)-1),$C$200:$C$207,0))=MID(JK200,FIND("|",JK200)+1,10))*$D$22+MAX(0,IF($D$50=1,$D$21*(1-(ABS(INDEX($Q$200:$Q$207,MATCH(LEFT(JK200,FIND("·",JK200)-1),$C$200:$C$207,0))-(VALUE(MID(JK200,FIND("|",JK200)+1,FIND("-",JK200,FIND("|",JK200))-FIND("|",JK200)-1))-VALUE(MID(JK200,FIND("-",JK200,FIND("|",JK200))+1,10)))))*$D$50),$D$21*(1-(IF(INDEX($D$200:$D$207,MATCH(LEFT(JK200,FIND("·",JK200)-1),$C$200:$C$207,0))=0,ABS(INDEX($A$200:$A$207,MATCH(LEFT(JK200,FIND("·",JK200)-1),$C$200:$C$207,0))-VALUE(MID(JK200,FIND("|",JK200)+1,FIND("-",JK200,FIND("|",JK200))-FIND("|",JK200)-1))),ABS(INDEX($Q$200:$Q$207,MATCH(LEFT(JK200,FIND("·",JK200)-1),$C$200:$C$207,0))-(VALUE(MID(JK200,FIND("|",JK200)+1,FIND("-",JK200,FIND("|",JK200))-FIND("|",JK200)-1))-VALUE(MID(JK200,FIND("-",JK200,FIND("|",JK200))+1,10)))))*$D$50)))))*INDEX($I$200:$I$207,MATCH(LEFT(JK200,FIND("·",JK200)-1),$C$200:$C$207,0)),0),0),0)</f>
        <v>0</v>
      </c>
      <c r="JM200" s="108"/>
      <c r="JN200" s="65" t="str">
        <f>Idiomas!$D$368</f>
        <v>Pegar Valores Octavos</v>
      </c>
      <c r="JO200" s="84">
        <f t="shared" ref="JO200:JO207" si="5935">IFERROR(IF(COUNTIF($K$200:$K$207,LEFT(JN200,FIND("·",JN200)-1))&gt;0,IF(INDEX($L$200:$L$207,MATCH(LEFT(JN200,FIND("·",JN200)-1),$K$200:$K$207,0))=IFERROR(VALUE(MID(JN200,FIND("·",JN200)+1,1)),0),($D$20+(INDEX($M$200:$M$207,MATCH(LEFT(JN200,FIND("·",JN200)-1),$K$200:$K$207,0))=MID(JN200,FIND("|",JN200)+1,10))*$D$22+MAX(0,IF($D$50=1,$D$21*(1-(ABS(INDEX($P$200:$P$207,MATCH(LEFT(JN200,FIND("·",JN200)-1),$K$200:$K$207,0))-(VALUE(MID(JN200,FIND("|",JN200)+1,FIND("-",JN200,FIND("|",JN200))-FIND("|",JN200)-1))-VALUE(MID(JN200,FIND("-",JN200,FIND("|",JN200))+1,10)))))*$D$50),$D$21*(1-(IF(INDEX($L$200:$L$207,MATCH(LEFT(JN200,FIND("·",JN200)-1),$K$200:$K$207,0))=0,ABS(INDEX($N$200:$N$207,MATCH(LEFT(JN200,FIND("·",JN200)-1),$K$200:$K$207,0))-VALUE(MID(JN200,FIND("|",JN200)+1,FIND("-",JN200,FIND("|",JN200))-FIND("|",JN200)-1))),ABS(INDEX($P$200:$P$207,MATCH(LEFT(JN200,FIND("·",JN200)-1),$K$200:$K$207,0))-(VALUE(MID(JN200,FIND("|",JN200)+1,FIND("-",JN200,FIND("|",JN200))-FIND("|",JN200)-1))-VALUE(MID(JN200,FIND("-",JN200,FIND("|",JN200))+1,10)))))*$D$50)))))*INDEX($I$200:$I$207,MATCH(LEFT(JN200,FIND("·",JN200)-1),$K$200:$K$207,0)),0),0),0)+IFERROR(IF(COUNTIF($C$200:$C$207,LEFT(JN200,FIND("·",JN200)-1))&gt;0,IF(INDEX($D$200:$D$207,MATCH(LEFT(JN200,FIND("·",JN200)-1),$C$200:$C$207,0))=IFERROR(VALUE(MID(JN200,FIND("·",JN200)+1,1)),0),($D$20+(INDEX($E$200:$E$207,MATCH(LEFT(JN200,FIND("·",JN200)-1),$C$200:$C$207,0))=MID(JN200,FIND("|",JN200)+1,10))*$D$22+MAX(0,IF($D$50=1,$D$21*(1-(ABS(INDEX($Q$200:$Q$207,MATCH(LEFT(JN200,FIND("·",JN200)-1),$C$200:$C$207,0))-(VALUE(MID(JN200,FIND("|",JN200)+1,FIND("-",JN200,FIND("|",JN200))-FIND("|",JN200)-1))-VALUE(MID(JN200,FIND("-",JN200,FIND("|",JN200))+1,10)))))*$D$50),$D$21*(1-(IF(INDEX($D$200:$D$207,MATCH(LEFT(JN200,FIND("·",JN200)-1),$C$200:$C$207,0))=0,ABS(INDEX($A$200:$A$207,MATCH(LEFT(JN200,FIND("·",JN200)-1),$C$200:$C$207,0))-VALUE(MID(JN200,FIND("|",JN200)+1,FIND("-",JN200,FIND("|",JN200))-FIND("|",JN200)-1))),ABS(INDEX($Q$200:$Q$207,MATCH(LEFT(JN200,FIND("·",JN200)-1),$C$200:$C$207,0))-(VALUE(MID(JN200,FIND("|",JN200)+1,FIND("-",JN200,FIND("|",JN200))-FIND("|",JN200)-1))-VALUE(MID(JN200,FIND("-",JN200,FIND("|",JN200))+1,10)))))*$D$50)))))*INDEX($I$200:$I$207,MATCH(LEFT(JN200,FIND("·",JN200)-1),$C$200:$C$207,0)),0),0),0)</f>
        <v>0</v>
      </c>
      <c r="JP200" s="108"/>
      <c r="JQ200" s="65" t="str">
        <f>Idiomas!$D$368</f>
        <v>Pegar Valores Octavos</v>
      </c>
      <c r="JR200" s="84">
        <f t="shared" ref="JR200:JR207" si="5936">IFERROR(IF(COUNTIF($K$200:$K$207,LEFT(JQ200,FIND("·",JQ200)-1))&gt;0,IF(INDEX($L$200:$L$207,MATCH(LEFT(JQ200,FIND("·",JQ200)-1),$K$200:$K$207,0))=IFERROR(VALUE(MID(JQ200,FIND("·",JQ200)+1,1)),0),($D$20+(INDEX($M$200:$M$207,MATCH(LEFT(JQ200,FIND("·",JQ200)-1),$K$200:$K$207,0))=MID(JQ200,FIND("|",JQ200)+1,10))*$D$22+MAX(0,IF($D$50=1,$D$21*(1-(ABS(INDEX($P$200:$P$207,MATCH(LEFT(JQ200,FIND("·",JQ200)-1),$K$200:$K$207,0))-(VALUE(MID(JQ200,FIND("|",JQ200)+1,FIND("-",JQ200,FIND("|",JQ200))-FIND("|",JQ200)-1))-VALUE(MID(JQ200,FIND("-",JQ200,FIND("|",JQ200))+1,10)))))*$D$50),$D$21*(1-(IF(INDEX($L$200:$L$207,MATCH(LEFT(JQ200,FIND("·",JQ200)-1),$K$200:$K$207,0))=0,ABS(INDEX($N$200:$N$207,MATCH(LEFT(JQ200,FIND("·",JQ200)-1),$K$200:$K$207,0))-VALUE(MID(JQ200,FIND("|",JQ200)+1,FIND("-",JQ200,FIND("|",JQ200))-FIND("|",JQ200)-1))),ABS(INDEX($P$200:$P$207,MATCH(LEFT(JQ200,FIND("·",JQ200)-1),$K$200:$K$207,0))-(VALUE(MID(JQ200,FIND("|",JQ200)+1,FIND("-",JQ200,FIND("|",JQ200))-FIND("|",JQ200)-1))-VALUE(MID(JQ200,FIND("-",JQ200,FIND("|",JQ200))+1,10)))))*$D$50)))))*INDEX($I$200:$I$207,MATCH(LEFT(JQ200,FIND("·",JQ200)-1),$K$200:$K$207,0)),0),0),0)+IFERROR(IF(COUNTIF($C$200:$C$207,LEFT(JQ200,FIND("·",JQ200)-1))&gt;0,IF(INDEX($D$200:$D$207,MATCH(LEFT(JQ200,FIND("·",JQ200)-1),$C$200:$C$207,0))=IFERROR(VALUE(MID(JQ200,FIND("·",JQ200)+1,1)),0),($D$20+(INDEX($E$200:$E$207,MATCH(LEFT(JQ200,FIND("·",JQ200)-1),$C$200:$C$207,0))=MID(JQ200,FIND("|",JQ200)+1,10))*$D$22+MAX(0,IF($D$50=1,$D$21*(1-(ABS(INDEX($Q$200:$Q$207,MATCH(LEFT(JQ200,FIND("·",JQ200)-1),$C$200:$C$207,0))-(VALUE(MID(JQ200,FIND("|",JQ200)+1,FIND("-",JQ200,FIND("|",JQ200))-FIND("|",JQ200)-1))-VALUE(MID(JQ200,FIND("-",JQ200,FIND("|",JQ200))+1,10)))))*$D$50),$D$21*(1-(IF(INDEX($D$200:$D$207,MATCH(LEFT(JQ200,FIND("·",JQ200)-1),$C$200:$C$207,0))=0,ABS(INDEX($A$200:$A$207,MATCH(LEFT(JQ200,FIND("·",JQ200)-1),$C$200:$C$207,0))-VALUE(MID(JQ200,FIND("|",JQ200)+1,FIND("-",JQ200,FIND("|",JQ200))-FIND("|",JQ200)-1))),ABS(INDEX($Q$200:$Q$207,MATCH(LEFT(JQ200,FIND("·",JQ200)-1),$C$200:$C$207,0))-(VALUE(MID(JQ200,FIND("|",JQ200)+1,FIND("-",JQ200,FIND("|",JQ200))-FIND("|",JQ200)-1))-VALUE(MID(JQ200,FIND("-",JQ200,FIND("|",JQ200))+1,10)))))*$D$50)))))*INDEX($I$200:$I$207,MATCH(LEFT(JQ200,FIND("·",JQ200)-1),$C$200:$C$207,0)),0),0),0)</f>
        <v>0</v>
      </c>
      <c r="JS200" s="108"/>
      <c r="JT200" s="65" t="str">
        <f>Idiomas!$D$368</f>
        <v>Pegar Valores Octavos</v>
      </c>
      <c r="JU200" s="84">
        <f t="shared" ref="JU200:JU207" si="5937">IFERROR(IF(COUNTIF($K$200:$K$207,LEFT(JT200,FIND("·",JT200)-1))&gt;0,IF(INDEX($L$200:$L$207,MATCH(LEFT(JT200,FIND("·",JT200)-1),$K$200:$K$207,0))=IFERROR(VALUE(MID(JT200,FIND("·",JT200)+1,1)),0),($D$20+(INDEX($M$200:$M$207,MATCH(LEFT(JT200,FIND("·",JT200)-1),$K$200:$K$207,0))=MID(JT200,FIND("|",JT200)+1,10))*$D$22+MAX(0,IF($D$50=1,$D$21*(1-(ABS(INDEX($P$200:$P$207,MATCH(LEFT(JT200,FIND("·",JT200)-1),$K$200:$K$207,0))-(VALUE(MID(JT200,FIND("|",JT200)+1,FIND("-",JT200,FIND("|",JT200))-FIND("|",JT200)-1))-VALUE(MID(JT200,FIND("-",JT200,FIND("|",JT200))+1,10)))))*$D$50),$D$21*(1-(IF(INDEX($L$200:$L$207,MATCH(LEFT(JT200,FIND("·",JT200)-1),$K$200:$K$207,0))=0,ABS(INDEX($N$200:$N$207,MATCH(LEFT(JT200,FIND("·",JT200)-1),$K$200:$K$207,0))-VALUE(MID(JT200,FIND("|",JT200)+1,FIND("-",JT200,FIND("|",JT200))-FIND("|",JT200)-1))),ABS(INDEX($P$200:$P$207,MATCH(LEFT(JT200,FIND("·",JT200)-1),$K$200:$K$207,0))-(VALUE(MID(JT200,FIND("|",JT200)+1,FIND("-",JT200,FIND("|",JT200))-FIND("|",JT200)-1))-VALUE(MID(JT200,FIND("-",JT200,FIND("|",JT200))+1,10)))))*$D$50)))))*INDEX($I$200:$I$207,MATCH(LEFT(JT200,FIND("·",JT200)-1),$K$200:$K$207,0)),0),0),0)+IFERROR(IF(COUNTIF($C$200:$C$207,LEFT(JT200,FIND("·",JT200)-1))&gt;0,IF(INDEX($D$200:$D$207,MATCH(LEFT(JT200,FIND("·",JT200)-1),$C$200:$C$207,0))=IFERROR(VALUE(MID(JT200,FIND("·",JT200)+1,1)),0),($D$20+(INDEX($E$200:$E$207,MATCH(LEFT(JT200,FIND("·",JT200)-1),$C$200:$C$207,0))=MID(JT200,FIND("|",JT200)+1,10))*$D$22+MAX(0,IF($D$50=1,$D$21*(1-(ABS(INDEX($Q$200:$Q$207,MATCH(LEFT(JT200,FIND("·",JT200)-1),$C$200:$C$207,0))-(VALUE(MID(JT200,FIND("|",JT200)+1,FIND("-",JT200,FIND("|",JT200))-FIND("|",JT200)-1))-VALUE(MID(JT200,FIND("-",JT200,FIND("|",JT200))+1,10)))))*$D$50),$D$21*(1-(IF(INDEX($D$200:$D$207,MATCH(LEFT(JT200,FIND("·",JT200)-1),$C$200:$C$207,0))=0,ABS(INDEX($A$200:$A$207,MATCH(LEFT(JT200,FIND("·",JT200)-1),$C$200:$C$207,0))-VALUE(MID(JT200,FIND("|",JT200)+1,FIND("-",JT200,FIND("|",JT200))-FIND("|",JT200)-1))),ABS(INDEX($Q$200:$Q$207,MATCH(LEFT(JT200,FIND("·",JT200)-1),$C$200:$C$207,0))-(VALUE(MID(JT200,FIND("|",JT200)+1,FIND("-",JT200,FIND("|",JT200))-FIND("|",JT200)-1))-VALUE(MID(JT200,FIND("-",JT200,FIND("|",JT200))+1,10)))))*$D$50)))))*INDEX($I$200:$I$207,MATCH(LEFT(JT200,FIND("·",JT200)-1),$C$200:$C$207,0)),0),0),0)</f>
        <v>0</v>
      </c>
      <c r="JV200" s="108"/>
      <c r="JW200" s="65" t="str">
        <f>Idiomas!$D$368</f>
        <v>Pegar Valores Octavos</v>
      </c>
      <c r="JX200" s="84">
        <f t="shared" ref="JX200:JX207" si="5938">IFERROR(IF(COUNTIF($K$200:$K$207,LEFT(JW200,FIND("·",JW200)-1))&gt;0,IF(INDEX($L$200:$L$207,MATCH(LEFT(JW200,FIND("·",JW200)-1),$K$200:$K$207,0))=IFERROR(VALUE(MID(JW200,FIND("·",JW200)+1,1)),0),($D$20+(INDEX($M$200:$M$207,MATCH(LEFT(JW200,FIND("·",JW200)-1),$K$200:$K$207,0))=MID(JW200,FIND("|",JW200)+1,10))*$D$22+MAX(0,IF($D$50=1,$D$21*(1-(ABS(INDEX($P$200:$P$207,MATCH(LEFT(JW200,FIND("·",JW200)-1),$K$200:$K$207,0))-(VALUE(MID(JW200,FIND("|",JW200)+1,FIND("-",JW200,FIND("|",JW200))-FIND("|",JW200)-1))-VALUE(MID(JW200,FIND("-",JW200,FIND("|",JW200))+1,10)))))*$D$50),$D$21*(1-(IF(INDEX($L$200:$L$207,MATCH(LEFT(JW200,FIND("·",JW200)-1),$K$200:$K$207,0))=0,ABS(INDEX($N$200:$N$207,MATCH(LEFT(JW200,FIND("·",JW200)-1),$K$200:$K$207,0))-VALUE(MID(JW200,FIND("|",JW200)+1,FIND("-",JW200,FIND("|",JW200))-FIND("|",JW200)-1))),ABS(INDEX($P$200:$P$207,MATCH(LEFT(JW200,FIND("·",JW200)-1),$K$200:$K$207,0))-(VALUE(MID(JW200,FIND("|",JW200)+1,FIND("-",JW200,FIND("|",JW200))-FIND("|",JW200)-1))-VALUE(MID(JW200,FIND("-",JW200,FIND("|",JW200))+1,10)))))*$D$50)))))*INDEX($I$200:$I$207,MATCH(LEFT(JW200,FIND("·",JW200)-1),$K$200:$K$207,0)),0),0),0)+IFERROR(IF(COUNTIF($C$200:$C$207,LEFT(JW200,FIND("·",JW200)-1))&gt;0,IF(INDEX($D$200:$D$207,MATCH(LEFT(JW200,FIND("·",JW200)-1),$C$200:$C$207,0))=IFERROR(VALUE(MID(JW200,FIND("·",JW200)+1,1)),0),($D$20+(INDEX($E$200:$E$207,MATCH(LEFT(JW200,FIND("·",JW200)-1),$C$200:$C$207,0))=MID(JW200,FIND("|",JW200)+1,10))*$D$22+MAX(0,IF($D$50=1,$D$21*(1-(ABS(INDEX($Q$200:$Q$207,MATCH(LEFT(JW200,FIND("·",JW200)-1),$C$200:$C$207,0))-(VALUE(MID(JW200,FIND("|",JW200)+1,FIND("-",JW200,FIND("|",JW200))-FIND("|",JW200)-1))-VALUE(MID(JW200,FIND("-",JW200,FIND("|",JW200))+1,10)))))*$D$50),$D$21*(1-(IF(INDEX($D$200:$D$207,MATCH(LEFT(JW200,FIND("·",JW200)-1),$C$200:$C$207,0))=0,ABS(INDEX($A$200:$A$207,MATCH(LEFT(JW200,FIND("·",JW200)-1),$C$200:$C$207,0))-VALUE(MID(JW200,FIND("|",JW200)+1,FIND("-",JW200,FIND("|",JW200))-FIND("|",JW200)-1))),ABS(INDEX($Q$200:$Q$207,MATCH(LEFT(JW200,FIND("·",JW200)-1),$C$200:$C$207,0))-(VALUE(MID(JW200,FIND("|",JW200)+1,FIND("-",JW200,FIND("|",JW200))-FIND("|",JW200)-1))-VALUE(MID(JW200,FIND("-",JW200,FIND("|",JW200))+1,10)))))*$D$50)))))*INDEX($I$200:$I$207,MATCH(LEFT(JW200,FIND("·",JW200)-1),$C$200:$C$207,0)),0),0),0)</f>
        <v>0</v>
      </c>
      <c r="JY200" s="108"/>
      <c r="JZ200" s="65" t="str">
        <f>Idiomas!$D$368</f>
        <v>Pegar Valores Octavos</v>
      </c>
      <c r="KA200" s="84">
        <f t="shared" ref="KA200:KA207" si="5939">IFERROR(IF(COUNTIF($K$200:$K$207,LEFT(JZ200,FIND("·",JZ200)-1))&gt;0,IF(INDEX($L$200:$L$207,MATCH(LEFT(JZ200,FIND("·",JZ200)-1),$K$200:$K$207,0))=IFERROR(VALUE(MID(JZ200,FIND("·",JZ200)+1,1)),0),($D$20+(INDEX($M$200:$M$207,MATCH(LEFT(JZ200,FIND("·",JZ200)-1),$K$200:$K$207,0))=MID(JZ200,FIND("|",JZ200)+1,10))*$D$22+MAX(0,IF($D$50=1,$D$21*(1-(ABS(INDEX($P$200:$P$207,MATCH(LEFT(JZ200,FIND("·",JZ200)-1),$K$200:$K$207,0))-(VALUE(MID(JZ200,FIND("|",JZ200)+1,FIND("-",JZ200,FIND("|",JZ200))-FIND("|",JZ200)-1))-VALUE(MID(JZ200,FIND("-",JZ200,FIND("|",JZ200))+1,10)))))*$D$50),$D$21*(1-(IF(INDEX($L$200:$L$207,MATCH(LEFT(JZ200,FIND("·",JZ200)-1),$K$200:$K$207,0))=0,ABS(INDEX($N$200:$N$207,MATCH(LEFT(JZ200,FIND("·",JZ200)-1),$K$200:$K$207,0))-VALUE(MID(JZ200,FIND("|",JZ200)+1,FIND("-",JZ200,FIND("|",JZ200))-FIND("|",JZ200)-1))),ABS(INDEX($P$200:$P$207,MATCH(LEFT(JZ200,FIND("·",JZ200)-1),$K$200:$K$207,0))-(VALUE(MID(JZ200,FIND("|",JZ200)+1,FIND("-",JZ200,FIND("|",JZ200))-FIND("|",JZ200)-1))-VALUE(MID(JZ200,FIND("-",JZ200,FIND("|",JZ200))+1,10)))))*$D$50)))))*INDEX($I$200:$I$207,MATCH(LEFT(JZ200,FIND("·",JZ200)-1),$K$200:$K$207,0)),0),0),0)+IFERROR(IF(COUNTIF($C$200:$C$207,LEFT(JZ200,FIND("·",JZ200)-1))&gt;0,IF(INDEX($D$200:$D$207,MATCH(LEFT(JZ200,FIND("·",JZ200)-1),$C$200:$C$207,0))=IFERROR(VALUE(MID(JZ200,FIND("·",JZ200)+1,1)),0),($D$20+(INDEX($E$200:$E$207,MATCH(LEFT(JZ200,FIND("·",JZ200)-1),$C$200:$C$207,0))=MID(JZ200,FIND("|",JZ200)+1,10))*$D$22+MAX(0,IF($D$50=1,$D$21*(1-(ABS(INDEX($Q$200:$Q$207,MATCH(LEFT(JZ200,FIND("·",JZ200)-1),$C$200:$C$207,0))-(VALUE(MID(JZ200,FIND("|",JZ200)+1,FIND("-",JZ200,FIND("|",JZ200))-FIND("|",JZ200)-1))-VALUE(MID(JZ200,FIND("-",JZ200,FIND("|",JZ200))+1,10)))))*$D$50),$D$21*(1-(IF(INDEX($D$200:$D$207,MATCH(LEFT(JZ200,FIND("·",JZ200)-1),$C$200:$C$207,0))=0,ABS(INDEX($A$200:$A$207,MATCH(LEFT(JZ200,FIND("·",JZ200)-1),$C$200:$C$207,0))-VALUE(MID(JZ200,FIND("|",JZ200)+1,FIND("-",JZ200,FIND("|",JZ200))-FIND("|",JZ200)-1))),ABS(INDEX($Q$200:$Q$207,MATCH(LEFT(JZ200,FIND("·",JZ200)-1),$C$200:$C$207,0))-(VALUE(MID(JZ200,FIND("|",JZ200)+1,FIND("-",JZ200,FIND("|",JZ200))-FIND("|",JZ200)-1))-VALUE(MID(JZ200,FIND("-",JZ200,FIND("|",JZ200))+1,10)))))*$D$50)))))*INDEX($I$200:$I$207,MATCH(LEFT(JZ200,FIND("·",JZ200)-1),$C$200:$C$207,0)),0),0),0)</f>
        <v>0</v>
      </c>
      <c r="KB200" s="108"/>
      <c r="KC200" s="65" t="str">
        <f>Idiomas!$D$368</f>
        <v>Pegar Valores Octavos</v>
      </c>
      <c r="KD200" s="84">
        <f t="shared" ref="KD200:KD207" si="5940">IFERROR(IF(COUNTIF($K$200:$K$207,LEFT(KC200,FIND("·",KC200)-1))&gt;0,IF(INDEX($L$200:$L$207,MATCH(LEFT(KC200,FIND("·",KC200)-1),$K$200:$K$207,0))=IFERROR(VALUE(MID(KC200,FIND("·",KC200)+1,1)),0),($D$20+(INDEX($M$200:$M$207,MATCH(LEFT(KC200,FIND("·",KC200)-1),$K$200:$K$207,0))=MID(KC200,FIND("|",KC200)+1,10))*$D$22+MAX(0,IF($D$50=1,$D$21*(1-(ABS(INDEX($P$200:$P$207,MATCH(LEFT(KC200,FIND("·",KC200)-1),$K$200:$K$207,0))-(VALUE(MID(KC200,FIND("|",KC200)+1,FIND("-",KC200,FIND("|",KC200))-FIND("|",KC200)-1))-VALUE(MID(KC200,FIND("-",KC200,FIND("|",KC200))+1,10)))))*$D$50),$D$21*(1-(IF(INDEX($L$200:$L$207,MATCH(LEFT(KC200,FIND("·",KC200)-1),$K$200:$K$207,0))=0,ABS(INDEX($N$200:$N$207,MATCH(LEFT(KC200,FIND("·",KC200)-1),$K$200:$K$207,0))-VALUE(MID(KC200,FIND("|",KC200)+1,FIND("-",KC200,FIND("|",KC200))-FIND("|",KC200)-1))),ABS(INDEX($P$200:$P$207,MATCH(LEFT(KC200,FIND("·",KC200)-1),$K$200:$K$207,0))-(VALUE(MID(KC200,FIND("|",KC200)+1,FIND("-",KC200,FIND("|",KC200))-FIND("|",KC200)-1))-VALUE(MID(KC200,FIND("-",KC200,FIND("|",KC200))+1,10)))))*$D$50)))))*INDEX($I$200:$I$207,MATCH(LEFT(KC200,FIND("·",KC200)-1),$K$200:$K$207,0)),0),0),0)+IFERROR(IF(COUNTIF($C$200:$C$207,LEFT(KC200,FIND("·",KC200)-1))&gt;0,IF(INDEX($D$200:$D$207,MATCH(LEFT(KC200,FIND("·",KC200)-1),$C$200:$C$207,0))=IFERROR(VALUE(MID(KC200,FIND("·",KC200)+1,1)),0),($D$20+(INDEX($E$200:$E$207,MATCH(LEFT(KC200,FIND("·",KC200)-1),$C$200:$C$207,0))=MID(KC200,FIND("|",KC200)+1,10))*$D$22+MAX(0,IF($D$50=1,$D$21*(1-(ABS(INDEX($Q$200:$Q$207,MATCH(LEFT(KC200,FIND("·",KC200)-1),$C$200:$C$207,0))-(VALUE(MID(KC200,FIND("|",KC200)+1,FIND("-",KC200,FIND("|",KC200))-FIND("|",KC200)-1))-VALUE(MID(KC200,FIND("-",KC200,FIND("|",KC200))+1,10)))))*$D$50),$D$21*(1-(IF(INDEX($D$200:$D$207,MATCH(LEFT(KC200,FIND("·",KC200)-1),$C$200:$C$207,0))=0,ABS(INDEX($A$200:$A$207,MATCH(LEFT(KC200,FIND("·",KC200)-1),$C$200:$C$207,0))-VALUE(MID(KC200,FIND("|",KC200)+1,FIND("-",KC200,FIND("|",KC200))-FIND("|",KC200)-1))),ABS(INDEX($Q$200:$Q$207,MATCH(LEFT(KC200,FIND("·",KC200)-1),$C$200:$C$207,0))-(VALUE(MID(KC200,FIND("|",KC200)+1,FIND("-",KC200,FIND("|",KC200))-FIND("|",KC200)-1))-VALUE(MID(KC200,FIND("-",KC200,FIND("|",KC200))+1,10)))))*$D$50)))))*INDEX($I$200:$I$207,MATCH(LEFT(KC200,FIND("·",KC200)-1),$C$200:$C$207,0)),0),0),0)</f>
        <v>0</v>
      </c>
      <c r="KE200" s="108"/>
      <c r="KF200" s="65" t="str">
        <f>Idiomas!$D$368</f>
        <v>Pegar Valores Octavos</v>
      </c>
      <c r="KG200" s="84">
        <f t="shared" ref="KG200:KG207" si="5941">IFERROR(IF(COUNTIF($K$200:$K$207,LEFT(KF200,FIND("·",KF200)-1))&gt;0,IF(INDEX($L$200:$L$207,MATCH(LEFT(KF200,FIND("·",KF200)-1),$K$200:$K$207,0))=IFERROR(VALUE(MID(KF200,FIND("·",KF200)+1,1)),0),($D$20+(INDEX($M$200:$M$207,MATCH(LEFT(KF200,FIND("·",KF200)-1),$K$200:$K$207,0))=MID(KF200,FIND("|",KF200)+1,10))*$D$22+MAX(0,IF($D$50=1,$D$21*(1-(ABS(INDEX($P$200:$P$207,MATCH(LEFT(KF200,FIND("·",KF200)-1),$K$200:$K$207,0))-(VALUE(MID(KF200,FIND("|",KF200)+1,FIND("-",KF200,FIND("|",KF200))-FIND("|",KF200)-1))-VALUE(MID(KF200,FIND("-",KF200,FIND("|",KF200))+1,10)))))*$D$50),$D$21*(1-(IF(INDEX($L$200:$L$207,MATCH(LEFT(KF200,FIND("·",KF200)-1),$K$200:$K$207,0))=0,ABS(INDEX($N$200:$N$207,MATCH(LEFT(KF200,FIND("·",KF200)-1),$K$200:$K$207,0))-VALUE(MID(KF200,FIND("|",KF200)+1,FIND("-",KF200,FIND("|",KF200))-FIND("|",KF200)-1))),ABS(INDEX($P$200:$P$207,MATCH(LEFT(KF200,FIND("·",KF200)-1),$K$200:$K$207,0))-(VALUE(MID(KF200,FIND("|",KF200)+1,FIND("-",KF200,FIND("|",KF200))-FIND("|",KF200)-1))-VALUE(MID(KF200,FIND("-",KF200,FIND("|",KF200))+1,10)))))*$D$50)))))*INDEX($I$200:$I$207,MATCH(LEFT(KF200,FIND("·",KF200)-1),$K$200:$K$207,0)),0),0),0)+IFERROR(IF(COUNTIF($C$200:$C$207,LEFT(KF200,FIND("·",KF200)-1))&gt;0,IF(INDEX($D$200:$D$207,MATCH(LEFT(KF200,FIND("·",KF200)-1),$C$200:$C$207,0))=IFERROR(VALUE(MID(KF200,FIND("·",KF200)+1,1)),0),($D$20+(INDEX($E$200:$E$207,MATCH(LEFT(KF200,FIND("·",KF200)-1),$C$200:$C$207,0))=MID(KF200,FIND("|",KF200)+1,10))*$D$22+MAX(0,IF($D$50=1,$D$21*(1-(ABS(INDEX($Q$200:$Q$207,MATCH(LEFT(KF200,FIND("·",KF200)-1),$C$200:$C$207,0))-(VALUE(MID(KF200,FIND("|",KF200)+1,FIND("-",KF200,FIND("|",KF200))-FIND("|",KF200)-1))-VALUE(MID(KF200,FIND("-",KF200,FIND("|",KF200))+1,10)))))*$D$50),$D$21*(1-(IF(INDEX($D$200:$D$207,MATCH(LEFT(KF200,FIND("·",KF200)-1),$C$200:$C$207,0))=0,ABS(INDEX($A$200:$A$207,MATCH(LEFT(KF200,FIND("·",KF200)-1),$C$200:$C$207,0))-VALUE(MID(KF200,FIND("|",KF200)+1,FIND("-",KF200,FIND("|",KF200))-FIND("|",KF200)-1))),ABS(INDEX($Q$200:$Q$207,MATCH(LEFT(KF200,FIND("·",KF200)-1),$C$200:$C$207,0))-(VALUE(MID(KF200,FIND("|",KF200)+1,FIND("-",KF200,FIND("|",KF200))-FIND("|",KF200)-1))-VALUE(MID(KF200,FIND("-",KF200,FIND("|",KF200))+1,10)))))*$D$50)))))*INDEX($I$200:$I$207,MATCH(LEFT(KF200,FIND("·",KF200)-1),$C$200:$C$207,0)),0),0),0)</f>
        <v>0</v>
      </c>
      <c r="KH200" s="108"/>
      <c r="KI200" s="65" t="str">
        <f>Idiomas!$D$368</f>
        <v>Pegar Valores Octavos</v>
      </c>
      <c r="KJ200" s="84">
        <f t="shared" ref="KJ200:KJ207" si="5942">IFERROR(IF(COUNTIF($K$200:$K$207,LEFT(KI200,FIND("·",KI200)-1))&gt;0,IF(INDEX($L$200:$L$207,MATCH(LEFT(KI200,FIND("·",KI200)-1),$K$200:$K$207,0))=IFERROR(VALUE(MID(KI200,FIND("·",KI200)+1,1)),0),($D$20+(INDEX($M$200:$M$207,MATCH(LEFT(KI200,FIND("·",KI200)-1),$K$200:$K$207,0))=MID(KI200,FIND("|",KI200)+1,10))*$D$22+MAX(0,IF($D$50=1,$D$21*(1-(ABS(INDEX($P$200:$P$207,MATCH(LEFT(KI200,FIND("·",KI200)-1),$K$200:$K$207,0))-(VALUE(MID(KI200,FIND("|",KI200)+1,FIND("-",KI200,FIND("|",KI200))-FIND("|",KI200)-1))-VALUE(MID(KI200,FIND("-",KI200,FIND("|",KI200))+1,10)))))*$D$50),$D$21*(1-(IF(INDEX($L$200:$L$207,MATCH(LEFT(KI200,FIND("·",KI200)-1),$K$200:$K$207,0))=0,ABS(INDEX($N$200:$N$207,MATCH(LEFT(KI200,FIND("·",KI200)-1),$K$200:$K$207,0))-VALUE(MID(KI200,FIND("|",KI200)+1,FIND("-",KI200,FIND("|",KI200))-FIND("|",KI200)-1))),ABS(INDEX($P$200:$P$207,MATCH(LEFT(KI200,FIND("·",KI200)-1),$K$200:$K$207,0))-(VALUE(MID(KI200,FIND("|",KI200)+1,FIND("-",KI200,FIND("|",KI200))-FIND("|",KI200)-1))-VALUE(MID(KI200,FIND("-",KI200,FIND("|",KI200))+1,10)))))*$D$50)))))*INDEX($I$200:$I$207,MATCH(LEFT(KI200,FIND("·",KI200)-1),$K$200:$K$207,0)),0),0),0)+IFERROR(IF(COUNTIF($C$200:$C$207,LEFT(KI200,FIND("·",KI200)-1))&gt;0,IF(INDEX($D$200:$D$207,MATCH(LEFT(KI200,FIND("·",KI200)-1),$C$200:$C$207,0))=IFERROR(VALUE(MID(KI200,FIND("·",KI200)+1,1)),0),($D$20+(INDEX($E$200:$E$207,MATCH(LEFT(KI200,FIND("·",KI200)-1),$C$200:$C$207,0))=MID(KI200,FIND("|",KI200)+1,10))*$D$22+MAX(0,IF($D$50=1,$D$21*(1-(ABS(INDEX($Q$200:$Q$207,MATCH(LEFT(KI200,FIND("·",KI200)-1),$C$200:$C$207,0))-(VALUE(MID(KI200,FIND("|",KI200)+1,FIND("-",KI200,FIND("|",KI200))-FIND("|",KI200)-1))-VALUE(MID(KI200,FIND("-",KI200,FIND("|",KI200))+1,10)))))*$D$50),$D$21*(1-(IF(INDEX($D$200:$D$207,MATCH(LEFT(KI200,FIND("·",KI200)-1),$C$200:$C$207,0))=0,ABS(INDEX($A$200:$A$207,MATCH(LEFT(KI200,FIND("·",KI200)-1),$C$200:$C$207,0))-VALUE(MID(KI200,FIND("|",KI200)+1,FIND("-",KI200,FIND("|",KI200))-FIND("|",KI200)-1))),ABS(INDEX($Q$200:$Q$207,MATCH(LEFT(KI200,FIND("·",KI200)-1),$C$200:$C$207,0))-(VALUE(MID(KI200,FIND("|",KI200)+1,FIND("-",KI200,FIND("|",KI200))-FIND("|",KI200)-1))-VALUE(MID(KI200,FIND("-",KI200,FIND("|",KI200))+1,10)))))*$D$50)))))*INDEX($I$200:$I$207,MATCH(LEFT(KI200,FIND("·",KI200)-1),$C$200:$C$207,0)),0),0),0)</f>
        <v>0</v>
      </c>
      <c r="KK200" s="108"/>
      <c r="KL200" s="65" t="str">
        <f>Idiomas!$D$368</f>
        <v>Pegar Valores Octavos</v>
      </c>
      <c r="KM200" s="84">
        <f t="shared" ref="KM200:KM207" si="5943">IFERROR(IF(COUNTIF($K$200:$K$207,LEFT(KL200,FIND("·",KL200)-1))&gt;0,IF(INDEX($L$200:$L$207,MATCH(LEFT(KL200,FIND("·",KL200)-1),$K$200:$K$207,0))=IFERROR(VALUE(MID(KL200,FIND("·",KL200)+1,1)),0),($D$20+(INDEX($M$200:$M$207,MATCH(LEFT(KL200,FIND("·",KL200)-1),$K$200:$K$207,0))=MID(KL200,FIND("|",KL200)+1,10))*$D$22+MAX(0,IF($D$50=1,$D$21*(1-(ABS(INDEX($P$200:$P$207,MATCH(LEFT(KL200,FIND("·",KL200)-1),$K$200:$K$207,0))-(VALUE(MID(KL200,FIND("|",KL200)+1,FIND("-",KL200,FIND("|",KL200))-FIND("|",KL200)-1))-VALUE(MID(KL200,FIND("-",KL200,FIND("|",KL200))+1,10)))))*$D$50),$D$21*(1-(IF(INDEX($L$200:$L$207,MATCH(LEFT(KL200,FIND("·",KL200)-1),$K$200:$K$207,0))=0,ABS(INDEX($N$200:$N$207,MATCH(LEFT(KL200,FIND("·",KL200)-1),$K$200:$K$207,0))-VALUE(MID(KL200,FIND("|",KL200)+1,FIND("-",KL200,FIND("|",KL200))-FIND("|",KL200)-1))),ABS(INDEX($P$200:$P$207,MATCH(LEFT(KL200,FIND("·",KL200)-1),$K$200:$K$207,0))-(VALUE(MID(KL200,FIND("|",KL200)+1,FIND("-",KL200,FIND("|",KL200))-FIND("|",KL200)-1))-VALUE(MID(KL200,FIND("-",KL200,FIND("|",KL200))+1,10)))))*$D$50)))))*INDEX($I$200:$I$207,MATCH(LEFT(KL200,FIND("·",KL200)-1),$K$200:$K$207,0)),0),0),0)+IFERROR(IF(COUNTIF($C$200:$C$207,LEFT(KL200,FIND("·",KL200)-1))&gt;0,IF(INDEX($D$200:$D$207,MATCH(LEFT(KL200,FIND("·",KL200)-1),$C$200:$C$207,0))=IFERROR(VALUE(MID(KL200,FIND("·",KL200)+1,1)),0),($D$20+(INDEX($E$200:$E$207,MATCH(LEFT(KL200,FIND("·",KL200)-1),$C$200:$C$207,0))=MID(KL200,FIND("|",KL200)+1,10))*$D$22+MAX(0,IF($D$50=1,$D$21*(1-(ABS(INDEX($Q$200:$Q$207,MATCH(LEFT(KL200,FIND("·",KL200)-1),$C$200:$C$207,0))-(VALUE(MID(KL200,FIND("|",KL200)+1,FIND("-",KL200,FIND("|",KL200))-FIND("|",KL200)-1))-VALUE(MID(KL200,FIND("-",KL200,FIND("|",KL200))+1,10)))))*$D$50),$D$21*(1-(IF(INDEX($D$200:$D$207,MATCH(LEFT(KL200,FIND("·",KL200)-1),$C$200:$C$207,0))=0,ABS(INDEX($A$200:$A$207,MATCH(LEFT(KL200,FIND("·",KL200)-1),$C$200:$C$207,0))-VALUE(MID(KL200,FIND("|",KL200)+1,FIND("-",KL200,FIND("|",KL200))-FIND("|",KL200)-1))),ABS(INDEX($Q$200:$Q$207,MATCH(LEFT(KL200,FIND("·",KL200)-1),$C$200:$C$207,0))-(VALUE(MID(KL200,FIND("|",KL200)+1,FIND("-",KL200,FIND("|",KL200))-FIND("|",KL200)-1))-VALUE(MID(KL200,FIND("-",KL200,FIND("|",KL200))+1,10)))))*$D$50)))))*INDEX($I$200:$I$207,MATCH(LEFT(KL200,FIND("·",KL200)-1),$C$200:$C$207,0)),0),0),0)</f>
        <v>0</v>
      </c>
      <c r="KN200" s="108"/>
      <c r="KO200" s="65" t="str">
        <f>Idiomas!$D$368</f>
        <v>Pegar Valores Octavos</v>
      </c>
      <c r="KP200" s="84">
        <f t="shared" ref="KP200:KP207" si="5944">IFERROR(IF(COUNTIF($K$200:$K$207,LEFT(KO200,FIND("·",KO200)-1))&gt;0,IF(INDEX($L$200:$L$207,MATCH(LEFT(KO200,FIND("·",KO200)-1),$K$200:$K$207,0))=IFERROR(VALUE(MID(KO200,FIND("·",KO200)+1,1)),0),($D$20+(INDEX($M$200:$M$207,MATCH(LEFT(KO200,FIND("·",KO200)-1),$K$200:$K$207,0))=MID(KO200,FIND("|",KO200)+1,10))*$D$22+MAX(0,IF($D$50=1,$D$21*(1-(ABS(INDEX($P$200:$P$207,MATCH(LEFT(KO200,FIND("·",KO200)-1),$K$200:$K$207,0))-(VALUE(MID(KO200,FIND("|",KO200)+1,FIND("-",KO200,FIND("|",KO200))-FIND("|",KO200)-1))-VALUE(MID(KO200,FIND("-",KO200,FIND("|",KO200))+1,10)))))*$D$50),$D$21*(1-(IF(INDEX($L$200:$L$207,MATCH(LEFT(KO200,FIND("·",KO200)-1),$K$200:$K$207,0))=0,ABS(INDEX($N$200:$N$207,MATCH(LEFT(KO200,FIND("·",KO200)-1),$K$200:$K$207,0))-VALUE(MID(KO200,FIND("|",KO200)+1,FIND("-",KO200,FIND("|",KO200))-FIND("|",KO200)-1))),ABS(INDEX($P$200:$P$207,MATCH(LEFT(KO200,FIND("·",KO200)-1),$K$200:$K$207,0))-(VALUE(MID(KO200,FIND("|",KO200)+1,FIND("-",KO200,FIND("|",KO200))-FIND("|",KO200)-1))-VALUE(MID(KO200,FIND("-",KO200,FIND("|",KO200))+1,10)))))*$D$50)))))*INDEX($I$200:$I$207,MATCH(LEFT(KO200,FIND("·",KO200)-1),$K$200:$K$207,0)),0),0),0)+IFERROR(IF(COUNTIF($C$200:$C$207,LEFT(KO200,FIND("·",KO200)-1))&gt;0,IF(INDEX($D$200:$D$207,MATCH(LEFT(KO200,FIND("·",KO200)-1),$C$200:$C$207,0))=IFERROR(VALUE(MID(KO200,FIND("·",KO200)+1,1)),0),($D$20+(INDEX($E$200:$E$207,MATCH(LEFT(KO200,FIND("·",KO200)-1),$C$200:$C$207,0))=MID(KO200,FIND("|",KO200)+1,10))*$D$22+MAX(0,IF($D$50=1,$D$21*(1-(ABS(INDEX($Q$200:$Q$207,MATCH(LEFT(KO200,FIND("·",KO200)-1),$C$200:$C$207,0))-(VALUE(MID(KO200,FIND("|",KO200)+1,FIND("-",KO200,FIND("|",KO200))-FIND("|",KO200)-1))-VALUE(MID(KO200,FIND("-",KO200,FIND("|",KO200))+1,10)))))*$D$50),$D$21*(1-(IF(INDEX($D$200:$D$207,MATCH(LEFT(KO200,FIND("·",KO200)-1),$C$200:$C$207,0))=0,ABS(INDEX($A$200:$A$207,MATCH(LEFT(KO200,FIND("·",KO200)-1),$C$200:$C$207,0))-VALUE(MID(KO200,FIND("|",KO200)+1,FIND("-",KO200,FIND("|",KO200))-FIND("|",KO200)-1))),ABS(INDEX($Q$200:$Q$207,MATCH(LEFT(KO200,FIND("·",KO200)-1),$C$200:$C$207,0))-(VALUE(MID(KO200,FIND("|",KO200)+1,FIND("-",KO200,FIND("|",KO200))-FIND("|",KO200)-1))-VALUE(MID(KO200,FIND("-",KO200,FIND("|",KO200))+1,10)))))*$D$50)))))*INDEX($I$200:$I$207,MATCH(LEFT(KO200,FIND("·",KO200)-1),$C$200:$C$207,0)),0),0),0)</f>
        <v>0</v>
      </c>
      <c r="KQ200" s="108"/>
      <c r="KR200" s="65" t="str">
        <f>Idiomas!$D$368</f>
        <v>Pegar Valores Octavos</v>
      </c>
      <c r="KS200" s="84">
        <f t="shared" ref="KS200:KS207" si="5945">IFERROR(IF(COUNTIF($K$200:$K$207,LEFT(KR200,FIND("·",KR200)-1))&gt;0,IF(INDEX($L$200:$L$207,MATCH(LEFT(KR200,FIND("·",KR200)-1),$K$200:$K$207,0))=IFERROR(VALUE(MID(KR200,FIND("·",KR200)+1,1)),0),($D$20+(INDEX($M$200:$M$207,MATCH(LEFT(KR200,FIND("·",KR200)-1),$K$200:$K$207,0))=MID(KR200,FIND("|",KR200)+1,10))*$D$22+MAX(0,IF($D$50=1,$D$21*(1-(ABS(INDEX($P$200:$P$207,MATCH(LEFT(KR200,FIND("·",KR200)-1),$K$200:$K$207,0))-(VALUE(MID(KR200,FIND("|",KR200)+1,FIND("-",KR200,FIND("|",KR200))-FIND("|",KR200)-1))-VALUE(MID(KR200,FIND("-",KR200,FIND("|",KR200))+1,10)))))*$D$50),$D$21*(1-(IF(INDEX($L$200:$L$207,MATCH(LEFT(KR200,FIND("·",KR200)-1),$K$200:$K$207,0))=0,ABS(INDEX($N$200:$N$207,MATCH(LEFT(KR200,FIND("·",KR200)-1),$K$200:$K$207,0))-VALUE(MID(KR200,FIND("|",KR200)+1,FIND("-",KR200,FIND("|",KR200))-FIND("|",KR200)-1))),ABS(INDEX($P$200:$P$207,MATCH(LEFT(KR200,FIND("·",KR200)-1),$K$200:$K$207,0))-(VALUE(MID(KR200,FIND("|",KR200)+1,FIND("-",KR200,FIND("|",KR200))-FIND("|",KR200)-1))-VALUE(MID(KR200,FIND("-",KR200,FIND("|",KR200))+1,10)))))*$D$50)))))*INDEX($I$200:$I$207,MATCH(LEFT(KR200,FIND("·",KR200)-1),$K$200:$K$207,0)),0),0),0)+IFERROR(IF(COUNTIF($C$200:$C$207,LEFT(KR200,FIND("·",KR200)-1))&gt;0,IF(INDEX($D$200:$D$207,MATCH(LEFT(KR200,FIND("·",KR200)-1),$C$200:$C$207,0))=IFERROR(VALUE(MID(KR200,FIND("·",KR200)+1,1)),0),($D$20+(INDEX($E$200:$E$207,MATCH(LEFT(KR200,FIND("·",KR200)-1),$C$200:$C$207,0))=MID(KR200,FIND("|",KR200)+1,10))*$D$22+MAX(0,IF($D$50=1,$D$21*(1-(ABS(INDEX($Q$200:$Q$207,MATCH(LEFT(KR200,FIND("·",KR200)-1),$C$200:$C$207,0))-(VALUE(MID(KR200,FIND("|",KR200)+1,FIND("-",KR200,FIND("|",KR200))-FIND("|",KR200)-1))-VALUE(MID(KR200,FIND("-",KR200,FIND("|",KR200))+1,10)))))*$D$50),$D$21*(1-(IF(INDEX($D$200:$D$207,MATCH(LEFT(KR200,FIND("·",KR200)-1),$C$200:$C$207,0))=0,ABS(INDEX($A$200:$A$207,MATCH(LEFT(KR200,FIND("·",KR200)-1),$C$200:$C$207,0))-VALUE(MID(KR200,FIND("|",KR200)+1,FIND("-",KR200,FIND("|",KR200))-FIND("|",KR200)-1))),ABS(INDEX($Q$200:$Q$207,MATCH(LEFT(KR200,FIND("·",KR200)-1),$C$200:$C$207,0))-(VALUE(MID(KR200,FIND("|",KR200)+1,FIND("-",KR200,FIND("|",KR200))-FIND("|",KR200)-1))-VALUE(MID(KR200,FIND("-",KR200,FIND("|",KR200))+1,10)))))*$D$50)))))*INDEX($I$200:$I$207,MATCH(LEFT(KR200,FIND("·",KR200)-1),$C$200:$C$207,0)),0),0),0)</f>
        <v>0</v>
      </c>
      <c r="KT200" s="108"/>
      <c r="KU200" s="65" t="str">
        <f>Idiomas!$D$368</f>
        <v>Pegar Valores Octavos</v>
      </c>
      <c r="KV200" s="84">
        <f t="shared" ref="KV200:KV207" si="5946">IFERROR(IF(COUNTIF($K$200:$K$207,LEFT(KU200,FIND("·",KU200)-1))&gt;0,IF(INDEX($L$200:$L$207,MATCH(LEFT(KU200,FIND("·",KU200)-1),$K$200:$K$207,0))=IFERROR(VALUE(MID(KU200,FIND("·",KU200)+1,1)),0),($D$20+(INDEX($M$200:$M$207,MATCH(LEFT(KU200,FIND("·",KU200)-1),$K$200:$K$207,0))=MID(KU200,FIND("|",KU200)+1,10))*$D$22+MAX(0,IF($D$50=1,$D$21*(1-(ABS(INDEX($P$200:$P$207,MATCH(LEFT(KU200,FIND("·",KU200)-1),$K$200:$K$207,0))-(VALUE(MID(KU200,FIND("|",KU200)+1,FIND("-",KU200,FIND("|",KU200))-FIND("|",KU200)-1))-VALUE(MID(KU200,FIND("-",KU200,FIND("|",KU200))+1,10)))))*$D$50),$D$21*(1-(IF(INDEX($L$200:$L$207,MATCH(LEFT(KU200,FIND("·",KU200)-1),$K$200:$K$207,0))=0,ABS(INDEX($N$200:$N$207,MATCH(LEFT(KU200,FIND("·",KU200)-1),$K$200:$K$207,0))-VALUE(MID(KU200,FIND("|",KU200)+1,FIND("-",KU200,FIND("|",KU200))-FIND("|",KU200)-1))),ABS(INDEX($P$200:$P$207,MATCH(LEFT(KU200,FIND("·",KU200)-1),$K$200:$K$207,0))-(VALUE(MID(KU200,FIND("|",KU200)+1,FIND("-",KU200,FIND("|",KU200))-FIND("|",KU200)-1))-VALUE(MID(KU200,FIND("-",KU200,FIND("|",KU200))+1,10)))))*$D$50)))))*INDEX($I$200:$I$207,MATCH(LEFT(KU200,FIND("·",KU200)-1),$K$200:$K$207,0)),0),0),0)+IFERROR(IF(COUNTIF($C$200:$C$207,LEFT(KU200,FIND("·",KU200)-1))&gt;0,IF(INDEX($D$200:$D$207,MATCH(LEFT(KU200,FIND("·",KU200)-1),$C$200:$C$207,0))=IFERROR(VALUE(MID(KU200,FIND("·",KU200)+1,1)),0),($D$20+(INDEX($E$200:$E$207,MATCH(LEFT(KU200,FIND("·",KU200)-1),$C$200:$C$207,0))=MID(KU200,FIND("|",KU200)+1,10))*$D$22+MAX(0,IF($D$50=1,$D$21*(1-(ABS(INDEX($Q$200:$Q$207,MATCH(LEFT(KU200,FIND("·",KU200)-1),$C$200:$C$207,0))-(VALUE(MID(KU200,FIND("|",KU200)+1,FIND("-",KU200,FIND("|",KU200))-FIND("|",KU200)-1))-VALUE(MID(KU200,FIND("-",KU200,FIND("|",KU200))+1,10)))))*$D$50),$D$21*(1-(IF(INDEX($D$200:$D$207,MATCH(LEFT(KU200,FIND("·",KU200)-1),$C$200:$C$207,0))=0,ABS(INDEX($A$200:$A$207,MATCH(LEFT(KU200,FIND("·",KU200)-1),$C$200:$C$207,0))-VALUE(MID(KU200,FIND("|",KU200)+1,FIND("-",KU200,FIND("|",KU200))-FIND("|",KU200)-1))),ABS(INDEX($Q$200:$Q$207,MATCH(LEFT(KU200,FIND("·",KU200)-1),$C$200:$C$207,0))-(VALUE(MID(KU200,FIND("|",KU200)+1,FIND("-",KU200,FIND("|",KU200))-FIND("|",KU200)-1))-VALUE(MID(KU200,FIND("-",KU200,FIND("|",KU200))+1,10)))))*$D$50)))))*INDEX($I$200:$I$207,MATCH(LEFT(KU200,FIND("·",KU200)-1),$C$200:$C$207,0)),0),0),0)</f>
        <v>0</v>
      </c>
      <c r="KW200" s="108"/>
      <c r="KX200" s="65" t="str">
        <f>Idiomas!$D$368</f>
        <v>Pegar Valores Octavos</v>
      </c>
      <c r="KY200" s="84">
        <f t="shared" ref="KY200:KY207" si="5947">IFERROR(IF(COUNTIF($K$200:$K$207,LEFT(KX200,FIND("·",KX200)-1))&gt;0,IF(INDEX($L$200:$L$207,MATCH(LEFT(KX200,FIND("·",KX200)-1),$K$200:$K$207,0))=IFERROR(VALUE(MID(KX200,FIND("·",KX200)+1,1)),0),($D$20+(INDEX($M$200:$M$207,MATCH(LEFT(KX200,FIND("·",KX200)-1),$K$200:$K$207,0))=MID(KX200,FIND("|",KX200)+1,10))*$D$22+MAX(0,IF($D$50=1,$D$21*(1-(ABS(INDEX($P$200:$P$207,MATCH(LEFT(KX200,FIND("·",KX200)-1),$K$200:$K$207,0))-(VALUE(MID(KX200,FIND("|",KX200)+1,FIND("-",KX200,FIND("|",KX200))-FIND("|",KX200)-1))-VALUE(MID(KX200,FIND("-",KX200,FIND("|",KX200))+1,10)))))*$D$50),$D$21*(1-(IF(INDEX($L$200:$L$207,MATCH(LEFT(KX200,FIND("·",KX200)-1),$K$200:$K$207,0))=0,ABS(INDEX($N$200:$N$207,MATCH(LEFT(KX200,FIND("·",KX200)-1),$K$200:$K$207,0))-VALUE(MID(KX200,FIND("|",KX200)+1,FIND("-",KX200,FIND("|",KX200))-FIND("|",KX200)-1))),ABS(INDEX($P$200:$P$207,MATCH(LEFT(KX200,FIND("·",KX200)-1),$K$200:$K$207,0))-(VALUE(MID(KX200,FIND("|",KX200)+1,FIND("-",KX200,FIND("|",KX200))-FIND("|",KX200)-1))-VALUE(MID(KX200,FIND("-",KX200,FIND("|",KX200))+1,10)))))*$D$50)))))*INDEX($I$200:$I$207,MATCH(LEFT(KX200,FIND("·",KX200)-1),$K$200:$K$207,0)),0),0),0)+IFERROR(IF(COUNTIF($C$200:$C$207,LEFT(KX200,FIND("·",KX200)-1))&gt;0,IF(INDEX($D$200:$D$207,MATCH(LEFT(KX200,FIND("·",KX200)-1),$C$200:$C$207,0))=IFERROR(VALUE(MID(KX200,FIND("·",KX200)+1,1)),0),($D$20+(INDEX($E$200:$E$207,MATCH(LEFT(KX200,FIND("·",KX200)-1),$C$200:$C$207,0))=MID(KX200,FIND("|",KX200)+1,10))*$D$22+MAX(0,IF($D$50=1,$D$21*(1-(ABS(INDEX($Q$200:$Q$207,MATCH(LEFT(KX200,FIND("·",KX200)-1),$C$200:$C$207,0))-(VALUE(MID(KX200,FIND("|",KX200)+1,FIND("-",KX200,FIND("|",KX200))-FIND("|",KX200)-1))-VALUE(MID(KX200,FIND("-",KX200,FIND("|",KX200))+1,10)))))*$D$50),$D$21*(1-(IF(INDEX($D$200:$D$207,MATCH(LEFT(KX200,FIND("·",KX200)-1),$C$200:$C$207,0))=0,ABS(INDEX($A$200:$A$207,MATCH(LEFT(KX200,FIND("·",KX200)-1),$C$200:$C$207,0))-VALUE(MID(KX200,FIND("|",KX200)+1,FIND("-",KX200,FIND("|",KX200))-FIND("|",KX200)-1))),ABS(INDEX($Q$200:$Q$207,MATCH(LEFT(KX200,FIND("·",KX200)-1),$C$200:$C$207,0))-(VALUE(MID(KX200,FIND("|",KX200)+1,FIND("-",KX200,FIND("|",KX200))-FIND("|",KX200)-1))-VALUE(MID(KX200,FIND("-",KX200,FIND("|",KX200))+1,10)))))*$D$50)))))*INDEX($I$200:$I$207,MATCH(LEFT(KX200,FIND("·",KX200)-1),$C$200:$C$207,0)),0),0),0)</f>
        <v>0</v>
      </c>
      <c r="KZ200" s="108"/>
      <c r="LA200" s="65" t="str">
        <f>Idiomas!$D$368</f>
        <v>Pegar Valores Octavos</v>
      </c>
      <c r="LB200" s="84">
        <f t="shared" ref="LB200:LB207" si="5948">IFERROR(IF(COUNTIF($K$200:$K$207,LEFT(LA200,FIND("·",LA200)-1))&gt;0,IF(INDEX($L$200:$L$207,MATCH(LEFT(LA200,FIND("·",LA200)-1),$K$200:$K$207,0))=IFERROR(VALUE(MID(LA200,FIND("·",LA200)+1,1)),0),($D$20+(INDEX($M$200:$M$207,MATCH(LEFT(LA200,FIND("·",LA200)-1),$K$200:$K$207,0))=MID(LA200,FIND("|",LA200)+1,10))*$D$22+MAX(0,IF($D$50=1,$D$21*(1-(ABS(INDEX($P$200:$P$207,MATCH(LEFT(LA200,FIND("·",LA200)-1),$K$200:$K$207,0))-(VALUE(MID(LA200,FIND("|",LA200)+1,FIND("-",LA200,FIND("|",LA200))-FIND("|",LA200)-1))-VALUE(MID(LA200,FIND("-",LA200,FIND("|",LA200))+1,10)))))*$D$50),$D$21*(1-(IF(INDEX($L$200:$L$207,MATCH(LEFT(LA200,FIND("·",LA200)-1),$K$200:$K$207,0))=0,ABS(INDEX($N$200:$N$207,MATCH(LEFT(LA200,FIND("·",LA200)-1),$K$200:$K$207,0))-VALUE(MID(LA200,FIND("|",LA200)+1,FIND("-",LA200,FIND("|",LA200))-FIND("|",LA200)-1))),ABS(INDEX($P$200:$P$207,MATCH(LEFT(LA200,FIND("·",LA200)-1),$K$200:$K$207,0))-(VALUE(MID(LA200,FIND("|",LA200)+1,FIND("-",LA200,FIND("|",LA200))-FIND("|",LA200)-1))-VALUE(MID(LA200,FIND("-",LA200,FIND("|",LA200))+1,10)))))*$D$50)))))*INDEX($I$200:$I$207,MATCH(LEFT(LA200,FIND("·",LA200)-1),$K$200:$K$207,0)),0),0),0)+IFERROR(IF(COUNTIF($C$200:$C$207,LEFT(LA200,FIND("·",LA200)-1))&gt;0,IF(INDEX($D$200:$D$207,MATCH(LEFT(LA200,FIND("·",LA200)-1),$C$200:$C$207,0))=IFERROR(VALUE(MID(LA200,FIND("·",LA200)+1,1)),0),($D$20+(INDEX($E$200:$E$207,MATCH(LEFT(LA200,FIND("·",LA200)-1),$C$200:$C$207,0))=MID(LA200,FIND("|",LA200)+1,10))*$D$22+MAX(0,IF($D$50=1,$D$21*(1-(ABS(INDEX($Q$200:$Q$207,MATCH(LEFT(LA200,FIND("·",LA200)-1),$C$200:$C$207,0))-(VALUE(MID(LA200,FIND("|",LA200)+1,FIND("-",LA200,FIND("|",LA200))-FIND("|",LA200)-1))-VALUE(MID(LA200,FIND("-",LA200,FIND("|",LA200))+1,10)))))*$D$50),$D$21*(1-(IF(INDEX($D$200:$D$207,MATCH(LEFT(LA200,FIND("·",LA200)-1),$C$200:$C$207,0))=0,ABS(INDEX($A$200:$A$207,MATCH(LEFT(LA200,FIND("·",LA200)-1),$C$200:$C$207,0))-VALUE(MID(LA200,FIND("|",LA200)+1,FIND("-",LA200,FIND("|",LA200))-FIND("|",LA200)-1))),ABS(INDEX($Q$200:$Q$207,MATCH(LEFT(LA200,FIND("·",LA200)-1),$C$200:$C$207,0))-(VALUE(MID(LA200,FIND("|",LA200)+1,FIND("-",LA200,FIND("|",LA200))-FIND("|",LA200)-1))-VALUE(MID(LA200,FIND("-",LA200,FIND("|",LA200))+1,10)))))*$D$50)))))*INDEX($I$200:$I$207,MATCH(LEFT(LA200,FIND("·",LA200)-1),$C$200:$C$207,0)),0),0),0)</f>
        <v>0</v>
      </c>
      <c r="LC200" s="108"/>
      <c r="LD200" s="65" t="str">
        <f>Idiomas!$D$368</f>
        <v>Pegar Valores Octavos</v>
      </c>
      <c r="LE200" s="84">
        <f t="shared" ref="LE200:LE207" si="5949">IFERROR(IF(COUNTIF($K$200:$K$207,LEFT(LD200,FIND("·",LD200)-1))&gt;0,IF(INDEX($L$200:$L$207,MATCH(LEFT(LD200,FIND("·",LD200)-1),$K$200:$K$207,0))=IFERROR(VALUE(MID(LD200,FIND("·",LD200)+1,1)),0),($D$20+(INDEX($M$200:$M$207,MATCH(LEFT(LD200,FIND("·",LD200)-1),$K$200:$K$207,0))=MID(LD200,FIND("|",LD200)+1,10))*$D$22+MAX(0,IF($D$50=1,$D$21*(1-(ABS(INDEX($P$200:$P$207,MATCH(LEFT(LD200,FIND("·",LD200)-1),$K$200:$K$207,0))-(VALUE(MID(LD200,FIND("|",LD200)+1,FIND("-",LD200,FIND("|",LD200))-FIND("|",LD200)-1))-VALUE(MID(LD200,FIND("-",LD200,FIND("|",LD200))+1,10)))))*$D$50),$D$21*(1-(IF(INDEX($L$200:$L$207,MATCH(LEFT(LD200,FIND("·",LD200)-1),$K$200:$K$207,0))=0,ABS(INDEX($N$200:$N$207,MATCH(LEFT(LD200,FIND("·",LD200)-1),$K$200:$K$207,0))-VALUE(MID(LD200,FIND("|",LD200)+1,FIND("-",LD200,FIND("|",LD200))-FIND("|",LD200)-1))),ABS(INDEX($P$200:$P$207,MATCH(LEFT(LD200,FIND("·",LD200)-1),$K$200:$K$207,0))-(VALUE(MID(LD200,FIND("|",LD200)+1,FIND("-",LD200,FIND("|",LD200))-FIND("|",LD200)-1))-VALUE(MID(LD200,FIND("-",LD200,FIND("|",LD200))+1,10)))))*$D$50)))))*INDEX($I$200:$I$207,MATCH(LEFT(LD200,FIND("·",LD200)-1),$K$200:$K$207,0)),0),0),0)+IFERROR(IF(COUNTIF($C$200:$C$207,LEFT(LD200,FIND("·",LD200)-1))&gt;0,IF(INDEX($D$200:$D$207,MATCH(LEFT(LD200,FIND("·",LD200)-1),$C$200:$C$207,0))=IFERROR(VALUE(MID(LD200,FIND("·",LD200)+1,1)),0),($D$20+(INDEX($E$200:$E$207,MATCH(LEFT(LD200,FIND("·",LD200)-1),$C$200:$C$207,0))=MID(LD200,FIND("|",LD200)+1,10))*$D$22+MAX(0,IF($D$50=1,$D$21*(1-(ABS(INDEX($Q$200:$Q$207,MATCH(LEFT(LD200,FIND("·",LD200)-1),$C$200:$C$207,0))-(VALUE(MID(LD200,FIND("|",LD200)+1,FIND("-",LD200,FIND("|",LD200))-FIND("|",LD200)-1))-VALUE(MID(LD200,FIND("-",LD200,FIND("|",LD200))+1,10)))))*$D$50),$D$21*(1-(IF(INDEX($D$200:$D$207,MATCH(LEFT(LD200,FIND("·",LD200)-1),$C$200:$C$207,0))=0,ABS(INDEX($A$200:$A$207,MATCH(LEFT(LD200,FIND("·",LD200)-1),$C$200:$C$207,0))-VALUE(MID(LD200,FIND("|",LD200)+1,FIND("-",LD200,FIND("|",LD200))-FIND("|",LD200)-1))),ABS(INDEX($Q$200:$Q$207,MATCH(LEFT(LD200,FIND("·",LD200)-1),$C$200:$C$207,0))-(VALUE(MID(LD200,FIND("|",LD200)+1,FIND("-",LD200,FIND("|",LD200))-FIND("|",LD200)-1))-VALUE(MID(LD200,FIND("-",LD200,FIND("|",LD200))+1,10)))))*$D$50)))))*INDEX($I$200:$I$207,MATCH(LEFT(LD200,FIND("·",LD200)-1),$C$200:$C$207,0)),0),0),0)</f>
        <v>0</v>
      </c>
      <c r="LF200" s="108"/>
    </row>
    <row r="201" spans="1:318" s="784" customFormat="1">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6">
        <f t="shared" ref="F201:F207" si="5950">SUM($D$20:$D$22)*I201</f>
        <v>30</v>
      </c>
      <c r="G201" s="406">
        <f ca="1">VLOOKUP(H201,Equipos!$Q$1:$R$25,2,0)</f>
        <v>21</v>
      </c>
      <c r="H201" s="64" t="str">
        <f>Idiomas!$D$261</f>
        <v>Octavos de final</v>
      </c>
      <c r="I201" s="45">
        <v>1</v>
      </c>
      <c r="J201" s="843"/>
      <c r="K201" s="56" t="str">
        <f>CONCATENATE(WORLDCUP!AA121,"-",WORLDCUP!AF121)</f>
        <v>W74-W77</v>
      </c>
      <c r="L201" s="53" t="str">
        <f>IF(OR(WORLDCUP!AC121="",WORLDCUP!AD121=""),"PD",IF(WORLDCUP!AC121&gt;WORLDCUP!AD121,1,IF(WORLDCUP!AC121&lt;WORLDCUP!AD121,2,0)))</f>
        <v>PD</v>
      </c>
      <c r="M201" s="55" t="str">
        <f t="shared" si="5847"/>
        <v>-</v>
      </c>
      <c r="N201" s="25">
        <f>WORLDCUP!AC121</f>
        <v>0</v>
      </c>
      <c r="O201" s="25">
        <f>WORLDCUP!AD121</f>
        <v>0</v>
      </c>
      <c r="P201" s="25">
        <f t="shared" si="5848"/>
        <v>0</v>
      </c>
      <c r="Q201" s="25">
        <f t="shared" si="5849"/>
        <v>0</v>
      </c>
      <c r="R201" s="108"/>
      <c r="S201" s="798" t="s">
        <v>1981</v>
      </c>
      <c r="T201" s="72">
        <f t="shared" si="5850"/>
        <v>0</v>
      </c>
      <c r="U201" s="108"/>
      <c r="V201" s="79" t="s">
        <v>2026</v>
      </c>
      <c r="W201" s="72">
        <f t="shared" si="5851"/>
        <v>0</v>
      </c>
      <c r="X201" s="108"/>
      <c r="Y201" s="798" t="s">
        <v>2069</v>
      </c>
      <c r="Z201" s="72">
        <f t="shared" si="5852"/>
        <v>0</v>
      </c>
      <c r="AA201" s="108"/>
      <c r="AB201" s="798" t="s">
        <v>2104</v>
      </c>
      <c r="AC201" s="72">
        <f t="shared" si="5853"/>
        <v>0</v>
      </c>
      <c r="AD201" s="108"/>
      <c r="AE201" s="798" t="s">
        <v>2142</v>
      </c>
      <c r="AF201" s="72">
        <f t="shared" ref="AF201:AF207" si="5951">IFERROR(IF(COUNTIF($K$200:$K$207,LEFT(AE201,FIND("·",AE201)-1))&gt;0,IF(INDEX($L$200:$L$207,MATCH(LEFT(AE201,FIND("·",AE201)-1),$K$200:$K$207,0))=IFERROR(VALUE(MID(AE201,FIND("·",AE201)+1,1)),0),($D$20+(INDEX($M$200:$M$207,MATCH(LEFT(AE201,FIND("·",AE201)-1),$K$200:$K$207,0))=MID(AE201,FIND("|",AE201)+1,10))*$D$22+MAX(0,IF($D$50=1,$D$21*(1-(ABS(INDEX($P$200:$P$207,MATCH(LEFT(AE201,FIND("·",AE201)-1),$K$200:$K$207,0))-(VALUE(MID(AE201,FIND("|",AE201)+1,FIND("-",AE201,FIND("|",AE201))-FIND("|",AE201)-1))-VALUE(MID(AE201,FIND("-",AE201,FIND("|",AE201))+1,10)))))*$D$50),$D$21*(1-(IF(INDEX($L$200:$L$207,MATCH(LEFT(AE201,FIND("·",AE201)-1),$K$200:$K$207,0))=0,ABS(INDEX($N$200:$N$207,MATCH(LEFT(AE201,FIND("·",AE201)-1),$K$200:$K$207,0))-VALUE(MID(AE201,FIND("|",AE201)+1,FIND("-",AE201,FIND("|",AE201))-FIND("|",AE201)-1))),ABS(INDEX($P$200:$P$207,MATCH(LEFT(AE201,FIND("·",AE201)-1),$K$200:$K$207,0))-(VALUE(MID(AE201,FIND("|",AE201)+1,FIND("-",AE201,FIND("|",AE201))-FIND("|",AE201)-1))-VALUE(MID(AE201,FIND("-",AE201,FIND("|",AE201))+1,10)))))*$D$50)))))*INDEX($I$200:$I$207,MATCH(LEFT(AE201,FIND("·",AE201)-1),$K$200:$K$207,0)),0),0),0)+IFERROR(IF(COUNTIF($C$200:$C$207,LEFT(AE201,FIND("·",AE201)-1))&gt;0,IF(INDEX($D$200:$D$207,MATCH(LEFT(AE201,FIND("·",AE201)-1),$C$200:$C$207,0))=IFERROR(VALUE(MID(AE201,FIND("·",AE201)+1,1)),0),($D$20+(INDEX($E$200:$E$207,MATCH(LEFT(AE201,FIND("·",AE201)-1),$C$200:$C$207,0))=MID(AE201,FIND("|",AE201)+1,10))*$D$22+MAX(0,IF($D$50=1,$D$21*(1-(ABS(INDEX($Q$200:$Q$207,MATCH(LEFT(AE201,FIND("·",AE201)-1),$C$200:$C$207,0))-(VALUE(MID(AE201,FIND("|",AE201)+1,FIND("-",AE201,FIND("|",AE201))-FIND("|",AE201)-1))-VALUE(MID(AE201,FIND("-",AE201,FIND("|",AE201))+1,10)))))*$D$50),$D$21*(1-(IF(INDEX($D$200:$D$207,MATCH(LEFT(AE201,FIND("·",AE201)-1),$C$200:$C$207,0))=0,ABS(INDEX($A$200:$A$207,MATCH(LEFT(AE201,FIND("·",AE201)-1),$C$200:$C$207,0))-VALUE(MID(AE201,FIND("|",AE201)+1,FIND("-",AE201,FIND("|",AE201))-FIND("|",AE201)-1))),ABS(INDEX($Q$200:$Q$207,MATCH(LEFT(AE201,FIND("·",AE201)-1),$C$200:$C$207,0))-(VALUE(MID(AE201,FIND("|",AE201)+1,FIND("-",AE201,FIND("|",AE201))-FIND("|",AE201)-1))-VALUE(MID(AE201,FIND("-",AE201,FIND("|",AE201))+1,10)))))*$D$50)))))*INDEX($I$200:$I$207,MATCH(LEFT(AE201,FIND("·",AE201)-1),$C$200:$C$207,0)),0),0),0)</f>
        <v>0</v>
      </c>
      <c r="AG201" s="108"/>
      <c r="AH201" s="798" t="s">
        <v>2174</v>
      </c>
      <c r="AI201" s="72">
        <f t="shared" si="5855"/>
        <v>0</v>
      </c>
      <c r="AJ201" s="108"/>
      <c r="AK201" s="806" t="s">
        <v>2212</v>
      </c>
      <c r="AL201" s="72">
        <f t="shared" si="5856"/>
        <v>0</v>
      </c>
      <c r="AM201" s="108"/>
      <c r="AN201" s="798" t="s">
        <v>2238</v>
      </c>
      <c r="AO201" s="72">
        <f t="shared" si="5857"/>
        <v>0</v>
      </c>
      <c r="AP201" s="108"/>
      <c r="AQ201" s="806" t="s">
        <v>2267</v>
      </c>
      <c r="AR201" s="72">
        <f t="shared" si="5858"/>
        <v>0</v>
      </c>
      <c r="AS201" s="108"/>
      <c r="AT201" s="798" t="s">
        <v>2302</v>
      </c>
      <c r="AU201" s="72">
        <f t="shared" si="5859"/>
        <v>0</v>
      </c>
      <c r="AV201" s="108"/>
      <c r="AW201" s="798" t="s">
        <v>2104</v>
      </c>
      <c r="AX201" s="72">
        <f t="shared" si="5860"/>
        <v>0</v>
      </c>
      <c r="AY201" s="108"/>
      <c r="AZ201" s="798" t="s">
        <v>2368</v>
      </c>
      <c r="BA201" s="72">
        <f t="shared" si="5861"/>
        <v>0</v>
      </c>
      <c r="BB201" s="108"/>
      <c r="BC201" s="798" t="s">
        <v>2403</v>
      </c>
      <c r="BD201" s="72">
        <f t="shared" si="5862"/>
        <v>0</v>
      </c>
      <c r="BE201" s="108"/>
      <c r="BF201" s="798" t="s">
        <v>2130</v>
      </c>
      <c r="BG201" s="72">
        <f t="shared" si="5863"/>
        <v>0</v>
      </c>
      <c r="BH201" s="108"/>
      <c r="BI201" s="798" t="s">
        <v>2463</v>
      </c>
      <c r="BJ201" s="72">
        <f t="shared" si="5864"/>
        <v>0</v>
      </c>
      <c r="BK201" s="108"/>
      <c r="BL201" s="798" t="s">
        <v>2174</v>
      </c>
      <c r="BM201" s="72">
        <f t="shared" si="5865"/>
        <v>0</v>
      </c>
      <c r="BN201" s="108"/>
      <c r="BO201" s="816" t="s">
        <v>2463</v>
      </c>
      <c r="BP201" s="72">
        <f t="shared" si="5866"/>
        <v>0</v>
      </c>
      <c r="BQ201" s="108"/>
      <c r="BR201" s="798" t="s">
        <v>2524</v>
      </c>
      <c r="BS201" s="72">
        <f t="shared" si="5867"/>
        <v>0</v>
      </c>
      <c r="BT201" s="108"/>
      <c r="BU201" s="798" t="s">
        <v>2541</v>
      </c>
      <c r="BV201" s="72">
        <f t="shared" si="5868"/>
        <v>0</v>
      </c>
      <c r="BW201" s="108"/>
      <c r="BX201" s="79" t="s">
        <v>2463</v>
      </c>
      <c r="BY201" s="72">
        <f t="shared" si="5869"/>
        <v>0</v>
      </c>
      <c r="BZ201" s="108"/>
      <c r="CA201" s="816" t="s">
        <v>2463</v>
      </c>
      <c r="CB201" s="72">
        <f t="shared" si="5870"/>
        <v>0</v>
      </c>
      <c r="CC201" s="108"/>
      <c r="CD201" s="825" t="s">
        <v>2463</v>
      </c>
      <c r="CE201" s="72">
        <f t="shared" si="5871"/>
        <v>0</v>
      </c>
      <c r="CF201" s="108"/>
      <c r="CG201" s="798" t="s">
        <v>2056</v>
      </c>
      <c r="CH201" s="72">
        <f t="shared" si="5872"/>
        <v>0</v>
      </c>
      <c r="CI201" s="108"/>
      <c r="CJ201" s="798" t="s">
        <v>2142</v>
      </c>
      <c r="CK201" s="72">
        <f t="shared" si="5873"/>
        <v>0</v>
      </c>
      <c r="CL201" s="108"/>
      <c r="CM201" s="798" t="s">
        <v>2142</v>
      </c>
      <c r="CN201" s="72">
        <f t="shared" si="5874"/>
        <v>0</v>
      </c>
      <c r="CO201" s="108"/>
      <c r="CP201" s="798" t="s">
        <v>2142</v>
      </c>
      <c r="CQ201" s="72">
        <f t="shared" si="5875"/>
        <v>0</v>
      </c>
      <c r="CR201" s="108"/>
      <c r="CS201" s="798" t="s">
        <v>2212</v>
      </c>
      <c r="CT201" s="72">
        <f t="shared" si="5876"/>
        <v>0</v>
      </c>
      <c r="CU201" s="108"/>
      <c r="CV201" s="798" t="s">
        <v>2729</v>
      </c>
      <c r="CW201" s="72">
        <f t="shared" si="5877"/>
        <v>0</v>
      </c>
      <c r="CX201" s="108"/>
      <c r="CY201" s="798" t="s">
        <v>2142</v>
      </c>
      <c r="CZ201" s="72">
        <f t="shared" si="5878"/>
        <v>0</v>
      </c>
      <c r="DA201" s="108"/>
      <c r="DB201" s="798" t="s">
        <v>2026</v>
      </c>
      <c r="DC201" s="72">
        <f t="shared" si="5879"/>
        <v>0</v>
      </c>
      <c r="DD201" s="108"/>
      <c r="DE201" s="798" t="s">
        <v>2403</v>
      </c>
      <c r="DF201" s="72">
        <f t="shared" si="5880"/>
        <v>0</v>
      </c>
      <c r="DG201" s="108"/>
      <c r="DH201" s="798" t="s">
        <v>1981</v>
      </c>
      <c r="DI201" s="72">
        <f t="shared" si="5881"/>
        <v>0</v>
      </c>
      <c r="DJ201" s="108"/>
      <c r="DK201" s="798" t="s">
        <v>2142</v>
      </c>
      <c r="DL201" s="72">
        <f t="shared" si="5882"/>
        <v>0</v>
      </c>
      <c r="DM201" s="108"/>
      <c r="DN201" s="79"/>
      <c r="DO201" s="72">
        <f t="shared" si="5883"/>
        <v>0</v>
      </c>
      <c r="DP201" s="108"/>
      <c r="DQ201" s="798" t="s">
        <v>2142</v>
      </c>
      <c r="DR201" s="72">
        <f t="shared" si="5884"/>
        <v>0</v>
      </c>
      <c r="DS201" s="108"/>
      <c r="DT201" s="79" t="s">
        <v>2463</v>
      </c>
      <c r="DU201" s="72">
        <f t="shared" si="5885"/>
        <v>0</v>
      </c>
      <c r="DV201" s="108"/>
      <c r="DW201" s="79"/>
      <c r="DX201" s="72">
        <f t="shared" si="5886"/>
        <v>0</v>
      </c>
      <c r="DY201" s="108"/>
      <c r="DZ201" s="79"/>
      <c r="EA201" s="72">
        <f t="shared" si="5887"/>
        <v>0</v>
      </c>
      <c r="EB201" s="108"/>
      <c r="EC201" s="79"/>
      <c r="ED201" s="72">
        <f t="shared" si="5888"/>
        <v>0</v>
      </c>
      <c r="EE201" s="108"/>
      <c r="EF201" s="79"/>
      <c r="EG201" s="72">
        <f t="shared" si="5889"/>
        <v>0</v>
      </c>
      <c r="EH201" s="108"/>
      <c r="EI201" s="79"/>
      <c r="EJ201" s="72">
        <f t="shared" si="5890"/>
        <v>0</v>
      </c>
      <c r="EK201" s="108"/>
      <c r="EL201" s="79"/>
      <c r="EM201" s="72">
        <f t="shared" si="5891"/>
        <v>0</v>
      </c>
      <c r="EN201" s="108"/>
      <c r="EO201" s="79"/>
      <c r="EP201" s="72">
        <f t="shared" si="5892"/>
        <v>0</v>
      </c>
      <c r="EQ201" s="108"/>
      <c r="ER201" s="79"/>
      <c r="ES201" s="72">
        <f t="shared" si="5893"/>
        <v>0</v>
      </c>
      <c r="ET201" s="108"/>
      <c r="EU201" s="79"/>
      <c r="EV201" s="72">
        <f t="shared" si="5894"/>
        <v>0</v>
      </c>
      <c r="EW201" s="108"/>
      <c r="EX201" s="79"/>
      <c r="EY201" s="72">
        <f t="shared" si="5895"/>
        <v>0</v>
      </c>
      <c r="EZ201" s="108"/>
      <c r="FA201" s="79"/>
      <c r="FB201" s="72">
        <f t="shared" si="5896"/>
        <v>0</v>
      </c>
      <c r="FC201" s="108"/>
      <c r="FD201" s="79"/>
      <c r="FE201" s="72">
        <f t="shared" si="5897"/>
        <v>0</v>
      </c>
      <c r="FF201" s="108"/>
      <c r="FG201" s="79"/>
      <c r="FH201" s="72">
        <f t="shared" si="5898"/>
        <v>0</v>
      </c>
      <c r="FI201" s="108"/>
      <c r="FJ201" s="79"/>
      <c r="FK201" s="72">
        <f t="shared" si="5899"/>
        <v>0</v>
      </c>
      <c r="FL201" s="108"/>
      <c r="FM201" s="79"/>
      <c r="FN201" s="72">
        <f t="shared" si="5900"/>
        <v>0</v>
      </c>
      <c r="FO201" s="108"/>
      <c r="FP201" s="79"/>
      <c r="FQ201" s="72">
        <f t="shared" si="5901"/>
        <v>0</v>
      </c>
      <c r="FR201" s="108"/>
      <c r="FS201" s="79"/>
      <c r="FT201" s="72">
        <f t="shared" si="5902"/>
        <v>0</v>
      </c>
      <c r="FU201" s="108"/>
      <c r="FV201" s="79"/>
      <c r="FW201" s="72">
        <f t="shared" si="5903"/>
        <v>0</v>
      </c>
      <c r="FX201" s="108"/>
      <c r="FY201" s="79"/>
      <c r="FZ201" s="72">
        <f t="shared" si="5904"/>
        <v>0</v>
      </c>
      <c r="GA201" s="108"/>
      <c r="GB201" s="79"/>
      <c r="GC201" s="72">
        <f t="shared" si="5905"/>
        <v>0</v>
      </c>
      <c r="GD201" s="108"/>
      <c r="GE201" s="79"/>
      <c r="GF201" s="72">
        <f t="shared" si="5906"/>
        <v>0</v>
      </c>
      <c r="GG201" s="108"/>
      <c r="GH201" s="79"/>
      <c r="GI201" s="72">
        <f t="shared" si="5907"/>
        <v>0</v>
      </c>
      <c r="GJ201" s="108"/>
      <c r="GK201" s="79"/>
      <c r="GL201" s="72">
        <f t="shared" si="5908"/>
        <v>0</v>
      </c>
      <c r="GM201" s="108"/>
      <c r="GN201" s="79"/>
      <c r="GO201" s="72">
        <f t="shared" si="5909"/>
        <v>0</v>
      </c>
      <c r="GP201" s="108"/>
      <c r="GQ201" s="79"/>
      <c r="GR201" s="72">
        <f t="shared" si="5910"/>
        <v>0</v>
      </c>
      <c r="GS201" s="108"/>
      <c r="GT201" s="79"/>
      <c r="GU201" s="72">
        <f t="shared" si="5911"/>
        <v>0</v>
      </c>
      <c r="GV201" s="108"/>
      <c r="GW201" s="79"/>
      <c r="GX201" s="72">
        <f t="shared" si="5912"/>
        <v>0</v>
      </c>
      <c r="GY201" s="108"/>
      <c r="GZ201" s="79"/>
      <c r="HA201" s="72">
        <f t="shared" si="5913"/>
        <v>0</v>
      </c>
      <c r="HB201" s="108"/>
      <c r="HC201" s="79"/>
      <c r="HD201" s="72">
        <f t="shared" si="5914"/>
        <v>0</v>
      </c>
      <c r="HE201" s="108"/>
      <c r="HF201" s="79"/>
      <c r="HG201" s="72">
        <f t="shared" si="5915"/>
        <v>0</v>
      </c>
      <c r="HH201" s="108"/>
      <c r="HI201" s="79"/>
      <c r="HJ201" s="72">
        <f t="shared" si="5916"/>
        <v>0</v>
      </c>
      <c r="HK201" s="108"/>
      <c r="HL201" s="79"/>
      <c r="HM201" s="72">
        <f t="shared" si="5917"/>
        <v>0</v>
      </c>
      <c r="HN201" s="108"/>
      <c r="HO201" s="79"/>
      <c r="HP201" s="72">
        <f t="shared" si="5918"/>
        <v>0</v>
      </c>
      <c r="HQ201" s="108"/>
      <c r="HR201" s="79"/>
      <c r="HS201" s="72">
        <f t="shared" si="5919"/>
        <v>0</v>
      </c>
      <c r="HT201" s="108"/>
      <c r="HU201" s="79"/>
      <c r="HV201" s="72">
        <f t="shared" si="5920"/>
        <v>0</v>
      </c>
      <c r="HW201" s="108"/>
      <c r="HX201" s="79"/>
      <c r="HY201" s="72">
        <f t="shared" si="5921"/>
        <v>0</v>
      </c>
      <c r="HZ201" s="108"/>
      <c r="IA201" s="79"/>
      <c r="IB201" s="72">
        <f t="shared" si="5922"/>
        <v>0</v>
      </c>
      <c r="IC201" s="108"/>
      <c r="ID201" s="79"/>
      <c r="IE201" s="72">
        <f t="shared" si="5923"/>
        <v>0</v>
      </c>
      <c r="IF201" s="108"/>
      <c r="IG201" s="79"/>
      <c r="IH201" s="72">
        <f t="shared" si="5924"/>
        <v>0</v>
      </c>
      <c r="II201" s="108"/>
      <c r="IJ201" s="79"/>
      <c r="IK201" s="72">
        <f t="shared" si="5925"/>
        <v>0</v>
      </c>
      <c r="IL201" s="108"/>
      <c r="IM201" s="79"/>
      <c r="IN201" s="72">
        <f t="shared" si="5926"/>
        <v>0</v>
      </c>
      <c r="IO201" s="108"/>
      <c r="IP201" s="79"/>
      <c r="IQ201" s="72">
        <f t="shared" si="5927"/>
        <v>0</v>
      </c>
      <c r="IR201" s="108"/>
      <c r="IS201" s="79"/>
      <c r="IT201" s="72">
        <f t="shared" si="5928"/>
        <v>0</v>
      </c>
      <c r="IU201" s="108"/>
      <c r="IV201" s="79"/>
      <c r="IW201" s="72">
        <f t="shared" si="5929"/>
        <v>0</v>
      </c>
      <c r="IX201" s="108"/>
      <c r="IY201" s="79"/>
      <c r="IZ201" s="72">
        <f t="shared" si="5930"/>
        <v>0</v>
      </c>
      <c r="JA201" s="108"/>
      <c r="JB201" s="79"/>
      <c r="JC201" s="72">
        <f t="shared" si="5931"/>
        <v>0</v>
      </c>
      <c r="JD201" s="108"/>
      <c r="JE201" s="79"/>
      <c r="JF201" s="72">
        <f t="shared" si="5932"/>
        <v>0</v>
      </c>
      <c r="JG201" s="108"/>
      <c r="JH201" s="79"/>
      <c r="JI201" s="72">
        <f t="shared" si="5933"/>
        <v>0</v>
      </c>
      <c r="JJ201" s="108"/>
      <c r="JK201" s="79"/>
      <c r="JL201" s="72">
        <f t="shared" si="5934"/>
        <v>0</v>
      </c>
      <c r="JM201" s="108"/>
      <c r="JN201" s="79"/>
      <c r="JO201" s="72">
        <f t="shared" si="5935"/>
        <v>0</v>
      </c>
      <c r="JP201" s="108"/>
      <c r="JQ201" s="79"/>
      <c r="JR201" s="72">
        <f t="shared" si="5936"/>
        <v>0</v>
      </c>
      <c r="JS201" s="108"/>
      <c r="JT201" s="79"/>
      <c r="JU201" s="72">
        <f t="shared" si="5937"/>
        <v>0</v>
      </c>
      <c r="JV201" s="108"/>
      <c r="JW201" s="79"/>
      <c r="JX201" s="72">
        <f t="shared" si="5938"/>
        <v>0</v>
      </c>
      <c r="JY201" s="108"/>
      <c r="JZ201" s="79"/>
      <c r="KA201" s="72">
        <f t="shared" si="5939"/>
        <v>0</v>
      </c>
      <c r="KB201" s="108"/>
      <c r="KC201" s="79"/>
      <c r="KD201" s="72">
        <f t="shared" si="5940"/>
        <v>0</v>
      </c>
      <c r="KE201" s="108"/>
      <c r="KF201" s="79"/>
      <c r="KG201" s="72">
        <f t="shared" si="5941"/>
        <v>0</v>
      </c>
      <c r="KH201" s="108"/>
      <c r="KI201" s="79"/>
      <c r="KJ201" s="72">
        <f t="shared" si="5942"/>
        <v>0</v>
      </c>
      <c r="KK201" s="108"/>
      <c r="KL201" s="79"/>
      <c r="KM201" s="72">
        <f t="shared" si="5943"/>
        <v>0</v>
      </c>
      <c r="KN201" s="108"/>
      <c r="KO201" s="79"/>
      <c r="KP201" s="72">
        <f t="shared" si="5944"/>
        <v>0</v>
      </c>
      <c r="KQ201" s="108"/>
      <c r="KR201" s="79"/>
      <c r="KS201" s="72">
        <f t="shared" si="5945"/>
        <v>0</v>
      </c>
      <c r="KT201" s="108"/>
      <c r="KU201" s="79"/>
      <c r="KV201" s="72">
        <f t="shared" si="5946"/>
        <v>0</v>
      </c>
      <c r="KW201" s="108"/>
      <c r="KX201" s="79"/>
      <c r="KY201" s="72">
        <f t="shared" si="5947"/>
        <v>0</v>
      </c>
      <c r="KZ201" s="108"/>
      <c r="LA201" s="79"/>
      <c r="LB201" s="72">
        <f t="shared" si="5948"/>
        <v>0</v>
      </c>
      <c r="LC201" s="108"/>
      <c r="LD201" s="79"/>
      <c r="LE201" s="72">
        <f t="shared" si="5949"/>
        <v>0</v>
      </c>
      <c r="LF201" s="108"/>
    </row>
    <row r="202" spans="1:318" s="784" customFormat="1">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6">
        <f t="shared" si="5950"/>
        <v>30</v>
      </c>
      <c r="G202" s="406">
        <f ca="1">VLOOKUP(H202,Equipos!$Q$1:$R$25,2,0)</f>
        <v>21</v>
      </c>
      <c r="H202" s="64" t="str">
        <f>Idiomas!$D$261</f>
        <v>Octavos de final</v>
      </c>
      <c r="I202" s="45">
        <v>1</v>
      </c>
      <c r="J202" s="843"/>
      <c r="K202" s="56" t="str">
        <f>CONCATENATE(WORLDCUP!AA122,"-",WORLDCUP!AF122)</f>
        <v>W76-W78</v>
      </c>
      <c r="L202" s="53" t="str">
        <f>IF(OR(WORLDCUP!AC122="",WORLDCUP!AD122=""),"PD",IF(WORLDCUP!AC122&gt;WORLDCUP!AD122,1,IF(WORLDCUP!AC122&lt;WORLDCUP!AD122,2,0)))</f>
        <v>PD</v>
      </c>
      <c r="M202" s="55" t="str">
        <f t="shared" si="5847"/>
        <v>-</v>
      </c>
      <c r="N202" s="25">
        <f>WORLDCUP!AC122</f>
        <v>0</v>
      </c>
      <c r="O202" s="25">
        <f>WORLDCUP!AD122</f>
        <v>0</v>
      </c>
      <c r="P202" s="25">
        <f t="shared" si="5848"/>
        <v>0</v>
      </c>
      <c r="Q202" s="25">
        <f t="shared" si="5849"/>
        <v>0</v>
      </c>
      <c r="R202" s="108"/>
      <c r="S202" s="798" t="s">
        <v>1982</v>
      </c>
      <c r="T202" s="72">
        <f t="shared" si="5850"/>
        <v>0</v>
      </c>
      <c r="U202" s="108"/>
      <c r="V202" s="73" t="s">
        <v>2027</v>
      </c>
      <c r="W202" s="72">
        <f t="shared" si="5851"/>
        <v>0</v>
      </c>
      <c r="X202" s="108"/>
      <c r="Y202" s="798" t="s">
        <v>2070</v>
      </c>
      <c r="Z202" s="72">
        <f t="shared" si="5852"/>
        <v>0</v>
      </c>
      <c r="AA202" s="108"/>
      <c r="AB202" s="798" t="s">
        <v>2105</v>
      </c>
      <c r="AC202" s="72">
        <f t="shared" si="5853"/>
        <v>0</v>
      </c>
      <c r="AD202" s="108"/>
      <c r="AE202" s="798" t="s">
        <v>2143</v>
      </c>
      <c r="AF202" s="72">
        <f t="shared" si="5951"/>
        <v>0</v>
      </c>
      <c r="AG202" s="108"/>
      <c r="AH202" s="798" t="s">
        <v>2175</v>
      </c>
      <c r="AI202" s="72">
        <f t="shared" si="5855"/>
        <v>0</v>
      </c>
      <c r="AJ202" s="108"/>
      <c r="AK202" s="806" t="s">
        <v>2213</v>
      </c>
      <c r="AL202" s="72">
        <f t="shared" si="5856"/>
        <v>0</v>
      </c>
      <c r="AM202" s="108"/>
      <c r="AN202" s="798" t="s">
        <v>2239</v>
      </c>
      <c r="AO202" s="72">
        <f t="shared" si="5857"/>
        <v>0</v>
      </c>
      <c r="AP202" s="108"/>
      <c r="AQ202" s="806" t="s">
        <v>2268</v>
      </c>
      <c r="AR202" s="72">
        <f t="shared" si="5858"/>
        <v>0</v>
      </c>
      <c r="AS202" s="108"/>
      <c r="AT202" s="798" t="s">
        <v>2303</v>
      </c>
      <c r="AU202" s="72">
        <f t="shared" si="5859"/>
        <v>0</v>
      </c>
      <c r="AV202" s="108"/>
      <c r="AW202" s="798" t="s">
        <v>2323</v>
      </c>
      <c r="AX202" s="72">
        <f t="shared" si="5860"/>
        <v>0</v>
      </c>
      <c r="AY202" s="108"/>
      <c r="AZ202" s="798" t="s">
        <v>2369</v>
      </c>
      <c r="BA202" s="72">
        <f t="shared" si="5861"/>
        <v>0</v>
      </c>
      <c r="BB202" s="108"/>
      <c r="BC202" s="798" t="s">
        <v>2404</v>
      </c>
      <c r="BD202" s="72">
        <f t="shared" si="5862"/>
        <v>0</v>
      </c>
      <c r="BE202" s="108"/>
      <c r="BF202" s="798" t="s">
        <v>2428</v>
      </c>
      <c r="BG202" s="72">
        <f t="shared" si="5863"/>
        <v>0</v>
      </c>
      <c r="BH202" s="108"/>
      <c r="BI202" s="798" t="s">
        <v>2464</v>
      </c>
      <c r="BJ202" s="72">
        <f t="shared" si="5864"/>
        <v>0</v>
      </c>
      <c r="BK202" s="108"/>
      <c r="BL202" s="798" t="s">
        <v>2482</v>
      </c>
      <c r="BM202" s="72">
        <f t="shared" si="5865"/>
        <v>0</v>
      </c>
      <c r="BN202" s="108"/>
      <c r="BO202" s="816" t="s">
        <v>2105</v>
      </c>
      <c r="BP202" s="72">
        <f t="shared" si="5866"/>
        <v>0</v>
      </c>
      <c r="BQ202" s="108"/>
      <c r="BR202" s="798" t="s">
        <v>2428</v>
      </c>
      <c r="BS202" s="72">
        <f t="shared" si="5867"/>
        <v>0</v>
      </c>
      <c r="BT202" s="108"/>
      <c r="BU202" s="798" t="s">
        <v>2542</v>
      </c>
      <c r="BV202" s="72">
        <f t="shared" si="5868"/>
        <v>0</v>
      </c>
      <c r="BW202" s="108"/>
      <c r="BX202" s="79" t="s">
        <v>2564</v>
      </c>
      <c r="BY202" s="72">
        <f t="shared" si="5869"/>
        <v>0</v>
      </c>
      <c r="BZ202" s="108"/>
      <c r="CA202" s="816" t="s">
        <v>2105</v>
      </c>
      <c r="CB202" s="72">
        <f t="shared" si="5870"/>
        <v>0</v>
      </c>
      <c r="CC202" s="108"/>
      <c r="CD202" s="825" t="s">
        <v>2599</v>
      </c>
      <c r="CE202" s="72">
        <f t="shared" si="5871"/>
        <v>0</v>
      </c>
      <c r="CF202" s="108"/>
      <c r="CG202" s="798" t="s">
        <v>2617</v>
      </c>
      <c r="CH202" s="72">
        <f t="shared" si="5872"/>
        <v>0</v>
      </c>
      <c r="CI202" s="108"/>
      <c r="CJ202" s="798" t="s">
        <v>2105</v>
      </c>
      <c r="CK202" s="72">
        <f t="shared" si="5873"/>
        <v>0</v>
      </c>
      <c r="CL202" s="108"/>
      <c r="CM202" s="798" t="s">
        <v>2655</v>
      </c>
      <c r="CN202" s="72">
        <f t="shared" si="5874"/>
        <v>0</v>
      </c>
      <c r="CO202" s="108"/>
      <c r="CP202" s="798" t="s">
        <v>2464</v>
      </c>
      <c r="CQ202" s="72">
        <f t="shared" si="5875"/>
        <v>0</v>
      </c>
      <c r="CR202" s="108"/>
      <c r="CS202" s="798" t="s">
        <v>2702</v>
      </c>
      <c r="CT202" s="72">
        <f t="shared" si="5876"/>
        <v>0</v>
      </c>
      <c r="CU202" s="108"/>
      <c r="CV202" s="798" t="s">
        <v>2730</v>
      </c>
      <c r="CW202" s="72">
        <f t="shared" si="5877"/>
        <v>0</v>
      </c>
      <c r="CX202" s="108"/>
      <c r="CY202" s="798" t="s">
        <v>2751</v>
      </c>
      <c r="CZ202" s="72">
        <f t="shared" si="5878"/>
        <v>0</v>
      </c>
      <c r="DA202" s="108"/>
      <c r="DB202" s="798" t="s">
        <v>2777</v>
      </c>
      <c r="DC202" s="72">
        <f t="shared" si="5879"/>
        <v>0</v>
      </c>
      <c r="DD202" s="108"/>
      <c r="DE202" s="798" t="s">
        <v>2143</v>
      </c>
      <c r="DF202" s="72">
        <f t="shared" si="5880"/>
        <v>0</v>
      </c>
      <c r="DG202" s="108"/>
      <c r="DH202" s="798" t="s">
        <v>2239</v>
      </c>
      <c r="DI202" s="72">
        <f t="shared" si="5881"/>
        <v>0</v>
      </c>
      <c r="DJ202" s="108"/>
      <c r="DK202" s="798" t="s">
        <v>2819</v>
      </c>
      <c r="DL202" s="72">
        <f t="shared" si="5882"/>
        <v>0</v>
      </c>
      <c r="DM202" s="108"/>
      <c r="DN202" s="73"/>
      <c r="DO202" s="72">
        <f t="shared" si="5883"/>
        <v>0</v>
      </c>
      <c r="DP202" s="108"/>
      <c r="DQ202" s="798" t="s">
        <v>2268</v>
      </c>
      <c r="DR202" s="72">
        <f t="shared" si="5884"/>
        <v>0</v>
      </c>
      <c r="DS202" s="108"/>
      <c r="DT202" s="73" t="s">
        <v>2105</v>
      </c>
      <c r="DU202" s="72">
        <f t="shared" si="5885"/>
        <v>0</v>
      </c>
      <c r="DV202" s="108"/>
      <c r="DW202" s="73"/>
      <c r="DX202" s="72">
        <f t="shared" si="5886"/>
        <v>0</v>
      </c>
      <c r="DY202" s="108"/>
      <c r="DZ202" s="79"/>
      <c r="EA202" s="72">
        <f t="shared" si="5887"/>
        <v>0</v>
      </c>
      <c r="EB202" s="108"/>
      <c r="EC202" s="79"/>
      <c r="ED202" s="72">
        <f t="shared" si="5888"/>
        <v>0</v>
      </c>
      <c r="EE202" s="108"/>
      <c r="EF202" s="79"/>
      <c r="EG202" s="72">
        <f t="shared" si="5889"/>
        <v>0</v>
      </c>
      <c r="EH202" s="108"/>
      <c r="EI202" s="73"/>
      <c r="EJ202" s="72">
        <f t="shared" si="5890"/>
        <v>0</v>
      </c>
      <c r="EK202" s="108"/>
      <c r="EL202" s="73"/>
      <c r="EM202" s="72">
        <f t="shared" si="5891"/>
        <v>0</v>
      </c>
      <c r="EN202" s="108"/>
      <c r="EO202" s="79"/>
      <c r="EP202" s="72">
        <f t="shared" si="5892"/>
        <v>0</v>
      </c>
      <c r="EQ202" s="108"/>
      <c r="ER202" s="79"/>
      <c r="ES202" s="72">
        <f t="shared" si="5893"/>
        <v>0</v>
      </c>
      <c r="ET202" s="108"/>
      <c r="EU202" s="79"/>
      <c r="EV202" s="72">
        <f t="shared" si="5894"/>
        <v>0</v>
      </c>
      <c r="EW202" s="108"/>
      <c r="EX202" s="73"/>
      <c r="EY202" s="72">
        <f t="shared" si="5895"/>
        <v>0</v>
      </c>
      <c r="EZ202" s="108"/>
      <c r="FA202" s="73"/>
      <c r="FB202" s="72">
        <f t="shared" si="5896"/>
        <v>0</v>
      </c>
      <c r="FC202" s="108"/>
      <c r="FD202" s="79"/>
      <c r="FE202" s="72">
        <f t="shared" si="5897"/>
        <v>0</v>
      </c>
      <c r="FF202" s="108"/>
      <c r="FG202" s="79"/>
      <c r="FH202" s="72">
        <f t="shared" si="5898"/>
        <v>0</v>
      </c>
      <c r="FI202" s="108"/>
      <c r="FJ202" s="79"/>
      <c r="FK202" s="72">
        <f t="shared" si="5899"/>
        <v>0</v>
      </c>
      <c r="FL202" s="108"/>
      <c r="FM202" s="73"/>
      <c r="FN202" s="72">
        <f t="shared" si="5900"/>
        <v>0</v>
      </c>
      <c r="FO202" s="108"/>
      <c r="FP202" s="73"/>
      <c r="FQ202" s="72">
        <f t="shared" si="5901"/>
        <v>0</v>
      </c>
      <c r="FR202" s="108"/>
      <c r="FS202" s="79"/>
      <c r="FT202" s="72">
        <f t="shared" si="5902"/>
        <v>0</v>
      </c>
      <c r="FU202" s="108"/>
      <c r="FV202" s="79"/>
      <c r="FW202" s="72">
        <f t="shared" si="5903"/>
        <v>0</v>
      </c>
      <c r="FX202" s="108"/>
      <c r="FY202" s="79"/>
      <c r="FZ202" s="72">
        <f t="shared" si="5904"/>
        <v>0</v>
      </c>
      <c r="GA202" s="108"/>
      <c r="GB202" s="73"/>
      <c r="GC202" s="72">
        <f t="shared" si="5905"/>
        <v>0</v>
      </c>
      <c r="GD202" s="108"/>
      <c r="GE202" s="73"/>
      <c r="GF202" s="72">
        <f t="shared" si="5906"/>
        <v>0</v>
      </c>
      <c r="GG202" s="108"/>
      <c r="GH202" s="79"/>
      <c r="GI202" s="72">
        <f t="shared" si="5907"/>
        <v>0</v>
      </c>
      <c r="GJ202" s="108"/>
      <c r="GK202" s="79"/>
      <c r="GL202" s="72">
        <f t="shared" si="5908"/>
        <v>0</v>
      </c>
      <c r="GM202" s="108"/>
      <c r="GN202" s="79"/>
      <c r="GO202" s="72">
        <f t="shared" si="5909"/>
        <v>0</v>
      </c>
      <c r="GP202" s="108"/>
      <c r="GQ202" s="73"/>
      <c r="GR202" s="72">
        <f t="shared" si="5910"/>
        <v>0</v>
      </c>
      <c r="GS202" s="108"/>
      <c r="GT202" s="73"/>
      <c r="GU202" s="72">
        <f t="shared" si="5911"/>
        <v>0</v>
      </c>
      <c r="GV202" s="108"/>
      <c r="GW202" s="79"/>
      <c r="GX202" s="72">
        <f t="shared" si="5912"/>
        <v>0</v>
      </c>
      <c r="GY202" s="108"/>
      <c r="GZ202" s="79"/>
      <c r="HA202" s="72">
        <f t="shared" si="5913"/>
        <v>0</v>
      </c>
      <c r="HB202" s="108"/>
      <c r="HC202" s="79"/>
      <c r="HD202" s="72">
        <f t="shared" si="5914"/>
        <v>0</v>
      </c>
      <c r="HE202" s="108"/>
      <c r="HF202" s="73"/>
      <c r="HG202" s="72">
        <f t="shared" si="5915"/>
        <v>0</v>
      </c>
      <c r="HH202" s="108"/>
      <c r="HI202" s="73"/>
      <c r="HJ202" s="72">
        <f t="shared" si="5916"/>
        <v>0</v>
      </c>
      <c r="HK202" s="108"/>
      <c r="HL202" s="79"/>
      <c r="HM202" s="72">
        <f t="shared" si="5917"/>
        <v>0</v>
      </c>
      <c r="HN202" s="108"/>
      <c r="HO202" s="79"/>
      <c r="HP202" s="72">
        <f t="shared" si="5918"/>
        <v>0</v>
      </c>
      <c r="HQ202" s="108"/>
      <c r="HR202" s="79"/>
      <c r="HS202" s="72">
        <f t="shared" si="5919"/>
        <v>0</v>
      </c>
      <c r="HT202" s="108"/>
      <c r="HU202" s="73"/>
      <c r="HV202" s="72">
        <f t="shared" si="5920"/>
        <v>0</v>
      </c>
      <c r="HW202" s="108"/>
      <c r="HX202" s="73"/>
      <c r="HY202" s="72">
        <f t="shared" si="5921"/>
        <v>0</v>
      </c>
      <c r="HZ202" s="108"/>
      <c r="IA202" s="79"/>
      <c r="IB202" s="72">
        <f t="shared" si="5922"/>
        <v>0</v>
      </c>
      <c r="IC202" s="108"/>
      <c r="ID202" s="79"/>
      <c r="IE202" s="72">
        <f t="shared" si="5923"/>
        <v>0</v>
      </c>
      <c r="IF202" s="108"/>
      <c r="IG202" s="79"/>
      <c r="IH202" s="72">
        <f t="shared" si="5924"/>
        <v>0</v>
      </c>
      <c r="II202" s="108"/>
      <c r="IJ202" s="73"/>
      <c r="IK202" s="72">
        <f t="shared" si="5925"/>
        <v>0</v>
      </c>
      <c r="IL202" s="108"/>
      <c r="IM202" s="73"/>
      <c r="IN202" s="72">
        <f t="shared" si="5926"/>
        <v>0</v>
      </c>
      <c r="IO202" s="108"/>
      <c r="IP202" s="79"/>
      <c r="IQ202" s="72">
        <f t="shared" si="5927"/>
        <v>0</v>
      </c>
      <c r="IR202" s="108"/>
      <c r="IS202" s="79"/>
      <c r="IT202" s="72">
        <f t="shared" si="5928"/>
        <v>0</v>
      </c>
      <c r="IU202" s="108"/>
      <c r="IV202" s="79"/>
      <c r="IW202" s="72">
        <f t="shared" si="5929"/>
        <v>0</v>
      </c>
      <c r="IX202" s="108"/>
      <c r="IY202" s="73"/>
      <c r="IZ202" s="72">
        <f t="shared" si="5930"/>
        <v>0</v>
      </c>
      <c r="JA202" s="108"/>
      <c r="JB202" s="73"/>
      <c r="JC202" s="72">
        <f t="shared" si="5931"/>
        <v>0</v>
      </c>
      <c r="JD202" s="108"/>
      <c r="JE202" s="79"/>
      <c r="JF202" s="72">
        <f t="shared" si="5932"/>
        <v>0</v>
      </c>
      <c r="JG202" s="108"/>
      <c r="JH202" s="79"/>
      <c r="JI202" s="72">
        <f t="shared" si="5933"/>
        <v>0</v>
      </c>
      <c r="JJ202" s="108"/>
      <c r="JK202" s="79"/>
      <c r="JL202" s="72">
        <f t="shared" si="5934"/>
        <v>0</v>
      </c>
      <c r="JM202" s="108"/>
      <c r="JN202" s="73"/>
      <c r="JO202" s="72">
        <f t="shared" si="5935"/>
        <v>0</v>
      </c>
      <c r="JP202" s="108"/>
      <c r="JQ202" s="73"/>
      <c r="JR202" s="72">
        <f t="shared" si="5936"/>
        <v>0</v>
      </c>
      <c r="JS202" s="108"/>
      <c r="JT202" s="79"/>
      <c r="JU202" s="72">
        <f t="shared" si="5937"/>
        <v>0</v>
      </c>
      <c r="JV202" s="108"/>
      <c r="JW202" s="79"/>
      <c r="JX202" s="72">
        <f t="shared" si="5938"/>
        <v>0</v>
      </c>
      <c r="JY202" s="108"/>
      <c r="JZ202" s="79"/>
      <c r="KA202" s="72">
        <f t="shared" si="5939"/>
        <v>0</v>
      </c>
      <c r="KB202" s="108"/>
      <c r="KC202" s="73"/>
      <c r="KD202" s="72">
        <f t="shared" si="5940"/>
        <v>0</v>
      </c>
      <c r="KE202" s="108"/>
      <c r="KF202" s="73"/>
      <c r="KG202" s="72">
        <f t="shared" si="5941"/>
        <v>0</v>
      </c>
      <c r="KH202" s="108"/>
      <c r="KI202" s="79"/>
      <c r="KJ202" s="72">
        <f t="shared" si="5942"/>
        <v>0</v>
      </c>
      <c r="KK202" s="108"/>
      <c r="KL202" s="79"/>
      <c r="KM202" s="72">
        <f t="shared" si="5943"/>
        <v>0</v>
      </c>
      <c r="KN202" s="108"/>
      <c r="KO202" s="79"/>
      <c r="KP202" s="72">
        <f t="shared" si="5944"/>
        <v>0</v>
      </c>
      <c r="KQ202" s="108"/>
      <c r="KR202" s="73"/>
      <c r="KS202" s="72">
        <f t="shared" si="5945"/>
        <v>0</v>
      </c>
      <c r="KT202" s="108"/>
      <c r="KU202" s="73"/>
      <c r="KV202" s="72">
        <f t="shared" si="5946"/>
        <v>0</v>
      </c>
      <c r="KW202" s="108"/>
      <c r="KX202" s="79"/>
      <c r="KY202" s="72">
        <f t="shared" si="5947"/>
        <v>0</v>
      </c>
      <c r="KZ202" s="108"/>
      <c r="LA202" s="79"/>
      <c r="LB202" s="72">
        <f t="shared" si="5948"/>
        <v>0</v>
      </c>
      <c r="LC202" s="108"/>
      <c r="LD202" s="79"/>
      <c r="LE202" s="72">
        <f t="shared" si="5949"/>
        <v>0</v>
      </c>
      <c r="LF202" s="108"/>
    </row>
    <row r="203" spans="1:318" s="784" customFormat="1">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6">
        <f t="shared" si="5950"/>
        <v>30</v>
      </c>
      <c r="G203" s="406">
        <f ca="1">VLOOKUP(H203,Equipos!$Q$1:$R$25,2,0)</f>
        <v>21</v>
      </c>
      <c r="H203" s="64" t="str">
        <f>Idiomas!$D$261</f>
        <v>Octavos de final</v>
      </c>
      <c r="I203" s="45">
        <v>1</v>
      </c>
      <c r="J203" s="843"/>
      <c r="K203" s="56" t="str">
        <f>CONCATENATE(WORLDCUP!AA123,"-",WORLDCUP!AF123)</f>
        <v>W79-W80</v>
      </c>
      <c r="L203" s="53" t="str">
        <f>IF(OR(WORLDCUP!AC123="",WORLDCUP!AD123=""),"PD",IF(WORLDCUP!AC123&gt;WORLDCUP!AD123,1,IF(WORLDCUP!AC123&lt;WORLDCUP!AD123,2,0)))</f>
        <v>PD</v>
      </c>
      <c r="M203" s="55" t="str">
        <f t="shared" si="5847"/>
        <v>-</v>
      </c>
      <c r="N203" s="25">
        <f>WORLDCUP!AC123</f>
        <v>0</v>
      </c>
      <c r="O203" s="25">
        <f>WORLDCUP!AD123</f>
        <v>0</v>
      </c>
      <c r="P203" s="25">
        <f t="shared" si="5848"/>
        <v>0</v>
      </c>
      <c r="Q203" s="25">
        <f t="shared" si="5849"/>
        <v>0</v>
      </c>
      <c r="R203" s="108"/>
      <c r="S203" s="798" t="s">
        <v>1983</v>
      </c>
      <c r="T203" s="72">
        <f t="shared" si="5850"/>
        <v>0</v>
      </c>
      <c r="U203" s="108"/>
      <c r="V203" s="73" t="s">
        <v>2028</v>
      </c>
      <c r="W203" s="72">
        <f t="shared" si="5851"/>
        <v>0</v>
      </c>
      <c r="X203" s="108"/>
      <c r="Y203" s="798" t="s">
        <v>2071</v>
      </c>
      <c r="Z203" s="72">
        <f t="shared" si="5852"/>
        <v>0</v>
      </c>
      <c r="AA203" s="108"/>
      <c r="AB203" s="798" t="s">
        <v>2106</v>
      </c>
      <c r="AC203" s="72">
        <f t="shared" si="5853"/>
        <v>0</v>
      </c>
      <c r="AD203" s="108"/>
      <c r="AE203" s="798" t="s">
        <v>2144</v>
      </c>
      <c r="AF203" s="72">
        <f t="shared" si="5951"/>
        <v>0</v>
      </c>
      <c r="AG203" s="108"/>
      <c r="AH203" s="798" t="s">
        <v>2176</v>
      </c>
      <c r="AI203" s="72">
        <f t="shared" si="5855"/>
        <v>0</v>
      </c>
      <c r="AJ203" s="108"/>
      <c r="AK203" s="806" t="s">
        <v>2214</v>
      </c>
      <c r="AL203" s="72">
        <f t="shared" si="5856"/>
        <v>0</v>
      </c>
      <c r="AM203" s="108"/>
      <c r="AN203" s="798" t="s">
        <v>2214</v>
      </c>
      <c r="AO203" s="72">
        <f t="shared" si="5857"/>
        <v>0</v>
      </c>
      <c r="AP203" s="108"/>
      <c r="AQ203" s="806" t="s">
        <v>2269</v>
      </c>
      <c r="AR203" s="72">
        <f t="shared" si="5858"/>
        <v>0</v>
      </c>
      <c r="AS203" s="108"/>
      <c r="AT203" s="798" t="s">
        <v>2304</v>
      </c>
      <c r="AU203" s="72">
        <f t="shared" si="5859"/>
        <v>0</v>
      </c>
      <c r="AV203" s="108"/>
      <c r="AW203" s="798" t="s">
        <v>2106</v>
      </c>
      <c r="AX203" s="72">
        <f t="shared" si="5860"/>
        <v>0</v>
      </c>
      <c r="AY203" s="108"/>
      <c r="AZ203" s="798" t="s">
        <v>2370</v>
      </c>
      <c r="BA203" s="72">
        <f t="shared" si="5861"/>
        <v>0</v>
      </c>
      <c r="BB203" s="108"/>
      <c r="BC203" s="798" t="s">
        <v>2405</v>
      </c>
      <c r="BD203" s="72">
        <f t="shared" si="5862"/>
        <v>0</v>
      </c>
      <c r="BE203" s="108"/>
      <c r="BF203" s="798" t="s">
        <v>2429</v>
      </c>
      <c r="BG203" s="72">
        <f t="shared" si="5863"/>
        <v>0</v>
      </c>
      <c r="BH203" s="108"/>
      <c r="BI203" s="798" t="s">
        <v>2465</v>
      </c>
      <c r="BJ203" s="72">
        <f t="shared" si="5864"/>
        <v>0</v>
      </c>
      <c r="BK203" s="108"/>
      <c r="BL203" s="798" t="s">
        <v>2483</v>
      </c>
      <c r="BM203" s="72">
        <f t="shared" si="5865"/>
        <v>0</v>
      </c>
      <c r="BN203" s="108"/>
      <c r="BO203" s="816" t="s">
        <v>2106</v>
      </c>
      <c r="BP203" s="72">
        <f t="shared" si="5866"/>
        <v>0</v>
      </c>
      <c r="BQ203" s="108"/>
      <c r="BR203" s="798" t="s">
        <v>2525</v>
      </c>
      <c r="BS203" s="72">
        <f t="shared" si="5867"/>
        <v>0</v>
      </c>
      <c r="BT203" s="108"/>
      <c r="BU203" s="798" t="s">
        <v>2543</v>
      </c>
      <c r="BV203" s="72">
        <f t="shared" si="5868"/>
        <v>0</v>
      </c>
      <c r="BW203" s="108"/>
      <c r="BX203" s="79" t="s">
        <v>2176</v>
      </c>
      <c r="BY203" s="72">
        <f t="shared" si="5869"/>
        <v>0</v>
      </c>
      <c r="BZ203" s="108"/>
      <c r="CA203" s="816" t="s">
        <v>2106</v>
      </c>
      <c r="CB203" s="72">
        <f t="shared" si="5870"/>
        <v>0</v>
      </c>
      <c r="CC203" s="108"/>
      <c r="CD203" s="825" t="s">
        <v>2600</v>
      </c>
      <c r="CE203" s="72">
        <f t="shared" si="5871"/>
        <v>0</v>
      </c>
      <c r="CF203" s="108"/>
      <c r="CG203" s="798" t="s">
        <v>2618</v>
      </c>
      <c r="CH203" s="72">
        <f t="shared" si="5872"/>
        <v>0</v>
      </c>
      <c r="CI203" s="108"/>
      <c r="CJ203" s="798" t="s">
        <v>2600</v>
      </c>
      <c r="CK203" s="72">
        <f t="shared" si="5873"/>
        <v>0</v>
      </c>
      <c r="CL203" s="108"/>
      <c r="CM203" s="798" t="s">
        <v>2656</v>
      </c>
      <c r="CN203" s="72">
        <f t="shared" si="5874"/>
        <v>0</v>
      </c>
      <c r="CO203" s="108"/>
      <c r="CP203" s="798" t="s">
        <v>2176</v>
      </c>
      <c r="CQ203" s="72">
        <f t="shared" si="5875"/>
        <v>0</v>
      </c>
      <c r="CR203" s="108"/>
      <c r="CS203" s="798" t="s">
        <v>2656</v>
      </c>
      <c r="CT203" s="72">
        <f t="shared" si="5876"/>
        <v>0</v>
      </c>
      <c r="CU203" s="108"/>
      <c r="CV203" s="798" t="s">
        <v>2731</v>
      </c>
      <c r="CW203" s="72">
        <f t="shared" si="5877"/>
        <v>0</v>
      </c>
      <c r="CX203" s="108"/>
      <c r="CY203" s="798" t="s">
        <v>2752</v>
      </c>
      <c r="CZ203" s="72">
        <f t="shared" si="5878"/>
        <v>0</v>
      </c>
      <c r="DA203" s="108"/>
      <c r="DB203" s="798" t="s">
        <v>2778</v>
      </c>
      <c r="DC203" s="72">
        <f t="shared" si="5879"/>
        <v>0</v>
      </c>
      <c r="DD203" s="108"/>
      <c r="DE203" s="798" t="s">
        <v>1983</v>
      </c>
      <c r="DF203" s="72">
        <f t="shared" si="5880"/>
        <v>0</v>
      </c>
      <c r="DG203" s="108"/>
      <c r="DH203" s="798" t="s">
        <v>2859</v>
      </c>
      <c r="DI203" s="72">
        <f t="shared" si="5881"/>
        <v>0</v>
      </c>
      <c r="DJ203" s="108"/>
      <c r="DK203" s="798" t="s">
        <v>2820</v>
      </c>
      <c r="DL203" s="72">
        <f t="shared" si="5882"/>
        <v>0</v>
      </c>
      <c r="DM203" s="108"/>
      <c r="DN203" s="73"/>
      <c r="DO203" s="72">
        <f t="shared" si="5883"/>
        <v>0</v>
      </c>
      <c r="DP203" s="108"/>
      <c r="DQ203" s="798" t="s">
        <v>2839</v>
      </c>
      <c r="DR203" s="72">
        <f t="shared" si="5884"/>
        <v>0</v>
      </c>
      <c r="DS203" s="108"/>
      <c r="DT203" s="73" t="s">
        <v>2656</v>
      </c>
      <c r="DU203" s="72">
        <f t="shared" si="5885"/>
        <v>0</v>
      </c>
      <c r="DV203" s="108"/>
      <c r="DW203" s="73"/>
      <c r="DX203" s="72">
        <f t="shared" si="5886"/>
        <v>0</v>
      </c>
      <c r="DY203" s="108"/>
      <c r="DZ203" s="79"/>
      <c r="EA203" s="72">
        <f t="shared" si="5887"/>
        <v>0</v>
      </c>
      <c r="EB203" s="108"/>
      <c r="EC203" s="79"/>
      <c r="ED203" s="72">
        <f t="shared" si="5888"/>
        <v>0</v>
      </c>
      <c r="EE203" s="108"/>
      <c r="EF203" s="79"/>
      <c r="EG203" s="72">
        <f t="shared" si="5889"/>
        <v>0</v>
      </c>
      <c r="EH203" s="108"/>
      <c r="EI203" s="73"/>
      <c r="EJ203" s="72">
        <f t="shared" si="5890"/>
        <v>0</v>
      </c>
      <c r="EK203" s="108"/>
      <c r="EL203" s="73"/>
      <c r="EM203" s="72">
        <f t="shared" si="5891"/>
        <v>0</v>
      </c>
      <c r="EN203" s="108"/>
      <c r="EO203" s="79"/>
      <c r="EP203" s="72">
        <f t="shared" si="5892"/>
        <v>0</v>
      </c>
      <c r="EQ203" s="108"/>
      <c r="ER203" s="79"/>
      <c r="ES203" s="72">
        <f t="shared" si="5893"/>
        <v>0</v>
      </c>
      <c r="ET203" s="108"/>
      <c r="EU203" s="79"/>
      <c r="EV203" s="72">
        <f t="shared" si="5894"/>
        <v>0</v>
      </c>
      <c r="EW203" s="108"/>
      <c r="EX203" s="73"/>
      <c r="EY203" s="72">
        <f t="shared" si="5895"/>
        <v>0</v>
      </c>
      <c r="EZ203" s="108"/>
      <c r="FA203" s="73"/>
      <c r="FB203" s="72">
        <f t="shared" si="5896"/>
        <v>0</v>
      </c>
      <c r="FC203" s="108"/>
      <c r="FD203" s="79"/>
      <c r="FE203" s="72">
        <f t="shared" si="5897"/>
        <v>0</v>
      </c>
      <c r="FF203" s="108"/>
      <c r="FG203" s="79"/>
      <c r="FH203" s="72">
        <f t="shared" si="5898"/>
        <v>0</v>
      </c>
      <c r="FI203" s="108"/>
      <c r="FJ203" s="79"/>
      <c r="FK203" s="72">
        <f t="shared" si="5899"/>
        <v>0</v>
      </c>
      <c r="FL203" s="108"/>
      <c r="FM203" s="73"/>
      <c r="FN203" s="72">
        <f t="shared" si="5900"/>
        <v>0</v>
      </c>
      <c r="FO203" s="108"/>
      <c r="FP203" s="73"/>
      <c r="FQ203" s="72">
        <f t="shared" si="5901"/>
        <v>0</v>
      </c>
      <c r="FR203" s="108"/>
      <c r="FS203" s="79"/>
      <c r="FT203" s="72">
        <f t="shared" si="5902"/>
        <v>0</v>
      </c>
      <c r="FU203" s="108"/>
      <c r="FV203" s="79"/>
      <c r="FW203" s="72">
        <f t="shared" si="5903"/>
        <v>0</v>
      </c>
      <c r="FX203" s="108"/>
      <c r="FY203" s="79"/>
      <c r="FZ203" s="72">
        <f t="shared" si="5904"/>
        <v>0</v>
      </c>
      <c r="GA203" s="108"/>
      <c r="GB203" s="73"/>
      <c r="GC203" s="72">
        <f t="shared" si="5905"/>
        <v>0</v>
      </c>
      <c r="GD203" s="108"/>
      <c r="GE203" s="73"/>
      <c r="GF203" s="72">
        <f t="shared" si="5906"/>
        <v>0</v>
      </c>
      <c r="GG203" s="108"/>
      <c r="GH203" s="79"/>
      <c r="GI203" s="72">
        <f t="shared" si="5907"/>
        <v>0</v>
      </c>
      <c r="GJ203" s="108"/>
      <c r="GK203" s="79"/>
      <c r="GL203" s="72">
        <f t="shared" si="5908"/>
        <v>0</v>
      </c>
      <c r="GM203" s="108"/>
      <c r="GN203" s="79"/>
      <c r="GO203" s="72">
        <f t="shared" si="5909"/>
        <v>0</v>
      </c>
      <c r="GP203" s="108"/>
      <c r="GQ203" s="73"/>
      <c r="GR203" s="72">
        <f t="shared" si="5910"/>
        <v>0</v>
      </c>
      <c r="GS203" s="108"/>
      <c r="GT203" s="73"/>
      <c r="GU203" s="72">
        <f t="shared" si="5911"/>
        <v>0</v>
      </c>
      <c r="GV203" s="108"/>
      <c r="GW203" s="79"/>
      <c r="GX203" s="72">
        <f t="shared" si="5912"/>
        <v>0</v>
      </c>
      <c r="GY203" s="108"/>
      <c r="GZ203" s="79"/>
      <c r="HA203" s="72">
        <f t="shared" si="5913"/>
        <v>0</v>
      </c>
      <c r="HB203" s="108"/>
      <c r="HC203" s="79"/>
      <c r="HD203" s="72">
        <f t="shared" si="5914"/>
        <v>0</v>
      </c>
      <c r="HE203" s="108"/>
      <c r="HF203" s="73"/>
      <c r="HG203" s="72">
        <f t="shared" si="5915"/>
        <v>0</v>
      </c>
      <c r="HH203" s="108"/>
      <c r="HI203" s="73"/>
      <c r="HJ203" s="72">
        <f t="shared" si="5916"/>
        <v>0</v>
      </c>
      <c r="HK203" s="108"/>
      <c r="HL203" s="79"/>
      <c r="HM203" s="72">
        <f t="shared" si="5917"/>
        <v>0</v>
      </c>
      <c r="HN203" s="108"/>
      <c r="HO203" s="79"/>
      <c r="HP203" s="72">
        <f t="shared" si="5918"/>
        <v>0</v>
      </c>
      <c r="HQ203" s="108"/>
      <c r="HR203" s="79"/>
      <c r="HS203" s="72">
        <f t="shared" si="5919"/>
        <v>0</v>
      </c>
      <c r="HT203" s="108"/>
      <c r="HU203" s="73"/>
      <c r="HV203" s="72">
        <f t="shared" si="5920"/>
        <v>0</v>
      </c>
      <c r="HW203" s="108"/>
      <c r="HX203" s="73"/>
      <c r="HY203" s="72">
        <f t="shared" si="5921"/>
        <v>0</v>
      </c>
      <c r="HZ203" s="108"/>
      <c r="IA203" s="79"/>
      <c r="IB203" s="72">
        <f t="shared" si="5922"/>
        <v>0</v>
      </c>
      <c r="IC203" s="108"/>
      <c r="ID203" s="79"/>
      <c r="IE203" s="72">
        <f t="shared" si="5923"/>
        <v>0</v>
      </c>
      <c r="IF203" s="108"/>
      <c r="IG203" s="79"/>
      <c r="IH203" s="72">
        <f t="shared" si="5924"/>
        <v>0</v>
      </c>
      <c r="II203" s="108"/>
      <c r="IJ203" s="73"/>
      <c r="IK203" s="72">
        <f t="shared" si="5925"/>
        <v>0</v>
      </c>
      <c r="IL203" s="108"/>
      <c r="IM203" s="73"/>
      <c r="IN203" s="72">
        <f t="shared" si="5926"/>
        <v>0</v>
      </c>
      <c r="IO203" s="108"/>
      <c r="IP203" s="79"/>
      <c r="IQ203" s="72">
        <f t="shared" si="5927"/>
        <v>0</v>
      </c>
      <c r="IR203" s="108"/>
      <c r="IS203" s="79"/>
      <c r="IT203" s="72">
        <f t="shared" si="5928"/>
        <v>0</v>
      </c>
      <c r="IU203" s="108"/>
      <c r="IV203" s="79"/>
      <c r="IW203" s="72">
        <f t="shared" si="5929"/>
        <v>0</v>
      </c>
      <c r="IX203" s="108"/>
      <c r="IY203" s="73"/>
      <c r="IZ203" s="72">
        <f t="shared" si="5930"/>
        <v>0</v>
      </c>
      <c r="JA203" s="108"/>
      <c r="JB203" s="73"/>
      <c r="JC203" s="72">
        <f t="shared" si="5931"/>
        <v>0</v>
      </c>
      <c r="JD203" s="108"/>
      <c r="JE203" s="79"/>
      <c r="JF203" s="72">
        <f t="shared" si="5932"/>
        <v>0</v>
      </c>
      <c r="JG203" s="108"/>
      <c r="JH203" s="79"/>
      <c r="JI203" s="72">
        <f t="shared" si="5933"/>
        <v>0</v>
      </c>
      <c r="JJ203" s="108"/>
      <c r="JK203" s="79"/>
      <c r="JL203" s="72">
        <f t="shared" si="5934"/>
        <v>0</v>
      </c>
      <c r="JM203" s="108"/>
      <c r="JN203" s="73"/>
      <c r="JO203" s="72">
        <f t="shared" si="5935"/>
        <v>0</v>
      </c>
      <c r="JP203" s="108"/>
      <c r="JQ203" s="73"/>
      <c r="JR203" s="72">
        <f t="shared" si="5936"/>
        <v>0</v>
      </c>
      <c r="JS203" s="108"/>
      <c r="JT203" s="79"/>
      <c r="JU203" s="72">
        <f t="shared" si="5937"/>
        <v>0</v>
      </c>
      <c r="JV203" s="108"/>
      <c r="JW203" s="79"/>
      <c r="JX203" s="72">
        <f t="shared" si="5938"/>
        <v>0</v>
      </c>
      <c r="JY203" s="108"/>
      <c r="JZ203" s="79"/>
      <c r="KA203" s="72">
        <f t="shared" si="5939"/>
        <v>0</v>
      </c>
      <c r="KB203" s="108"/>
      <c r="KC203" s="73"/>
      <c r="KD203" s="72">
        <f t="shared" si="5940"/>
        <v>0</v>
      </c>
      <c r="KE203" s="108"/>
      <c r="KF203" s="73"/>
      <c r="KG203" s="72">
        <f t="shared" si="5941"/>
        <v>0</v>
      </c>
      <c r="KH203" s="108"/>
      <c r="KI203" s="79"/>
      <c r="KJ203" s="72">
        <f t="shared" si="5942"/>
        <v>0</v>
      </c>
      <c r="KK203" s="108"/>
      <c r="KL203" s="79"/>
      <c r="KM203" s="72">
        <f t="shared" si="5943"/>
        <v>0</v>
      </c>
      <c r="KN203" s="108"/>
      <c r="KO203" s="79"/>
      <c r="KP203" s="72">
        <f t="shared" si="5944"/>
        <v>0</v>
      </c>
      <c r="KQ203" s="108"/>
      <c r="KR203" s="73"/>
      <c r="KS203" s="72">
        <f t="shared" si="5945"/>
        <v>0</v>
      </c>
      <c r="KT203" s="108"/>
      <c r="KU203" s="73"/>
      <c r="KV203" s="72">
        <f t="shared" si="5946"/>
        <v>0</v>
      </c>
      <c r="KW203" s="108"/>
      <c r="KX203" s="79"/>
      <c r="KY203" s="72">
        <f t="shared" si="5947"/>
        <v>0</v>
      </c>
      <c r="KZ203" s="108"/>
      <c r="LA203" s="79"/>
      <c r="LB203" s="72">
        <f t="shared" si="5948"/>
        <v>0</v>
      </c>
      <c r="LC203" s="108"/>
      <c r="LD203" s="79"/>
      <c r="LE203" s="72">
        <f t="shared" si="5949"/>
        <v>0</v>
      </c>
      <c r="LF203" s="108"/>
    </row>
    <row r="204" spans="1:318" s="784" customFormat="1">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6">
        <f t="shared" si="5950"/>
        <v>30</v>
      </c>
      <c r="G204" s="406">
        <f ca="1">VLOOKUP(H204,Equipos!$Q$1:$R$25,2,0)</f>
        <v>21</v>
      </c>
      <c r="H204" s="64" t="str">
        <f>Idiomas!$D$261</f>
        <v>Octavos de final</v>
      </c>
      <c r="I204" s="45">
        <v>1</v>
      </c>
      <c r="J204" s="843"/>
      <c r="K204" s="56" t="str">
        <f>CONCATENATE(WORLDCUP!AA124,"-",WORLDCUP!AF124)</f>
        <v>W83-W84</v>
      </c>
      <c r="L204" s="53" t="str">
        <f>IF(OR(WORLDCUP!AC124="",WORLDCUP!AD124=""),"PD",IF(WORLDCUP!AC124&gt;WORLDCUP!AD124,1,IF(WORLDCUP!AC124&lt;WORLDCUP!AD124,2,0)))</f>
        <v>PD</v>
      </c>
      <c r="M204" s="55" t="str">
        <f t="shared" si="5847"/>
        <v>-</v>
      </c>
      <c r="N204" s="25">
        <f>WORLDCUP!AC124</f>
        <v>0</v>
      </c>
      <c r="O204" s="25">
        <f>WORLDCUP!AD124</f>
        <v>0</v>
      </c>
      <c r="P204" s="25">
        <f t="shared" si="5848"/>
        <v>0</v>
      </c>
      <c r="Q204" s="25">
        <f t="shared" si="5849"/>
        <v>0</v>
      </c>
      <c r="R204" s="108"/>
      <c r="S204" s="798" t="s">
        <v>1984</v>
      </c>
      <c r="T204" s="72">
        <f t="shared" si="5850"/>
        <v>0</v>
      </c>
      <c r="U204" s="108"/>
      <c r="V204" s="73" t="s">
        <v>2029</v>
      </c>
      <c r="W204" s="72">
        <f t="shared" si="5851"/>
        <v>0</v>
      </c>
      <c r="X204" s="108"/>
      <c r="Y204" s="798" t="s">
        <v>2072</v>
      </c>
      <c r="Z204" s="72">
        <f t="shared" si="5852"/>
        <v>0</v>
      </c>
      <c r="AA204" s="108"/>
      <c r="AB204" s="798" t="s">
        <v>1984</v>
      </c>
      <c r="AC204" s="72">
        <f t="shared" si="5853"/>
        <v>0</v>
      </c>
      <c r="AD204" s="108"/>
      <c r="AE204" s="798" t="s">
        <v>2029</v>
      </c>
      <c r="AF204" s="72">
        <f t="shared" si="5951"/>
        <v>0</v>
      </c>
      <c r="AG204" s="108"/>
      <c r="AH204" s="798" t="s">
        <v>2029</v>
      </c>
      <c r="AI204" s="72">
        <f t="shared" si="5855"/>
        <v>0</v>
      </c>
      <c r="AJ204" s="108"/>
      <c r="AK204" s="806" t="s">
        <v>2215</v>
      </c>
      <c r="AL204" s="72">
        <f t="shared" si="5856"/>
        <v>0</v>
      </c>
      <c r="AM204" s="108"/>
      <c r="AN204" s="798" t="s">
        <v>2240</v>
      </c>
      <c r="AO204" s="72">
        <f t="shared" si="5857"/>
        <v>0</v>
      </c>
      <c r="AP204" s="108"/>
      <c r="AQ204" s="806" t="s">
        <v>2270</v>
      </c>
      <c r="AR204" s="72">
        <f t="shared" si="5858"/>
        <v>0</v>
      </c>
      <c r="AS204" s="108"/>
      <c r="AT204" s="798" t="s">
        <v>1984</v>
      </c>
      <c r="AU204" s="72">
        <f t="shared" si="5859"/>
        <v>0</v>
      </c>
      <c r="AV204" s="108"/>
      <c r="AW204" s="798" t="s">
        <v>2029</v>
      </c>
      <c r="AX204" s="72">
        <f t="shared" si="5860"/>
        <v>0</v>
      </c>
      <c r="AY204" s="108"/>
      <c r="AZ204" s="798" t="s">
        <v>2371</v>
      </c>
      <c r="BA204" s="72">
        <f t="shared" si="5861"/>
        <v>0</v>
      </c>
      <c r="BB204" s="108"/>
      <c r="BC204" s="798" t="s">
        <v>1984</v>
      </c>
      <c r="BD204" s="72">
        <f t="shared" si="5862"/>
        <v>0</v>
      </c>
      <c r="BE204" s="108"/>
      <c r="BF204" s="798" t="s">
        <v>2430</v>
      </c>
      <c r="BG204" s="72">
        <f t="shared" si="5863"/>
        <v>0</v>
      </c>
      <c r="BH204" s="108"/>
      <c r="BI204" s="798" t="s">
        <v>2029</v>
      </c>
      <c r="BJ204" s="72">
        <f t="shared" si="5864"/>
        <v>0</v>
      </c>
      <c r="BK204" s="108"/>
      <c r="BL204" s="798" t="s">
        <v>2484</v>
      </c>
      <c r="BM204" s="72">
        <f t="shared" si="5865"/>
        <v>0</v>
      </c>
      <c r="BN204" s="108"/>
      <c r="BO204" s="816" t="s">
        <v>2215</v>
      </c>
      <c r="BP204" s="72">
        <f t="shared" si="5866"/>
        <v>0</v>
      </c>
      <c r="BQ204" s="108"/>
      <c r="BR204" s="798" t="s">
        <v>2484</v>
      </c>
      <c r="BS204" s="72">
        <f t="shared" si="5867"/>
        <v>0</v>
      </c>
      <c r="BT204" s="108"/>
      <c r="BU204" s="798" t="s">
        <v>2544</v>
      </c>
      <c r="BV204" s="72">
        <f t="shared" si="5868"/>
        <v>0</v>
      </c>
      <c r="BW204" s="108"/>
      <c r="BX204" s="79" t="s">
        <v>2240</v>
      </c>
      <c r="BY204" s="72">
        <f t="shared" si="5869"/>
        <v>0</v>
      </c>
      <c r="BZ204" s="108"/>
      <c r="CA204" s="816" t="s">
        <v>2544</v>
      </c>
      <c r="CB204" s="72">
        <f t="shared" si="5870"/>
        <v>0</v>
      </c>
      <c r="CC204" s="108"/>
      <c r="CD204" s="825" t="s">
        <v>1984</v>
      </c>
      <c r="CE204" s="72">
        <f t="shared" si="5871"/>
        <v>0</v>
      </c>
      <c r="CF204" s="108"/>
      <c r="CG204" s="798" t="s">
        <v>2240</v>
      </c>
      <c r="CH204" s="72">
        <f t="shared" si="5872"/>
        <v>0</v>
      </c>
      <c r="CI204" s="108"/>
      <c r="CJ204" s="798" t="s">
        <v>1984</v>
      </c>
      <c r="CK204" s="72">
        <f t="shared" si="5873"/>
        <v>0</v>
      </c>
      <c r="CL204" s="108"/>
      <c r="CM204" s="798" t="s">
        <v>2657</v>
      </c>
      <c r="CN204" s="72">
        <f t="shared" si="5874"/>
        <v>0</v>
      </c>
      <c r="CO204" s="108"/>
      <c r="CP204" s="798" t="s">
        <v>2681</v>
      </c>
      <c r="CQ204" s="72">
        <f t="shared" si="5875"/>
        <v>0</v>
      </c>
      <c r="CR204" s="108"/>
      <c r="CS204" s="798" t="s">
        <v>2029</v>
      </c>
      <c r="CT204" s="72">
        <f t="shared" si="5876"/>
        <v>0</v>
      </c>
      <c r="CU204" s="108"/>
      <c r="CV204" s="798" t="s">
        <v>2732</v>
      </c>
      <c r="CW204" s="72">
        <f t="shared" si="5877"/>
        <v>0</v>
      </c>
      <c r="CX204" s="108"/>
      <c r="CY204" s="798" t="s">
        <v>2029</v>
      </c>
      <c r="CZ204" s="72">
        <f t="shared" si="5878"/>
        <v>0</v>
      </c>
      <c r="DA204" s="108"/>
      <c r="DB204" s="798" t="s">
        <v>2779</v>
      </c>
      <c r="DC204" s="72">
        <f t="shared" si="5879"/>
        <v>0</v>
      </c>
      <c r="DD204" s="108"/>
      <c r="DE204" s="798" t="s">
        <v>2029</v>
      </c>
      <c r="DF204" s="72">
        <f t="shared" si="5880"/>
        <v>0</v>
      </c>
      <c r="DG204" s="108"/>
      <c r="DH204" s="798" t="s">
        <v>2029</v>
      </c>
      <c r="DI204" s="72">
        <f t="shared" si="5881"/>
        <v>0</v>
      </c>
      <c r="DJ204" s="108"/>
      <c r="DK204" s="798" t="s">
        <v>1984</v>
      </c>
      <c r="DL204" s="72">
        <f t="shared" si="5882"/>
        <v>0</v>
      </c>
      <c r="DM204" s="108"/>
      <c r="DN204" s="73"/>
      <c r="DO204" s="72">
        <f t="shared" si="5883"/>
        <v>0</v>
      </c>
      <c r="DP204" s="108"/>
      <c r="DQ204" s="798" t="s">
        <v>1984</v>
      </c>
      <c r="DR204" s="72">
        <f t="shared" si="5884"/>
        <v>0</v>
      </c>
      <c r="DS204" s="108"/>
      <c r="DT204" s="73" t="s">
        <v>2215</v>
      </c>
      <c r="DU204" s="72">
        <f t="shared" si="5885"/>
        <v>0</v>
      </c>
      <c r="DV204" s="108"/>
      <c r="DW204" s="73"/>
      <c r="DX204" s="72">
        <f t="shared" si="5886"/>
        <v>0</v>
      </c>
      <c r="DY204" s="108"/>
      <c r="DZ204" s="79"/>
      <c r="EA204" s="72">
        <f t="shared" si="5887"/>
        <v>0</v>
      </c>
      <c r="EB204" s="108"/>
      <c r="EC204" s="79"/>
      <c r="ED204" s="72">
        <f t="shared" si="5888"/>
        <v>0</v>
      </c>
      <c r="EE204" s="108"/>
      <c r="EF204" s="79"/>
      <c r="EG204" s="72">
        <f t="shared" si="5889"/>
        <v>0</v>
      </c>
      <c r="EH204" s="108"/>
      <c r="EI204" s="73"/>
      <c r="EJ204" s="72">
        <f t="shared" si="5890"/>
        <v>0</v>
      </c>
      <c r="EK204" s="108"/>
      <c r="EL204" s="73"/>
      <c r="EM204" s="72">
        <f t="shared" si="5891"/>
        <v>0</v>
      </c>
      <c r="EN204" s="108"/>
      <c r="EO204" s="79"/>
      <c r="EP204" s="72">
        <f t="shared" si="5892"/>
        <v>0</v>
      </c>
      <c r="EQ204" s="108"/>
      <c r="ER204" s="79"/>
      <c r="ES204" s="72">
        <f t="shared" si="5893"/>
        <v>0</v>
      </c>
      <c r="ET204" s="108"/>
      <c r="EU204" s="79"/>
      <c r="EV204" s="72">
        <f t="shared" si="5894"/>
        <v>0</v>
      </c>
      <c r="EW204" s="108"/>
      <c r="EX204" s="73"/>
      <c r="EY204" s="72">
        <f t="shared" si="5895"/>
        <v>0</v>
      </c>
      <c r="EZ204" s="108"/>
      <c r="FA204" s="73"/>
      <c r="FB204" s="72">
        <f t="shared" si="5896"/>
        <v>0</v>
      </c>
      <c r="FC204" s="108"/>
      <c r="FD204" s="79"/>
      <c r="FE204" s="72">
        <f t="shared" si="5897"/>
        <v>0</v>
      </c>
      <c r="FF204" s="108"/>
      <c r="FG204" s="79"/>
      <c r="FH204" s="72">
        <f t="shared" si="5898"/>
        <v>0</v>
      </c>
      <c r="FI204" s="108"/>
      <c r="FJ204" s="79"/>
      <c r="FK204" s="72">
        <f t="shared" si="5899"/>
        <v>0</v>
      </c>
      <c r="FL204" s="108"/>
      <c r="FM204" s="73"/>
      <c r="FN204" s="72">
        <f t="shared" si="5900"/>
        <v>0</v>
      </c>
      <c r="FO204" s="108"/>
      <c r="FP204" s="73"/>
      <c r="FQ204" s="72">
        <f t="shared" si="5901"/>
        <v>0</v>
      </c>
      <c r="FR204" s="108"/>
      <c r="FS204" s="79"/>
      <c r="FT204" s="72">
        <f t="shared" si="5902"/>
        <v>0</v>
      </c>
      <c r="FU204" s="108"/>
      <c r="FV204" s="79"/>
      <c r="FW204" s="72">
        <f t="shared" si="5903"/>
        <v>0</v>
      </c>
      <c r="FX204" s="108"/>
      <c r="FY204" s="79"/>
      <c r="FZ204" s="72">
        <f t="shared" si="5904"/>
        <v>0</v>
      </c>
      <c r="GA204" s="108"/>
      <c r="GB204" s="73"/>
      <c r="GC204" s="72">
        <f t="shared" si="5905"/>
        <v>0</v>
      </c>
      <c r="GD204" s="108"/>
      <c r="GE204" s="73"/>
      <c r="GF204" s="72">
        <f t="shared" si="5906"/>
        <v>0</v>
      </c>
      <c r="GG204" s="108"/>
      <c r="GH204" s="79"/>
      <c r="GI204" s="72">
        <f t="shared" si="5907"/>
        <v>0</v>
      </c>
      <c r="GJ204" s="108"/>
      <c r="GK204" s="79"/>
      <c r="GL204" s="72">
        <f t="shared" si="5908"/>
        <v>0</v>
      </c>
      <c r="GM204" s="108"/>
      <c r="GN204" s="79"/>
      <c r="GO204" s="72">
        <f t="shared" si="5909"/>
        <v>0</v>
      </c>
      <c r="GP204" s="108"/>
      <c r="GQ204" s="73"/>
      <c r="GR204" s="72">
        <f t="shared" si="5910"/>
        <v>0</v>
      </c>
      <c r="GS204" s="108"/>
      <c r="GT204" s="73"/>
      <c r="GU204" s="72">
        <f t="shared" si="5911"/>
        <v>0</v>
      </c>
      <c r="GV204" s="108"/>
      <c r="GW204" s="79"/>
      <c r="GX204" s="72">
        <f t="shared" si="5912"/>
        <v>0</v>
      </c>
      <c r="GY204" s="108"/>
      <c r="GZ204" s="79"/>
      <c r="HA204" s="72">
        <f t="shared" si="5913"/>
        <v>0</v>
      </c>
      <c r="HB204" s="108"/>
      <c r="HC204" s="79"/>
      <c r="HD204" s="72">
        <f t="shared" si="5914"/>
        <v>0</v>
      </c>
      <c r="HE204" s="108"/>
      <c r="HF204" s="73"/>
      <c r="HG204" s="72">
        <f t="shared" si="5915"/>
        <v>0</v>
      </c>
      <c r="HH204" s="108"/>
      <c r="HI204" s="73"/>
      <c r="HJ204" s="72">
        <f t="shared" si="5916"/>
        <v>0</v>
      </c>
      <c r="HK204" s="108"/>
      <c r="HL204" s="79"/>
      <c r="HM204" s="72">
        <f t="shared" si="5917"/>
        <v>0</v>
      </c>
      <c r="HN204" s="108"/>
      <c r="HO204" s="79"/>
      <c r="HP204" s="72">
        <f t="shared" si="5918"/>
        <v>0</v>
      </c>
      <c r="HQ204" s="108"/>
      <c r="HR204" s="79"/>
      <c r="HS204" s="72">
        <f t="shared" si="5919"/>
        <v>0</v>
      </c>
      <c r="HT204" s="108"/>
      <c r="HU204" s="73"/>
      <c r="HV204" s="72">
        <f t="shared" si="5920"/>
        <v>0</v>
      </c>
      <c r="HW204" s="108"/>
      <c r="HX204" s="73"/>
      <c r="HY204" s="72">
        <f t="shared" si="5921"/>
        <v>0</v>
      </c>
      <c r="HZ204" s="108"/>
      <c r="IA204" s="79"/>
      <c r="IB204" s="72">
        <f t="shared" si="5922"/>
        <v>0</v>
      </c>
      <c r="IC204" s="108"/>
      <c r="ID204" s="79"/>
      <c r="IE204" s="72">
        <f t="shared" si="5923"/>
        <v>0</v>
      </c>
      <c r="IF204" s="108"/>
      <c r="IG204" s="79"/>
      <c r="IH204" s="72">
        <f t="shared" si="5924"/>
        <v>0</v>
      </c>
      <c r="II204" s="108"/>
      <c r="IJ204" s="73"/>
      <c r="IK204" s="72">
        <f t="shared" si="5925"/>
        <v>0</v>
      </c>
      <c r="IL204" s="108"/>
      <c r="IM204" s="73"/>
      <c r="IN204" s="72">
        <f t="shared" si="5926"/>
        <v>0</v>
      </c>
      <c r="IO204" s="108"/>
      <c r="IP204" s="79"/>
      <c r="IQ204" s="72">
        <f t="shared" si="5927"/>
        <v>0</v>
      </c>
      <c r="IR204" s="108"/>
      <c r="IS204" s="79"/>
      <c r="IT204" s="72">
        <f t="shared" si="5928"/>
        <v>0</v>
      </c>
      <c r="IU204" s="108"/>
      <c r="IV204" s="79"/>
      <c r="IW204" s="72">
        <f t="shared" si="5929"/>
        <v>0</v>
      </c>
      <c r="IX204" s="108"/>
      <c r="IY204" s="73"/>
      <c r="IZ204" s="72">
        <f t="shared" si="5930"/>
        <v>0</v>
      </c>
      <c r="JA204" s="108"/>
      <c r="JB204" s="73"/>
      <c r="JC204" s="72">
        <f t="shared" si="5931"/>
        <v>0</v>
      </c>
      <c r="JD204" s="108"/>
      <c r="JE204" s="79"/>
      <c r="JF204" s="72">
        <f t="shared" si="5932"/>
        <v>0</v>
      </c>
      <c r="JG204" s="108"/>
      <c r="JH204" s="79"/>
      <c r="JI204" s="72">
        <f t="shared" si="5933"/>
        <v>0</v>
      </c>
      <c r="JJ204" s="108"/>
      <c r="JK204" s="79"/>
      <c r="JL204" s="72">
        <f t="shared" si="5934"/>
        <v>0</v>
      </c>
      <c r="JM204" s="108"/>
      <c r="JN204" s="73"/>
      <c r="JO204" s="72">
        <f t="shared" si="5935"/>
        <v>0</v>
      </c>
      <c r="JP204" s="108"/>
      <c r="JQ204" s="73"/>
      <c r="JR204" s="72">
        <f t="shared" si="5936"/>
        <v>0</v>
      </c>
      <c r="JS204" s="108"/>
      <c r="JT204" s="79"/>
      <c r="JU204" s="72">
        <f t="shared" si="5937"/>
        <v>0</v>
      </c>
      <c r="JV204" s="108"/>
      <c r="JW204" s="79"/>
      <c r="JX204" s="72">
        <f t="shared" si="5938"/>
        <v>0</v>
      </c>
      <c r="JY204" s="108"/>
      <c r="JZ204" s="79"/>
      <c r="KA204" s="72">
        <f t="shared" si="5939"/>
        <v>0</v>
      </c>
      <c r="KB204" s="108"/>
      <c r="KC204" s="73"/>
      <c r="KD204" s="72">
        <f t="shared" si="5940"/>
        <v>0</v>
      </c>
      <c r="KE204" s="108"/>
      <c r="KF204" s="73"/>
      <c r="KG204" s="72">
        <f t="shared" si="5941"/>
        <v>0</v>
      </c>
      <c r="KH204" s="108"/>
      <c r="KI204" s="79"/>
      <c r="KJ204" s="72">
        <f t="shared" si="5942"/>
        <v>0</v>
      </c>
      <c r="KK204" s="108"/>
      <c r="KL204" s="79"/>
      <c r="KM204" s="72">
        <f t="shared" si="5943"/>
        <v>0</v>
      </c>
      <c r="KN204" s="108"/>
      <c r="KO204" s="79"/>
      <c r="KP204" s="72">
        <f t="shared" si="5944"/>
        <v>0</v>
      </c>
      <c r="KQ204" s="108"/>
      <c r="KR204" s="73"/>
      <c r="KS204" s="72">
        <f t="shared" si="5945"/>
        <v>0</v>
      </c>
      <c r="KT204" s="108"/>
      <c r="KU204" s="73"/>
      <c r="KV204" s="72">
        <f t="shared" si="5946"/>
        <v>0</v>
      </c>
      <c r="KW204" s="108"/>
      <c r="KX204" s="79"/>
      <c r="KY204" s="72">
        <f t="shared" si="5947"/>
        <v>0</v>
      </c>
      <c r="KZ204" s="108"/>
      <c r="LA204" s="79"/>
      <c r="LB204" s="72">
        <f t="shared" si="5948"/>
        <v>0</v>
      </c>
      <c r="LC204" s="108"/>
      <c r="LD204" s="79"/>
      <c r="LE204" s="72">
        <f t="shared" si="5949"/>
        <v>0</v>
      </c>
      <c r="LF204" s="108"/>
    </row>
    <row r="205" spans="1:318" s="784" customFormat="1">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6">
        <f t="shared" si="5950"/>
        <v>30</v>
      </c>
      <c r="G205" s="406">
        <f ca="1">VLOOKUP(H205,Equipos!$Q$1:$R$25,2,0)</f>
        <v>21</v>
      </c>
      <c r="H205" s="64" t="str">
        <f>Idiomas!$D$261</f>
        <v>Octavos de final</v>
      </c>
      <c r="I205" s="45">
        <v>1</v>
      </c>
      <c r="J205" s="843"/>
      <c r="K205" s="56" t="str">
        <f>CONCATENATE(WORLDCUP!AA125,"-",WORLDCUP!AF125)</f>
        <v>W81-W82</v>
      </c>
      <c r="L205" s="53" t="str">
        <f>IF(OR(WORLDCUP!AC125="",WORLDCUP!AD125=""),"PD",IF(WORLDCUP!AC125&gt;WORLDCUP!AD125,1,IF(WORLDCUP!AC125&lt;WORLDCUP!AD125,2,0)))</f>
        <v>PD</v>
      </c>
      <c r="M205" s="55" t="str">
        <f t="shared" si="5847"/>
        <v>-</v>
      </c>
      <c r="N205" s="25">
        <f>WORLDCUP!AC125</f>
        <v>0</v>
      </c>
      <c r="O205" s="25">
        <f>WORLDCUP!AD125</f>
        <v>0</v>
      </c>
      <c r="P205" s="25">
        <f t="shared" si="5848"/>
        <v>0</v>
      </c>
      <c r="Q205" s="25">
        <f t="shared" si="5849"/>
        <v>0</v>
      </c>
      <c r="R205" s="108"/>
      <c r="S205" s="798" t="s">
        <v>1985</v>
      </c>
      <c r="T205" s="72">
        <f t="shared" si="5850"/>
        <v>0</v>
      </c>
      <c r="U205" s="108"/>
      <c r="V205" s="73" t="s">
        <v>2030</v>
      </c>
      <c r="W205" s="72">
        <f t="shared" si="5851"/>
        <v>0</v>
      </c>
      <c r="X205" s="108"/>
      <c r="Y205" s="798" t="s">
        <v>2073</v>
      </c>
      <c r="Z205" s="72">
        <f t="shared" si="5852"/>
        <v>0</v>
      </c>
      <c r="AA205" s="108"/>
      <c r="AB205" s="798" t="s">
        <v>2107</v>
      </c>
      <c r="AC205" s="72">
        <f t="shared" si="5853"/>
        <v>0</v>
      </c>
      <c r="AD205" s="108"/>
      <c r="AE205" s="798" t="s">
        <v>2145</v>
      </c>
      <c r="AF205" s="72">
        <f t="shared" si="5951"/>
        <v>0</v>
      </c>
      <c r="AG205" s="108"/>
      <c r="AH205" s="798" t="s">
        <v>2177</v>
      </c>
      <c r="AI205" s="72">
        <f t="shared" si="5855"/>
        <v>0</v>
      </c>
      <c r="AJ205" s="108"/>
      <c r="AK205" s="806" t="s">
        <v>2216</v>
      </c>
      <c r="AL205" s="72">
        <f t="shared" si="5856"/>
        <v>0</v>
      </c>
      <c r="AM205" s="108"/>
      <c r="AN205" s="798" t="s">
        <v>2241</v>
      </c>
      <c r="AO205" s="72">
        <f t="shared" si="5857"/>
        <v>0</v>
      </c>
      <c r="AP205" s="108"/>
      <c r="AQ205" s="806" t="s">
        <v>2145</v>
      </c>
      <c r="AR205" s="72">
        <f t="shared" si="5858"/>
        <v>0</v>
      </c>
      <c r="AS205" s="108"/>
      <c r="AT205" s="798" t="s">
        <v>2305</v>
      </c>
      <c r="AU205" s="72">
        <f t="shared" si="5859"/>
        <v>0</v>
      </c>
      <c r="AV205" s="108"/>
      <c r="AW205" s="798" t="s">
        <v>2324</v>
      </c>
      <c r="AX205" s="72">
        <f t="shared" si="5860"/>
        <v>0</v>
      </c>
      <c r="AY205" s="108"/>
      <c r="AZ205" s="798" t="s">
        <v>2372</v>
      </c>
      <c r="BA205" s="72">
        <f t="shared" si="5861"/>
        <v>0</v>
      </c>
      <c r="BB205" s="108"/>
      <c r="BC205" s="798" t="s">
        <v>2107</v>
      </c>
      <c r="BD205" s="72">
        <f t="shared" si="5862"/>
        <v>0</v>
      </c>
      <c r="BE205" s="108"/>
      <c r="BF205" s="798" t="s">
        <v>2431</v>
      </c>
      <c r="BG205" s="72">
        <f t="shared" si="5863"/>
        <v>0</v>
      </c>
      <c r="BH205" s="108"/>
      <c r="BI205" s="798" t="s">
        <v>2107</v>
      </c>
      <c r="BJ205" s="72">
        <f t="shared" si="5864"/>
        <v>0</v>
      </c>
      <c r="BK205" s="108"/>
      <c r="BL205" s="798" t="s">
        <v>2177</v>
      </c>
      <c r="BM205" s="72">
        <f t="shared" si="5865"/>
        <v>0</v>
      </c>
      <c r="BN205" s="108"/>
      <c r="BO205" s="816" t="s">
        <v>2507</v>
      </c>
      <c r="BP205" s="72">
        <f t="shared" si="5866"/>
        <v>0</v>
      </c>
      <c r="BQ205" s="108"/>
      <c r="BR205" s="798" t="s">
        <v>2526</v>
      </c>
      <c r="BS205" s="72">
        <f t="shared" si="5867"/>
        <v>0</v>
      </c>
      <c r="BT205" s="108"/>
      <c r="BU205" s="798" t="s">
        <v>2241</v>
      </c>
      <c r="BV205" s="72">
        <f t="shared" si="5868"/>
        <v>0</v>
      </c>
      <c r="BW205" s="108"/>
      <c r="BX205" s="79" t="s">
        <v>2171</v>
      </c>
      <c r="BY205" s="72">
        <f t="shared" si="5869"/>
        <v>0</v>
      </c>
      <c r="BZ205" s="108"/>
      <c r="CA205" s="816" t="s">
        <v>2030</v>
      </c>
      <c r="CB205" s="72">
        <f t="shared" si="5870"/>
        <v>0</v>
      </c>
      <c r="CC205" s="108"/>
      <c r="CD205" s="825" t="s">
        <v>2601</v>
      </c>
      <c r="CE205" s="72">
        <f t="shared" si="5871"/>
        <v>0</v>
      </c>
      <c r="CF205" s="108"/>
      <c r="CG205" s="798" t="s">
        <v>2526</v>
      </c>
      <c r="CH205" s="72">
        <f t="shared" si="5872"/>
        <v>0</v>
      </c>
      <c r="CI205" s="108"/>
      <c r="CJ205" s="798" t="s">
        <v>2107</v>
      </c>
      <c r="CK205" s="72">
        <f t="shared" si="5873"/>
        <v>0</v>
      </c>
      <c r="CL205" s="108"/>
      <c r="CM205" s="798" t="s">
        <v>2658</v>
      </c>
      <c r="CN205" s="72">
        <f t="shared" si="5874"/>
        <v>0</v>
      </c>
      <c r="CO205" s="108"/>
      <c r="CP205" s="798" t="s">
        <v>2682</v>
      </c>
      <c r="CQ205" s="72">
        <f t="shared" si="5875"/>
        <v>0</v>
      </c>
      <c r="CR205" s="108"/>
      <c r="CS205" s="798" t="s">
        <v>2601</v>
      </c>
      <c r="CT205" s="72">
        <f t="shared" si="5876"/>
        <v>0</v>
      </c>
      <c r="CU205" s="108"/>
      <c r="CV205" s="798" t="s">
        <v>2733</v>
      </c>
      <c r="CW205" s="72">
        <f t="shared" si="5877"/>
        <v>0</v>
      </c>
      <c r="CX205" s="108"/>
      <c r="CY205" s="798" t="s">
        <v>2753</v>
      </c>
      <c r="CZ205" s="72">
        <f t="shared" si="5878"/>
        <v>0</v>
      </c>
      <c r="DA205" s="108"/>
      <c r="DB205" s="798" t="s">
        <v>2145</v>
      </c>
      <c r="DC205" s="72">
        <f t="shared" si="5879"/>
        <v>0</v>
      </c>
      <c r="DD205" s="108"/>
      <c r="DE205" s="798" t="s">
        <v>2801</v>
      </c>
      <c r="DF205" s="72">
        <f t="shared" si="5880"/>
        <v>0</v>
      </c>
      <c r="DG205" s="108"/>
      <c r="DH205" s="798" t="s">
        <v>2860</v>
      </c>
      <c r="DI205" s="72">
        <f t="shared" si="5881"/>
        <v>0</v>
      </c>
      <c r="DJ205" s="108"/>
      <c r="DK205" s="798" t="s">
        <v>2107</v>
      </c>
      <c r="DL205" s="72">
        <f t="shared" si="5882"/>
        <v>0</v>
      </c>
      <c r="DM205" s="108"/>
      <c r="DN205" s="73"/>
      <c r="DO205" s="72">
        <f t="shared" si="5883"/>
        <v>0</v>
      </c>
      <c r="DP205" s="108"/>
      <c r="DQ205" s="798" t="s">
        <v>2073</v>
      </c>
      <c r="DR205" s="72">
        <f t="shared" si="5884"/>
        <v>0</v>
      </c>
      <c r="DS205" s="108"/>
      <c r="DT205" s="73" t="s">
        <v>2860</v>
      </c>
      <c r="DU205" s="72">
        <f t="shared" si="5885"/>
        <v>0</v>
      </c>
      <c r="DV205" s="108"/>
      <c r="DW205" s="73"/>
      <c r="DX205" s="72">
        <f t="shared" si="5886"/>
        <v>0</v>
      </c>
      <c r="DY205" s="108"/>
      <c r="DZ205" s="79"/>
      <c r="EA205" s="72">
        <f t="shared" si="5887"/>
        <v>0</v>
      </c>
      <c r="EB205" s="108"/>
      <c r="EC205" s="79"/>
      <c r="ED205" s="72">
        <f t="shared" si="5888"/>
        <v>0</v>
      </c>
      <c r="EE205" s="108"/>
      <c r="EF205" s="79"/>
      <c r="EG205" s="72">
        <f t="shared" si="5889"/>
        <v>0</v>
      </c>
      <c r="EH205" s="108"/>
      <c r="EI205" s="73"/>
      <c r="EJ205" s="72">
        <f t="shared" si="5890"/>
        <v>0</v>
      </c>
      <c r="EK205" s="108"/>
      <c r="EL205" s="73"/>
      <c r="EM205" s="72">
        <f t="shared" si="5891"/>
        <v>0</v>
      </c>
      <c r="EN205" s="108"/>
      <c r="EO205" s="79"/>
      <c r="EP205" s="72">
        <f t="shared" si="5892"/>
        <v>0</v>
      </c>
      <c r="EQ205" s="108"/>
      <c r="ER205" s="79"/>
      <c r="ES205" s="72">
        <f t="shared" si="5893"/>
        <v>0</v>
      </c>
      <c r="ET205" s="108"/>
      <c r="EU205" s="79"/>
      <c r="EV205" s="72">
        <f t="shared" si="5894"/>
        <v>0</v>
      </c>
      <c r="EW205" s="108"/>
      <c r="EX205" s="73"/>
      <c r="EY205" s="72">
        <f t="shared" si="5895"/>
        <v>0</v>
      </c>
      <c r="EZ205" s="108"/>
      <c r="FA205" s="73"/>
      <c r="FB205" s="72">
        <f t="shared" si="5896"/>
        <v>0</v>
      </c>
      <c r="FC205" s="108"/>
      <c r="FD205" s="79"/>
      <c r="FE205" s="72">
        <f t="shared" si="5897"/>
        <v>0</v>
      </c>
      <c r="FF205" s="108"/>
      <c r="FG205" s="79"/>
      <c r="FH205" s="72">
        <f t="shared" si="5898"/>
        <v>0</v>
      </c>
      <c r="FI205" s="108"/>
      <c r="FJ205" s="79"/>
      <c r="FK205" s="72">
        <f t="shared" si="5899"/>
        <v>0</v>
      </c>
      <c r="FL205" s="108"/>
      <c r="FM205" s="73"/>
      <c r="FN205" s="72">
        <f t="shared" si="5900"/>
        <v>0</v>
      </c>
      <c r="FO205" s="108"/>
      <c r="FP205" s="73"/>
      <c r="FQ205" s="72">
        <f t="shared" si="5901"/>
        <v>0</v>
      </c>
      <c r="FR205" s="108"/>
      <c r="FS205" s="79"/>
      <c r="FT205" s="72">
        <f t="shared" si="5902"/>
        <v>0</v>
      </c>
      <c r="FU205" s="108"/>
      <c r="FV205" s="79"/>
      <c r="FW205" s="72">
        <f t="shared" si="5903"/>
        <v>0</v>
      </c>
      <c r="FX205" s="108"/>
      <c r="FY205" s="79"/>
      <c r="FZ205" s="72">
        <f t="shared" si="5904"/>
        <v>0</v>
      </c>
      <c r="GA205" s="108"/>
      <c r="GB205" s="73"/>
      <c r="GC205" s="72">
        <f t="shared" si="5905"/>
        <v>0</v>
      </c>
      <c r="GD205" s="108"/>
      <c r="GE205" s="73"/>
      <c r="GF205" s="72">
        <f t="shared" si="5906"/>
        <v>0</v>
      </c>
      <c r="GG205" s="108"/>
      <c r="GH205" s="79"/>
      <c r="GI205" s="72">
        <f t="shared" si="5907"/>
        <v>0</v>
      </c>
      <c r="GJ205" s="108"/>
      <c r="GK205" s="79"/>
      <c r="GL205" s="72">
        <f t="shared" si="5908"/>
        <v>0</v>
      </c>
      <c r="GM205" s="108"/>
      <c r="GN205" s="79"/>
      <c r="GO205" s="72">
        <f t="shared" si="5909"/>
        <v>0</v>
      </c>
      <c r="GP205" s="108"/>
      <c r="GQ205" s="73"/>
      <c r="GR205" s="72">
        <f t="shared" si="5910"/>
        <v>0</v>
      </c>
      <c r="GS205" s="108"/>
      <c r="GT205" s="73"/>
      <c r="GU205" s="72">
        <f t="shared" si="5911"/>
        <v>0</v>
      </c>
      <c r="GV205" s="108"/>
      <c r="GW205" s="79"/>
      <c r="GX205" s="72">
        <f t="shared" si="5912"/>
        <v>0</v>
      </c>
      <c r="GY205" s="108"/>
      <c r="GZ205" s="79"/>
      <c r="HA205" s="72">
        <f t="shared" si="5913"/>
        <v>0</v>
      </c>
      <c r="HB205" s="108"/>
      <c r="HC205" s="79"/>
      <c r="HD205" s="72">
        <f t="shared" si="5914"/>
        <v>0</v>
      </c>
      <c r="HE205" s="108"/>
      <c r="HF205" s="73"/>
      <c r="HG205" s="72">
        <f t="shared" si="5915"/>
        <v>0</v>
      </c>
      <c r="HH205" s="108"/>
      <c r="HI205" s="73"/>
      <c r="HJ205" s="72">
        <f t="shared" si="5916"/>
        <v>0</v>
      </c>
      <c r="HK205" s="108"/>
      <c r="HL205" s="79"/>
      <c r="HM205" s="72">
        <f t="shared" si="5917"/>
        <v>0</v>
      </c>
      <c r="HN205" s="108"/>
      <c r="HO205" s="79"/>
      <c r="HP205" s="72">
        <f t="shared" si="5918"/>
        <v>0</v>
      </c>
      <c r="HQ205" s="108"/>
      <c r="HR205" s="79"/>
      <c r="HS205" s="72">
        <f t="shared" si="5919"/>
        <v>0</v>
      </c>
      <c r="HT205" s="108"/>
      <c r="HU205" s="73"/>
      <c r="HV205" s="72">
        <f t="shared" si="5920"/>
        <v>0</v>
      </c>
      <c r="HW205" s="108"/>
      <c r="HX205" s="73"/>
      <c r="HY205" s="72">
        <f t="shared" si="5921"/>
        <v>0</v>
      </c>
      <c r="HZ205" s="108"/>
      <c r="IA205" s="79"/>
      <c r="IB205" s="72">
        <f t="shared" si="5922"/>
        <v>0</v>
      </c>
      <c r="IC205" s="108"/>
      <c r="ID205" s="79"/>
      <c r="IE205" s="72">
        <f t="shared" si="5923"/>
        <v>0</v>
      </c>
      <c r="IF205" s="108"/>
      <c r="IG205" s="79"/>
      <c r="IH205" s="72">
        <f t="shared" si="5924"/>
        <v>0</v>
      </c>
      <c r="II205" s="108"/>
      <c r="IJ205" s="73"/>
      <c r="IK205" s="72">
        <f t="shared" si="5925"/>
        <v>0</v>
      </c>
      <c r="IL205" s="108"/>
      <c r="IM205" s="73"/>
      <c r="IN205" s="72">
        <f t="shared" si="5926"/>
        <v>0</v>
      </c>
      <c r="IO205" s="108"/>
      <c r="IP205" s="79"/>
      <c r="IQ205" s="72">
        <f t="shared" si="5927"/>
        <v>0</v>
      </c>
      <c r="IR205" s="108"/>
      <c r="IS205" s="79"/>
      <c r="IT205" s="72">
        <f t="shared" si="5928"/>
        <v>0</v>
      </c>
      <c r="IU205" s="108"/>
      <c r="IV205" s="79"/>
      <c r="IW205" s="72">
        <f t="shared" si="5929"/>
        <v>0</v>
      </c>
      <c r="IX205" s="108"/>
      <c r="IY205" s="73"/>
      <c r="IZ205" s="72">
        <f t="shared" si="5930"/>
        <v>0</v>
      </c>
      <c r="JA205" s="108"/>
      <c r="JB205" s="73"/>
      <c r="JC205" s="72">
        <f t="shared" si="5931"/>
        <v>0</v>
      </c>
      <c r="JD205" s="108"/>
      <c r="JE205" s="79"/>
      <c r="JF205" s="72">
        <f t="shared" si="5932"/>
        <v>0</v>
      </c>
      <c r="JG205" s="108"/>
      <c r="JH205" s="79"/>
      <c r="JI205" s="72">
        <f t="shared" si="5933"/>
        <v>0</v>
      </c>
      <c r="JJ205" s="108"/>
      <c r="JK205" s="79"/>
      <c r="JL205" s="72">
        <f t="shared" si="5934"/>
        <v>0</v>
      </c>
      <c r="JM205" s="108"/>
      <c r="JN205" s="73"/>
      <c r="JO205" s="72">
        <f t="shared" si="5935"/>
        <v>0</v>
      </c>
      <c r="JP205" s="108"/>
      <c r="JQ205" s="73"/>
      <c r="JR205" s="72">
        <f t="shared" si="5936"/>
        <v>0</v>
      </c>
      <c r="JS205" s="108"/>
      <c r="JT205" s="79"/>
      <c r="JU205" s="72">
        <f t="shared" si="5937"/>
        <v>0</v>
      </c>
      <c r="JV205" s="108"/>
      <c r="JW205" s="79"/>
      <c r="JX205" s="72">
        <f t="shared" si="5938"/>
        <v>0</v>
      </c>
      <c r="JY205" s="108"/>
      <c r="JZ205" s="79"/>
      <c r="KA205" s="72">
        <f t="shared" si="5939"/>
        <v>0</v>
      </c>
      <c r="KB205" s="108"/>
      <c r="KC205" s="73"/>
      <c r="KD205" s="72">
        <f t="shared" si="5940"/>
        <v>0</v>
      </c>
      <c r="KE205" s="108"/>
      <c r="KF205" s="73"/>
      <c r="KG205" s="72">
        <f t="shared" si="5941"/>
        <v>0</v>
      </c>
      <c r="KH205" s="108"/>
      <c r="KI205" s="79"/>
      <c r="KJ205" s="72">
        <f t="shared" si="5942"/>
        <v>0</v>
      </c>
      <c r="KK205" s="108"/>
      <c r="KL205" s="79"/>
      <c r="KM205" s="72">
        <f t="shared" si="5943"/>
        <v>0</v>
      </c>
      <c r="KN205" s="108"/>
      <c r="KO205" s="79"/>
      <c r="KP205" s="72">
        <f t="shared" si="5944"/>
        <v>0</v>
      </c>
      <c r="KQ205" s="108"/>
      <c r="KR205" s="73"/>
      <c r="KS205" s="72">
        <f t="shared" si="5945"/>
        <v>0</v>
      </c>
      <c r="KT205" s="108"/>
      <c r="KU205" s="73"/>
      <c r="KV205" s="72">
        <f t="shared" si="5946"/>
        <v>0</v>
      </c>
      <c r="KW205" s="108"/>
      <c r="KX205" s="79"/>
      <c r="KY205" s="72">
        <f t="shared" si="5947"/>
        <v>0</v>
      </c>
      <c r="KZ205" s="108"/>
      <c r="LA205" s="79"/>
      <c r="LB205" s="72">
        <f t="shared" si="5948"/>
        <v>0</v>
      </c>
      <c r="LC205" s="108"/>
      <c r="LD205" s="79"/>
      <c r="LE205" s="72">
        <f t="shared" si="5949"/>
        <v>0</v>
      </c>
      <c r="LF205" s="108"/>
    </row>
    <row r="206" spans="1:318" s="784" customFormat="1">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6">
        <f t="shared" si="5950"/>
        <v>30</v>
      </c>
      <c r="G206" s="406">
        <f ca="1">VLOOKUP(H206,Equipos!$Q$1:$R$25,2,0)</f>
        <v>21</v>
      </c>
      <c r="H206" s="64" t="str">
        <f>Idiomas!$D$261</f>
        <v>Octavos de final</v>
      </c>
      <c r="I206" s="45">
        <v>1</v>
      </c>
      <c r="J206" s="843"/>
      <c r="K206" s="56" t="str">
        <f>CONCATENATE(WORLDCUP!AA126,"-",WORLDCUP!AF126)</f>
        <v>W86-W88</v>
      </c>
      <c r="L206" s="53" t="str">
        <f>IF(OR(WORLDCUP!AC126="",WORLDCUP!AD126=""),"PD",IF(WORLDCUP!AC126&gt;WORLDCUP!AD126,1,IF(WORLDCUP!AC126&lt;WORLDCUP!AD126,2,0)))</f>
        <v>PD</v>
      </c>
      <c r="M206" s="55" t="str">
        <f t="shared" si="5847"/>
        <v>-</v>
      </c>
      <c r="N206" s="25">
        <f>WORLDCUP!AC126</f>
        <v>0</v>
      </c>
      <c r="O206" s="25">
        <f>WORLDCUP!AD126</f>
        <v>0</v>
      </c>
      <c r="P206" s="25">
        <f t="shared" si="5848"/>
        <v>0</v>
      </c>
      <c r="Q206" s="25">
        <f t="shared" si="5849"/>
        <v>0</v>
      </c>
      <c r="R206" s="108"/>
      <c r="S206" s="798" t="s">
        <v>1986</v>
      </c>
      <c r="T206" s="72">
        <f t="shared" si="5850"/>
        <v>0</v>
      </c>
      <c r="U206" s="108"/>
      <c r="V206" s="73" t="s">
        <v>2031</v>
      </c>
      <c r="W206" s="72">
        <f t="shared" si="5851"/>
        <v>0</v>
      </c>
      <c r="X206" s="108"/>
      <c r="Y206" s="798" t="s">
        <v>2074</v>
      </c>
      <c r="Z206" s="72">
        <f t="shared" si="5852"/>
        <v>0</v>
      </c>
      <c r="AA206" s="108"/>
      <c r="AB206" s="798" t="s">
        <v>2108</v>
      </c>
      <c r="AC206" s="72">
        <f t="shared" si="5853"/>
        <v>0</v>
      </c>
      <c r="AD206" s="108"/>
      <c r="AE206" s="798" t="s">
        <v>2146</v>
      </c>
      <c r="AF206" s="72">
        <f t="shared" si="5951"/>
        <v>0</v>
      </c>
      <c r="AG206" s="108"/>
      <c r="AH206" s="798" t="s">
        <v>2178</v>
      </c>
      <c r="AI206" s="72">
        <f t="shared" si="5855"/>
        <v>0</v>
      </c>
      <c r="AJ206" s="108"/>
      <c r="AK206" s="806" t="s">
        <v>2217</v>
      </c>
      <c r="AL206" s="72">
        <f t="shared" si="5856"/>
        <v>0</v>
      </c>
      <c r="AM206" s="108"/>
      <c r="AN206" s="798" t="s">
        <v>2242</v>
      </c>
      <c r="AO206" s="72">
        <f t="shared" si="5857"/>
        <v>0</v>
      </c>
      <c r="AP206" s="108"/>
      <c r="AQ206" s="806" t="s">
        <v>2242</v>
      </c>
      <c r="AR206" s="72">
        <f t="shared" si="5858"/>
        <v>0</v>
      </c>
      <c r="AS206" s="108"/>
      <c r="AT206" s="798" t="s">
        <v>2306</v>
      </c>
      <c r="AU206" s="72">
        <f t="shared" si="5859"/>
        <v>0</v>
      </c>
      <c r="AV206" s="108"/>
      <c r="AW206" s="798" t="s">
        <v>2074</v>
      </c>
      <c r="AX206" s="72">
        <f t="shared" si="5860"/>
        <v>0</v>
      </c>
      <c r="AY206" s="108"/>
      <c r="AZ206" s="798" t="s">
        <v>2373</v>
      </c>
      <c r="BA206" s="72">
        <f t="shared" si="5861"/>
        <v>0</v>
      </c>
      <c r="BB206" s="108"/>
      <c r="BC206" s="798" t="s">
        <v>2406</v>
      </c>
      <c r="BD206" s="72">
        <f t="shared" si="5862"/>
        <v>0</v>
      </c>
      <c r="BE206" s="108"/>
      <c r="BF206" s="798" t="s">
        <v>2432</v>
      </c>
      <c r="BG206" s="72">
        <f t="shared" si="5863"/>
        <v>0</v>
      </c>
      <c r="BH206" s="108"/>
      <c r="BI206" s="798" t="s">
        <v>2466</v>
      </c>
      <c r="BJ206" s="72">
        <f t="shared" si="5864"/>
        <v>0</v>
      </c>
      <c r="BK206" s="108"/>
      <c r="BL206" s="798" t="s">
        <v>2485</v>
      </c>
      <c r="BM206" s="72">
        <f t="shared" si="5865"/>
        <v>0</v>
      </c>
      <c r="BN206" s="108"/>
      <c r="BO206" s="816" t="s">
        <v>2508</v>
      </c>
      <c r="BP206" s="72">
        <f t="shared" si="5866"/>
        <v>0</v>
      </c>
      <c r="BQ206" s="108"/>
      <c r="BR206" s="798" t="s">
        <v>2527</v>
      </c>
      <c r="BS206" s="72">
        <f t="shared" si="5867"/>
        <v>0</v>
      </c>
      <c r="BT206" s="108"/>
      <c r="BU206" s="798" t="s">
        <v>2466</v>
      </c>
      <c r="BV206" s="72">
        <f t="shared" si="5868"/>
        <v>0</v>
      </c>
      <c r="BW206" s="108"/>
      <c r="BX206" s="79" t="s">
        <v>2565</v>
      </c>
      <c r="BY206" s="72">
        <f t="shared" si="5869"/>
        <v>0</v>
      </c>
      <c r="BZ206" s="108"/>
      <c r="CA206" s="816" t="s">
        <v>2074</v>
      </c>
      <c r="CB206" s="72">
        <f t="shared" si="5870"/>
        <v>0</v>
      </c>
      <c r="CC206" s="108"/>
      <c r="CD206" s="825" t="s">
        <v>2508</v>
      </c>
      <c r="CE206" s="72">
        <f t="shared" si="5871"/>
        <v>0</v>
      </c>
      <c r="CF206" s="108"/>
      <c r="CG206" s="798" t="s">
        <v>2108</v>
      </c>
      <c r="CH206" s="72">
        <f t="shared" si="5872"/>
        <v>0</v>
      </c>
      <c r="CI206" s="108"/>
      <c r="CJ206" s="798" t="s">
        <v>2074</v>
      </c>
      <c r="CK206" s="72">
        <f t="shared" si="5873"/>
        <v>0</v>
      </c>
      <c r="CL206" s="108"/>
      <c r="CM206" s="798" t="s">
        <v>2659</v>
      </c>
      <c r="CN206" s="72">
        <f t="shared" si="5874"/>
        <v>0</v>
      </c>
      <c r="CO206" s="108"/>
      <c r="CP206" s="798" t="s">
        <v>2074</v>
      </c>
      <c r="CQ206" s="72">
        <f t="shared" si="5875"/>
        <v>0</v>
      </c>
      <c r="CR206" s="108"/>
      <c r="CS206" s="798" t="s">
        <v>2217</v>
      </c>
      <c r="CT206" s="72">
        <f t="shared" si="5876"/>
        <v>0</v>
      </c>
      <c r="CU206" s="108"/>
      <c r="CV206" s="798" t="s">
        <v>2146</v>
      </c>
      <c r="CW206" s="72">
        <f t="shared" si="5877"/>
        <v>0</v>
      </c>
      <c r="CX206" s="108"/>
      <c r="CY206" s="798" t="s">
        <v>2754</v>
      </c>
      <c r="CZ206" s="72">
        <f t="shared" si="5878"/>
        <v>0</v>
      </c>
      <c r="DA206" s="108"/>
      <c r="DB206" s="798" t="s">
        <v>2780</v>
      </c>
      <c r="DC206" s="72">
        <f t="shared" si="5879"/>
        <v>0</v>
      </c>
      <c r="DD206" s="108"/>
      <c r="DE206" s="798" t="s">
        <v>2802</v>
      </c>
      <c r="DF206" s="72">
        <f t="shared" si="5880"/>
        <v>0</v>
      </c>
      <c r="DG206" s="108"/>
      <c r="DH206" s="798" t="s">
        <v>2861</v>
      </c>
      <c r="DI206" s="72">
        <f t="shared" si="5881"/>
        <v>0</v>
      </c>
      <c r="DJ206" s="108"/>
      <c r="DK206" s="798" t="s">
        <v>2802</v>
      </c>
      <c r="DL206" s="72">
        <f t="shared" si="5882"/>
        <v>0</v>
      </c>
      <c r="DM206" s="108"/>
      <c r="DN206" s="73"/>
      <c r="DO206" s="72">
        <f t="shared" si="5883"/>
        <v>0</v>
      </c>
      <c r="DP206" s="108"/>
      <c r="DQ206" s="798" t="s">
        <v>2840</v>
      </c>
      <c r="DR206" s="72">
        <f t="shared" si="5884"/>
        <v>0</v>
      </c>
      <c r="DS206" s="108"/>
      <c r="DT206" s="73" t="s">
        <v>2873</v>
      </c>
      <c r="DU206" s="72">
        <f t="shared" si="5885"/>
        <v>0</v>
      </c>
      <c r="DV206" s="108"/>
      <c r="DW206" s="73"/>
      <c r="DX206" s="72">
        <f t="shared" si="5886"/>
        <v>0</v>
      </c>
      <c r="DY206" s="108"/>
      <c r="DZ206" s="79"/>
      <c r="EA206" s="72">
        <f t="shared" si="5887"/>
        <v>0</v>
      </c>
      <c r="EB206" s="108"/>
      <c r="EC206" s="79"/>
      <c r="ED206" s="72">
        <f t="shared" si="5888"/>
        <v>0</v>
      </c>
      <c r="EE206" s="108"/>
      <c r="EF206" s="79"/>
      <c r="EG206" s="72">
        <f t="shared" si="5889"/>
        <v>0</v>
      </c>
      <c r="EH206" s="108"/>
      <c r="EI206" s="73"/>
      <c r="EJ206" s="72">
        <f t="shared" si="5890"/>
        <v>0</v>
      </c>
      <c r="EK206" s="108"/>
      <c r="EL206" s="73"/>
      <c r="EM206" s="72">
        <f t="shared" si="5891"/>
        <v>0</v>
      </c>
      <c r="EN206" s="108"/>
      <c r="EO206" s="79"/>
      <c r="EP206" s="72">
        <f t="shared" si="5892"/>
        <v>0</v>
      </c>
      <c r="EQ206" s="108"/>
      <c r="ER206" s="79"/>
      <c r="ES206" s="72">
        <f t="shared" si="5893"/>
        <v>0</v>
      </c>
      <c r="ET206" s="108"/>
      <c r="EU206" s="79"/>
      <c r="EV206" s="72">
        <f t="shared" si="5894"/>
        <v>0</v>
      </c>
      <c r="EW206" s="108"/>
      <c r="EX206" s="73"/>
      <c r="EY206" s="72">
        <f t="shared" si="5895"/>
        <v>0</v>
      </c>
      <c r="EZ206" s="108"/>
      <c r="FA206" s="73"/>
      <c r="FB206" s="72">
        <f t="shared" si="5896"/>
        <v>0</v>
      </c>
      <c r="FC206" s="108"/>
      <c r="FD206" s="79"/>
      <c r="FE206" s="72">
        <f t="shared" si="5897"/>
        <v>0</v>
      </c>
      <c r="FF206" s="108"/>
      <c r="FG206" s="79"/>
      <c r="FH206" s="72">
        <f t="shared" si="5898"/>
        <v>0</v>
      </c>
      <c r="FI206" s="108"/>
      <c r="FJ206" s="79"/>
      <c r="FK206" s="72">
        <f t="shared" si="5899"/>
        <v>0</v>
      </c>
      <c r="FL206" s="108"/>
      <c r="FM206" s="73"/>
      <c r="FN206" s="72">
        <f t="shared" si="5900"/>
        <v>0</v>
      </c>
      <c r="FO206" s="108"/>
      <c r="FP206" s="73"/>
      <c r="FQ206" s="72">
        <f t="shared" si="5901"/>
        <v>0</v>
      </c>
      <c r="FR206" s="108"/>
      <c r="FS206" s="79"/>
      <c r="FT206" s="72">
        <f t="shared" si="5902"/>
        <v>0</v>
      </c>
      <c r="FU206" s="108"/>
      <c r="FV206" s="79"/>
      <c r="FW206" s="72">
        <f t="shared" si="5903"/>
        <v>0</v>
      </c>
      <c r="FX206" s="108"/>
      <c r="FY206" s="79"/>
      <c r="FZ206" s="72">
        <f t="shared" si="5904"/>
        <v>0</v>
      </c>
      <c r="GA206" s="108"/>
      <c r="GB206" s="73"/>
      <c r="GC206" s="72">
        <f t="shared" si="5905"/>
        <v>0</v>
      </c>
      <c r="GD206" s="108"/>
      <c r="GE206" s="73"/>
      <c r="GF206" s="72">
        <f t="shared" si="5906"/>
        <v>0</v>
      </c>
      <c r="GG206" s="108"/>
      <c r="GH206" s="79"/>
      <c r="GI206" s="72">
        <f t="shared" si="5907"/>
        <v>0</v>
      </c>
      <c r="GJ206" s="108"/>
      <c r="GK206" s="79"/>
      <c r="GL206" s="72">
        <f t="shared" si="5908"/>
        <v>0</v>
      </c>
      <c r="GM206" s="108"/>
      <c r="GN206" s="79"/>
      <c r="GO206" s="72">
        <f t="shared" si="5909"/>
        <v>0</v>
      </c>
      <c r="GP206" s="108"/>
      <c r="GQ206" s="73"/>
      <c r="GR206" s="72">
        <f t="shared" si="5910"/>
        <v>0</v>
      </c>
      <c r="GS206" s="108"/>
      <c r="GT206" s="73"/>
      <c r="GU206" s="72">
        <f t="shared" si="5911"/>
        <v>0</v>
      </c>
      <c r="GV206" s="108"/>
      <c r="GW206" s="79"/>
      <c r="GX206" s="72">
        <f t="shared" si="5912"/>
        <v>0</v>
      </c>
      <c r="GY206" s="108"/>
      <c r="GZ206" s="79"/>
      <c r="HA206" s="72">
        <f t="shared" si="5913"/>
        <v>0</v>
      </c>
      <c r="HB206" s="108"/>
      <c r="HC206" s="79"/>
      <c r="HD206" s="72">
        <f t="shared" si="5914"/>
        <v>0</v>
      </c>
      <c r="HE206" s="108"/>
      <c r="HF206" s="73"/>
      <c r="HG206" s="72">
        <f t="shared" si="5915"/>
        <v>0</v>
      </c>
      <c r="HH206" s="108"/>
      <c r="HI206" s="73"/>
      <c r="HJ206" s="72">
        <f t="shared" si="5916"/>
        <v>0</v>
      </c>
      <c r="HK206" s="108"/>
      <c r="HL206" s="79"/>
      <c r="HM206" s="72">
        <f t="shared" si="5917"/>
        <v>0</v>
      </c>
      <c r="HN206" s="108"/>
      <c r="HO206" s="79"/>
      <c r="HP206" s="72">
        <f t="shared" si="5918"/>
        <v>0</v>
      </c>
      <c r="HQ206" s="108"/>
      <c r="HR206" s="79"/>
      <c r="HS206" s="72">
        <f t="shared" si="5919"/>
        <v>0</v>
      </c>
      <c r="HT206" s="108"/>
      <c r="HU206" s="73"/>
      <c r="HV206" s="72">
        <f t="shared" si="5920"/>
        <v>0</v>
      </c>
      <c r="HW206" s="108"/>
      <c r="HX206" s="73"/>
      <c r="HY206" s="72">
        <f t="shared" si="5921"/>
        <v>0</v>
      </c>
      <c r="HZ206" s="108"/>
      <c r="IA206" s="79"/>
      <c r="IB206" s="72">
        <f t="shared" si="5922"/>
        <v>0</v>
      </c>
      <c r="IC206" s="108"/>
      <c r="ID206" s="79"/>
      <c r="IE206" s="72">
        <f t="shared" si="5923"/>
        <v>0</v>
      </c>
      <c r="IF206" s="108"/>
      <c r="IG206" s="79"/>
      <c r="IH206" s="72">
        <f t="shared" si="5924"/>
        <v>0</v>
      </c>
      <c r="II206" s="108"/>
      <c r="IJ206" s="73"/>
      <c r="IK206" s="72">
        <f t="shared" si="5925"/>
        <v>0</v>
      </c>
      <c r="IL206" s="108"/>
      <c r="IM206" s="73"/>
      <c r="IN206" s="72">
        <f t="shared" si="5926"/>
        <v>0</v>
      </c>
      <c r="IO206" s="108"/>
      <c r="IP206" s="79"/>
      <c r="IQ206" s="72">
        <f t="shared" si="5927"/>
        <v>0</v>
      </c>
      <c r="IR206" s="108"/>
      <c r="IS206" s="79"/>
      <c r="IT206" s="72">
        <f t="shared" si="5928"/>
        <v>0</v>
      </c>
      <c r="IU206" s="108"/>
      <c r="IV206" s="79"/>
      <c r="IW206" s="72">
        <f t="shared" si="5929"/>
        <v>0</v>
      </c>
      <c r="IX206" s="108"/>
      <c r="IY206" s="73"/>
      <c r="IZ206" s="72">
        <f t="shared" si="5930"/>
        <v>0</v>
      </c>
      <c r="JA206" s="108"/>
      <c r="JB206" s="73"/>
      <c r="JC206" s="72">
        <f t="shared" si="5931"/>
        <v>0</v>
      </c>
      <c r="JD206" s="108"/>
      <c r="JE206" s="79"/>
      <c r="JF206" s="72">
        <f t="shared" si="5932"/>
        <v>0</v>
      </c>
      <c r="JG206" s="108"/>
      <c r="JH206" s="79"/>
      <c r="JI206" s="72">
        <f t="shared" si="5933"/>
        <v>0</v>
      </c>
      <c r="JJ206" s="108"/>
      <c r="JK206" s="79"/>
      <c r="JL206" s="72">
        <f t="shared" si="5934"/>
        <v>0</v>
      </c>
      <c r="JM206" s="108"/>
      <c r="JN206" s="73"/>
      <c r="JO206" s="72">
        <f t="shared" si="5935"/>
        <v>0</v>
      </c>
      <c r="JP206" s="108"/>
      <c r="JQ206" s="73"/>
      <c r="JR206" s="72">
        <f t="shared" si="5936"/>
        <v>0</v>
      </c>
      <c r="JS206" s="108"/>
      <c r="JT206" s="79"/>
      <c r="JU206" s="72">
        <f t="shared" si="5937"/>
        <v>0</v>
      </c>
      <c r="JV206" s="108"/>
      <c r="JW206" s="79"/>
      <c r="JX206" s="72">
        <f t="shared" si="5938"/>
        <v>0</v>
      </c>
      <c r="JY206" s="108"/>
      <c r="JZ206" s="79"/>
      <c r="KA206" s="72">
        <f t="shared" si="5939"/>
        <v>0</v>
      </c>
      <c r="KB206" s="108"/>
      <c r="KC206" s="73"/>
      <c r="KD206" s="72">
        <f t="shared" si="5940"/>
        <v>0</v>
      </c>
      <c r="KE206" s="108"/>
      <c r="KF206" s="73"/>
      <c r="KG206" s="72">
        <f t="shared" si="5941"/>
        <v>0</v>
      </c>
      <c r="KH206" s="108"/>
      <c r="KI206" s="79"/>
      <c r="KJ206" s="72">
        <f t="shared" si="5942"/>
        <v>0</v>
      </c>
      <c r="KK206" s="108"/>
      <c r="KL206" s="79"/>
      <c r="KM206" s="72">
        <f t="shared" si="5943"/>
        <v>0</v>
      </c>
      <c r="KN206" s="108"/>
      <c r="KO206" s="79"/>
      <c r="KP206" s="72">
        <f t="shared" si="5944"/>
        <v>0</v>
      </c>
      <c r="KQ206" s="108"/>
      <c r="KR206" s="73"/>
      <c r="KS206" s="72">
        <f t="shared" si="5945"/>
        <v>0</v>
      </c>
      <c r="KT206" s="108"/>
      <c r="KU206" s="73"/>
      <c r="KV206" s="72">
        <f t="shared" si="5946"/>
        <v>0</v>
      </c>
      <c r="KW206" s="108"/>
      <c r="KX206" s="79"/>
      <c r="KY206" s="72">
        <f t="shared" si="5947"/>
        <v>0</v>
      </c>
      <c r="KZ206" s="108"/>
      <c r="LA206" s="79"/>
      <c r="LB206" s="72">
        <f t="shared" si="5948"/>
        <v>0</v>
      </c>
      <c r="LC206" s="108"/>
      <c r="LD206" s="79"/>
      <c r="LE206" s="72">
        <f t="shared" si="5949"/>
        <v>0</v>
      </c>
      <c r="LF206" s="108"/>
    </row>
    <row r="207" spans="1:318" s="784" customFormat="1">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6">
        <f t="shared" si="5950"/>
        <v>30</v>
      </c>
      <c r="G207" s="406">
        <f ca="1">VLOOKUP(H207,Equipos!$Q$1:$R$25,2,0)</f>
        <v>21</v>
      </c>
      <c r="H207" s="64" t="str">
        <f>Idiomas!$D$261</f>
        <v>Octavos de final</v>
      </c>
      <c r="I207" s="45">
        <v>1</v>
      </c>
      <c r="J207" s="843"/>
      <c r="K207" s="113" t="str">
        <f>CONCATENATE(WORLDCUP!AA127,"-",WORLDCUP!AF127)</f>
        <v>W85-W87</v>
      </c>
      <c r="L207" s="113" t="str">
        <f>IF(OR(WORLDCUP!AC127="",WORLDCUP!AD127=""),"PD",IF(WORLDCUP!AC127&gt;WORLDCUP!AD127,1,IF(WORLDCUP!AC127&lt;WORLDCUP!AD127,2,0)))</f>
        <v>PD</v>
      </c>
      <c r="M207" s="114" t="str">
        <f t="shared" si="5847"/>
        <v>-</v>
      </c>
      <c r="N207" s="25">
        <f>WORLDCUP!AC127</f>
        <v>0</v>
      </c>
      <c r="O207" s="25">
        <f>WORLDCUP!AD127</f>
        <v>0</v>
      </c>
      <c r="P207" s="25">
        <f t="shared" si="5848"/>
        <v>0</v>
      </c>
      <c r="Q207" s="25">
        <f t="shared" si="5849"/>
        <v>0</v>
      </c>
      <c r="R207" s="108"/>
      <c r="S207" s="798" t="s">
        <v>1987</v>
      </c>
      <c r="T207" s="84">
        <f t="shared" si="5850"/>
        <v>0</v>
      </c>
      <c r="U207" s="108"/>
      <c r="V207" s="73" t="s">
        <v>2032</v>
      </c>
      <c r="W207" s="84">
        <f t="shared" si="5851"/>
        <v>0</v>
      </c>
      <c r="X207" s="108"/>
      <c r="Y207" s="798" t="s">
        <v>2075</v>
      </c>
      <c r="Z207" s="84">
        <f t="shared" si="5852"/>
        <v>0</v>
      </c>
      <c r="AA207" s="108"/>
      <c r="AB207" s="798" t="s">
        <v>2109</v>
      </c>
      <c r="AC207" s="84">
        <f t="shared" si="5853"/>
        <v>0</v>
      </c>
      <c r="AD207" s="108"/>
      <c r="AE207" s="798" t="s">
        <v>2032</v>
      </c>
      <c r="AF207" s="84">
        <f t="shared" si="5951"/>
        <v>0</v>
      </c>
      <c r="AG207" s="108"/>
      <c r="AH207" s="798" t="s">
        <v>2179</v>
      </c>
      <c r="AI207" s="84">
        <f t="shared" si="5855"/>
        <v>0</v>
      </c>
      <c r="AJ207" s="108"/>
      <c r="AK207" s="806" t="s">
        <v>2075</v>
      </c>
      <c r="AL207" s="84">
        <f t="shared" si="5856"/>
        <v>0</v>
      </c>
      <c r="AM207" s="108"/>
      <c r="AN207" s="798" t="s">
        <v>2032</v>
      </c>
      <c r="AO207" s="84">
        <f t="shared" si="5857"/>
        <v>0</v>
      </c>
      <c r="AP207" s="108"/>
      <c r="AQ207" s="806" t="s">
        <v>2075</v>
      </c>
      <c r="AR207" s="84">
        <f t="shared" si="5858"/>
        <v>0</v>
      </c>
      <c r="AS207" s="108"/>
      <c r="AT207" s="798" t="s">
        <v>2075</v>
      </c>
      <c r="AU207" s="84">
        <f t="shared" si="5859"/>
        <v>0</v>
      </c>
      <c r="AV207" s="108"/>
      <c r="AW207" s="798" t="s">
        <v>2325</v>
      </c>
      <c r="AX207" s="84">
        <f t="shared" si="5860"/>
        <v>0</v>
      </c>
      <c r="AY207" s="108"/>
      <c r="AZ207" s="798" t="s">
        <v>2374</v>
      </c>
      <c r="BA207" s="84">
        <f t="shared" si="5861"/>
        <v>0</v>
      </c>
      <c r="BB207" s="108"/>
      <c r="BC207" s="798" t="s">
        <v>2407</v>
      </c>
      <c r="BD207" s="84">
        <f t="shared" si="5862"/>
        <v>0</v>
      </c>
      <c r="BE207" s="108"/>
      <c r="BF207" s="798" t="s">
        <v>2433</v>
      </c>
      <c r="BG207" s="84">
        <f t="shared" si="5863"/>
        <v>0</v>
      </c>
      <c r="BH207" s="108"/>
      <c r="BI207" s="798" t="s">
        <v>2075</v>
      </c>
      <c r="BJ207" s="84">
        <f t="shared" si="5864"/>
        <v>0</v>
      </c>
      <c r="BK207" s="108"/>
      <c r="BL207" s="798" t="s">
        <v>1987</v>
      </c>
      <c r="BM207" s="84">
        <f t="shared" si="5865"/>
        <v>0</v>
      </c>
      <c r="BN207" s="108"/>
      <c r="BO207" s="816" t="s">
        <v>2075</v>
      </c>
      <c r="BP207" s="84">
        <f t="shared" si="5866"/>
        <v>0</v>
      </c>
      <c r="BQ207" s="108"/>
      <c r="BR207" s="798" t="s">
        <v>2075</v>
      </c>
      <c r="BS207" s="84">
        <f t="shared" si="5867"/>
        <v>0</v>
      </c>
      <c r="BT207" s="108"/>
      <c r="BU207" s="798" t="s">
        <v>2545</v>
      </c>
      <c r="BV207" s="84">
        <f t="shared" si="5868"/>
        <v>0</v>
      </c>
      <c r="BW207" s="108"/>
      <c r="BX207" s="79" t="s">
        <v>2032</v>
      </c>
      <c r="BY207" s="84">
        <f t="shared" si="5869"/>
        <v>0</v>
      </c>
      <c r="BZ207" s="108"/>
      <c r="CA207" s="816" t="s">
        <v>2407</v>
      </c>
      <c r="CB207" s="84">
        <f t="shared" si="5870"/>
        <v>0</v>
      </c>
      <c r="CC207" s="108"/>
      <c r="CD207" s="825" t="s">
        <v>2602</v>
      </c>
      <c r="CE207" s="84">
        <f t="shared" si="5871"/>
        <v>0</v>
      </c>
      <c r="CF207" s="108"/>
      <c r="CG207" s="798" t="s">
        <v>2619</v>
      </c>
      <c r="CH207" s="84">
        <f t="shared" si="5872"/>
        <v>0</v>
      </c>
      <c r="CI207" s="108"/>
      <c r="CJ207" s="798" t="s">
        <v>2633</v>
      </c>
      <c r="CK207" s="84">
        <f t="shared" si="5873"/>
        <v>0</v>
      </c>
      <c r="CL207" s="108"/>
      <c r="CM207" s="798" t="s">
        <v>2660</v>
      </c>
      <c r="CN207" s="84">
        <f t="shared" si="5874"/>
        <v>0</v>
      </c>
      <c r="CO207" s="108"/>
      <c r="CP207" s="798" t="s">
        <v>2325</v>
      </c>
      <c r="CQ207" s="84">
        <f t="shared" si="5875"/>
        <v>0</v>
      </c>
      <c r="CR207" s="108"/>
      <c r="CS207" s="798" t="s">
        <v>1987</v>
      </c>
      <c r="CT207" s="84">
        <f t="shared" si="5876"/>
        <v>0</v>
      </c>
      <c r="CU207" s="108"/>
      <c r="CV207" s="798" t="s">
        <v>2734</v>
      </c>
      <c r="CW207" s="84">
        <f t="shared" si="5877"/>
        <v>0</v>
      </c>
      <c r="CX207" s="108"/>
      <c r="CY207" s="798" t="s">
        <v>2755</v>
      </c>
      <c r="CZ207" s="84">
        <f t="shared" si="5878"/>
        <v>0</v>
      </c>
      <c r="DA207" s="108"/>
      <c r="DB207" s="798" t="s">
        <v>2781</v>
      </c>
      <c r="DC207" s="84">
        <f t="shared" si="5879"/>
        <v>0</v>
      </c>
      <c r="DD207" s="108"/>
      <c r="DE207" s="798" t="s">
        <v>2803</v>
      </c>
      <c r="DF207" s="84">
        <f t="shared" si="5880"/>
        <v>0</v>
      </c>
      <c r="DG207" s="108"/>
      <c r="DH207" s="798" t="s">
        <v>1987</v>
      </c>
      <c r="DI207" s="84">
        <f t="shared" si="5881"/>
        <v>0</v>
      </c>
      <c r="DJ207" s="108"/>
      <c r="DK207" s="798" t="s">
        <v>1987</v>
      </c>
      <c r="DL207" s="84">
        <f t="shared" si="5882"/>
        <v>0</v>
      </c>
      <c r="DM207" s="108"/>
      <c r="DN207" s="73"/>
      <c r="DO207" s="84">
        <f t="shared" si="5883"/>
        <v>0</v>
      </c>
      <c r="DP207" s="108"/>
      <c r="DQ207" s="798" t="s">
        <v>2841</v>
      </c>
      <c r="DR207" s="84">
        <f t="shared" si="5884"/>
        <v>0</v>
      </c>
      <c r="DS207" s="108"/>
      <c r="DT207" s="73" t="s">
        <v>1987</v>
      </c>
      <c r="DU207" s="84">
        <f t="shared" si="5885"/>
        <v>0</v>
      </c>
      <c r="DV207" s="108"/>
      <c r="DW207" s="73"/>
      <c r="DX207" s="84">
        <f t="shared" si="5886"/>
        <v>0</v>
      </c>
      <c r="DY207" s="108"/>
      <c r="DZ207" s="79"/>
      <c r="EA207" s="84">
        <f t="shared" si="5887"/>
        <v>0</v>
      </c>
      <c r="EB207" s="108"/>
      <c r="EC207" s="79"/>
      <c r="ED207" s="84">
        <f t="shared" si="5888"/>
        <v>0</v>
      </c>
      <c r="EE207" s="108"/>
      <c r="EF207" s="79"/>
      <c r="EG207" s="84">
        <f t="shared" si="5889"/>
        <v>0</v>
      </c>
      <c r="EH207" s="108"/>
      <c r="EI207" s="73"/>
      <c r="EJ207" s="84">
        <f t="shared" si="5890"/>
        <v>0</v>
      </c>
      <c r="EK207" s="108"/>
      <c r="EL207" s="73"/>
      <c r="EM207" s="84">
        <f t="shared" si="5891"/>
        <v>0</v>
      </c>
      <c r="EN207" s="108"/>
      <c r="EO207" s="79"/>
      <c r="EP207" s="84">
        <f t="shared" si="5892"/>
        <v>0</v>
      </c>
      <c r="EQ207" s="108"/>
      <c r="ER207" s="79"/>
      <c r="ES207" s="84">
        <f t="shared" si="5893"/>
        <v>0</v>
      </c>
      <c r="ET207" s="108"/>
      <c r="EU207" s="79"/>
      <c r="EV207" s="84">
        <f t="shared" si="5894"/>
        <v>0</v>
      </c>
      <c r="EW207" s="108"/>
      <c r="EX207" s="73"/>
      <c r="EY207" s="84">
        <f t="shared" si="5895"/>
        <v>0</v>
      </c>
      <c r="EZ207" s="108"/>
      <c r="FA207" s="73"/>
      <c r="FB207" s="84">
        <f t="shared" si="5896"/>
        <v>0</v>
      </c>
      <c r="FC207" s="108"/>
      <c r="FD207" s="79"/>
      <c r="FE207" s="84">
        <f t="shared" si="5897"/>
        <v>0</v>
      </c>
      <c r="FF207" s="108"/>
      <c r="FG207" s="79"/>
      <c r="FH207" s="84">
        <f t="shared" si="5898"/>
        <v>0</v>
      </c>
      <c r="FI207" s="108"/>
      <c r="FJ207" s="79"/>
      <c r="FK207" s="84">
        <f t="shared" si="5899"/>
        <v>0</v>
      </c>
      <c r="FL207" s="108"/>
      <c r="FM207" s="73"/>
      <c r="FN207" s="84">
        <f t="shared" si="5900"/>
        <v>0</v>
      </c>
      <c r="FO207" s="108"/>
      <c r="FP207" s="73"/>
      <c r="FQ207" s="84">
        <f t="shared" si="5901"/>
        <v>0</v>
      </c>
      <c r="FR207" s="108"/>
      <c r="FS207" s="79"/>
      <c r="FT207" s="84">
        <f t="shared" si="5902"/>
        <v>0</v>
      </c>
      <c r="FU207" s="108"/>
      <c r="FV207" s="79"/>
      <c r="FW207" s="84">
        <f t="shared" si="5903"/>
        <v>0</v>
      </c>
      <c r="FX207" s="108"/>
      <c r="FY207" s="79"/>
      <c r="FZ207" s="84">
        <f t="shared" si="5904"/>
        <v>0</v>
      </c>
      <c r="GA207" s="108"/>
      <c r="GB207" s="73"/>
      <c r="GC207" s="84">
        <f t="shared" si="5905"/>
        <v>0</v>
      </c>
      <c r="GD207" s="108"/>
      <c r="GE207" s="73"/>
      <c r="GF207" s="84">
        <f t="shared" si="5906"/>
        <v>0</v>
      </c>
      <c r="GG207" s="108"/>
      <c r="GH207" s="79"/>
      <c r="GI207" s="84">
        <f t="shared" si="5907"/>
        <v>0</v>
      </c>
      <c r="GJ207" s="108"/>
      <c r="GK207" s="79"/>
      <c r="GL207" s="84">
        <f t="shared" si="5908"/>
        <v>0</v>
      </c>
      <c r="GM207" s="108"/>
      <c r="GN207" s="79"/>
      <c r="GO207" s="84">
        <f t="shared" si="5909"/>
        <v>0</v>
      </c>
      <c r="GP207" s="108"/>
      <c r="GQ207" s="73"/>
      <c r="GR207" s="84">
        <f t="shared" si="5910"/>
        <v>0</v>
      </c>
      <c r="GS207" s="108"/>
      <c r="GT207" s="73"/>
      <c r="GU207" s="84">
        <f t="shared" si="5911"/>
        <v>0</v>
      </c>
      <c r="GV207" s="108"/>
      <c r="GW207" s="79"/>
      <c r="GX207" s="84">
        <f t="shared" si="5912"/>
        <v>0</v>
      </c>
      <c r="GY207" s="108"/>
      <c r="GZ207" s="79"/>
      <c r="HA207" s="84">
        <f t="shared" si="5913"/>
        <v>0</v>
      </c>
      <c r="HB207" s="108"/>
      <c r="HC207" s="79"/>
      <c r="HD207" s="84">
        <f t="shared" si="5914"/>
        <v>0</v>
      </c>
      <c r="HE207" s="108"/>
      <c r="HF207" s="73"/>
      <c r="HG207" s="84">
        <f t="shared" si="5915"/>
        <v>0</v>
      </c>
      <c r="HH207" s="108"/>
      <c r="HI207" s="73"/>
      <c r="HJ207" s="84">
        <f t="shared" si="5916"/>
        <v>0</v>
      </c>
      <c r="HK207" s="108"/>
      <c r="HL207" s="79"/>
      <c r="HM207" s="84">
        <f t="shared" si="5917"/>
        <v>0</v>
      </c>
      <c r="HN207" s="108"/>
      <c r="HO207" s="79"/>
      <c r="HP207" s="84">
        <f t="shared" si="5918"/>
        <v>0</v>
      </c>
      <c r="HQ207" s="108"/>
      <c r="HR207" s="79"/>
      <c r="HS207" s="84">
        <f t="shared" si="5919"/>
        <v>0</v>
      </c>
      <c r="HT207" s="108"/>
      <c r="HU207" s="73"/>
      <c r="HV207" s="84">
        <f t="shared" si="5920"/>
        <v>0</v>
      </c>
      <c r="HW207" s="108"/>
      <c r="HX207" s="73"/>
      <c r="HY207" s="84">
        <f t="shared" si="5921"/>
        <v>0</v>
      </c>
      <c r="HZ207" s="108"/>
      <c r="IA207" s="79"/>
      <c r="IB207" s="84">
        <f t="shared" si="5922"/>
        <v>0</v>
      </c>
      <c r="IC207" s="108"/>
      <c r="ID207" s="79"/>
      <c r="IE207" s="84">
        <f t="shared" si="5923"/>
        <v>0</v>
      </c>
      <c r="IF207" s="108"/>
      <c r="IG207" s="79"/>
      <c r="IH207" s="84">
        <f t="shared" si="5924"/>
        <v>0</v>
      </c>
      <c r="II207" s="108"/>
      <c r="IJ207" s="73"/>
      <c r="IK207" s="84">
        <f t="shared" si="5925"/>
        <v>0</v>
      </c>
      <c r="IL207" s="108"/>
      <c r="IM207" s="73"/>
      <c r="IN207" s="84">
        <f t="shared" si="5926"/>
        <v>0</v>
      </c>
      <c r="IO207" s="108"/>
      <c r="IP207" s="79"/>
      <c r="IQ207" s="84">
        <f t="shared" si="5927"/>
        <v>0</v>
      </c>
      <c r="IR207" s="108"/>
      <c r="IS207" s="79"/>
      <c r="IT207" s="84">
        <f t="shared" si="5928"/>
        <v>0</v>
      </c>
      <c r="IU207" s="108"/>
      <c r="IV207" s="79"/>
      <c r="IW207" s="84">
        <f t="shared" si="5929"/>
        <v>0</v>
      </c>
      <c r="IX207" s="108"/>
      <c r="IY207" s="73"/>
      <c r="IZ207" s="84">
        <f t="shared" si="5930"/>
        <v>0</v>
      </c>
      <c r="JA207" s="108"/>
      <c r="JB207" s="73"/>
      <c r="JC207" s="84">
        <f t="shared" si="5931"/>
        <v>0</v>
      </c>
      <c r="JD207" s="108"/>
      <c r="JE207" s="79"/>
      <c r="JF207" s="84">
        <f t="shared" si="5932"/>
        <v>0</v>
      </c>
      <c r="JG207" s="108"/>
      <c r="JH207" s="79"/>
      <c r="JI207" s="84">
        <f t="shared" si="5933"/>
        <v>0</v>
      </c>
      <c r="JJ207" s="108"/>
      <c r="JK207" s="79"/>
      <c r="JL207" s="84">
        <f t="shared" si="5934"/>
        <v>0</v>
      </c>
      <c r="JM207" s="108"/>
      <c r="JN207" s="73"/>
      <c r="JO207" s="84">
        <f t="shared" si="5935"/>
        <v>0</v>
      </c>
      <c r="JP207" s="108"/>
      <c r="JQ207" s="73"/>
      <c r="JR207" s="84">
        <f t="shared" si="5936"/>
        <v>0</v>
      </c>
      <c r="JS207" s="108"/>
      <c r="JT207" s="79"/>
      <c r="JU207" s="84">
        <f t="shared" si="5937"/>
        <v>0</v>
      </c>
      <c r="JV207" s="108"/>
      <c r="JW207" s="79"/>
      <c r="JX207" s="84">
        <f t="shared" si="5938"/>
        <v>0</v>
      </c>
      <c r="JY207" s="108"/>
      <c r="JZ207" s="79"/>
      <c r="KA207" s="84">
        <f t="shared" si="5939"/>
        <v>0</v>
      </c>
      <c r="KB207" s="108"/>
      <c r="KC207" s="73"/>
      <c r="KD207" s="84">
        <f t="shared" si="5940"/>
        <v>0</v>
      </c>
      <c r="KE207" s="108"/>
      <c r="KF207" s="73"/>
      <c r="KG207" s="84">
        <f t="shared" si="5941"/>
        <v>0</v>
      </c>
      <c r="KH207" s="108"/>
      <c r="KI207" s="79"/>
      <c r="KJ207" s="84">
        <f t="shared" si="5942"/>
        <v>0</v>
      </c>
      <c r="KK207" s="108"/>
      <c r="KL207" s="79"/>
      <c r="KM207" s="84">
        <f t="shared" si="5943"/>
        <v>0</v>
      </c>
      <c r="KN207" s="108"/>
      <c r="KO207" s="79"/>
      <c r="KP207" s="84">
        <f t="shared" si="5944"/>
        <v>0</v>
      </c>
      <c r="KQ207" s="108"/>
      <c r="KR207" s="73"/>
      <c r="KS207" s="84">
        <f t="shared" si="5945"/>
        <v>0</v>
      </c>
      <c r="KT207" s="108"/>
      <c r="KU207" s="73"/>
      <c r="KV207" s="84">
        <f t="shared" si="5946"/>
        <v>0</v>
      </c>
      <c r="KW207" s="108"/>
      <c r="KX207" s="79"/>
      <c r="KY207" s="84">
        <f t="shared" si="5947"/>
        <v>0</v>
      </c>
      <c r="KZ207" s="108"/>
      <c r="LA207" s="79"/>
      <c r="LB207" s="84">
        <f t="shared" si="5948"/>
        <v>0</v>
      </c>
      <c r="LC207" s="108"/>
      <c r="LD207" s="79"/>
      <c r="LE207" s="84">
        <f t="shared" si="5949"/>
        <v>0</v>
      </c>
      <c r="LF207" s="108"/>
    </row>
    <row r="208" spans="1:318" s="784" customFormat="1">
      <c r="A208" s="25"/>
      <c r="B208" s="25"/>
      <c r="C208" s="25"/>
      <c r="D208" s="25"/>
      <c r="E208" s="25"/>
      <c r="F208" s="406"/>
      <c r="G208" s="406"/>
      <c r="H208" s="64"/>
      <c r="I208" s="50"/>
      <c r="J208" s="92"/>
      <c r="K208" s="432" t="str">
        <f>Idiomas!D460</f>
        <v>Partidos 1/8</v>
      </c>
      <c r="L208" s="433"/>
      <c r="M208" s="432" t="str">
        <f>"Max: "&amp;SUM($D$20:$D$22)*SUM($I$200:$I$207)</f>
        <v>Max: 240</v>
      </c>
      <c r="N208" s="25"/>
      <c r="O208" s="25"/>
      <c r="P208" s="25"/>
      <c r="Q208" s="25"/>
      <c r="R208" s="49"/>
      <c r="S208" s="797"/>
      <c r="T208" s="70">
        <f t="shared" ref="T208" si="5952">SUM(T200:T207)</f>
        <v>0</v>
      </c>
      <c r="U208" s="49"/>
      <c r="V208" s="83"/>
      <c r="W208" s="70">
        <f t="shared" ref="W208" si="5953">SUM(W200:W207)</f>
        <v>0</v>
      </c>
      <c r="X208" s="49"/>
      <c r="Y208" s="797"/>
      <c r="Z208" s="70">
        <f t="shared" ref="Z208" si="5954">SUM(Z200:Z207)</f>
        <v>0</v>
      </c>
      <c r="AA208" s="49"/>
      <c r="AB208" s="797"/>
      <c r="AC208" s="70">
        <f t="shared" ref="AC208" si="5955">SUM(AC200:AC207)</f>
        <v>0</v>
      </c>
      <c r="AD208" s="49"/>
      <c r="AE208" s="797"/>
      <c r="AF208" s="70">
        <f t="shared" ref="AF208" si="5956">SUM(AF200:AF207)</f>
        <v>0</v>
      </c>
      <c r="AG208" s="49"/>
      <c r="AH208" s="797"/>
      <c r="AI208" s="70">
        <f t="shared" ref="AI208" si="5957">SUM(AI200:AI207)</f>
        <v>0</v>
      </c>
      <c r="AJ208" s="49"/>
      <c r="AK208" s="802"/>
      <c r="AL208" s="70">
        <f t="shared" ref="AL208" si="5958">SUM(AL200:AL207)</f>
        <v>0</v>
      </c>
      <c r="AM208" s="49"/>
      <c r="AN208" s="797"/>
      <c r="AO208" s="70">
        <f t="shared" ref="AO208" si="5959">SUM(AO200:AO207)</f>
        <v>0</v>
      </c>
      <c r="AP208" s="49"/>
      <c r="AQ208" s="802"/>
      <c r="AR208" s="70">
        <f t="shared" ref="AR208" si="5960">SUM(AR200:AR207)</f>
        <v>0</v>
      </c>
      <c r="AS208" s="49"/>
      <c r="AT208" s="797"/>
      <c r="AU208" s="70">
        <f t="shared" ref="AU208" si="5961">SUM(AU200:AU207)</f>
        <v>0</v>
      </c>
      <c r="AV208" s="49"/>
      <c r="AW208" s="797"/>
      <c r="AX208" s="70">
        <f t="shared" ref="AX208" si="5962">SUM(AX200:AX207)</f>
        <v>0</v>
      </c>
      <c r="AY208" s="49"/>
      <c r="AZ208" s="797"/>
      <c r="BA208" s="70">
        <f t="shared" ref="BA208" si="5963">SUM(BA200:BA207)</f>
        <v>0</v>
      </c>
      <c r="BB208" s="49"/>
      <c r="BC208" s="797"/>
      <c r="BD208" s="70">
        <f t="shared" ref="BD208" si="5964">SUM(BD200:BD207)</f>
        <v>0</v>
      </c>
      <c r="BE208" s="49"/>
      <c r="BF208" s="797"/>
      <c r="BG208" s="70">
        <f t="shared" ref="BG208" si="5965">SUM(BG200:BG207)</f>
        <v>0</v>
      </c>
      <c r="BH208" s="49"/>
      <c r="BI208" s="797"/>
      <c r="BJ208" s="70">
        <f t="shared" ref="BJ208" si="5966">SUM(BJ200:BJ207)</f>
        <v>0</v>
      </c>
      <c r="BK208" s="49"/>
      <c r="BL208" s="797"/>
      <c r="BM208" s="70">
        <f t="shared" ref="BM208" si="5967">SUM(BM200:BM207)</f>
        <v>0</v>
      </c>
      <c r="BN208" s="49"/>
      <c r="BO208" s="812"/>
      <c r="BP208" s="70">
        <f t="shared" ref="BP208" si="5968">SUM(BP200:BP207)</f>
        <v>0</v>
      </c>
      <c r="BQ208" s="49"/>
      <c r="BR208" s="797"/>
      <c r="BS208" s="70">
        <f t="shared" ref="BS208" si="5969">SUM(BS200:BS207)</f>
        <v>0</v>
      </c>
      <c r="BT208" s="49"/>
      <c r="BU208" s="797"/>
      <c r="BV208" s="70">
        <f t="shared" ref="BV208" si="5970">SUM(BV200:BV207)</f>
        <v>0</v>
      </c>
      <c r="BW208" s="49"/>
      <c r="BX208" s="83"/>
      <c r="BY208" s="70">
        <f t="shared" ref="BY208" si="5971">SUM(BY200:BY207)</f>
        <v>0</v>
      </c>
      <c r="BZ208" s="49"/>
      <c r="CA208" s="812"/>
      <c r="CB208" s="70">
        <f t="shared" ref="CB208" si="5972">SUM(CB200:CB207)</f>
        <v>0</v>
      </c>
      <c r="CC208" s="49"/>
      <c r="CD208" s="821"/>
      <c r="CE208" s="70">
        <f t="shared" ref="CE208" si="5973">SUM(CE200:CE207)</f>
        <v>0</v>
      </c>
      <c r="CF208" s="49"/>
      <c r="CG208" s="797"/>
      <c r="CH208" s="70">
        <f t="shared" ref="CH208" si="5974">SUM(CH200:CH207)</f>
        <v>0</v>
      </c>
      <c r="CI208" s="49"/>
      <c r="CJ208" s="797"/>
      <c r="CK208" s="70">
        <f t="shared" ref="CK208" si="5975">SUM(CK200:CK207)</f>
        <v>0</v>
      </c>
      <c r="CL208" s="49"/>
      <c r="CM208" s="797"/>
      <c r="CN208" s="70">
        <f t="shared" ref="CN208" si="5976">SUM(CN200:CN207)</f>
        <v>0</v>
      </c>
      <c r="CO208" s="49"/>
      <c r="CP208" s="797"/>
      <c r="CQ208" s="70">
        <f t="shared" ref="CQ208" si="5977">SUM(CQ200:CQ207)</f>
        <v>0</v>
      </c>
      <c r="CR208" s="49"/>
      <c r="CS208" s="797"/>
      <c r="CT208" s="70">
        <f t="shared" ref="CT208" si="5978">SUM(CT200:CT207)</f>
        <v>0</v>
      </c>
      <c r="CU208" s="49"/>
      <c r="CV208" s="797"/>
      <c r="CW208" s="70">
        <f t="shared" ref="CW208" si="5979">SUM(CW200:CW207)</f>
        <v>0</v>
      </c>
      <c r="CX208" s="49"/>
      <c r="CY208" s="797"/>
      <c r="CZ208" s="70">
        <f t="shared" ref="CZ208" si="5980">SUM(CZ200:CZ207)</f>
        <v>0</v>
      </c>
      <c r="DA208" s="49"/>
      <c r="DB208" s="797"/>
      <c r="DC208" s="70">
        <f t="shared" ref="DC208" si="5981">SUM(DC200:DC207)</f>
        <v>0</v>
      </c>
      <c r="DD208" s="49"/>
      <c r="DE208" s="797"/>
      <c r="DF208" s="70">
        <f t="shared" ref="DF208" si="5982">SUM(DF200:DF207)</f>
        <v>0</v>
      </c>
      <c r="DG208" s="49"/>
      <c r="DH208" s="797"/>
      <c r="DI208" s="70">
        <f t="shared" ref="DI208" si="5983">SUM(DI200:DI207)</f>
        <v>0</v>
      </c>
      <c r="DJ208" s="49"/>
      <c r="DK208" s="797"/>
      <c r="DL208" s="70">
        <f t="shared" ref="DL208" si="5984">SUM(DL200:DL207)</f>
        <v>0</v>
      </c>
      <c r="DM208" s="49"/>
      <c r="DN208" s="83"/>
      <c r="DO208" s="70">
        <f t="shared" ref="DO208" si="5985">SUM(DO200:DO207)</f>
        <v>0</v>
      </c>
      <c r="DP208" s="49"/>
      <c r="DQ208" s="797"/>
      <c r="DR208" s="70">
        <f t="shared" ref="DR208" si="5986">SUM(DR200:DR207)</f>
        <v>0</v>
      </c>
      <c r="DS208" s="49"/>
      <c r="DT208" s="83"/>
      <c r="DU208" s="70">
        <f t="shared" ref="DU208" si="5987">SUM(DU200:DU207)</f>
        <v>0</v>
      </c>
      <c r="DV208" s="49"/>
      <c r="DW208" s="83"/>
      <c r="DX208" s="70">
        <f t="shared" ref="DX208" si="5988">SUM(DX200:DX207)</f>
        <v>0</v>
      </c>
      <c r="DY208" s="49"/>
      <c r="DZ208" s="83"/>
      <c r="EA208" s="70">
        <f t="shared" ref="EA208" si="5989">SUM(EA200:EA207)</f>
        <v>0</v>
      </c>
      <c r="EB208" s="49"/>
      <c r="EC208" s="83"/>
      <c r="ED208" s="70">
        <f t="shared" ref="ED208" si="5990">SUM(ED200:ED207)</f>
        <v>0</v>
      </c>
      <c r="EE208" s="49"/>
      <c r="EF208" s="83"/>
      <c r="EG208" s="70">
        <f t="shared" ref="EG208" si="5991">SUM(EG200:EG207)</f>
        <v>0</v>
      </c>
      <c r="EH208" s="49"/>
      <c r="EI208" s="83"/>
      <c r="EJ208" s="70">
        <f t="shared" ref="EJ208" si="5992">SUM(EJ200:EJ207)</f>
        <v>0</v>
      </c>
      <c r="EK208" s="49"/>
      <c r="EL208" s="83"/>
      <c r="EM208" s="70">
        <f t="shared" ref="EM208" si="5993">SUM(EM200:EM207)</f>
        <v>0</v>
      </c>
      <c r="EN208" s="49"/>
      <c r="EO208" s="83"/>
      <c r="EP208" s="70">
        <f t="shared" ref="EP208" si="5994">SUM(EP200:EP207)</f>
        <v>0</v>
      </c>
      <c r="EQ208" s="49"/>
      <c r="ER208" s="83"/>
      <c r="ES208" s="70">
        <f t="shared" ref="ES208" si="5995">SUM(ES200:ES207)</f>
        <v>0</v>
      </c>
      <c r="ET208" s="49"/>
      <c r="EU208" s="83"/>
      <c r="EV208" s="70">
        <f t="shared" ref="EV208" si="5996">SUM(EV200:EV207)</f>
        <v>0</v>
      </c>
      <c r="EW208" s="49"/>
      <c r="EX208" s="83"/>
      <c r="EY208" s="70">
        <f t="shared" ref="EY208" si="5997">SUM(EY200:EY207)</f>
        <v>0</v>
      </c>
      <c r="EZ208" s="49"/>
      <c r="FA208" s="83"/>
      <c r="FB208" s="70">
        <f t="shared" ref="FB208" si="5998">SUM(FB200:FB207)</f>
        <v>0</v>
      </c>
      <c r="FC208" s="49"/>
      <c r="FD208" s="83"/>
      <c r="FE208" s="70">
        <f t="shared" ref="FE208" si="5999">SUM(FE200:FE207)</f>
        <v>0</v>
      </c>
      <c r="FF208" s="49"/>
      <c r="FG208" s="83"/>
      <c r="FH208" s="70">
        <f t="shared" ref="FH208" si="6000">SUM(FH200:FH207)</f>
        <v>0</v>
      </c>
      <c r="FI208" s="49"/>
      <c r="FJ208" s="83"/>
      <c r="FK208" s="70">
        <f t="shared" ref="FK208" si="6001">SUM(FK200:FK207)</f>
        <v>0</v>
      </c>
      <c r="FL208" s="49"/>
      <c r="FM208" s="83"/>
      <c r="FN208" s="70">
        <f t="shared" ref="FN208" si="6002">SUM(FN200:FN207)</f>
        <v>0</v>
      </c>
      <c r="FO208" s="49"/>
      <c r="FP208" s="83"/>
      <c r="FQ208" s="70">
        <f t="shared" ref="FQ208" si="6003">SUM(FQ200:FQ207)</f>
        <v>0</v>
      </c>
      <c r="FR208" s="49"/>
      <c r="FS208" s="83"/>
      <c r="FT208" s="70">
        <f t="shared" ref="FT208" si="6004">SUM(FT200:FT207)</f>
        <v>0</v>
      </c>
      <c r="FU208" s="49"/>
      <c r="FV208" s="83"/>
      <c r="FW208" s="70">
        <f t="shared" ref="FW208" si="6005">SUM(FW200:FW207)</f>
        <v>0</v>
      </c>
      <c r="FX208" s="49"/>
      <c r="FY208" s="83"/>
      <c r="FZ208" s="70">
        <f t="shared" ref="FZ208" si="6006">SUM(FZ200:FZ207)</f>
        <v>0</v>
      </c>
      <c r="GA208" s="49"/>
      <c r="GB208" s="83"/>
      <c r="GC208" s="70">
        <f t="shared" ref="GC208" si="6007">SUM(GC200:GC207)</f>
        <v>0</v>
      </c>
      <c r="GD208" s="49"/>
      <c r="GE208" s="83"/>
      <c r="GF208" s="70">
        <f t="shared" ref="GF208" si="6008">SUM(GF200:GF207)</f>
        <v>0</v>
      </c>
      <c r="GG208" s="49"/>
      <c r="GH208" s="83"/>
      <c r="GI208" s="70">
        <f t="shared" ref="GI208" si="6009">SUM(GI200:GI207)</f>
        <v>0</v>
      </c>
      <c r="GJ208" s="49"/>
      <c r="GK208" s="83"/>
      <c r="GL208" s="70">
        <f t="shared" ref="GL208" si="6010">SUM(GL200:GL207)</f>
        <v>0</v>
      </c>
      <c r="GM208" s="49"/>
      <c r="GN208" s="83"/>
      <c r="GO208" s="70">
        <f t="shared" ref="GO208" si="6011">SUM(GO200:GO207)</f>
        <v>0</v>
      </c>
      <c r="GP208" s="49"/>
      <c r="GQ208" s="83"/>
      <c r="GR208" s="70">
        <f t="shared" ref="GR208" si="6012">SUM(GR200:GR207)</f>
        <v>0</v>
      </c>
      <c r="GS208" s="49"/>
      <c r="GT208" s="83"/>
      <c r="GU208" s="70">
        <f t="shared" ref="GU208" si="6013">SUM(GU200:GU207)</f>
        <v>0</v>
      </c>
      <c r="GV208" s="49"/>
      <c r="GW208" s="83"/>
      <c r="GX208" s="70">
        <f t="shared" ref="GX208" si="6014">SUM(GX200:GX207)</f>
        <v>0</v>
      </c>
      <c r="GY208" s="49"/>
      <c r="GZ208" s="83"/>
      <c r="HA208" s="70">
        <f t="shared" ref="HA208" si="6015">SUM(HA200:HA207)</f>
        <v>0</v>
      </c>
      <c r="HB208" s="49"/>
      <c r="HC208" s="83"/>
      <c r="HD208" s="70">
        <f t="shared" ref="HD208" si="6016">SUM(HD200:HD207)</f>
        <v>0</v>
      </c>
      <c r="HE208" s="49"/>
      <c r="HF208" s="83"/>
      <c r="HG208" s="70">
        <f t="shared" ref="HG208" si="6017">SUM(HG200:HG207)</f>
        <v>0</v>
      </c>
      <c r="HH208" s="49"/>
      <c r="HI208" s="83"/>
      <c r="HJ208" s="70">
        <f t="shared" ref="HJ208" si="6018">SUM(HJ200:HJ207)</f>
        <v>0</v>
      </c>
      <c r="HK208" s="49"/>
      <c r="HL208" s="83"/>
      <c r="HM208" s="70">
        <f t="shared" ref="HM208" si="6019">SUM(HM200:HM207)</f>
        <v>0</v>
      </c>
      <c r="HN208" s="49"/>
      <c r="HO208" s="83"/>
      <c r="HP208" s="70">
        <f t="shared" ref="HP208" si="6020">SUM(HP200:HP207)</f>
        <v>0</v>
      </c>
      <c r="HQ208" s="49"/>
      <c r="HR208" s="83"/>
      <c r="HS208" s="70">
        <f t="shared" ref="HS208" si="6021">SUM(HS200:HS207)</f>
        <v>0</v>
      </c>
      <c r="HT208" s="49"/>
      <c r="HU208" s="83"/>
      <c r="HV208" s="70">
        <f t="shared" ref="HV208" si="6022">SUM(HV200:HV207)</f>
        <v>0</v>
      </c>
      <c r="HW208" s="49"/>
      <c r="HX208" s="83"/>
      <c r="HY208" s="70">
        <f t="shared" ref="HY208" si="6023">SUM(HY200:HY207)</f>
        <v>0</v>
      </c>
      <c r="HZ208" s="49"/>
      <c r="IA208" s="83"/>
      <c r="IB208" s="70">
        <f t="shared" ref="IB208" si="6024">SUM(IB200:IB207)</f>
        <v>0</v>
      </c>
      <c r="IC208" s="49"/>
      <c r="ID208" s="83"/>
      <c r="IE208" s="70">
        <f t="shared" ref="IE208" si="6025">SUM(IE200:IE207)</f>
        <v>0</v>
      </c>
      <c r="IF208" s="49"/>
      <c r="IG208" s="83"/>
      <c r="IH208" s="70">
        <f t="shared" ref="IH208" si="6026">SUM(IH200:IH207)</f>
        <v>0</v>
      </c>
      <c r="II208" s="49"/>
      <c r="IJ208" s="83"/>
      <c r="IK208" s="70">
        <f t="shared" ref="IK208" si="6027">SUM(IK200:IK207)</f>
        <v>0</v>
      </c>
      <c r="IL208" s="49"/>
      <c r="IM208" s="83"/>
      <c r="IN208" s="70">
        <f t="shared" ref="IN208" si="6028">SUM(IN200:IN207)</f>
        <v>0</v>
      </c>
      <c r="IO208" s="49"/>
      <c r="IP208" s="83"/>
      <c r="IQ208" s="70">
        <f t="shared" ref="IQ208" si="6029">SUM(IQ200:IQ207)</f>
        <v>0</v>
      </c>
      <c r="IR208" s="49"/>
      <c r="IS208" s="83"/>
      <c r="IT208" s="70">
        <f t="shared" ref="IT208" si="6030">SUM(IT200:IT207)</f>
        <v>0</v>
      </c>
      <c r="IU208" s="49"/>
      <c r="IV208" s="83"/>
      <c r="IW208" s="70">
        <f t="shared" ref="IW208" si="6031">SUM(IW200:IW207)</f>
        <v>0</v>
      </c>
      <c r="IX208" s="49"/>
      <c r="IY208" s="83"/>
      <c r="IZ208" s="70">
        <f t="shared" ref="IZ208" si="6032">SUM(IZ200:IZ207)</f>
        <v>0</v>
      </c>
      <c r="JA208" s="49"/>
      <c r="JB208" s="83"/>
      <c r="JC208" s="70">
        <f t="shared" ref="JC208" si="6033">SUM(JC200:JC207)</f>
        <v>0</v>
      </c>
      <c r="JD208" s="49"/>
      <c r="JE208" s="83"/>
      <c r="JF208" s="70">
        <f t="shared" ref="JF208" si="6034">SUM(JF200:JF207)</f>
        <v>0</v>
      </c>
      <c r="JG208" s="49"/>
      <c r="JH208" s="83"/>
      <c r="JI208" s="70">
        <f t="shared" ref="JI208" si="6035">SUM(JI200:JI207)</f>
        <v>0</v>
      </c>
      <c r="JJ208" s="49"/>
      <c r="JK208" s="83"/>
      <c r="JL208" s="70">
        <f t="shared" ref="JL208" si="6036">SUM(JL200:JL207)</f>
        <v>0</v>
      </c>
      <c r="JM208" s="49"/>
      <c r="JN208" s="83"/>
      <c r="JO208" s="70">
        <f t="shared" ref="JO208" si="6037">SUM(JO200:JO207)</f>
        <v>0</v>
      </c>
      <c r="JP208" s="49"/>
      <c r="JQ208" s="83"/>
      <c r="JR208" s="70">
        <f t="shared" ref="JR208" si="6038">SUM(JR200:JR207)</f>
        <v>0</v>
      </c>
      <c r="JS208" s="49"/>
      <c r="JT208" s="83"/>
      <c r="JU208" s="70">
        <f t="shared" ref="JU208" si="6039">SUM(JU200:JU207)</f>
        <v>0</v>
      </c>
      <c r="JV208" s="49"/>
      <c r="JW208" s="83"/>
      <c r="JX208" s="70">
        <f t="shared" ref="JX208" si="6040">SUM(JX200:JX207)</f>
        <v>0</v>
      </c>
      <c r="JY208" s="49"/>
      <c r="JZ208" s="83"/>
      <c r="KA208" s="70">
        <f t="shared" ref="KA208" si="6041">SUM(KA200:KA207)</f>
        <v>0</v>
      </c>
      <c r="KB208" s="49"/>
      <c r="KC208" s="83"/>
      <c r="KD208" s="70">
        <f t="shared" ref="KD208" si="6042">SUM(KD200:KD207)</f>
        <v>0</v>
      </c>
      <c r="KE208" s="49"/>
      <c r="KF208" s="83"/>
      <c r="KG208" s="70">
        <f t="shared" ref="KG208" si="6043">SUM(KG200:KG207)</f>
        <v>0</v>
      </c>
      <c r="KH208" s="49"/>
      <c r="KI208" s="83"/>
      <c r="KJ208" s="70">
        <f t="shared" ref="KJ208" si="6044">SUM(KJ200:KJ207)</f>
        <v>0</v>
      </c>
      <c r="KK208" s="49"/>
      <c r="KL208" s="83"/>
      <c r="KM208" s="70">
        <f t="shared" ref="KM208" si="6045">SUM(KM200:KM207)</f>
        <v>0</v>
      </c>
      <c r="KN208" s="49"/>
      <c r="KO208" s="83"/>
      <c r="KP208" s="70">
        <f t="shared" ref="KP208" si="6046">SUM(KP200:KP207)</f>
        <v>0</v>
      </c>
      <c r="KQ208" s="49"/>
      <c r="KR208" s="83"/>
      <c r="KS208" s="70">
        <f t="shared" ref="KS208" si="6047">SUM(KS200:KS207)</f>
        <v>0</v>
      </c>
      <c r="KT208" s="49"/>
      <c r="KU208" s="83"/>
      <c r="KV208" s="70">
        <f t="shared" ref="KV208" si="6048">SUM(KV200:KV207)</f>
        <v>0</v>
      </c>
      <c r="KW208" s="49"/>
      <c r="KX208" s="83"/>
      <c r="KY208" s="70">
        <f t="shared" ref="KY208" si="6049">SUM(KY200:KY207)</f>
        <v>0</v>
      </c>
      <c r="KZ208" s="49"/>
      <c r="LA208" s="83"/>
      <c r="LB208" s="70">
        <f t="shared" ref="LB208" si="6050">SUM(LB200:LB207)</f>
        <v>0</v>
      </c>
      <c r="LC208" s="49"/>
      <c r="LD208" s="83"/>
      <c r="LE208" s="70">
        <f t="shared" ref="LE208" si="6051">SUM(LE200:LE207)</f>
        <v>0</v>
      </c>
      <c r="LF208" s="49"/>
    </row>
    <row r="209" spans="1:318" s="784" customFormat="1">
      <c r="A209" s="25"/>
      <c r="B209" s="25"/>
      <c r="C209" s="25"/>
      <c r="D209" s="25"/>
      <c r="E209" s="25"/>
      <c r="F209" s="406"/>
      <c r="G209" s="406"/>
      <c r="H209" s="64"/>
      <c r="I209" s="50"/>
      <c r="J209" s="92"/>
      <c r="K209" s="111" t="str">
        <f>Idiomas!D141</f>
        <v>CLASIFICADOS PARA CUARTOS</v>
      </c>
      <c r="L209" s="50"/>
      <c r="M209" s="70"/>
      <c r="N209" s="25"/>
      <c r="O209" s="25"/>
      <c r="P209" s="25"/>
      <c r="Q209" s="25"/>
      <c r="R209" s="49"/>
      <c r="S209" s="797"/>
      <c r="T209" s="70"/>
      <c r="U209" s="49"/>
      <c r="V209" s="83"/>
      <c r="W209" s="70"/>
      <c r="X209" s="49"/>
      <c r="Y209" s="797"/>
      <c r="Z209" s="70"/>
      <c r="AA209" s="49"/>
      <c r="AB209" s="797"/>
      <c r="AC209" s="70"/>
      <c r="AD209" s="49"/>
      <c r="AE209" s="797"/>
      <c r="AF209" s="70"/>
      <c r="AG209" s="49"/>
      <c r="AH209" s="797"/>
      <c r="AI209" s="70"/>
      <c r="AJ209" s="49"/>
      <c r="AK209" s="802"/>
      <c r="AL209" s="70"/>
      <c r="AM209" s="49"/>
      <c r="AN209" s="797"/>
      <c r="AO209" s="70"/>
      <c r="AP209" s="49"/>
      <c r="AQ209" s="802"/>
      <c r="AR209" s="70"/>
      <c r="AS209" s="49"/>
      <c r="AT209" s="797"/>
      <c r="AU209" s="70"/>
      <c r="AV209" s="49"/>
      <c r="AW209" s="797"/>
      <c r="AX209" s="70"/>
      <c r="AY209" s="49"/>
      <c r="AZ209" s="797"/>
      <c r="BA209" s="70"/>
      <c r="BB209" s="49"/>
      <c r="BC209" s="797"/>
      <c r="BD209" s="70"/>
      <c r="BE209" s="49"/>
      <c r="BF209" s="797"/>
      <c r="BG209" s="70"/>
      <c r="BH209" s="49"/>
      <c r="BI209" s="797"/>
      <c r="BJ209" s="70"/>
      <c r="BK209" s="49"/>
      <c r="BL209" s="797"/>
      <c r="BM209" s="70"/>
      <c r="BN209" s="49"/>
      <c r="BO209" s="812"/>
      <c r="BP209" s="70"/>
      <c r="BQ209" s="49"/>
      <c r="BR209" s="797"/>
      <c r="BS209" s="70"/>
      <c r="BT209" s="49"/>
      <c r="BU209" s="797"/>
      <c r="BV209" s="70"/>
      <c r="BW209" s="49"/>
      <c r="BX209" s="83"/>
      <c r="BY209" s="70"/>
      <c r="BZ209" s="49"/>
      <c r="CA209" s="812"/>
      <c r="CB209" s="70"/>
      <c r="CC209" s="49"/>
      <c r="CD209" s="821"/>
      <c r="CE209" s="70"/>
      <c r="CF209" s="49"/>
      <c r="CG209" s="797"/>
      <c r="CH209" s="70"/>
      <c r="CI209" s="49"/>
      <c r="CJ209" s="797"/>
      <c r="CK209" s="70"/>
      <c r="CL209" s="49"/>
      <c r="CM209" s="797"/>
      <c r="CN209" s="70"/>
      <c r="CO209" s="49"/>
      <c r="CP209" s="797"/>
      <c r="CQ209" s="70"/>
      <c r="CR209" s="49"/>
      <c r="CS209" s="797"/>
      <c r="CT209" s="70"/>
      <c r="CU209" s="49"/>
      <c r="CV209" s="797"/>
      <c r="CW209" s="70"/>
      <c r="CX209" s="49"/>
      <c r="CY209" s="797"/>
      <c r="CZ209" s="70"/>
      <c r="DA209" s="49"/>
      <c r="DB209" s="797"/>
      <c r="DC209" s="70"/>
      <c r="DD209" s="49"/>
      <c r="DE209" s="797"/>
      <c r="DF209" s="70"/>
      <c r="DG209" s="49"/>
      <c r="DH209" s="797"/>
      <c r="DI209" s="70"/>
      <c r="DJ209" s="49"/>
      <c r="DK209" s="797"/>
      <c r="DL209" s="70"/>
      <c r="DM209" s="49"/>
      <c r="DN209" s="83"/>
      <c r="DO209" s="70"/>
      <c r="DP209" s="49"/>
      <c r="DQ209" s="797"/>
      <c r="DR209" s="70"/>
      <c r="DS209" s="49"/>
      <c r="DT209" s="83"/>
      <c r="DU209" s="70"/>
      <c r="DV209" s="49"/>
      <c r="DW209" s="83"/>
      <c r="DX209" s="70"/>
      <c r="DY209" s="49"/>
      <c r="DZ209" s="83"/>
      <c r="EA209" s="70"/>
      <c r="EB209" s="49"/>
      <c r="EC209" s="83"/>
      <c r="ED209" s="70"/>
      <c r="EE209" s="49"/>
      <c r="EF209" s="83"/>
      <c r="EG209" s="70"/>
      <c r="EH209" s="49"/>
      <c r="EI209" s="83"/>
      <c r="EJ209" s="70"/>
      <c r="EK209" s="49"/>
      <c r="EL209" s="83"/>
      <c r="EM209" s="70"/>
      <c r="EN209" s="49"/>
      <c r="EO209" s="83"/>
      <c r="EP209" s="70"/>
      <c r="EQ209" s="49"/>
      <c r="ER209" s="83"/>
      <c r="ES209" s="70"/>
      <c r="ET209" s="49"/>
      <c r="EU209" s="83"/>
      <c r="EV209" s="70"/>
      <c r="EW209" s="49"/>
      <c r="EX209" s="83"/>
      <c r="EY209" s="70"/>
      <c r="EZ209" s="49"/>
      <c r="FA209" s="83"/>
      <c r="FB209" s="70"/>
      <c r="FC209" s="49"/>
      <c r="FD209" s="83"/>
      <c r="FE209" s="70"/>
      <c r="FF209" s="49"/>
      <c r="FG209" s="83"/>
      <c r="FH209" s="70"/>
      <c r="FI209" s="49"/>
      <c r="FJ209" s="83"/>
      <c r="FK209" s="70"/>
      <c r="FL209" s="49"/>
      <c r="FM209" s="83"/>
      <c r="FN209" s="70"/>
      <c r="FO209" s="49"/>
      <c r="FP209" s="83"/>
      <c r="FQ209" s="70"/>
      <c r="FR209" s="49"/>
      <c r="FS209" s="83"/>
      <c r="FT209" s="70"/>
      <c r="FU209" s="49"/>
      <c r="FV209" s="83"/>
      <c r="FW209" s="70"/>
      <c r="FX209" s="49"/>
      <c r="FY209" s="83"/>
      <c r="FZ209" s="70"/>
      <c r="GA209" s="49"/>
      <c r="GB209" s="83"/>
      <c r="GC209" s="70"/>
      <c r="GD209" s="49"/>
      <c r="GE209" s="83"/>
      <c r="GF209" s="70"/>
      <c r="GG209" s="49"/>
      <c r="GH209" s="83"/>
      <c r="GI209" s="70"/>
      <c r="GJ209" s="49"/>
      <c r="GK209" s="83"/>
      <c r="GL209" s="70"/>
      <c r="GM209" s="49"/>
      <c r="GN209" s="83"/>
      <c r="GO209" s="70"/>
      <c r="GP209" s="49"/>
      <c r="GQ209" s="83"/>
      <c r="GR209" s="70"/>
      <c r="GS209" s="49"/>
      <c r="GT209" s="83"/>
      <c r="GU209" s="70"/>
      <c r="GV209" s="49"/>
      <c r="GW209" s="83"/>
      <c r="GX209" s="70"/>
      <c r="GY209" s="49"/>
      <c r="GZ209" s="83"/>
      <c r="HA209" s="70"/>
      <c r="HB209" s="49"/>
      <c r="HC209" s="83"/>
      <c r="HD209" s="70"/>
      <c r="HE209" s="49"/>
      <c r="HF209" s="83"/>
      <c r="HG209" s="70"/>
      <c r="HH209" s="49"/>
      <c r="HI209" s="83"/>
      <c r="HJ209" s="70"/>
      <c r="HK209" s="49"/>
      <c r="HL209" s="83"/>
      <c r="HM209" s="70"/>
      <c r="HN209" s="49"/>
      <c r="HO209" s="83"/>
      <c r="HP209" s="70"/>
      <c r="HQ209" s="49"/>
      <c r="HR209" s="83"/>
      <c r="HS209" s="70"/>
      <c r="HT209" s="49"/>
      <c r="HU209" s="83"/>
      <c r="HV209" s="70"/>
      <c r="HW209" s="49"/>
      <c r="HX209" s="83"/>
      <c r="HY209" s="70"/>
      <c r="HZ209" s="49"/>
      <c r="IA209" s="83"/>
      <c r="IB209" s="70"/>
      <c r="IC209" s="49"/>
      <c r="ID209" s="83"/>
      <c r="IE209" s="70"/>
      <c r="IF209" s="49"/>
      <c r="IG209" s="83"/>
      <c r="IH209" s="70"/>
      <c r="II209" s="49"/>
      <c r="IJ209" s="83"/>
      <c r="IK209" s="70"/>
      <c r="IL209" s="49"/>
      <c r="IM209" s="83"/>
      <c r="IN209" s="70"/>
      <c r="IO209" s="49"/>
      <c r="IP209" s="83"/>
      <c r="IQ209" s="70"/>
      <c r="IR209" s="49"/>
      <c r="IS209" s="83"/>
      <c r="IT209" s="70"/>
      <c r="IU209" s="49"/>
      <c r="IV209" s="83"/>
      <c r="IW209" s="70"/>
      <c r="IX209" s="49"/>
      <c r="IY209" s="83"/>
      <c r="IZ209" s="70"/>
      <c r="JA209" s="49"/>
      <c r="JB209" s="83"/>
      <c r="JC209" s="70"/>
      <c r="JD209" s="49"/>
      <c r="JE209" s="83"/>
      <c r="JF209" s="70"/>
      <c r="JG209" s="49"/>
      <c r="JH209" s="83"/>
      <c r="JI209" s="70"/>
      <c r="JJ209" s="49"/>
      <c r="JK209" s="83"/>
      <c r="JL209" s="70"/>
      <c r="JM209" s="49"/>
      <c r="JN209" s="83"/>
      <c r="JO209" s="70"/>
      <c r="JP209" s="49"/>
      <c r="JQ209" s="83"/>
      <c r="JR209" s="70"/>
      <c r="JS209" s="49"/>
      <c r="JT209" s="83"/>
      <c r="JU209" s="70"/>
      <c r="JV209" s="49"/>
      <c r="JW209" s="83"/>
      <c r="JX209" s="70"/>
      <c r="JY209" s="49"/>
      <c r="JZ209" s="83"/>
      <c r="KA209" s="70"/>
      <c r="KB209" s="49"/>
      <c r="KC209" s="83"/>
      <c r="KD209" s="70"/>
      <c r="KE209" s="49"/>
      <c r="KF209" s="83"/>
      <c r="KG209" s="70"/>
      <c r="KH209" s="49"/>
      <c r="KI209" s="83"/>
      <c r="KJ209" s="70"/>
      <c r="KK209" s="49"/>
      <c r="KL209" s="83"/>
      <c r="KM209" s="70"/>
      <c r="KN209" s="49"/>
      <c r="KO209" s="83"/>
      <c r="KP209" s="70"/>
      <c r="KQ209" s="49"/>
      <c r="KR209" s="83"/>
      <c r="KS209" s="70"/>
      <c r="KT209" s="49"/>
      <c r="KU209" s="83"/>
      <c r="KV209" s="70"/>
      <c r="KW209" s="49"/>
      <c r="KX209" s="83"/>
      <c r="KY209" s="70"/>
      <c r="KZ209" s="49"/>
      <c r="LA209" s="83"/>
      <c r="LB209" s="70"/>
      <c r="LC209" s="49"/>
      <c r="LD209" s="83"/>
      <c r="LE209" s="70"/>
      <c r="LF209" s="49"/>
    </row>
    <row r="210" spans="1:318" s="784" customFormat="1">
      <c r="A210" s="25"/>
      <c r="B210" s="25"/>
      <c r="C210" s="25"/>
      <c r="D210" s="25"/>
      <c r="E210" s="25"/>
      <c r="F210" s="406">
        <f>+$D$23</f>
        <v>40</v>
      </c>
      <c r="G210" s="406">
        <f ca="1">VLOOKUP(H210,Equipos!$Q$1:$R$25,2,0)</f>
        <v>21</v>
      </c>
      <c r="H210" s="64" t="str">
        <f>Idiomas!$D$261</f>
        <v>Octavos de final</v>
      </c>
      <c r="I210" s="50"/>
      <c r="J210" s="843" t="s">
        <v>34</v>
      </c>
      <c r="K210" s="53" t="str">
        <f>Idiomas!$D$200&amp;"-"&amp;ROWS($L$210:L210)</f>
        <v>Cuartofinalista-1</v>
      </c>
      <c r="L210" s="53"/>
      <c r="M210" s="55" t="str">
        <f>WORLDCUP!AA131</f>
        <v>W89</v>
      </c>
      <c r="N210" s="25"/>
      <c r="O210" s="25"/>
      <c r="P210" s="25"/>
      <c r="Q210" s="25"/>
      <c r="R210" s="108"/>
      <c r="S210" s="796" t="s">
        <v>74</v>
      </c>
      <c r="T210" s="76">
        <f t="shared" ref="T210:T217" si="6052">COUNTIF($M$210:$M$217,S210)*$D$23</f>
        <v>0</v>
      </c>
      <c r="U210" s="108"/>
      <c r="V210" s="75" t="s">
        <v>74</v>
      </c>
      <c r="W210" s="76">
        <f t="shared" ref="W210:W217" si="6053">COUNTIF($M$210:$M$217,V210)*$D$23</f>
        <v>0</v>
      </c>
      <c r="X210" s="108"/>
      <c r="Y210" s="796" t="s">
        <v>74</v>
      </c>
      <c r="Z210" s="76">
        <f t="shared" ref="Z210:Z217" si="6054">COUNTIF($M$210:$M$217,Y210)*$D$23</f>
        <v>0</v>
      </c>
      <c r="AA210" s="108"/>
      <c r="AB210" s="796" t="s">
        <v>77</v>
      </c>
      <c r="AC210" s="76">
        <f t="shared" ref="AC210:AC217" si="6055">COUNTIF($M$210:$M$217,AB210)*$D$23</f>
        <v>0</v>
      </c>
      <c r="AD210" s="108"/>
      <c r="AE210" s="796" t="s">
        <v>74</v>
      </c>
      <c r="AF210" s="76">
        <f t="shared" ref="AF210:AF217" si="6056">COUNTIF($M$210:$M$217,AE210)*$D$23</f>
        <v>0</v>
      </c>
      <c r="AG210" s="108"/>
      <c r="AH210" s="796" t="s">
        <v>135</v>
      </c>
      <c r="AI210" s="76">
        <f t="shared" ref="AI210:AI217" si="6057">COUNTIF($M$210:$M$217,AH210)*$D$23</f>
        <v>0</v>
      </c>
      <c r="AJ210" s="108"/>
      <c r="AK210" s="806" t="s">
        <v>74</v>
      </c>
      <c r="AL210" s="76">
        <f t="shared" ref="AL210:AL217" si="6058">COUNTIF($M$210:$M$217,AK210)*$D$23</f>
        <v>0</v>
      </c>
      <c r="AM210" s="108"/>
      <c r="AN210" s="796" t="s">
        <v>77</v>
      </c>
      <c r="AO210" s="76">
        <f t="shared" ref="AO210:AO217" si="6059">COUNTIF($M$210:$M$217,AN210)*$D$23</f>
        <v>0</v>
      </c>
      <c r="AP210" s="108"/>
      <c r="AQ210" s="806" t="s">
        <v>74</v>
      </c>
      <c r="AR210" s="76">
        <f t="shared" ref="AR210:AR217" si="6060">COUNTIF($M$210:$M$217,AQ210)*$D$23</f>
        <v>0</v>
      </c>
      <c r="AS210" s="108"/>
      <c r="AT210" s="796" t="s">
        <v>1261</v>
      </c>
      <c r="AU210" s="76">
        <f t="shared" ref="AU210:AU217" si="6061">COUNTIF($M$210:$M$217,AT210)*$D$23</f>
        <v>0</v>
      </c>
      <c r="AV210" s="108"/>
      <c r="AW210" s="796" t="s">
        <v>77</v>
      </c>
      <c r="AX210" s="76">
        <f t="shared" ref="AX210:AX217" si="6062">COUNTIF($M$210:$M$217,AW210)*$D$23</f>
        <v>0</v>
      </c>
      <c r="AY210" s="108"/>
      <c r="AZ210" s="796" t="s">
        <v>1726</v>
      </c>
      <c r="BA210" s="76">
        <f t="shared" ref="BA210:BA217" si="6063">COUNTIF($M$210:$M$217,AZ210)*$D$23</f>
        <v>0</v>
      </c>
      <c r="BB210" s="108"/>
      <c r="BC210" s="796" t="s">
        <v>74</v>
      </c>
      <c r="BD210" s="76">
        <f t="shared" ref="BD210:BD217" si="6064">COUNTIF($M$210:$M$217,BC210)*$D$23</f>
        <v>0</v>
      </c>
      <c r="BE210" s="108"/>
      <c r="BF210" s="796" t="s">
        <v>135</v>
      </c>
      <c r="BG210" s="76">
        <f t="shared" ref="BG210:BG217" si="6065">COUNTIF($M$210:$M$217,BF210)*$D$23</f>
        <v>0</v>
      </c>
      <c r="BH210" s="108"/>
      <c r="BI210" s="796" t="s">
        <v>74</v>
      </c>
      <c r="BJ210" s="76">
        <f t="shared" ref="BJ210:BJ217" si="6066">COUNTIF($M$210:$M$217,BI210)*$D$23</f>
        <v>0</v>
      </c>
      <c r="BK210" s="108"/>
      <c r="BL210" s="796" t="s">
        <v>135</v>
      </c>
      <c r="BM210" s="76">
        <f t="shared" ref="BM210:BM217" si="6067">COUNTIF($M$210:$M$217,BL210)*$D$23</f>
        <v>0</v>
      </c>
      <c r="BN210" s="108"/>
      <c r="BO210" s="816" t="s">
        <v>74</v>
      </c>
      <c r="BP210" s="76">
        <f t="shared" ref="BP210:BP217" si="6068">COUNTIF($M$210:$M$217,BO210)*$D$23</f>
        <v>0</v>
      </c>
      <c r="BQ210" s="108"/>
      <c r="BR210" s="796" t="s">
        <v>77</v>
      </c>
      <c r="BS210" s="76">
        <f t="shared" ref="BS210:BS217" si="6069">COUNTIF($M$210:$M$217,BR210)*$D$23</f>
        <v>0</v>
      </c>
      <c r="BT210" s="108"/>
      <c r="BU210" s="796" t="s">
        <v>77</v>
      </c>
      <c r="BV210" s="76">
        <f t="shared" ref="BV210:BV217" si="6070">COUNTIF($M$210:$M$217,BU210)*$D$23</f>
        <v>0</v>
      </c>
      <c r="BW210" s="108"/>
      <c r="BX210" s="75" t="s">
        <v>74</v>
      </c>
      <c r="BY210" s="76">
        <f t="shared" ref="BY210:BY217" si="6071">COUNTIF($M$210:$M$217,BX210)*$D$23</f>
        <v>0</v>
      </c>
      <c r="BZ210" s="108"/>
      <c r="CA210" s="816" t="s">
        <v>74</v>
      </c>
      <c r="CB210" s="76">
        <f t="shared" ref="CB210:CB217" si="6072">COUNTIF($M$210:$M$217,CA210)*$D$23</f>
        <v>0</v>
      </c>
      <c r="CC210" s="108"/>
      <c r="CD210" s="825" t="s">
        <v>74</v>
      </c>
      <c r="CE210" s="76">
        <f t="shared" ref="CE210:CE217" si="6073">COUNTIF($M$210:$M$217,CD210)*$D$23</f>
        <v>0</v>
      </c>
      <c r="CF210" s="108"/>
      <c r="CG210" s="796" t="s">
        <v>77</v>
      </c>
      <c r="CH210" s="76">
        <f t="shared" ref="CH210:CH217" si="6074">COUNTIF($M$210:$M$217,CG210)*$D$23</f>
        <v>0</v>
      </c>
      <c r="CI210" s="108"/>
      <c r="CJ210" s="796" t="s">
        <v>74</v>
      </c>
      <c r="CK210" s="76">
        <f t="shared" ref="CK210:CK217" si="6075">COUNTIF($M$210:$M$217,CJ210)*$D$23</f>
        <v>0</v>
      </c>
      <c r="CL210" s="108"/>
      <c r="CM210" s="796" t="s">
        <v>74</v>
      </c>
      <c r="CN210" s="76">
        <f t="shared" ref="CN210:CN217" si="6076">COUNTIF($M$210:$M$217,CM210)*$D$23</f>
        <v>0</v>
      </c>
      <c r="CO210" s="108"/>
      <c r="CP210" s="796" t="s">
        <v>74</v>
      </c>
      <c r="CQ210" s="76">
        <f t="shared" ref="CQ210:CQ217" si="6077">COUNTIF($M$210:$M$217,CP210)*$D$23</f>
        <v>0</v>
      </c>
      <c r="CR210" s="108"/>
      <c r="CS210" s="796" t="s">
        <v>74</v>
      </c>
      <c r="CT210" s="76">
        <f t="shared" ref="CT210:CT217" si="6078">COUNTIF($M$210:$M$217,CS210)*$D$23</f>
        <v>0</v>
      </c>
      <c r="CU210" s="108"/>
      <c r="CV210" s="796" t="s">
        <v>74</v>
      </c>
      <c r="CW210" s="76">
        <f t="shared" ref="CW210:CW217" si="6079">COUNTIF($M$210:$M$217,CV210)*$D$23</f>
        <v>0</v>
      </c>
      <c r="CX210" s="108"/>
      <c r="CY210" s="796" t="s">
        <v>74</v>
      </c>
      <c r="CZ210" s="76">
        <f t="shared" ref="CZ210:CZ217" si="6080">COUNTIF($M$210:$M$217,CY210)*$D$23</f>
        <v>0</v>
      </c>
      <c r="DA210" s="108"/>
      <c r="DB210" s="796" t="s">
        <v>74</v>
      </c>
      <c r="DC210" s="76">
        <f t="shared" ref="DC210:DC217" si="6081">COUNTIF($M$210:$M$217,DB210)*$D$23</f>
        <v>0</v>
      </c>
      <c r="DD210" s="108"/>
      <c r="DE210" s="796" t="s">
        <v>74</v>
      </c>
      <c r="DF210" s="76">
        <f t="shared" ref="DF210:DF217" si="6082">COUNTIF($M$210:$M$217,DE210)*$D$23</f>
        <v>0</v>
      </c>
      <c r="DG210" s="108"/>
      <c r="DH210" s="796" t="s">
        <v>74</v>
      </c>
      <c r="DI210" s="76">
        <f t="shared" ref="DI210:DI217" si="6083">COUNTIF($M$210:$M$217,DH210)*$D$23</f>
        <v>0</v>
      </c>
      <c r="DJ210" s="108"/>
      <c r="DK210" s="796" t="s">
        <v>74</v>
      </c>
      <c r="DL210" s="76">
        <f t="shared" ref="DL210:DL217" si="6084">COUNTIF($M$210:$M$217,DK210)*$D$23</f>
        <v>0</v>
      </c>
      <c r="DM210" s="108"/>
      <c r="DN210" s="75"/>
      <c r="DO210" s="76">
        <f t="shared" ref="DO210:DO217" si="6085">COUNTIF($M$210:$M$217,DN210)*$D$23</f>
        <v>0</v>
      </c>
      <c r="DP210" s="108"/>
      <c r="DQ210" s="796" t="s">
        <v>74</v>
      </c>
      <c r="DR210" s="76">
        <f t="shared" ref="DR210:DR217" si="6086">COUNTIF($M$210:$M$217,DQ210)*$D$23</f>
        <v>0</v>
      </c>
      <c r="DS210" s="108"/>
      <c r="DT210" s="75" t="s">
        <v>74</v>
      </c>
      <c r="DU210" s="76">
        <f t="shared" ref="DU210:DU217" si="6087">COUNTIF($M$210:$M$217,DT210)*$D$23</f>
        <v>0</v>
      </c>
      <c r="DV210" s="108"/>
      <c r="DW210" s="75"/>
      <c r="DX210" s="76">
        <f t="shared" ref="DX210:DX217" si="6088">COUNTIF($M$210:$M$217,DW210)*$D$23</f>
        <v>0</v>
      </c>
      <c r="DY210" s="108"/>
      <c r="DZ210" s="75"/>
      <c r="EA210" s="76">
        <f t="shared" ref="EA210:EA217" si="6089">COUNTIF($M$210:$M$217,DZ210)*$D$23</f>
        <v>0</v>
      </c>
      <c r="EB210" s="108"/>
      <c r="EC210" s="75"/>
      <c r="ED210" s="76">
        <f t="shared" ref="ED210:ED217" si="6090">COUNTIF($M$210:$M$217,EC210)*$D$23</f>
        <v>0</v>
      </c>
      <c r="EE210" s="108"/>
      <c r="EF210" s="75"/>
      <c r="EG210" s="76">
        <f t="shared" ref="EG210:EG217" si="6091">COUNTIF($M$210:$M$217,EF210)*$D$23</f>
        <v>0</v>
      </c>
      <c r="EH210" s="108"/>
      <c r="EI210" s="75"/>
      <c r="EJ210" s="76">
        <f t="shared" ref="EJ210:EJ217" si="6092">COUNTIF($M$210:$M$217,EI210)*$D$23</f>
        <v>0</v>
      </c>
      <c r="EK210" s="108"/>
      <c r="EL210" s="75"/>
      <c r="EM210" s="76">
        <f t="shared" ref="EM210:EM217" si="6093">COUNTIF($M$210:$M$217,EL210)*$D$23</f>
        <v>0</v>
      </c>
      <c r="EN210" s="108"/>
      <c r="EO210" s="75"/>
      <c r="EP210" s="76">
        <f t="shared" ref="EP210:EP217" si="6094">COUNTIF($M$210:$M$217,EO210)*$D$23</f>
        <v>0</v>
      </c>
      <c r="EQ210" s="108"/>
      <c r="ER210" s="75"/>
      <c r="ES210" s="76">
        <f t="shared" ref="ES210:ES217" si="6095">COUNTIF($M$210:$M$217,ER210)*$D$23</f>
        <v>0</v>
      </c>
      <c r="ET210" s="108"/>
      <c r="EU210" s="75"/>
      <c r="EV210" s="76">
        <f t="shared" ref="EV210:EV217" si="6096">COUNTIF($M$210:$M$217,EU210)*$D$23</f>
        <v>0</v>
      </c>
      <c r="EW210" s="108"/>
      <c r="EX210" s="75"/>
      <c r="EY210" s="76">
        <f t="shared" ref="EY210:EY217" si="6097">COUNTIF($M$210:$M$217,EX210)*$D$23</f>
        <v>0</v>
      </c>
      <c r="EZ210" s="108"/>
      <c r="FA210" s="75"/>
      <c r="FB210" s="76">
        <f t="shared" ref="FB210:FB217" si="6098">COUNTIF($M$210:$M$217,FA210)*$D$23</f>
        <v>0</v>
      </c>
      <c r="FC210" s="108"/>
      <c r="FD210" s="75"/>
      <c r="FE210" s="76">
        <f t="shared" ref="FE210:FE217" si="6099">COUNTIF($M$210:$M$217,FD210)*$D$23</f>
        <v>0</v>
      </c>
      <c r="FF210" s="108"/>
      <c r="FG210" s="75"/>
      <c r="FH210" s="76">
        <f t="shared" ref="FH210:FH217" si="6100">COUNTIF($M$210:$M$217,FG210)*$D$23</f>
        <v>0</v>
      </c>
      <c r="FI210" s="108"/>
      <c r="FJ210" s="75"/>
      <c r="FK210" s="76">
        <f t="shared" ref="FK210:FK217" si="6101">COUNTIF($M$210:$M$217,FJ210)*$D$23</f>
        <v>0</v>
      </c>
      <c r="FL210" s="108"/>
      <c r="FM210" s="75"/>
      <c r="FN210" s="76">
        <f t="shared" ref="FN210:FN217" si="6102">COUNTIF($M$210:$M$217,FM210)*$D$23</f>
        <v>0</v>
      </c>
      <c r="FO210" s="108"/>
      <c r="FP210" s="75"/>
      <c r="FQ210" s="76">
        <f t="shared" ref="FQ210:FQ217" si="6103">COUNTIF($M$210:$M$217,FP210)*$D$23</f>
        <v>0</v>
      </c>
      <c r="FR210" s="108"/>
      <c r="FS210" s="75"/>
      <c r="FT210" s="76">
        <f t="shared" ref="FT210:FT217" si="6104">COUNTIF($M$210:$M$217,FS210)*$D$23</f>
        <v>0</v>
      </c>
      <c r="FU210" s="108"/>
      <c r="FV210" s="75"/>
      <c r="FW210" s="76">
        <f t="shared" ref="FW210:FW217" si="6105">COUNTIF($M$210:$M$217,FV210)*$D$23</f>
        <v>0</v>
      </c>
      <c r="FX210" s="108"/>
      <c r="FY210" s="75"/>
      <c r="FZ210" s="76">
        <f t="shared" ref="FZ210:FZ217" si="6106">COUNTIF($M$210:$M$217,FY210)*$D$23</f>
        <v>0</v>
      </c>
      <c r="GA210" s="108"/>
      <c r="GB210" s="75"/>
      <c r="GC210" s="76">
        <f t="shared" ref="GC210:GC217" si="6107">COUNTIF($M$210:$M$217,GB210)*$D$23</f>
        <v>0</v>
      </c>
      <c r="GD210" s="108"/>
      <c r="GE210" s="75"/>
      <c r="GF210" s="76">
        <f t="shared" ref="GF210:GF217" si="6108">COUNTIF($M$210:$M$217,GE210)*$D$23</f>
        <v>0</v>
      </c>
      <c r="GG210" s="108"/>
      <c r="GH210" s="75"/>
      <c r="GI210" s="76">
        <f t="shared" ref="GI210:GI217" si="6109">COUNTIF($M$210:$M$217,GH210)*$D$23</f>
        <v>0</v>
      </c>
      <c r="GJ210" s="108"/>
      <c r="GK210" s="75"/>
      <c r="GL210" s="76">
        <f t="shared" ref="GL210:GL217" si="6110">COUNTIF($M$210:$M$217,GK210)*$D$23</f>
        <v>0</v>
      </c>
      <c r="GM210" s="108"/>
      <c r="GN210" s="75"/>
      <c r="GO210" s="76">
        <f t="shared" ref="GO210:GO217" si="6111">COUNTIF($M$210:$M$217,GN210)*$D$23</f>
        <v>0</v>
      </c>
      <c r="GP210" s="108"/>
      <c r="GQ210" s="75"/>
      <c r="GR210" s="76">
        <f t="shared" ref="GR210:GR217" si="6112">COUNTIF($M$210:$M$217,GQ210)*$D$23</f>
        <v>0</v>
      </c>
      <c r="GS210" s="108"/>
      <c r="GT210" s="75"/>
      <c r="GU210" s="76">
        <f t="shared" ref="GU210:GU217" si="6113">COUNTIF($M$210:$M$217,GT210)*$D$23</f>
        <v>0</v>
      </c>
      <c r="GV210" s="108"/>
      <c r="GW210" s="75"/>
      <c r="GX210" s="76">
        <f t="shared" ref="GX210:GX217" si="6114">COUNTIF($M$210:$M$217,GW210)*$D$23</f>
        <v>0</v>
      </c>
      <c r="GY210" s="108"/>
      <c r="GZ210" s="75"/>
      <c r="HA210" s="76">
        <f t="shared" ref="HA210:HA217" si="6115">COUNTIF($M$210:$M$217,GZ210)*$D$23</f>
        <v>0</v>
      </c>
      <c r="HB210" s="108"/>
      <c r="HC210" s="75"/>
      <c r="HD210" s="76">
        <f t="shared" ref="HD210:HD217" si="6116">COUNTIF($M$210:$M$217,HC210)*$D$23</f>
        <v>0</v>
      </c>
      <c r="HE210" s="108"/>
      <c r="HF210" s="75"/>
      <c r="HG210" s="76">
        <f t="shared" ref="HG210:HG217" si="6117">COUNTIF($M$210:$M$217,HF210)*$D$23</f>
        <v>0</v>
      </c>
      <c r="HH210" s="108"/>
      <c r="HI210" s="75"/>
      <c r="HJ210" s="76">
        <f t="shared" ref="HJ210:HJ217" si="6118">COUNTIF($M$210:$M$217,HI210)*$D$23</f>
        <v>0</v>
      </c>
      <c r="HK210" s="108"/>
      <c r="HL210" s="75"/>
      <c r="HM210" s="76">
        <f t="shared" ref="HM210:HM217" si="6119">COUNTIF($M$210:$M$217,HL210)*$D$23</f>
        <v>0</v>
      </c>
      <c r="HN210" s="108"/>
      <c r="HO210" s="75"/>
      <c r="HP210" s="76">
        <f t="shared" ref="HP210:HP217" si="6120">COUNTIF($M$210:$M$217,HO210)*$D$23</f>
        <v>0</v>
      </c>
      <c r="HQ210" s="108"/>
      <c r="HR210" s="75"/>
      <c r="HS210" s="76">
        <f t="shared" ref="HS210:HS217" si="6121">COUNTIF($M$210:$M$217,HR210)*$D$23</f>
        <v>0</v>
      </c>
      <c r="HT210" s="108"/>
      <c r="HU210" s="75"/>
      <c r="HV210" s="76">
        <f t="shared" ref="HV210:HV217" si="6122">COUNTIF($M$210:$M$217,HU210)*$D$23</f>
        <v>0</v>
      </c>
      <c r="HW210" s="108"/>
      <c r="HX210" s="75"/>
      <c r="HY210" s="76">
        <f t="shared" ref="HY210:HY217" si="6123">COUNTIF($M$210:$M$217,HX210)*$D$23</f>
        <v>0</v>
      </c>
      <c r="HZ210" s="108"/>
      <c r="IA210" s="75"/>
      <c r="IB210" s="76">
        <f t="shared" ref="IB210:IB217" si="6124">COUNTIF($M$210:$M$217,IA210)*$D$23</f>
        <v>0</v>
      </c>
      <c r="IC210" s="108"/>
      <c r="ID210" s="75"/>
      <c r="IE210" s="76">
        <f t="shared" ref="IE210:IE217" si="6125">COUNTIF($M$210:$M$217,ID210)*$D$23</f>
        <v>0</v>
      </c>
      <c r="IF210" s="108"/>
      <c r="IG210" s="75"/>
      <c r="IH210" s="76">
        <f t="shared" ref="IH210:IH217" si="6126">COUNTIF($M$210:$M$217,IG210)*$D$23</f>
        <v>0</v>
      </c>
      <c r="II210" s="108"/>
      <c r="IJ210" s="75"/>
      <c r="IK210" s="76">
        <f t="shared" ref="IK210:IK217" si="6127">COUNTIF($M$210:$M$217,IJ210)*$D$23</f>
        <v>0</v>
      </c>
      <c r="IL210" s="108"/>
      <c r="IM210" s="75"/>
      <c r="IN210" s="76">
        <f t="shared" ref="IN210:IN217" si="6128">COUNTIF($M$210:$M$217,IM210)*$D$23</f>
        <v>0</v>
      </c>
      <c r="IO210" s="108"/>
      <c r="IP210" s="75"/>
      <c r="IQ210" s="76">
        <f t="shared" ref="IQ210:IQ217" si="6129">COUNTIF($M$210:$M$217,IP210)*$D$23</f>
        <v>0</v>
      </c>
      <c r="IR210" s="108"/>
      <c r="IS210" s="75"/>
      <c r="IT210" s="76">
        <f t="shared" ref="IT210:IT217" si="6130">COUNTIF($M$210:$M$217,IS210)*$D$23</f>
        <v>0</v>
      </c>
      <c r="IU210" s="108"/>
      <c r="IV210" s="75"/>
      <c r="IW210" s="76">
        <f t="shared" ref="IW210:IW217" si="6131">COUNTIF($M$210:$M$217,IV210)*$D$23</f>
        <v>0</v>
      </c>
      <c r="IX210" s="108"/>
      <c r="IY210" s="75"/>
      <c r="IZ210" s="76">
        <f t="shared" ref="IZ210:IZ217" si="6132">COUNTIF($M$210:$M$217,IY210)*$D$23</f>
        <v>0</v>
      </c>
      <c r="JA210" s="108"/>
      <c r="JB210" s="75"/>
      <c r="JC210" s="76">
        <f t="shared" ref="JC210:JC217" si="6133">COUNTIF($M$210:$M$217,JB210)*$D$23</f>
        <v>0</v>
      </c>
      <c r="JD210" s="108"/>
      <c r="JE210" s="75"/>
      <c r="JF210" s="76">
        <f t="shared" ref="JF210:JF217" si="6134">COUNTIF($M$210:$M$217,JE210)*$D$23</f>
        <v>0</v>
      </c>
      <c r="JG210" s="108"/>
      <c r="JH210" s="75"/>
      <c r="JI210" s="76">
        <f t="shared" ref="JI210:JI217" si="6135">COUNTIF($M$210:$M$217,JH210)*$D$23</f>
        <v>0</v>
      </c>
      <c r="JJ210" s="108"/>
      <c r="JK210" s="75"/>
      <c r="JL210" s="76">
        <f t="shared" ref="JL210:JL217" si="6136">COUNTIF($M$210:$M$217,JK210)*$D$23</f>
        <v>0</v>
      </c>
      <c r="JM210" s="108"/>
      <c r="JN210" s="75"/>
      <c r="JO210" s="76">
        <f t="shared" ref="JO210:JO217" si="6137">COUNTIF($M$210:$M$217,JN210)*$D$23</f>
        <v>0</v>
      </c>
      <c r="JP210" s="108"/>
      <c r="JQ210" s="75"/>
      <c r="JR210" s="76">
        <f t="shared" ref="JR210:JR217" si="6138">COUNTIF($M$210:$M$217,JQ210)*$D$23</f>
        <v>0</v>
      </c>
      <c r="JS210" s="108"/>
      <c r="JT210" s="75"/>
      <c r="JU210" s="76">
        <f t="shared" ref="JU210:JU217" si="6139">COUNTIF($M$210:$M$217,JT210)*$D$23</f>
        <v>0</v>
      </c>
      <c r="JV210" s="108"/>
      <c r="JW210" s="75"/>
      <c r="JX210" s="76">
        <f t="shared" ref="JX210:JX217" si="6140">COUNTIF($M$210:$M$217,JW210)*$D$23</f>
        <v>0</v>
      </c>
      <c r="JY210" s="108"/>
      <c r="JZ210" s="75"/>
      <c r="KA210" s="76">
        <f t="shared" ref="KA210:KA217" si="6141">COUNTIF($M$210:$M$217,JZ210)*$D$23</f>
        <v>0</v>
      </c>
      <c r="KB210" s="108"/>
      <c r="KC210" s="75"/>
      <c r="KD210" s="76">
        <f t="shared" ref="KD210:KD217" si="6142">COUNTIF($M$210:$M$217,KC210)*$D$23</f>
        <v>0</v>
      </c>
      <c r="KE210" s="108"/>
      <c r="KF210" s="75"/>
      <c r="KG210" s="76">
        <f t="shared" ref="KG210:KG217" si="6143">COUNTIF($M$210:$M$217,KF210)*$D$23</f>
        <v>0</v>
      </c>
      <c r="KH210" s="108"/>
      <c r="KI210" s="75"/>
      <c r="KJ210" s="76">
        <f t="shared" ref="KJ210:KJ217" si="6144">COUNTIF($M$210:$M$217,KI210)*$D$23</f>
        <v>0</v>
      </c>
      <c r="KK210" s="108"/>
      <c r="KL210" s="75"/>
      <c r="KM210" s="76">
        <f t="shared" ref="KM210:KM217" si="6145">COUNTIF($M$210:$M$217,KL210)*$D$23</f>
        <v>0</v>
      </c>
      <c r="KN210" s="108"/>
      <c r="KO210" s="75"/>
      <c r="KP210" s="76">
        <f t="shared" ref="KP210:KP217" si="6146">COUNTIF($M$210:$M$217,KO210)*$D$23</f>
        <v>0</v>
      </c>
      <c r="KQ210" s="108"/>
      <c r="KR210" s="75"/>
      <c r="KS210" s="76">
        <f t="shared" ref="KS210:KS217" si="6147">COUNTIF($M$210:$M$217,KR210)*$D$23</f>
        <v>0</v>
      </c>
      <c r="KT210" s="108"/>
      <c r="KU210" s="75"/>
      <c r="KV210" s="76">
        <f t="shared" ref="KV210:KV217" si="6148">COUNTIF($M$210:$M$217,KU210)*$D$23</f>
        <v>0</v>
      </c>
      <c r="KW210" s="108"/>
      <c r="KX210" s="75"/>
      <c r="KY210" s="76">
        <f t="shared" ref="KY210:KY217" si="6149">COUNTIF($M$210:$M$217,KX210)*$D$23</f>
        <v>0</v>
      </c>
      <c r="KZ210" s="108"/>
      <c r="LA210" s="75"/>
      <c r="LB210" s="76">
        <f t="shared" ref="LB210:LB217" si="6150">COUNTIF($M$210:$M$217,LA210)*$D$23</f>
        <v>0</v>
      </c>
      <c r="LC210" s="108"/>
      <c r="LD210" s="75"/>
      <c r="LE210" s="76">
        <f t="shared" ref="LE210:LE217" si="6151">COUNTIF($M$210:$M$217,LD210)*$D$23</f>
        <v>0</v>
      </c>
      <c r="LF210" s="108"/>
    </row>
    <row r="211" spans="1:318" s="784" customFormat="1">
      <c r="A211" s="25"/>
      <c r="B211" s="25"/>
      <c r="C211" s="25"/>
      <c r="D211" s="25"/>
      <c r="E211" s="25"/>
      <c r="F211" s="406">
        <f t="shared" ref="F211:F217" si="6152">+$D$23</f>
        <v>40</v>
      </c>
      <c r="G211" s="406">
        <f ca="1">VLOOKUP(H211,Equipos!$Q$1:$R$25,2,0)</f>
        <v>21</v>
      </c>
      <c r="H211" s="64" t="str">
        <f>Idiomas!$D$261</f>
        <v>Octavos de final</v>
      </c>
      <c r="I211" s="50"/>
      <c r="J211" s="843"/>
      <c r="K211" s="56" t="str">
        <f>Idiomas!$D$200&amp;"-"&amp;ROWS($L$210:L211)</f>
        <v>Cuartofinalista-2</v>
      </c>
      <c r="L211" s="53"/>
      <c r="M211" s="55" t="str">
        <f>WORLDCUP!AA132</f>
        <v>W93</v>
      </c>
      <c r="N211" s="25"/>
      <c r="O211" s="25"/>
      <c r="P211" s="25"/>
      <c r="Q211" s="25"/>
      <c r="R211" s="108"/>
      <c r="S211" s="796" t="s">
        <v>38</v>
      </c>
      <c r="T211" s="72">
        <f t="shared" si="6052"/>
        <v>0</v>
      </c>
      <c r="U211" s="108"/>
      <c r="V211" s="73" t="s">
        <v>38</v>
      </c>
      <c r="W211" s="72">
        <f t="shared" si="6053"/>
        <v>0</v>
      </c>
      <c r="X211" s="108"/>
      <c r="Y211" s="796" t="s">
        <v>38</v>
      </c>
      <c r="Z211" s="72">
        <f t="shared" si="6054"/>
        <v>0</v>
      </c>
      <c r="AA211" s="108"/>
      <c r="AB211" s="796" t="s">
        <v>38</v>
      </c>
      <c r="AC211" s="72">
        <f t="shared" si="6055"/>
        <v>0</v>
      </c>
      <c r="AD211" s="108"/>
      <c r="AE211" s="796" t="s">
        <v>38</v>
      </c>
      <c r="AF211" s="72">
        <f t="shared" si="6056"/>
        <v>0</v>
      </c>
      <c r="AG211" s="108"/>
      <c r="AH211" s="796" t="s">
        <v>38</v>
      </c>
      <c r="AI211" s="72">
        <f t="shared" si="6057"/>
        <v>0</v>
      </c>
      <c r="AJ211" s="108"/>
      <c r="AK211" s="806" t="s">
        <v>38</v>
      </c>
      <c r="AL211" s="72">
        <f t="shared" si="6058"/>
        <v>0</v>
      </c>
      <c r="AM211" s="108"/>
      <c r="AN211" s="796" t="s">
        <v>38</v>
      </c>
      <c r="AO211" s="72">
        <f t="shared" si="6059"/>
        <v>0</v>
      </c>
      <c r="AP211" s="108"/>
      <c r="AQ211" s="806" t="s">
        <v>38</v>
      </c>
      <c r="AR211" s="72">
        <f t="shared" si="6060"/>
        <v>0</v>
      </c>
      <c r="AS211" s="108"/>
      <c r="AT211" s="796" t="s">
        <v>38</v>
      </c>
      <c r="AU211" s="72">
        <f t="shared" si="6061"/>
        <v>0</v>
      </c>
      <c r="AV211" s="108"/>
      <c r="AW211" s="796" t="s">
        <v>38</v>
      </c>
      <c r="AX211" s="72">
        <f t="shared" si="6062"/>
        <v>0</v>
      </c>
      <c r="AY211" s="108"/>
      <c r="AZ211" s="796" t="s">
        <v>1839</v>
      </c>
      <c r="BA211" s="72">
        <f t="shared" si="6063"/>
        <v>0</v>
      </c>
      <c r="BB211" s="108"/>
      <c r="BC211" s="796" t="s">
        <v>38</v>
      </c>
      <c r="BD211" s="72">
        <f t="shared" si="6064"/>
        <v>0</v>
      </c>
      <c r="BE211" s="108"/>
      <c r="BF211" s="796" t="s">
        <v>76</v>
      </c>
      <c r="BG211" s="72">
        <f t="shared" si="6065"/>
        <v>0</v>
      </c>
      <c r="BH211" s="108"/>
      <c r="BI211" s="796" t="s">
        <v>38</v>
      </c>
      <c r="BJ211" s="72">
        <f t="shared" si="6066"/>
        <v>0</v>
      </c>
      <c r="BK211" s="108"/>
      <c r="BL211" s="796" t="s">
        <v>38</v>
      </c>
      <c r="BM211" s="72">
        <f t="shared" si="6067"/>
        <v>0</v>
      </c>
      <c r="BN211" s="108"/>
      <c r="BO211" s="816" t="s">
        <v>38</v>
      </c>
      <c r="BP211" s="72">
        <f t="shared" si="6068"/>
        <v>0</v>
      </c>
      <c r="BQ211" s="108"/>
      <c r="BR211" s="796" t="s">
        <v>38</v>
      </c>
      <c r="BS211" s="72">
        <f t="shared" si="6069"/>
        <v>0</v>
      </c>
      <c r="BT211" s="108"/>
      <c r="BU211" s="796" t="s">
        <v>38</v>
      </c>
      <c r="BV211" s="72">
        <f t="shared" si="6070"/>
        <v>0</v>
      </c>
      <c r="BW211" s="108"/>
      <c r="BX211" s="73" t="s">
        <v>38</v>
      </c>
      <c r="BY211" s="72">
        <f t="shared" si="6071"/>
        <v>0</v>
      </c>
      <c r="BZ211" s="108"/>
      <c r="CA211" s="816" t="s">
        <v>38</v>
      </c>
      <c r="CB211" s="72">
        <f t="shared" si="6072"/>
        <v>0</v>
      </c>
      <c r="CC211" s="108"/>
      <c r="CD211" s="825" t="s">
        <v>38</v>
      </c>
      <c r="CE211" s="72">
        <f t="shared" si="6073"/>
        <v>0</v>
      </c>
      <c r="CF211" s="108"/>
      <c r="CG211" s="796" t="s">
        <v>38</v>
      </c>
      <c r="CH211" s="72">
        <f t="shared" si="6074"/>
        <v>0</v>
      </c>
      <c r="CI211" s="108"/>
      <c r="CJ211" s="796" t="s">
        <v>38</v>
      </c>
      <c r="CK211" s="72">
        <f t="shared" si="6075"/>
        <v>0</v>
      </c>
      <c r="CL211" s="108"/>
      <c r="CM211" s="796" t="s">
        <v>79</v>
      </c>
      <c r="CN211" s="72">
        <f t="shared" si="6076"/>
        <v>0</v>
      </c>
      <c r="CO211" s="108"/>
      <c r="CP211" s="796" t="s">
        <v>1318</v>
      </c>
      <c r="CQ211" s="72">
        <f t="shared" si="6077"/>
        <v>0</v>
      </c>
      <c r="CR211" s="108"/>
      <c r="CS211" s="796" t="s">
        <v>38</v>
      </c>
      <c r="CT211" s="72">
        <f t="shared" si="6078"/>
        <v>0</v>
      </c>
      <c r="CU211" s="108"/>
      <c r="CV211" s="796" t="s">
        <v>38</v>
      </c>
      <c r="CW211" s="72">
        <f t="shared" si="6079"/>
        <v>0</v>
      </c>
      <c r="CX211" s="108"/>
      <c r="CY211" s="796" t="s">
        <v>38</v>
      </c>
      <c r="CZ211" s="72">
        <f t="shared" si="6080"/>
        <v>0</v>
      </c>
      <c r="DA211" s="108"/>
      <c r="DB211" s="796" t="s">
        <v>79</v>
      </c>
      <c r="DC211" s="72">
        <f t="shared" si="6081"/>
        <v>0</v>
      </c>
      <c r="DD211" s="108"/>
      <c r="DE211" s="796" t="s">
        <v>38</v>
      </c>
      <c r="DF211" s="72">
        <f t="shared" si="6082"/>
        <v>0</v>
      </c>
      <c r="DG211" s="108"/>
      <c r="DH211" s="796" t="s">
        <v>38</v>
      </c>
      <c r="DI211" s="72">
        <f t="shared" si="6083"/>
        <v>0</v>
      </c>
      <c r="DJ211" s="108"/>
      <c r="DK211" s="796" t="s">
        <v>38</v>
      </c>
      <c r="DL211" s="72">
        <f t="shared" si="6084"/>
        <v>0</v>
      </c>
      <c r="DM211" s="108"/>
      <c r="DN211" s="73"/>
      <c r="DO211" s="72">
        <f t="shared" si="6085"/>
        <v>0</v>
      </c>
      <c r="DP211" s="108"/>
      <c r="DQ211" s="796" t="s">
        <v>38</v>
      </c>
      <c r="DR211" s="72">
        <f t="shared" si="6086"/>
        <v>0</v>
      </c>
      <c r="DS211" s="108"/>
      <c r="DT211" s="73" t="s">
        <v>38</v>
      </c>
      <c r="DU211" s="72">
        <f t="shared" si="6087"/>
        <v>0</v>
      </c>
      <c r="DV211" s="108"/>
      <c r="DW211" s="73"/>
      <c r="DX211" s="72">
        <f t="shared" si="6088"/>
        <v>0</v>
      </c>
      <c r="DY211" s="108"/>
      <c r="DZ211" s="73"/>
      <c r="EA211" s="72">
        <f t="shared" si="6089"/>
        <v>0</v>
      </c>
      <c r="EB211" s="108"/>
      <c r="EC211" s="73"/>
      <c r="ED211" s="72">
        <f t="shared" si="6090"/>
        <v>0</v>
      </c>
      <c r="EE211" s="108"/>
      <c r="EF211" s="73"/>
      <c r="EG211" s="72">
        <f t="shared" si="6091"/>
        <v>0</v>
      </c>
      <c r="EH211" s="108"/>
      <c r="EI211" s="73"/>
      <c r="EJ211" s="72">
        <f t="shared" si="6092"/>
        <v>0</v>
      </c>
      <c r="EK211" s="108"/>
      <c r="EL211" s="73"/>
      <c r="EM211" s="72">
        <f t="shared" si="6093"/>
        <v>0</v>
      </c>
      <c r="EN211" s="108"/>
      <c r="EO211" s="73"/>
      <c r="EP211" s="72">
        <f t="shared" si="6094"/>
        <v>0</v>
      </c>
      <c r="EQ211" s="108"/>
      <c r="ER211" s="73"/>
      <c r="ES211" s="72">
        <f t="shared" si="6095"/>
        <v>0</v>
      </c>
      <c r="ET211" s="108"/>
      <c r="EU211" s="73"/>
      <c r="EV211" s="72">
        <f t="shared" si="6096"/>
        <v>0</v>
      </c>
      <c r="EW211" s="108"/>
      <c r="EX211" s="73"/>
      <c r="EY211" s="72">
        <f t="shared" si="6097"/>
        <v>0</v>
      </c>
      <c r="EZ211" s="108"/>
      <c r="FA211" s="73"/>
      <c r="FB211" s="72">
        <f t="shared" si="6098"/>
        <v>0</v>
      </c>
      <c r="FC211" s="108"/>
      <c r="FD211" s="73"/>
      <c r="FE211" s="72">
        <f t="shared" si="6099"/>
        <v>0</v>
      </c>
      <c r="FF211" s="108"/>
      <c r="FG211" s="73"/>
      <c r="FH211" s="72">
        <f t="shared" si="6100"/>
        <v>0</v>
      </c>
      <c r="FI211" s="108"/>
      <c r="FJ211" s="73"/>
      <c r="FK211" s="72">
        <f t="shared" si="6101"/>
        <v>0</v>
      </c>
      <c r="FL211" s="108"/>
      <c r="FM211" s="73"/>
      <c r="FN211" s="72">
        <f t="shared" si="6102"/>
        <v>0</v>
      </c>
      <c r="FO211" s="108"/>
      <c r="FP211" s="73"/>
      <c r="FQ211" s="72">
        <f t="shared" si="6103"/>
        <v>0</v>
      </c>
      <c r="FR211" s="108"/>
      <c r="FS211" s="73"/>
      <c r="FT211" s="72">
        <f t="shared" si="6104"/>
        <v>0</v>
      </c>
      <c r="FU211" s="108"/>
      <c r="FV211" s="73"/>
      <c r="FW211" s="72">
        <f t="shared" si="6105"/>
        <v>0</v>
      </c>
      <c r="FX211" s="108"/>
      <c r="FY211" s="73"/>
      <c r="FZ211" s="72">
        <f t="shared" si="6106"/>
        <v>0</v>
      </c>
      <c r="GA211" s="108"/>
      <c r="GB211" s="73"/>
      <c r="GC211" s="72">
        <f t="shared" si="6107"/>
        <v>0</v>
      </c>
      <c r="GD211" s="108"/>
      <c r="GE211" s="73"/>
      <c r="GF211" s="72">
        <f t="shared" si="6108"/>
        <v>0</v>
      </c>
      <c r="GG211" s="108"/>
      <c r="GH211" s="73"/>
      <c r="GI211" s="72">
        <f t="shared" si="6109"/>
        <v>0</v>
      </c>
      <c r="GJ211" s="108"/>
      <c r="GK211" s="73"/>
      <c r="GL211" s="72">
        <f t="shared" si="6110"/>
        <v>0</v>
      </c>
      <c r="GM211" s="108"/>
      <c r="GN211" s="73"/>
      <c r="GO211" s="72">
        <f t="shared" si="6111"/>
        <v>0</v>
      </c>
      <c r="GP211" s="108"/>
      <c r="GQ211" s="73"/>
      <c r="GR211" s="72">
        <f t="shared" si="6112"/>
        <v>0</v>
      </c>
      <c r="GS211" s="108"/>
      <c r="GT211" s="73"/>
      <c r="GU211" s="72">
        <f t="shared" si="6113"/>
        <v>0</v>
      </c>
      <c r="GV211" s="108"/>
      <c r="GW211" s="73"/>
      <c r="GX211" s="72">
        <f t="shared" si="6114"/>
        <v>0</v>
      </c>
      <c r="GY211" s="108"/>
      <c r="GZ211" s="73"/>
      <c r="HA211" s="72">
        <f t="shared" si="6115"/>
        <v>0</v>
      </c>
      <c r="HB211" s="108"/>
      <c r="HC211" s="73"/>
      <c r="HD211" s="72">
        <f t="shared" si="6116"/>
        <v>0</v>
      </c>
      <c r="HE211" s="108"/>
      <c r="HF211" s="73"/>
      <c r="HG211" s="72">
        <f t="shared" si="6117"/>
        <v>0</v>
      </c>
      <c r="HH211" s="108"/>
      <c r="HI211" s="73"/>
      <c r="HJ211" s="72">
        <f t="shared" si="6118"/>
        <v>0</v>
      </c>
      <c r="HK211" s="108"/>
      <c r="HL211" s="73"/>
      <c r="HM211" s="72">
        <f t="shared" si="6119"/>
        <v>0</v>
      </c>
      <c r="HN211" s="108"/>
      <c r="HO211" s="73"/>
      <c r="HP211" s="72">
        <f t="shared" si="6120"/>
        <v>0</v>
      </c>
      <c r="HQ211" s="108"/>
      <c r="HR211" s="73"/>
      <c r="HS211" s="72">
        <f t="shared" si="6121"/>
        <v>0</v>
      </c>
      <c r="HT211" s="108"/>
      <c r="HU211" s="73"/>
      <c r="HV211" s="72">
        <f t="shared" si="6122"/>
        <v>0</v>
      </c>
      <c r="HW211" s="108"/>
      <c r="HX211" s="73"/>
      <c r="HY211" s="72">
        <f t="shared" si="6123"/>
        <v>0</v>
      </c>
      <c r="HZ211" s="108"/>
      <c r="IA211" s="73"/>
      <c r="IB211" s="72">
        <f t="shared" si="6124"/>
        <v>0</v>
      </c>
      <c r="IC211" s="108"/>
      <c r="ID211" s="73"/>
      <c r="IE211" s="72">
        <f t="shared" si="6125"/>
        <v>0</v>
      </c>
      <c r="IF211" s="108"/>
      <c r="IG211" s="73"/>
      <c r="IH211" s="72">
        <f t="shared" si="6126"/>
        <v>0</v>
      </c>
      <c r="II211" s="108"/>
      <c r="IJ211" s="73"/>
      <c r="IK211" s="72">
        <f t="shared" si="6127"/>
        <v>0</v>
      </c>
      <c r="IL211" s="108"/>
      <c r="IM211" s="73"/>
      <c r="IN211" s="72">
        <f t="shared" si="6128"/>
        <v>0</v>
      </c>
      <c r="IO211" s="108"/>
      <c r="IP211" s="73"/>
      <c r="IQ211" s="72">
        <f t="shared" si="6129"/>
        <v>0</v>
      </c>
      <c r="IR211" s="108"/>
      <c r="IS211" s="73"/>
      <c r="IT211" s="72">
        <f t="shared" si="6130"/>
        <v>0</v>
      </c>
      <c r="IU211" s="108"/>
      <c r="IV211" s="73"/>
      <c r="IW211" s="72">
        <f t="shared" si="6131"/>
        <v>0</v>
      </c>
      <c r="IX211" s="108"/>
      <c r="IY211" s="73"/>
      <c r="IZ211" s="72">
        <f t="shared" si="6132"/>
        <v>0</v>
      </c>
      <c r="JA211" s="108"/>
      <c r="JB211" s="73"/>
      <c r="JC211" s="72">
        <f t="shared" si="6133"/>
        <v>0</v>
      </c>
      <c r="JD211" s="108"/>
      <c r="JE211" s="73"/>
      <c r="JF211" s="72">
        <f t="shared" si="6134"/>
        <v>0</v>
      </c>
      <c r="JG211" s="108"/>
      <c r="JH211" s="73"/>
      <c r="JI211" s="72">
        <f t="shared" si="6135"/>
        <v>0</v>
      </c>
      <c r="JJ211" s="108"/>
      <c r="JK211" s="73"/>
      <c r="JL211" s="72">
        <f t="shared" si="6136"/>
        <v>0</v>
      </c>
      <c r="JM211" s="108"/>
      <c r="JN211" s="73"/>
      <c r="JO211" s="72">
        <f t="shared" si="6137"/>
        <v>0</v>
      </c>
      <c r="JP211" s="108"/>
      <c r="JQ211" s="73"/>
      <c r="JR211" s="72">
        <f t="shared" si="6138"/>
        <v>0</v>
      </c>
      <c r="JS211" s="108"/>
      <c r="JT211" s="73"/>
      <c r="JU211" s="72">
        <f t="shared" si="6139"/>
        <v>0</v>
      </c>
      <c r="JV211" s="108"/>
      <c r="JW211" s="73"/>
      <c r="JX211" s="72">
        <f t="shared" si="6140"/>
        <v>0</v>
      </c>
      <c r="JY211" s="108"/>
      <c r="JZ211" s="73"/>
      <c r="KA211" s="72">
        <f t="shared" si="6141"/>
        <v>0</v>
      </c>
      <c r="KB211" s="108"/>
      <c r="KC211" s="73"/>
      <c r="KD211" s="72">
        <f t="shared" si="6142"/>
        <v>0</v>
      </c>
      <c r="KE211" s="108"/>
      <c r="KF211" s="73"/>
      <c r="KG211" s="72">
        <f t="shared" si="6143"/>
        <v>0</v>
      </c>
      <c r="KH211" s="108"/>
      <c r="KI211" s="73"/>
      <c r="KJ211" s="72">
        <f t="shared" si="6144"/>
        <v>0</v>
      </c>
      <c r="KK211" s="108"/>
      <c r="KL211" s="73"/>
      <c r="KM211" s="72">
        <f t="shared" si="6145"/>
        <v>0</v>
      </c>
      <c r="KN211" s="108"/>
      <c r="KO211" s="73"/>
      <c r="KP211" s="72">
        <f t="shared" si="6146"/>
        <v>0</v>
      </c>
      <c r="KQ211" s="108"/>
      <c r="KR211" s="73"/>
      <c r="KS211" s="72">
        <f t="shared" si="6147"/>
        <v>0</v>
      </c>
      <c r="KT211" s="108"/>
      <c r="KU211" s="73"/>
      <c r="KV211" s="72">
        <f t="shared" si="6148"/>
        <v>0</v>
      </c>
      <c r="KW211" s="108"/>
      <c r="KX211" s="73"/>
      <c r="KY211" s="72">
        <f t="shared" si="6149"/>
        <v>0</v>
      </c>
      <c r="KZ211" s="108"/>
      <c r="LA211" s="73"/>
      <c r="LB211" s="72">
        <f t="shared" si="6150"/>
        <v>0</v>
      </c>
      <c r="LC211" s="108"/>
      <c r="LD211" s="73"/>
      <c r="LE211" s="72">
        <f t="shared" si="6151"/>
        <v>0</v>
      </c>
      <c r="LF211" s="108"/>
    </row>
    <row r="212" spans="1:318" s="784" customFormat="1">
      <c r="A212" s="25"/>
      <c r="B212" s="25"/>
      <c r="C212" s="25"/>
      <c r="D212" s="25"/>
      <c r="E212" s="25"/>
      <c r="F212" s="406">
        <f t="shared" si="6152"/>
        <v>40</v>
      </c>
      <c r="G212" s="406">
        <f ca="1">VLOOKUP(H212,Equipos!$Q$1:$R$25,2,0)</f>
        <v>21</v>
      </c>
      <c r="H212" s="64" t="str">
        <f>Idiomas!$D$261</f>
        <v>Octavos de final</v>
      </c>
      <c r="I212" s="50"/>
      <c r="J212" s="843"/>
      <c r="K212" s="56" t="str">
        <f>Idiomas!$D$200&amp;"-"&amp;ROWS($L$210:L212)</f>
        <v>Cuartofinalista-3</v>
      </c>
      <c r="L212" s="53"/>
      <c r="M212" s="55" t="str">
        <f>WORLDCUP!AA133</f>
        <v>W91</v>
      </c>
      <c r="N212" s="25"/>
      <c r="O212" s="25"/>
      <c r="P212" s="25"/>
      <c r="Q212" s="25"/>
      <c r="R212" s="108"/>
      <c r="S212" s="796" t="s">
        <v>1258</v>
      </c>
      <c r="T212" s="72">
        <f t="shared" si="6052"/>
        <v>0</v>
      </c>
      <c r="U212" s="108"/>
      <c r="V212" s="73" t="s">
        <v>135</v>
      </c>
      <c r="W212" s="72">
        <f t="shared" si="6053"/>
        <v>0</v>
      </c>
      <c r="X212" s="108"/>
      <c r="Y212" s="796" t="s">
        <v>1321</v>
      </c>
      <c r="Z212" s="72">
        <f t="shared" si="6054"/>
        <v>0</v>
      </c>
      <c r="AA212" s="108"/>
      <c r="AB212" s="796" t="s">
        <v>1258</v>
      </c>
      <c r="AC212" s="72">
        <f t="shared" si="6055"/>
        <v>0</v>
      </c>
      <c r="AD212" s="108"/>
      <c r="AE212" s="796" t="s">
        <v>1258</v>
      </c>
      <c r="AF212" s="72">
        <f t="shared" si="6056"/>
        <v>0</v>
      </c>
      <c r="AG212" s="108"/>
      <c r="AH212" s="796" t="s">
        <v>74</v>
      </c>
      <c r="AI212" s="72">
        <f t="shared" si="6057"/>
        <v>0</v>
      </c>
      <c r="AJ212" s="108"/>
      <c r="AK212" s="806" t="s">
        <v>1258</v>
      </c>
      <c r="AL212" s="72">
        <f t="shared" si="6058"/>
        <v>0</v>
      </c>
      <c r="AM212" s="108"/>
      <c r="AN212" s="796" t="s">
        <v>1321</v>
      </c>
      <c r="AO212" s="72">
        <f t="shared" si="6059"/>
        <v>0</v>
      </c>
      <c r="AP212" s="108"/>
      <c r="AQ212" s="806" t="s">
        <v>1258</v>
      </c>
      <c r="AR212" s="72">
        <f t="shared" si="6060"/>
        <v>0</v>
      </c>
      <c r="AS212" s="108"/>
      <c r="AT212" s="796" t="s">
        <v>74</v>
      </c>
      <c r="AU212" s="72">
        <f t="shared" si="6061"/>
        <v>0</v>
      </c>
      <c r="AV212" s="108"/>
      <c r="AW212" s="796" t="s">
        <v>1258</v>
      </c>
      <c r="AX212" s="72">
        <f t="shared" si="6062"/>
        <v>0</v>
      </c>
      <c r="AY212" s="108"/>
      <c r="AZ212" s="796" t="s">
        <v>1728</v>
      </c>
      <c r="BA212" s="72">
        <f t="shared" si="6063"/>
        <v>0</v>
      </c>
      <c r="BB212" s="108"/>
      <c r="BC212" s="796" t="s">
        <v>1258</v>
      </c>
      <c r="BD212" s="72">
        <f t="shared" si="6064"/>
        <v>0</v>
      </c>
      <c r="BE212" s="108"/>
      <c r="BF212" s="796" t="s">
        <v>1258</v>
      </c>
      <c r="BG212" s="72">
        <f t="shared" si="6065"/>
        <v>0</v>
      </c>
      <c r="BH212" s="108"/>
      <c r="BI212" s="796" t="s">
        <v>1258</v>
      </c>
      <c r="BJ212" s="72">
        <f t="shared" si="6066"/>
        <v>0</v>
      </c>
      <c r="BK212" s="108"/>
      <c r="BL212" s="796" t="s">
        <v>74</v>
      </c>
      <c r="BM212" s="72">
        <f t="shared" si="6067"/>
        <v>0</v>
      </c>
      <c r="BN212" s="108"/>
      <c r="BO212" s="816" t="s">
        <v>1258</v>
      </c>
      <c r="BP212" s="72">
        <f t="shared" si="6068"/>
        <v>0</v>
      </c>
      <c r="BQ212" s="108"/>
      <c r="BR212" s="796" t="s">
        <v>1258</v>
      </c>
      <c r="BS212" s="72">
        <f t="shared" si="6069"/>
        <v>0</v>
      </c>
      <c r="BT212" s="108"/>
      <c r="BU212" s="796" t="s">
        <v>111</v>
      </c>
      <c r="BV212" s="72">
        <f t="shared" si="6070"/>
        <v>0</v>
      </c>
      <c r="BW212" s="108"/>
      <c r="BX212" s="73" t="s">
        <v>1258</v>
      </c>
      <c r="BY212" s="72">
        <f t="shared" si="6071"/>
        <v>0</v>
      </c>
      <c r="BZ212" s="108"/>
      <c r="CA212" s="816" t="s">
        <v>1258</v>
      </c>
      <c r="CB212" s="72">
        <f t="shared" si="6072"/>
        <v>0</v>
      </c>
      <c r="CC212" s="108"/>
      <c r="CD212" s="825" t="s">
        <v>1258</v>
      </c>
      <c r="CE212" s="72">
        <f t="shared" si="6073"/>
        <v>0</v>
      </c>
      <c r="CF212" s="108"/>
      <c r="CG212" s="796" t="s">
        <v>74</v>
      </c>
      <c r="CH212" s="72">
        <f t="shared" si="6074"/>
        <v>0</v>
      </c>
      <c r="CI212" s="108"/>
      <c r="CJ212" s="796" t="s">
        <v>1258</v>
      </c>
      <c r="CK212" s="72">
        <f t="shared" si="6075"/>
        <v>0</v>
      </c>
      <c r="CL212" s="108"/>
      <c r="CM212" s="796" t="s">
        <v>1321</v>
      </c>
      <c r="CN212" s="72">
        <f t="shared" si="6076"/>
        <v>0</v>
      </c>
      <c r="CO212" s="108"/>
      <c r="CP212" s="796" t="s">
        <v>1258</v>
      </c>
      <c r="CQ212" s="72">
        <f t="shared" si="6077"/>
        <v>0</v>
      </c>
      <c r="CR212" s="108"/>
      <c r="CS212" s="796" t="s">
        <v>1258</v>
      </c>
      <c r="CT212" s="72">
        <f t="shared" si="6078"/>
        <v>0</v>
      </c>
      <c r="CU212" s="108"/>
      <c r="CV212" s="796" t="s">
        <v>77</v>
      </c>
      <c r="CW212" s="72">
        <f t="shared" si="6079"/>
        <v>0</v>
      </c>
      <c r="CX212" s="108"/>
      <c r="CY212" s="796" t="s">
        <v>1258</v>
      </c>
      <c r="CZ212" s="72">
        <f t="shared" si="6080"/>
        <v>0</v>
      </c>
      <c r="DA212" s="108"/>
      <c r="DB212" s="796" t="s">
        <v>1261</v>
      </c>
      <c r="DC212" s="72">
        <f t="shared" si="6081"/>
        <v>0</v>
      </c>
      <c r="DD212" s="108"/>
      <c r="DE212" s="796" t="s">
        <v>1258</v>
      </c>
      <c r="DF212" s="72">
        <f t="shared" si="6082"/>
        <v>0</v>
      </c>
      <c r="DG212" s="108"/>
      <c r="DH212" s="796" t="s">
        <v>1321</v>
      </c>
      <c r="DI212" s="72">
        <f t="shared" si="6083"/>
        <v>0</v>
      </c>
      <c r="DJ212" s="108"/>
      <c r="DK212" s="796" t="s">
        <v>1258</v>
      </c>
      <c r="DL212" s="72">
        <f t="shared" si="6084"/>
        <v>0</v>
      </c>
      <c r="DM212" s="108"/>
      <c r="DN212" s="73"/>
      <c r="DO212" s="72">
        <f t="shared" si="6085"/>
        <v>0</v>
      </c>
      <c r="DP212" s="108"/>
      <c r="DQ212" s="796" t="s">
        <v>1258</v>
      </c>
      <c r="DR212" s="72">
        <f t="shared" si="6086"/>
        <v>0</v>
      </c>
      <c r="DS212" s="108"/>
      <c r="DT212" s="73" t="s">
        <v>1258</v>
      </c>
      <c r="DU212" s="72">
        <f t="shared" si="6087"/>
        <v>0</v>
      </c>
      <c r="DV212" s="108"/>
      <c r="DW212" s="73"/>
      <c r="DX212" s="72">
        <f t="shared" si="6088"/>
        <v>0</v>
      </c>
      <c r="DY212" s="108"/>
      <c r="DZ212" s="73"/>
      <c r="EA212" s="72">
        <f t="shared" si="6089"/>
        <v>0</v>
      </c>
      <c r="EB212" s="108"/>
      <c r="EC212" s="73"/>
      <c r="ED212" s="72">
        <f t="shared" si="6090"/>
        <v>0</v>
      </c>
      <c r="EE212" s="108"/>
      <c r="EF212" s="73"/>
      <c r="EG212" s="72">
        <f t="shared" si="6091"/>
        <v>0</v>
      </c>
      <c r="EH212" s="108"/>
      <c r="EI212" s="73"/>
      <c r="EJ212" s="72">
        <f t="shared" si="6092"/>
        <v>0</v>
      </c>
      <c r="EK212" s="108"/>
      <c r="EL212" s="73"/>
      <c r="EM212" s="72">
        <f t="shared" si="6093"/>
        <v>0</v>
      </c>
      <c r="EN212" s="108"/>
      <c r="EO212" s="73"/>
      <c r="EP212" s="72">
        <f t="shared" si="6094"/>
        <v>0</v>
      </c>
      <c r="EQ212" s="108"/>
      <c r="ER212" s="73"/>
      <c r="ES212" s="72">
        <f t="shared" si="6095"/>
        <v>0</v>
      </c>
      <c r="ET212" s="108"/>
      <c r="EU212" s="73"/>
      <c r="EV212" s="72">
        <f t="shared" si="6096"/>
        <v>0</v>
      </c>
      <c r="EW212" s="108"/>
      <c r="EX212" s="73"/>
      <c r="EY212" s="72">
        <f t="shared" si="6097"/>
        <v>0</v>
      </c>
      <c r="EZ212" s="108"/>
      <c r="FA212" s="73"/>
      <c r="FB212" s="72">
        <f t="shared" si="6098"/>
        <v>0</v>
      </c>
      <c r="FC212" s="108"/>
      <c r="FD212" s="73"/>
      <c r="FE212" s="72">
        <f t="shared" si="6099"/>
        <v>0</v>
      </c>
      <c r="FF212" s="108"/>
      <c r="FG212" s="73"/>
      <c r="FH212" s="72">
        <f t="shared" si="6100"/>
        <v>0</v>
      </c>
      <c r="FI212" s="108"/>
      <c r="FJ212" s="73"/>
      <c r="FK212" s="72">
        <f t="shared" si="6101"/>
        <v>0</v>
      </c>
      <c r="FL212" s="108"/>
      <c r="FM212" s="73"/>
      <c r="FN212" s="72">
        <f t="shared" si="6102"/>
        <v>0</v>
      </c>
      <c r="FO212" s="108"/>
      <c r="FP212" s="73"/>
      <c r="FQ212" s="72">
        <f t="shared" si="6103"/>
        <v>0</v>
      </c>
      <c r="FR212" s="108"/>
      <c r="FS212" s="73"/>
      <c r="FT212" s="72">
        <f t="shared" si="6104"/>
        <v>0</v>
      </c>
      <c r="FU212" s="108"/>
      <c r="FV212" s="73"/>
      <c r="FW212" s="72">
        <f t="shared" si="6105"/>
        <v>0</v>
      </c>
      <c r="FX212" s="108"/>
      <c r="FY212" s="73"/>
      <c r="FZ212" s="72">
        <f t="shared" si="6106"/>
        <v>0</v>
      </c>
      <c r="GA212" s="108"/>
      <c r="GB212" s="73"/>
      <c r="GC212" s="72">
        <f t="shared" si="6107"/>
        <v>0</v>
      </c>
      <c r="GD212" s="108"/>
      <c r="GE212" s="73"/>
      <c r="GF212" s="72">
        <f t="shared" si="6108"/>
        <v>0</v>
      </c>
      <c r="GG212" s="108"/>
      <c r="GH212" s="73"/>
      <c r="GI212" s="72">
        <f t="shared" si="6109"/>
        <v>0</v>
      </c>
      <c r="GJ212" s="108"/>
      <c r="GK212" s="73"/>
      <c r="GL212" s="72">
        <f t="shared" si="6110"/>
        <v>0</v>
      </c>
      <c r="GM212" s="108"/>
      <c r="GN212" s="73"/>
      <c r="GO212" s="72">
        <f t="shared" si="6111"/>
        <v>0</v>
      </c>
      <c r="GP212" s="108"/>
      <c r="GQ212" s="73"/>
      <c r="GR212" s="72">
        <f t="shared" si="6112"/>
        <v>0</v>
      </c>
      <c r="GS212" s="108"/>
      <c r="GT212" s="73"/>
      <c r="GU212" s="72">
        <f t="shared" si="6113"/>
        <v>0</v>
      </c>
      <c r="GV212" s="108"/>
      <c r="GW212" s="73"/>
      <c r="GX212" s="72">
        <f t="shared" si="6114"/>
        <v>0</v>
      </c>
      <c r="GY212" s="108"/>
      <c r="GZ212" s="73"/>
      <c r="HA212" s="72">
        <f t="shared" si="6115"/>
        <v>0</v>
      </c>
      <c r="HB212" s="108"/>
      <c r="HC212" s="73"/>
      <c r="HD212" s="72">
        <f t="shared" si="6116"/>
        <v>0</v>
      </c>
      <c r="HE212" s="108"/>
      <c r="HF212" s="73"/>
      <c r="HG212" s="72">
        <f t="shared" si="6117"/>
        <v>0</v>
      </c>
      <c r="HH212" s="108"/>
      <c r="HI212" s="73"/>
      <c r="HJ212" s="72">
        <f t="shared" si="6118"/>
        <v>0</v>
      </c>
      <c r="HK212" s="108"/>
      <c r="HL212" s="73"/>
      <c r="HM212" s="72">
        <f t="shared" si="6119"/>
        <v>0</v>
      </c>
      <c r="HN212" s="108"/>
      <c r="HO212" s="73"/>
      <c r="HP212" s="72">
        <f t="shared" si="6120"/>
        <v>0</v>
      </c>
      <c r="HQ212" s="108"/>
      <c r="HR212" s="73"/>
      <c r="HS212" s="72">
        <f t="shared" si="6121"/>
        <v>0</v>
      </c>
      <c r="HT212" s="108"/>
      <c r="HU212" s="73"/>
      <c r="HV212" s="72">
        <f t="shared" si="6122"/>
        <v>0</v>
      </c>
      <c r="HW212" s="108"/>
      <c r="HX212" s="73"/>
      <c r="HY212" s="72">
        <f t="shared" si="6123"/>
        <v>0</v>
      </c>
      <c r="HZ212" s="108"/>
      <c r="IA212" s="73"/>
      <c r="IB212" s="72">
        <f t="shared" si="6124"/>
        <v>0</v>
      </c>
      <c r="IC212" s="108"/>
      <c r="ID212" s="73"/>
      <c r="IE212" s="72">
        <f t="shared" si="6125"/>
        <v>0</v>
      </c>
      <c r="IF212" s="108"/>
      <c r="IG212" s="73"/>
      <c r="IH212" s="72">
        <f t="shared" si="6126"/>
        <v>0</v>
      </c>
      <c r="II212" s="108"/>
      <c r="IJ212" s="73"/>
      <c r="IK212" s="72">
        <f t="shared" si="6127"/>
        <v>0</v>
      </c>
      <c r="IL212" s="108"/>
      <c r="IM212" s="73"/>
      <c r="IN212" s="72">
        <f t="shared" si="6128"/>
        <v>0</v>
      </c>
      <c r="IO212" s="108"/>
      <c r="IP212" s="73"/>
      <c r="IQ212" s="72">
        <f t="shared" si="6129"/>
        <v>0</v>
      </c>
      <c r="IR212" s="108"/>
      <c r="IS212" s="73"/>
      <c r="IT212" s="72">
        <f t="shared" si="6130"/>
        <v>0</v>
      </c>
      <c r="IU212" s="108"/>
      <c r="IV212" s="73"/>
      <c r="IW212" s="72">
        <f t="shared" si="6131"/>
        <v>0</v>
      </c>
      <c r="IX212" s="108"/>
      <c r="IY212" s="73"/>
      <c r="IZ212" s="72">
        <f t="shared" si="6132"/>
        <v>0</v>
      </c>
      <c r="JA212" s="108"/>
      <c r="JB212" s="73"/>
      <c r="JC212" s="72">
        <f t="shared" si="6133"/>
        <v>0</v>
      </c>
      <c r="JD212" s="108"/>
      <c r="JE212" s="73"/>
      <c r="JF212" s="72">
        <f t="shared" si="6134"/>
        <v>0</v>
      </c>
      <c r="JG212" s="108"/>
      <c r="JH212" s="73"/>
      <c r="JI212" s="72">
        <f t="shared" si="6135"/>
        <v>0</v>
      </c>
      <c r="JJ212" s="108"/>
      <c r="JK212" s="73"/>
      <c r="JL212" s="72">
        <f t="shared" si="6136"/>
        <v>0</v>
      </c>
      <c r="JM212" s="108"/>
      <c r="JN212" s="73"/>
      <c r="JO212" s="72">
        <f t="shared" si="6137"/>
        <v>0</v>
      </c>
      <c r="JP212" s="108"/>
      <c r="JQ212" s="73"/>
      <c r="JR212" s="72">
        <f t="shared" si="6138"/>
        <v>0</v>
      </c>
      <c r="JS212" s="108"/>
      <c r="JT212" s="73"/>
      <c r="JU212" s="72">
        <f t="shared" si="6139"/>
        <v>0</v>
      </c>
      <c r="JV212" s="108"/>
      <c r="JW212" s="73"/>
      <c r="JX212" s="72">
        <f t="shared" si="6140"/>
        <v>0</v>
      </c>
      <c r="JY212" s="108"/>
      <c r="JZ212" s="73"/>
      <c r="KA212" s="72">
        <f t="shared" si="6141"/>
        <v>0</v>
      </c>
      <c r="KB212" s="108"/>
      <c r="KC212" s="73"/>
      <c r="KD212" s="72">
        <f t="shared" si="6142"/>
        <v>0</v>
      </c>
      <c r="KE212" s="108"/>
      <c r="KF212" s="73"/>
      <c r="KG212" s="72">
        <f t="shared" si="6143"/>
        <v>0</v>
      </c>
      <c r="KH212" s="108"/>
      <c r="KI212" s="73"/>
      <c r="KJ212" s="72">
        <f t="shared" si="6144"/>
        <v>0</v>
      </c>
      <c r="KK212" s="108"/>
      <c r="KL212" s="73"/>
      <c r="KM212" s="72">
        <f t="shared" si="6145"/>
        <v>0</v>
      </c>
      <c r="KN212" s="108"/>
      <c r="KO212" s="73"/>
      <c r="KP212" s="72">
        <f t="shared" si="6146"/>
        <v>0</v>
      </c>
      <c r="KQ212" s="108"/>
      <c r="KR212" s="73"/>
      <c r="KS212" s="72">
        <f t="shared" si="6147"/>
        <v>0</v>
      </c>
      <c r="KT212" s="108"/>
      <c r="KU212" s="73"/>
      <c r="KV212" s="72">
        <f t="shared" si="6148"/>
        <v>0</v>
      </c>
      <c r="KW212" s="108"/>
      <c r="KX212" s="73"/>
      <c r="KY212" s="72">
        <f t="shared" si="6149"/>
        <v>0</v>
      </c>
      <c r="KZ212" s="108"/>
      <c r="LA212" s="73"/>
      <c r="LB212" s="72">
        <f t="shared" si="6150"/>
        <v>0</v>
      </c>
      <c r="LC212" s="108"/>
      <c r="LD212" s="73"/>
      <c r="LE212" s="72">
        <f t="shared" si="6151"/>
        <v>0</v>
      </c>
      <c r="LF212" s="108"/>
    </row>
    <row r="213" spans="1:318" s="784" customFormat="1">
      <c r="A213" s="25"/>
      <c r="B213" s="25"/>
      <c r="C213" s="25"/>
      <c r="D213" s="25"/>
      <c r="E213" s="25"/>
      <c r="F213" s="406">
        <f t="shared" si="6152"/>
        <v>40</v>
      </c>
      <c r="G213" s="406">
        <f ca="1">VLOOKUP(H213,Equipos!$Q$1:$R$25,2,0)</f>
        <v>21</v>
      </c>
      <c r="H213" s="64" t="str">
        <f>Idiomas!$D$261</f>
        <v>Octavos de final</v>
      </c>
      <c r="I213" s="50"/>
      <c r="J213" s="843"/>
      <c r="K213" s="56" t="str">
        <f>Idiomas!$D$200&amp;"-"&amp;ROWS($L$210:L213)</f>
        <v>Cuartofinalista-4</v>
      </c>
      <c r="L213" s="53"/>
      <c r="M213" s="55" t="str">
        <f>WORLDCUP!AA134</f>
        <v>W95</v>
      </c>
      <c r="N213" s="25"/>
      <c r="O213" s="25"/>
      <c r="P213" s="25"/>
      <c r="Q213" s="25"/>
      <c r="R213" s="108"/>
      <c r="S213" s="796" t="s">
        <v>1256</v>
      </c>
      <c r="T213" s="72">
        <f t="shared" si="6052"/>
        <v>0</v>
      </c>
      <c r="U213" s="108"/>
      <c r="V213" s="73" t="s">
        <v>1256</v>
      </c>
      <c r="W213" s="72">
        <f t="shared" si="6053"/>
        <v>0</v>
      </c>
      <c r="X213" s="108"/>
      <c r="Y213" s="796" t="s">
        <v>1256</v>
      </c>
      <c r="Z213" s="72">
        <f t="shared" si="6054"/>
        <v>0</v>
      </c>
      <c r="AA213" s="108"/>
      <c r="AB213" s="796" t="s">
        <v>1256</v>
      </c>
      <c r="AC213" s="72">
        <f t="shared" si="6055"/>
        <v>0</v>
      </c>
      <c r="AD213" s="108"/>
      <c r="AE213" s="796" t="s">
        <v>1256</v>
      </c>
      <c r="AF213" s="72">
        <f t="shared" si="6056"/>
        <v>0</v>
      </c>
      <c r="AG213" s="108"/>
      <c r="AH213" s="796" t="s">
        <v>1256</v>
      </c>
      <c r="AI213" s="72">
        <f t="shared" si="6057"/>
        <v>0</v>
      </c>
      <c r="AJ213" s="108"/>
      <c r="AK213" s="806" t="s">
        <v>1256</v>
      </c>
      <c r="AL213" s="72">
        <f t="shared" si="6058"/>
        <v>0</v>
      </c>
      <c r="AM213" s="108"/>
      <c r="AN213" s="796" t="s">
        <v>1256</v>
      </c>
      <c r="AO213" s="72">
        <f t="shared" si="6059"/>
        <v>0</v>
      </c>
      <c r="AP213" s="108"/>
      <c r="AQ213" s="806" t="s">
        <v>1256</v>
      </c>
      <c r="AR213" s="72">
        <f t="shared" si="6060"/>
        <v>0</v>
      </c>
      <c r="AS213" s="108"/>
      <c r="AT213" s="796" t="s">
        <v>1256</v>
      </c>
      <c r="AU213" s="72">
        <f t="shared" si="6061"/>
        <v>0</v>
      </c>
      <c r="AV213" s="108"/>
      <c r="AW213" s="796" t="s">
        <v>1256</v>
      </c>
      <c r="AX213" s="72">
        <f t="shared" si="6062"/>
        <v>0</v>
      </c>
      <c r="AY213" s="108"/>
      <c r="AZ213" s="796" t="s">
        <v>1552</v>
      </c>
      <c r="BA213" s="72">
        <f t="shared" si="6063"/>
        <v>0</v>
      </c>
      <c r="BB213" s="108"/>
      <c r="BC213" s="796" t="s">
        <v>1256</v>
      </c>
      <c r="BD213" s="72">
        <f t="shared" si="6064"/>
        <v>0</v>
      </c>
      <c r="BE213" s="108"/>
      <c r="BF213" s="796" t="s">
        <v>38</v>
      </c>
      <c r="BG213" s="72">
        <f t="shared" si="6065"/>
        <v>0</v>
      </c>
      <c r="BH213" s="108"/>
      <c r="BI213" s="796" t="s">
        <v>1256</v>
      </c>
      <c r="BJ213" s="72">
        <f t="shared" si="6066"/>
        <v>0</v>
      </c>
      <c r="BK213" s="108"/>
      <c r="BL213" s="796" t="s">
        <v>1256</v>
      </c>
      <c r="BM213" s="72">
        <f t="shared" si="6067"/>
        <v>0</v>
      </c>
      <c r="BN213" s="108"/>
      <c r="BO213" s="816" t="s">
        <v>1256</v>
      </c>
      <c r="BP213" s="72">
        <f t="shared" si="6068"/>
        <v>0</v>
      </c>
      <c r="BQ213" s="108"/>
      <c r="BR213" s="796" t="s">
        <v>1319</v>
      </c>
      <c r="BS213" s="72">
        <f t="shared" si="6069"/>
        <v>0</v>
      </c>
      <c r="BT213" s="108"/>
      <c r="BU213" s="796" t="s">
        <v>1256</v>
      </c>
      <c r="BV213" s="72">
        <f t="shared" si="6070"/>
        <v>0</v>
      </c>
      <c r="BW213" s="108"/>
      <c r="BX213" s="73" t="s">
        <v>1256</v>
      </c>
      <c r="BY213" s="72">
        <f t="shared" si="6071"/>
        <v>0</v>
      </c>
      <c r="BZ213" s="108"/>
      <c r="CA213" s="816" t="s">
        <v>1256</v>
      </c>
      <c r="CB213" s="72">
        <f t="shared" si="6072"/>
        <v>0</v>
      </c>
      <c r="CC213" s="108"/>
      <c r="CD213" s="825" t="s">
        <v>1256</v>
      </c>
      <c r="CE213" s="72">
        <f t="shared" si="6073"/>
        <v>0</v>
      </c>
      <c r="CF213" s="108"/>
      <c r="CG213" s="796" t="s">
        <v>1256</v>
      </c>
      <c r="CH213" s="72">
        <f t="shared" si="6074"/>
        <v>0</v>
      </c>
      <c r="CI213" s="108"/>
      <c r="CJ213" s="796" t="s">
        <v>1256</v>
      </c>
      <c r="CK213" s="72">
        <f t="shared" si="6075"/>
        <v>0</v>
      </c>
      <c r="CL213" s="108"/>
      <c r="CM213" s="796" t="s">
        <v>1318</v>
      </c>
      <c r="CN213" s="72">
        <f t="shared" si="6076"/>
        <v>0</v>
      </c>
      <c r="CO213" s="108"/>
      <c r="CP213" s="796" t="s">
        <v>1256</v>
      </c>
      <c r="CQ213" s="72">
        <f t="shared" si="6077"/>
        <v>0</v>
      </c>
      <c r="CR213" s="108"/>
      <c r="CS213" s="796" t="s">
        <v>1256</v>
      </c>
      <c r="CT213" s="72">
        <f t="shared" si="6078"/>
        <v>0</v>
      </c>
      <c r="CU213" s="108"/>
      <c r="CV213" s="796" t="s">
        <v>1256</v>
      </c>
      <c r="CW213" s="72">
        <f t="shared" si="6079"/>
        <v>0</v>
      </c>
      <c r="CX213" s="108"/>
      <c r="CY213" s="796" t="s">
        <v>1256</v>
      </c>
      <c r="CZ213" s="72">
        <f t="shared" si="6080"/>
        <v>0</v>
      </c>
      <c r="DA213" s="108"/>
      <c r="DB213" s="796" t="s">
        <v>1256</v>
      </c>
      <c r="DC213" s="72">
        <f t="shared" si="6081"/>
        <v>0</v>
      </c>
      <c r="DD213" s="108"/>
      <c r="DE213" s="796" t="s">
        <v>1256</v>
      </c>
      <c r="DF213" s="72">
        <f t="shared" si="6082"/>
        <v>0</v>
      </c>
      <c r="DG213" s="108"/>
      <c r="DH213" s="796" t="s">
        <v>1256</v>
      </c>
      <c r="DI213" s="72">
        <f t="shared" si="6083"/>
        <v>0</v>
      </c>
      <c r="DJ213" s="108"/>
      <c r="DK213" s="796" t="s">
        <v>1256</v>
      </c>
      <c r="DL213" s="72">
        <f t="shared" si="6084"/>
        <v>0</v>
      </c>
      <c r="DM213" s="108"/>
      <c r="DN213" s="73"/>
      <c r="DO213" s="72">
        <f t="shared" si="6085"/>
        <v>0</v>
      </c>
      <c r="DP213" s="108"/>
      <c r="DQ213" s="796" t="s">
        <v>1256</v>
      </c>
      <c r="DR213" s="72">
        <f t="shared" si="6086"/>
        <v>0</v>
      </c>
      <c r="DS213" s="108"/>
      <c r="DT213" s="73" t="s">
        <v>1256</v>
      </c>
      <c r="DU213" s="72">
        <f t="shared" si="6087"/>
        <v>0</v>
      </c>
      <c r="DV213" s="108"/>
      <c r="DW213" s="73"/>
      <c r="DX213" s="72">
        <f t="shared" si="6088"/>
        <v>0</v>
      </c>
      <c r="DY213" s="108"/>
      <c r="DZ213" s="73"/>
      <c r="EA213" s="72">
        <f t="shared" si="6089"/>
        <v>0</v>
      </c>
      <c r="EB213" s="108"/>
      <c r="EC213" s="73"/>
      <c r="ED213" s="72">
        <f t="shared" si="6090"/>
        <v>0</v>
      </c>
      <c r="EE213" s="108"/>
      <c r="EF213" s="73"/>
      <c r="EG213" s="72">
        <f t="shared" si="6091"/>
        <v>0</v>
      </c>
      <c r="EH213" s="108"/>
      <c r="EI213" s="73"/>
      <c r="EJ213" s="72">
        <f t="shared" si="6092"/>
        <v>0</v>
      </c>
      <c r="EK213" s="108"/>
      <c r="EL213" s="73"/>
      <c r="EM213" s="72">
        <f t="shared" si="6093"/>
        <v>0</v>
      </c>
      <c r="EN213" s="108"/>
      <c r="EO213" s="73"/>
      <c r="EP213" s="72">
        <f t="shared" si="6094"/>
        <v>0</v>
      </c>
      <c r="EQ213" s="108"/>
      <c r="ER213" s="73"/>
      <c r="ES213" s="72">
        <f t="shared" si="6095"/>
        <v>0</v>
      </c>
      <c r="ET213" s="108"/>
      <c r="EU213" s="73"/>
      <c r="EV213" s="72">
        <f t="shared" si="6096"/>
        <v>0</v>
      </c>
      <c r="EW213" s="108"/>
      <c r="EX213" s="73"/>
      <c r="EY213" s="72">
        <f t="shared" si="6097"/>
        <v>0</v>
      </c>
      <c r="EZ213" s="108"/>
      <c r="FA213" s="73"/>
      <c r="FB213" s="72">
        <f t="shared" si="6098"/>
        <v>0</v>
      </c>
      <c r="FC213" s="108"/>
      <c r="FD213" s="73"/>
      <c r="FE213" s="72">
        <f t="shared" si="6099"/>
        <v>0</v>
      </c>
      <c r="FF213" s="108"/>
      <c r="FG213" s="73"/>
      <c r="FH213" s="72">
        <f t="shared" si="6100"/>
        <v>0</v>
      </c>
      <c r="FI213" s="108"/>
      <c r="FJ213" s="73"/>
      <c r="FK213" s="72">
        <f t="shared" si="6101"/>
        <v>0</v>
      </c>
      <c r="FL213" s="108"/>
      <c r="FM213" s="73"/>
      <c r="FN213" s="72">
        <f t="shared" si="6102"/>
        <v>0</v>
      </c>
      <c r="FO213" s="108"/>
      <c r="FP213" s="73"/>
      <c r="FQ213" s="72">
        <f t="shared" si="6103"/>
        <v>0</v>
      </c>
      <c r="FR213" s="108"/>
      <c r="FS213" s="73"/>
      <c r="FT213" s="72">
        <f t="shared" si="6104"/>
        <v>0</v>
      </c>
      <c r="FU213" s="108"/>
      <c r="FV213" s="73"/>
      <c r="FW213" s="72">
        <f t="shared" si="6105"/>
        <v>0</v>
      </c>
      <c r="FX213" s="108"/>
      <c r="FY213" s="73"/>
      <c r="FZ213" s="72">
        <f t="shared" si="6106"/>
        <v>0</v>
      </c>
      <c r="GA213" s="108"/>
      <c r="GB213" s="73"/>
      <c r="GC213" s="72">
        <f t="shared" si="6107"/>
        <v>0</v>
      </c>
      <c r="GD213" s="108"/>
      <c r="GE213" s="73"/>
      <c r="GF213" s="72">
        <f t="shared" si="6108"/>
        <v>0</v>
      </c>
      <c r="GG213" s="108"/>
      <c r="GH213" s="73"/>
      <c r="GI213" s="72">
        <f t="shared" si="6109"/>
        <v>0</v>
      </c>
      <c r="GJ213" s="108"/>
      <c r="GK213" s="73"/>
      <c r="GL213" s="72">
        <f t="shared" si="6110"/>
        <v>0</v>
      </c>
      <c r="GM213" s="108"/>
      <c r="GN213" s="73"/>
      <c r="GO213" s="72">
        <f t="shared" si="6111"/>
        <v>0</v>
      </c>
      <c r="GP213" s="108"/>
      <c r="GQ213" s="73"/>
      <c r="GR213" s="72">
        <f t="shared" si="6112"/>
        <v>0</v>
      </c>
      <c r="GS213" s="108"/>
      <c r="GT213" s="73"/>
      <c r="GU213" s="72">
        <f t="shared" si="6113"/>
        <v>0</v>
      </c>
      <c r="GV213" s="108"/>
      <c r="GW213" s="73"/>
      <c r="GX213" s="72">
        <f t="shared" si="6114"/>
        <v>0</v>
      </c>
      <c r="GY213" s="108"/>
      <c r="GZ213" s="73"/>
      <c r="HA213" s="72">
        <f t="shared" si="6115"/>
        <v>0</v>
      </c>
      <c r="HB213" s="108"/>
      <c r="HC213" s="73"/>
      <c r="HD213" s="72">
        <f t="shared" si="6116"/>
        <v>0</v>
      </c>
      <c r="HE213" s="108"/>
      <c r="HF213" s="73"/>
      <c r="HG213" s="72">
        <f t="shared" si="6117"/>
        <v>0</v>
      </c>
      <c r="HH213" s="108"/>
      <c r="HI213" s="73"/>
      <c r="HJ213" s="72">
        <f t="shared" si="6118"/>
        <v>0</v>
      </c>
      <c r="HK213" s="108"/>
      <c r="HL213" s="73"/>
      <c r="HM213" s="72">
        <f t="shared" si="6119"/>
        <v>0</v>
      </c>
      <c r="HN213" s="108"/>
      <c r="HO213" s="73"/>
      <c r="HP213" s="72">
        <f t="shared" si="6120"/>
        <v>0</v>
      </c>
      <c r="HQ213" s="108"/>
      <c r="HR213" s="73"/>
      <c r="HS213" s="72">
        <f t="shared" si="6121"/>
        <v>0</v>
      </c>
      <c r="HT213" s="108"/>
      <c r="HU213" s="73"/>
      <c r="HV213" s="72">
        <f t="shared" si="6122"/>
        <v>0</v>
      </c>
      <c r="HW213" s="108"/>
      <c r="HX213" s="73"/>
      <c r="HY213" s="72">
        <f t="shared" si="6123"/>
        <v>0</v>
      </c>
      <c r="HZ213" s="108"/>
      <c r="IA213" s="73"/>
      <c r="IB213" s="72">
        <f t="shared" si="6124"/>
        <v>0</v>
      </c>
      <c r="IC213" s="108"/>
      <c r="ID213" s="73"/>
      <c r="IE213" s="72">
        <f t="shared" si="6125"/>
        <v>0</v>
      </c>
      <c r="IF213" s="108"/>
      <c r="IG213" s="73"/>
      <c r="IH213" s="72">
        <f t="shared" si="6126"/>
        <v>0</v>
      </c>
      <c r="II213" s="108"/>
      <c r="IJ213" s="73"/>
      <c r="IK213" s="72">
        <f t="shared" si="6127"/>
        <v>0</v>
      </c>
      <c r="IL213" s="108"/>
      <c r="IM213" s="73"/>
      <c r="IN213" s="72">
        <f t="shared" si="6128"/>
        <v>0</v>
      </c>
      <c r="IO213" s="108"/>
      <c r="IP213" s="73"/>
      <c r="IQ213" s="72">
        <f t="shared" si="6129"/>
        <v>0</v>
      </c>
      <c r="IR213" s="108"/>
      <c r="IS213" s="73"/>
      <c r="IT213" s="72">
        <f t="shared" si="6130"/>
        <v>0</v>
      </c>
      <c r="IU213" s="108"/>
      <c r="IV213" s="73"/>
      <c r="IW213" s="72">
        <f t="shared" si="6131"/>
        <v>0</v>
      </c>
      <c r="IX213" s="108"/>
      <c r="IY213" s="73"/>
      <c r="IZ213" s="72">
        <f t="shared" si="6132"/>
        <v>0</v>
      </c>
      <c r="JA213" s="108"/>
      <c r="JB213" s="73"/>
      <c r="JC213" s="72">
        <f t="shared" si="6133"/>
        <v>0</v>
      </c>
      <c r="JD213" s="108"/>
      <c r="JE213" s="73"/>
      <c r="JF213" s="72">
        <f t="shared" si="6134"/>
        <v>0</v>
      </c>
      <c r="JG213" s="108"/>
      <c r="JH213" s="73"/>
      <c r="JI213" s="72">
        <f t="shared" si="6135"/>
        <v>0</v>
      </c>
      <c r="JJ213" s="108"/>
      <c r="JK213" s="73"/>
      <c r="JL213" s="72">
        <f t="shared" si="6136"/>
        <v>0</v>
      </c>
      <c r="JM213" s="108"/>
      <c r="JN213" s="73"/>
      <c r="JO213" s="72">
        <f t="shared" si="6137"/>
        <v>0</v>
      </c>
      <c r="JP213" s="108"/>
      <c r="JQ213" s="73"/>
      <c r="JR213" s="72">
        <f t="shared" si="6138"/>
        <v>0</v>
      </c>
      <c r="JS213" s="108"/>
      <c r="JT213" s="73"/>
      <c r="JU213" s="72">
        <f t="shared" si="6139"/>
        <v>0</v>
      </c>
      <c r="JV213" s="108"/>
      <c r="JW213" s="73"/>
      <c r="JX213" s="72">
        <f t="shared" si="6140"/>
        <v>0</v>
      </c>
      <c r="JY213" s="108"/>
      <c r="JZ213" s="73"/>
      <c r="KA213" s="72">
        <f t="shared" si="6141"/>
        <v>0</v>
      </c>
      <c r="KB213" s="108"/>
      <c r="KC213" s="73"/>
      <c r="KD213" s="72">
        <f t="shared" si="6142"/>
        <v>0</v>
      </c>
      <c r="KE213" s="108"/>
      <c r="KF213" s="73"/>
      <c r="KG213" s="72">
        <f t="shared" si="6143"/>
        <v>0</v>
      </c>
      <c r="KH213" s="108"/>
      <c r="KI213" s="73"/>
      <c r="KJ213" s="72">
        <f t="shared" si="6144"/>
        <v>0</v>
      </c>
      <c r="KK213" s="108"/>
      <c r="KL213" s="73"/>
      <c r="KM213" s="72">
        <f t="shared" si="6145"/>
        <v>0</v>
      </c>
      <c r="KN213" s="108"/>
      <c r="KO213" s="73"/>
      <c r="KP213" s="72">
        <f t="shared" si="6146"/>
        <v>0</v>
      </c>
      <c r="KQ213" s="108"/>
      <c r="KR213" s="73"/>
      <c r="KS213" s="72">
        <f t="shared" si="6147"/>
        <v>0</v>
      </c>
      <c r="KT213" s="108"/>
      <c r="KU213" s="73"/>
      <c r="KV213" s="72">
        <f t="shared" si="6148"/>
        <v>0</v>
      </c>
      <c r="KW213" s="108"/>
      <c r="KX213" s="73"/>
      <c r="KY213" s="72">
        <f t="shared" si="6149"/>
        <v>0</v>
      </c>
      <c r="KZ213" s="108"/>
      <c r="LA213" s="73"/>
      <c r="LB213" s="72">
        <f t="shared" si="6150"/>
        <v>0</v>
      </c>
      <c r="LC213" s="108"/>
      <c r="LD213" s="73"/>
      <c r="LE213" s="72">
        <f t="shared" si="6151"/>
        <v>0</v>
      </c>
      <c r="LF213" s="108"/>
    </row>
    <row r="214" spans="1:318" s="784" customFormat="1">
      <c r="A214" s="25"/>
      <c r="B214" s="25"/>
      <c r="C214" s="88"/>
      <c r="D214" s="25"/>
      <c r="E214" s="25"/>
      <c r="F214" s="406">
        <f t="shared" si="6152"/>
        <v>40</v>
      </c>
      <c r="G214" s="406">
        <f ca="1">VLOOKUP(H214,Equipos!$Q$1:$R$25,2,0)</f>
        <v>21</v>
      </c>
      <c r="H214" s="64" t="str">
        <f>Idiomas!$D$261</f>
        <v>Octavos de final</v>
      </c>
      <c r="I214" s="50"/>
      <c r="J214" s="843"/>
      <c r="K214" s="56" t="str">
        <f>Idiomas!$D$200&amp;"-"&amp;ROWS($L$210:L214)</f>
        <v>Cuartofinalista-5</v>
      </c>
      <c r="L214" s="53"/>
      <c r="M214" s="55" t="str">
        <f>WORLDCUP!AF131</f>
        <v>W90</v>
      </c>
      <c r="N214" s="25"/>
      <c r="O214" s="25"/>
      <c r="P214" s="25"/>
      <c r="Q214" s="25"/>
      <c r="R214" s="108"/>
      <c r="S214" s="796" t="s">
        <v>111</v>
      </c>
      <c r="T214" s="72">
        <f t="shared" si="6052"/>
        <v>0</v>
      </c>
      <c r="U214" s="108"/>
      <c r="V214" s="73" t="s">
        <v>111</v>
      </c>
      <c r="W214" s="72">
        <f t="shared" si="6053"/>
        <v>0</v>
      </c>
      <c r="X214" s="108"/>
      <c r="Y214" s="796" t="s">
        <v>1258</v>
      </c>
      <c r="Z214" s="72">
        <f t="shared" si="6054"/>
        <v>0</v>
      </c>
      <c r="AA214" s="108"/>
      <c r="AB214" s="796" t="s">
        <v>111</v>
      </c>
      <c r="AC214" s="72">
        <f t="shared" si="6055"/>
        <v>0</v>
      </c>
      <c r="AD214" s="108"/>
      <c r="AE214" s="796" t="s">
        <v>111</v>
      </c>
      <c r="AF214" s="72">
        <f t="shared" si="6056"/>
        <v>0</v>
      </c>
      <c r="AG214" s="108"/>
      <c r="AH214" s="796" t="s">
        <v>111</v>
      </c>
      <c r="AI214" s="72">
        <f t="shared" si="6057"/>
        <v>0</v>
      </c>
      <c r="AJ214" s="108"/>
      <c r="AK214" s="806" t="s">
        <v>1321</v>
      </c>
      <c r="AL214" s="72">
        <f t="shared" si="6058"/>
        <v>0</v>
      </c>
      <c r="AM214" s="108"/>
      <c r="AN214" s="796" t="s">
        <v>111</v>
      </c>
      <c r="AO214" s="72">
        <f t="shared" si="6059"/>
        <v>0</v>
      </c>
      <c r="AP214" s="108"/>
      <c r="AQ214" s="806" t="s">
        <v>1321</v>
      </c>
      <c r="AR214" s="72">
        <f t="shared" si="6060"/>
        <v>0</v>
      </c>
      <c r="AS214" s="108"/>
      <c r="AT214" s="796" t="s">
        <v>111</v>
      </c>
      <c r="AU214" s="72">
        <f t="shared" si="6061"/>
        <v>0</v>
      </c>
      <c r="AV214" s="108"/>
      <c r="AW214" s="796" t="s">
        <v>111</v>
      </c>
      <c r="AX214" s="72">
        <f t="shared" si="6062"/>
        <v>0</v>
      </c>
      <c r="AY214" s="108"/>
      <c r="AZ214" s="796" t="s">
        <v>1841</v>
      </c>
      <c r="BA214" s="72">
        <f t="shared" si="6063"/>
        <v>0</v>
      </c>
      <c r="BB214" s="108"/>
      <c r="BC214" s="796" t="s">
        <v>111</v>
      </c>
      <c r="BD214" s="72">
        <f t="shared" si="6064"/>
        <v>0</v>
      </c>
      <c r="BE214" s="108"/>
      <c r="BF214" s="796" t="s">
        <v>111</v>
      </c>
      <c r="BG214" s="72">
        <f t="shared" si="6065"/>
        <v>0</v>
      </c>
      <c r="BH214" s="108"/>
      <c r="BI214" s="796" t="s">
        <v>1321</v>
      </c>
      <c r="BJ214" s="72">
        <f t="shared" si="6066"/>
        <v>0</v>
      </c>
      <c r="BK214" s="108"/>
      <c r="BL214" s="796" t="s">
        <v>111</v>
      </c>
      <c r="BM214" s="72">
        <f t="shared" si="6067"/>
        <v>0</v>
      </c>
      <c r="BN214" s="108"/>
      <c r="BO214" s="816" t="s">
        <v>1321</v>
      </c>
      <c r="BP214" s="72">
        <f t="shared" si="6068"/>
        <v>0</v>
      </c>
      <c r="BQ214" s="108"/>
      <c r="BR214" s="796" t="s">
        <v>111</v>
      </c>
      <c r="BS214" s="72">
        <f t="shared" si="6069"/>
        <v>0</v>
      </c>
      <c r="BT214" s="108"/>
      <c r="BU214" s="796" t="s">
        <v>1263</v>
      </c>
      <c r="BV214" s="72">
        <f t="shared" si="6070"/>
        <v>0</v>
      </c>
      <c r="BW214" s="108"/>
      <c r="BX214" s="73" t="s">
        <v>1321</v>
      </c>
      <c r="BY214" s="72">
        <f t="shared" si="6071"/>
        <v>0</v>
      </c>
      <c r="BZ214" s="108"/>
      <c r="CA214" s="816" t="s">
        <v>111</v>
      </c>
      <c r="CB214" s="72">
        <f t="shared" si="6072"/>
        <v>0</v>
      </c>
      <c r="CC214" s="108"/>
      <c r="CD214" s="825" t="s">
        <v>111</v>
      </c>
      <c r="CE214" s="72">
        <f t="shared" si="6073"/>
        <v>0</v>
      </c>
      <c r="CF214" s="108"/>
      <c r="CG214" s="796" t="s">
        <v>1321</v>
      </c>
      <c r="CH214" s="72">
        <f t="shared" si="6074"/>
        <v>0</v>
      </c>
      <c r="CI214" s="108"/>
      <c r="CJ214" s="796" t="s">
        <v>1321</v>
      </c>
      <c r="CK214" s="72">
        <f t="shared" si="6075"/>
        <v>0</v>
      </c>
      <c r="CL214" s="108"/>
      <c r="CM214" s="796" t="s">
        <v>1258</v>
      </c>
      <c r="CN214" s="72">
        <f t="shared" si="6076"/>
        <v>0</v>
      </c>
      <c r="CO214" s="108"/>
      <c r="CP214" s="796" t="s">
        <v>1263</v>
      </c>
      <c r="CQ214" s="72">
        <f t="shared" si="6077"/>
        <v>0</v>
      </c>
      <c r="CR214" s="108"/>
      <c r="CS214" s="796" t="s">
        <v>1263</v>
      </c>
      <c r="CT214" s="72">
        <f t="shared" si="6078"/>
        <v>0</v>
      </c>
      <c r="CU214" s="108"/>
      <c r="CV214" s="796" t="s">
        <v>1263</v>
      </c>
      <c r="CW214" s="72">
        <f t="shared" si="6079"/>
        <v>0</v>
      </c>
      <c r="CX214" s="108"/>
      <c r="CY214" s="796" t="s">
        <v>111</v>
      </c>
      <c r="CZ214" s="72">
        <f t="shared" si="6080"/>
        <v>0</v>
      </c>
      <c r="DA214" s="108"/>
      <c r="DB214" s="796" t="s">
        <v>1321</v>
      </c>
      <c r="DC214" s="72">
        <f t="shared" si="6081"/>
        <v>0</v>
      </c>
      <c r="DD214" s="108"/>
      <c r="DE214" s="796" t="s">
        <v>1263</v>
      </c>
      <c r="DF214" s="72">
        <f t="shared" si="6082"/>
        <v>0</v>
      </c>
      <c r="DG214" s="108"/>
      <c r="DH214" s="796" t="s">
        <v>1258</v>
      </c>
      <c r="DI214" s="72">
        <f t="shared" si="6083"/>
        <v>0</v>
      </c>
      <c r="DJ214" s="108"/>
      <c r="DK214" s="796" t="s">
        <v>1321</v>
      </c>
      <c r="DL214" s="72">
        <f t="shared" si="6084"/>
        <v>0</v>
      </c>
      <c r="DM214" s="108"/>
      <c r="DN214" s="73"/>
      <c r="DO214" s="72">
        <f t="shared" si="6085"/>
        <v>0</v>
      </c>
      <c r="DP214" s="108"/>
      <c r="DQ214" s="796" t="s">
        <v>111</v>
      </c>
      <c r="DR214" s="72">
        <f t="shared" si="6086"/>
        <v>0</v>
      </c>
      <c r="DS214" s="108"/>
      <c r="DT214" s="73" t="s">
        <v>111</v>
      </c>
      <c r="DU214" s="72">
        <f t="shared" si="6087"/>
        <v>0</v>
      </c>
      <c r="DV214" s="108"/>
      <c r="DW214" s="73"/>
      <c r="DX214" s="72">
        <f t="shared" si="6088"/>
        <v>0</v>
      </c>
      <c r="DY214" s="108"/>
      <c r="DZ214" s="73"/>
      <c r="EA214" s="72">
        <f t="shared" si="6089"/>
        <v>0</v>
      </c>
      <c r="EB214" s="108"/>
      <c r="EC214" s="73"/>
      <c r="ED214" s="72">
        <f t="shared" si="6090"/>
        <v>0</v>
      </c>
      <c r="EE214" s="108"/>
      <c r="EF214" s="73"/>
      <c r="EG214" s="72">
        <f t="shared" si="6091"/>
        <v>0</v>
      </c>
      <c r="EH214" s="108"/>
      <c r="EI214" s="73"/>
      <c r="EJ214" s="72">
        <f t="shared" si="6092"/>
        <v>0</v>
      </c>
      <c r="EK214" s="108"/>
      <c r="EL214" s="73"/>
      <c r="EM214" s="72">
        <f t="shared" si="6093"/>
        <v>0</v>
      </c>
      <c r="EN214" s="108"/>
      <c r="EO214" s="73"/>
      <c r="EP214" s="72">
        <f t="shared" si="6094"/>
        <v>0</v>
      </c>
      <c r="EQ214" s="108"/>
      <c r="ER214" s="73"/>
      <c r="ES214" s="72">
        <f t="shared" si="6095"/>
        <v>0</v>
      </c>
      <c r="ET214" s="108"/>
      <c r="EU214" s="73"/>
      <c r="EV214" s="72">
        <f t="shared" si="6096"/>
        <v>0</v>
      </c>
      <c r="EW214" s="108"/>
      <c r="EX214" s="73"/>
      <c r="EY214" s="72">
        <f t="shared" si="6097"/>
        <v>0</v>
      </c>
      <c r="EZ214" s="108"/>
      <c r="FA214" s="73"/>
      <c r="FB214" s="72">
        <f t="shared" si="6098"/>
        <v>0</v>
      </c>
      <c r="FC214" s="108"/>
      <c r="FD214" s="73"/>
      <c r="FE214" s="72">
        <f t="shared" si="6099"/>
        <v>0</v>
      </c>
      <c r="FF214" s="108"/>
      <c r="FG214" s="73"/>
      <c r="FH214" s="72">
        <f t="shared" si="6100"/>
        <v>0</v>
      </c>
      <c r="FI214" s="108"/>
      <c r="FJ214" s="73"/>
      <c r="FK214" s="72">
        <f t="shared" si="6101"/>
        <v>0</v>
      </c>
      <c r="FL214" s="108"/>
      <c r="FM214" s="73"/>
      <c r="FN214" s="72">
        <f t="shared" si="6102"/>
        <v>0</v>
      </c>
      <c r="FO214" s="108"/>
      <c r="FP214" s="73"/>
      <c r="FQ214" s="72">
        <f t="shared" si="6103"/>
        <v>0</v>
      </c>
      <c r="FR214" s="108"/>
      <c r="FS214" s="73"/>
      <c r="FT214" s="72">
        <f t="shared" si="6104"/>
        <v>0</v>
      </c>
      <c r="FU214" s="108"/>
      <c r="FV214" s="73"/>
      <c r="FW214" s="72">
        <f t="shared" si="6105"/>
        <v>0</v>
      </c>
      <c r="FX214" s="108"/>
      <c r="FY214" s="73"/>
      <c r="FZ214" s="72">
        <f t="shared" si="6106"/>
        <v>0</v>
      </c>
      <c r="GA214" s="108"/>
      <c r="GB214" s="73"/>
      <c r="GC214" s="72">
        <f t="shared" si="6107"/>
        <v>0</v>
      </c>
      <c r="GD214" s="108"/>
      <c r="GE214" s="73"/>
      <c r="GF214" s="72">
        <f t="shared" si="6108"/>
        <v>0</v>
      </c>
      <c r="GG214" s="108"/>
      <c r="GH214" s="73"/>
      <c r="GI214" s="72">
        <f t="shared" si="6109"/>
        <v>0</v>
      </c>
      <c r="GJ214" s="108"/>
      <c r="GK214" s="73"/>
      <c r="GL214" s="72">
        <f t="shared" si="6110"/>
        <v>0</v>
      </c>
      <c r="GM214" s="108"/>
      <c r="GN214" s="73"/>
      <c r="GO214" s="72">
        <f t="shared" si="6111"/>
        <v>0</v>
      </c>
      <c r="GP214" s="108"/>
      <c r="GQ214" s="73"/>
      <c r="GR214" s="72">
        <f t="shared" si="6112"/>
        <v>0</v>
      </c>
      <c r="GS214" s="108"/>
      <c r="GT214" s="73"/>
      <c r="GU214" s="72">
        <f t="shared" si="6113"/>
        <v>0</v>
      </c>
      <c r="GV214" s="108"/>
      <c r="GW214" s="73"/>
      <c r="GX214" s="72">
        <f t="shared" si="6114"/>
        <v>0</v>
      </c>
      <c r="GY214" s="108"/>
      <c r="GZ214" s="73"/>
      <c r="HA214" s="72">
        <f t="shared" si="6115"/>
        <v>0</v>
      </c>
      <c r="HB214" s="108"/>
      <c r="HC214" s="73"/>
      <c r="HD214" s="72">
        <f t="shared" si="6116"/>
        <v>0</v>
      </c>
      <c r="HE214" s="108"/>
      <c r="HF214" s="73"/>
      <c r="HG214" s="72">
        <f t="shared" si="6117"/>
        <v>0</v>
      </c>
      <c r="HH214" s="108"/>
      <c r="HI214" s="73"/>
      <c r="HJ214" s="72">
        <f t="shared" si="6118"/>
        <v>0</v>
      </c>
      <c r="HK214" s="108"/>
      <c r="HL214" s="73"/>
      <c r="HM214" s="72">
        <f t="shared" si="6119"/>
        <v>0</v>
      </c>
      <c r="HN214" s="108"/>
      <c r="HO214" s="73"/>
      <c r="HP214" s="72">
        <f t="shared" si="6120"/>
        <v>0</v>
      </c>
      <c r="HQ214" s="108"/>
      <c r="HR214" s="73"/>
      <c r="HS214" s="72">
        <f t="shared" si="6121"/>
        <v>0</v>
      </c>
      <c r="HT214" s="108"/>
      <c r="HU214" s="73"/>
      <c r="HV214" s="72">
        <f t="shared" si="6122"/>
        <v>0</v>
      </c>
      <c r="HW214" s="108"/>
      <c r="HX214" s="73"/>
      <c r="HY214" s="72">
        <f t="shared" si="6123"/>
        <v>0</v>
      </c>
      <c r="HZ214" s="108"/>
      <c r="IA214" s="73"/>
      <c r="IB214" s="72">
        <f t="shared" si="6124"/>
        <v>0</v>
      </c>
      <c r="IC214" s="108"/>
      <c r="ID214" s="73"/>
      <c r="IE214" s="72">
        <f t="shared" si="6125"/>
        <v>0</v>
      </c>
      <c r="IF214" s="108"/>
      <c r="IG214" s="73"/>
      <c r="IH214" s="72">
        <f t="shared" si="6126"/>
        <v>0</v>
      </c>
      <c r="II214" s="108"/>
      <c r="IJ214" s="73"/>
      <c r="IK214" s="72">
        <f t="shared" si="6127"/>
        <v>0</v>
      </c>
      <c r="IL214" s="108"/>
      <c r="IM214" s="73"/>
      <c r="IN214" s="72">
        <f t="shared" si="6128"/>
        <v>0</v>
      </c>
      <c r="IO214" s="108"/>
      <c r="IP214" s="73"/>
      <c r="IQ214" s="72">
        <f t="shared" si="6129"/>
        <v>0</v>
      </c>
      <c r="IR214" s="108"/>
      <c r="IS214" s="73"/>
      <c r="IT214" s="72">
        <f t="shared" si="6130"/>
        <v>0</v>
      </c>
      <c r="IU214" s="108"/>
      <c r="IV214" s="73"/>
      <c r="IW214" s="72">
        <f t="shared" si="6131"/>
        <v>0</v>
      </c>
      <c r="IX214" s="108"/>
      <c r="IY214" s="73"/>
      <c r="IZ214" s="72">
        <f t="shared" si="6132"/>
        <v>0</v>
      </c>
      <c r="JA214" s="108"/>
      <c r="JB214" s="73"/>
      <c r="JC214" s="72">
        <f t="shared" si="6133"/>
        <v>0</v>
      </c>
      <c r="JD214" s="108"/>
      <c r="JE214" s="73"/>
      <c r="JF214" s="72">
        <f t="shared" si="6134"/>
        <v>0</v>
      </c>
      <c r="JG214" s="108"/>
      <c r="JH214" s="73"/>
      <c r="JI214" s="72">
        <f t="shared" si="6135"/>
        <v>0</v>
      </c>
      <c r="JJ214" s="108"/>
      <c r="JK214" s="73"/>
      <c r="JL214" s="72">
        <f t="shared" si="6136"/>
        <v>0</v>
      </c>
      <c r="JM214" s="108"/>
      <c r="JN214" s="73"/>
      <c r="JO214" s="72">
        <f t="shared" si="6137"/>
        <v>0</v>
      </c>
      <c r="JP214" s="108"/>
      <c r="JQ214" s="73"/>
      <c r="JR214" s="72">
        <f t="shared" si="6138"/>
        <v>0</v>
      </c>
      <c r="JS214" s="108"/>
      <c r="JT214" s="73"/>
      <c r="JU214" s="72">
        <f t="shared" si="6139"/>
        <v>0</v>
      </c>
      <c r="JV214" s="108"/>
      <c r="JW214" s="73"/>
      <c r="JX214" s="72">
        <f t="shared" si="6140"/>
        <v>0</v>
      </c>
      <c r="JY214" s="108"/>
      <c r="JZ214" s="73"/>
      <c r="KA214" s="72">
        <f t="shared" si="6141"/>
        <v>0</v>
      </c>
      <c r="KB214" s="108"/>
      <c r="KC214" s="73"/>
      <c r="KD214" s="72">
        <f t="shared" si="6142"/>
        <v>0</v>
      </c>
      <c r="KE214" s="108"/>
      <c r="KF214" s="73"/>
      <c r="KG214" s="72">
        <f t="shared" si="6143"/>
        <v>0</v>
      </c>
      <c r="KH214" s="108"/>
      <c r="KI214" s="73"/>
      <c r="KJ214" s="72">
        <f t="shared" si="6144"/>
        <v>0</v>
      </c>
      <c r="KK214" s="108"/>
      <c r="KL214" s="73"/>
      <c r="KM214" s="72">
        <f t="shared" si="6145"/>
        <v>0</v>
      </c>
      <c r="KN214" s="108"/>
      <c r="KO214" s="73"/>
      <c r="KP214" s="72">
        <f t="shared" si="6146"/>
        <v>0</v>
      </c>
      <c r="KQ214" s="108"/>
      <c r="KR214" s="73"/>
      <c r="KS214" s="72">
        <f t="shared" si="6147"/>
        <v>0</v>
      </c>
      <c r="KT214" s="108"/>
      <c r="KU214" s="73"/>
      <c r="KV214" s="72">
        <f t="shared" si="6148"/>
        <v>0</v>
      </c>
      <c r="KW214" s="108"/>
      <c r="KX214" s="73"/>
      <c r="KY214" s="72">
        <f t="shared" si="6149"/>
        <v>0</v>
      </c>
      <c r="KZ214" s="108"/>
      <c r="LA214" s="73"/>
      <c r="LB214" s="72">
        <f t="shared" si="6150"/>
        <v>0</v>
      </c>
      <c r="LC214" s="108"/>
      <c r="LD214" s="73"/>
      <c r="LE214" s="72">
        <f t="shared" si="6151"/>
        <v>0</v>
      </c>
      <c r="LF214" s="108"/>
    </row>
    <row r="215" spans="1:318" s="784" customFormat="1">
      <c r="A215" s="25"/>
      <c r="B215" s="25"/>
      <c r="C215" s="88"/>
      <c r="D215" s="25"/>
      <c r="E215" s="25"/>
      <c r="F215" s="406">
        <f t="shared" si="6152"/>
        <v>40</v>
      </c>
      <c r="G215" s="406">
        <f ca="1">VLOOKUP(H215,Equipos!$Q$1:$R$25,2,0)</f>
        <v>21</v>
      </c>
      <c r="H215" s="64" t="str">
        <f>Idiomas!$D$261</f>
        <v>Octavos de final</v>
      </c>
      <c r="I215" s="50"/>
      <c r="J215" s="843"/>
      <c r="K215" s="56" t="str">
        <f>Idiomas!$D$200&amp;"-"&amp;ROWS($L$210:L215)</f>
        <v>Cuartofinalista-6</v>
      </c>
      <c r="L215" s="53"/>
      <c r="M215" s="55" t="str">
        <f>WORLDCUP!AF132</f>
        <v>W94</v>
      </c>
      <c r="N215" s="25"/>
      <c r="O215" s="25"/>
      <c r="P215" s="25"/>
      <c r="Q215" s="25"/>
      <c r="R215" s="108"/>
      <c r="S215" s="796" t="s">
        <v>497</v>
      </c>
      <c r="T215" s="72">
        <f t="shared" si="6052"/>
        <v>0</v>
      </c>
      <c r="U215" s="108"/>
      <c r="V215" s="73" t="s">
        <v>1835</v>
      </c>
      <c r="W215" s="72">
        <f t="shared" si="6053"/>
        <v>0</v>
      </c>
      <c r="X215" s="108"/>
      <c r="Y215" s="796" t="s">
        <v>110</v>
      </c>
      <c r="Z215" s="72">
        <f t="shared" si="6054"/>
        <v>0</v>
      </c>
      <c r="AA215" s="108"/>
      <c r="AB215" s="796" t="s">
        <v>110</v>
      </c>
      <c r="AC215" s="72">
        <f t="shared" si="6055"/>
        <v>0</v>
      </c>
      <c r="AD215" s="108"/>
      <c r="AE215" s="796" t="s">
        <v>110</v>
      </c>
      <c r="AF215" s="72">
        <f t="shared" si="6056"/>
        <v>0</v>
      </c>
      <c r="AG215" s="108"/>
      <c r="AH215" s="796" t="s">
        <v>110</v>
      </c>
      <c r="AI215" s="72">
        <f t="shared" si="6057"/>
        <v>0</v>
      </c>
      <c r="AJ215" s="108"/>
      <c r="AK215" s="806" t="s">
        <v>497</v>
      </c>
      <c r="AL215" s="72">
        <f t="shared" si="6058"/>
        <v>0</v>
      </c>
      <c r="AM215" s="108"/>
      <c r="AN215" s="796" t="s">
        <v>110</v>
      </c>
      <c r="AO215" s="72">
        <f t="shared" si="6059"/>
        <v>0</v>
      </c>
      <c r="AP215" s="108"/>
      <c r="AQ215" s="806" t="s">
        <v>110</v>
      </c>
      <c r="AR215" s="72">
        <f t="shared" si="6060"/>
        <v>0</v>
      </c>
      <c r="AS215" s="108"/>
      <c r="AT215" s="796" t="s">
        <v>110</v>
      </c>
      <c r="AU215" s="72">
        <f t="shared" si="6061"/>
        <v>0</v>
      </c>
      <c r="AV215" s="108"/>
      <c r="AW215" s="796" t="s">
        <v>110</v>
      </c>
      <c r="AX215" s="72">
        <f t="shared" si="6062"/>
        <v>0</v>
      </c>
      <c r="AY215" s="108"/>
      <c r="AZ215" s="796" t="s">
        <v>1262</v>
      </c>
      <c r="BA215" s="72">
        <f t="shared" si="6063"/>
        <v>0</v>
      </c>
      <c r="BB215" s="108"/>
      <c r="BC215" s="796" t="s">
        <v>110</v>
      </c>
      <c r="BD215" s="72">
        <f t="shared" si="6064"/>
        <v>0</v>
      </c>
      <c r="BE215" s="108"/>
      <c r="BF215" s="796" t="s">
        <v>110</v>
      </c>
      <c r="BG215" s="72">
        <f t="shared" si="6065"/>
        <v>0</v>
      </c>
      <c r="BH215" s="108"/>
      <c r="BI215" s="796" t="s">
        <v>110</v>
      </c>
      <c r="BJ215" s="72">
        <f t="shared" si="6066"/>
        <v>0</v>
      </c>
      <c r="BK215" s="108"/>
      <c r="BL215" s="796" t="s">
        <v>110</v>
      </c>
      <c r="BM215" s="72">
        <f t="shared" si="6067"/>
        <v>0</v>
      </c>
      <c r="BN215" s="108"/>
      <c r="BO215" s="816" t="s">
        <v>1835</v>
      </c>
      <c r="BP215" s="72">
        <f t="shared" si="6068"/>
        <v>0</v>
      </c>
      <c r="BQ215" s="108"/>
      <c r="BR215" s="796" t="s">
        <v>110</v>
      </c>
      <c r="BS215" s="72">
        <f t="shared" si="6069"/>
        <v>0</v>
      </c>
      <c r="BT215" s="108"/>
      <c r="BU215" s="796" t="s">
        <v>110</v>
      </c>
      <c r="BV215" s="72">
        <f t="shared" si="6070"/>
        <v>0</v>
      </c>
      <c r="BW215" s="108"/>
      <c r="BX215" s="73" t="s">
        <v>1550</v>
      </c>
      <c r="BY215" s="72">
        <f t="shared" si="6071"/>
        <v>0</v>
      </c>
      <c r="BZ215" s="108"/>
      <c r="CA215" s="816" t="s">
        <v>1835</v>
      </c>
      <c r="CB215" s="72">
        <f t="shared" si="6072"/>
        <v>0</v>
      </c>
      <c r="CC215" s="108"/>
      <c r="CD215" s="825" t="s">
        <v>110</v>
      </c>
      <c r="CE215" s="72">
        <f t="shared" si="6073"/>
        <v>0</v>
      </c>
      <c r="CF215" s="108"/>
      <c r="CG215" s="796" t="s">
        <v>110</v>
      </c>
      <c r="CH215" s="72">
        <f t="shared" si="6074"/>
        <v>0</v>
      </c>
      <c r="CI215" s="108"/>
      <c r="CJ215" s="796" t="s">
        <v>110</v>
      </c>
      <c r="CK215" s="72">
        <f t="shared" si="6075"/>
        <v>0</v>
      </c>
      <c r="CL215" s="108"/>
      <c r="CM215" s="796" t="s">
        <v>110</v>
      </c>
      <c r="CN215" s="72">
        <f t="shared" si="6076"/>
        <v>0</v>
      </c>
      <c r="CO215" s="108"/>
      <c r="CP215" s="796" t="s">
        <v>110</v>
      </c>
      <c r="CQ215" s="72">
        <f t="shared" si="6077"/>
        <v>0</v>
      </c>
      <c r="CR215" s="108"/>
      <c r="CS215" s="796" t="s">
        <v>110</v>
      </c>
      <c r="CT215" s="72">
        <f t="shared" si="6078"/>
        <v>0</v>
      </c>
      <c r="CU215" s="108"/>
      <c r="CV215" s="796" t="s">
        <v>1835</v>
      </c>
      <c r="CW215" s="72">
        <f t="shared" si="6079"/>
        <v>0</v>
      </c>
      <c r="CX215" s="108"/>
      <c r="CY215" s="796" t="s">
        <v>110</v>
      </c>
      <c r="CZ215" s="72">
        <f t="shared" si="6080"/>
        <v>0</v>
      </c>
      <c r="DA215" s="108"/>
      <c r="DB215" s="796" t="s">
        <v>110</v>
      </c>
      <c r="DC215" s="72">
        <f t="shared" si="6081"/>
        <v>0</v>
      </c>
      <c r="DD215" s="108"/>
      <c r="DE215" s="796" t="s">
        <v>110</v>
      </c>
      <c r="DF215" s="72">
        <f t="shared" si="6082"/>
        <v>0</v>
      </c>
      <c r="DG215" s="108"/>
      <c r="DH215" s="796" t="s">
        <v>110</v>
      </c>
      <c r="DI215" s="72">
        <f t="shared" si="6083"/>
        <v>0</v>
      </c>
      <c r="DJ215" s="108"/>
      <c r="DK215" s="796" t="s">
        <v>110</v>
      </c>
      <c r="DL215" s="72">
        <f t="shared" si="6084"/>
        <v>0</v>
      </c>
      <c r="DM215" s="108"/>
      <c r="DN215" s="73"/>
      <c r="DO215" s="72">
        <f t="shared" si="6085"/>
        <v>0</v>
      </c>
      <c r="DP215" s="108"/>
      <c r="DQ215" s="796" t="s">
        <v>110</v>
      </c>
      <c r="DR215" s="72">
        <f t="shared" si="6086"/>
        <v>0</v>
      </c>
      <c r="DS215" s="108"/>
      <c r="DT215" s="73" t="s">
        <v>110</v>
      </c>
      <c r="DU215" s="72">
        <f t="shared" si="6087"/>
        <v>0</v>
      </c>
      <c r="DV215" s="108"/>
      <c r="DW215" s="73"/>
      <c r="DX215" s="72">
        <f t="shared" si="6088"/>
        <v>0</v>
      </c>
      <c r="DY215" s="108"/>
      <c r="DZ215" s="73"/>
      <c r="EA215" s="72">
        <f t="shared" si="6089"/>
        <v>0</v>
      </c>
      <c r="EB215" s="108"/>
      <c r="EC215" s="73"/>
      <c r="ED215" s="72">
        <f t="shared" si="6090"/>
        <v>0</v>
      </c>
      <c r="EE215" s="108"/>
      <c r="EF215" s="73"/>
      <c r="EG215" s="72">
        <f t="shared" si="6091"/>
        <v>0</v>
      </c>
      <c r="EH215" s="108"/>
      <c r="EI215" s="73"/>
      <c r="EJ215" s="72">
        <f t="shared" si="6092"/>
        <v>0</v>
      </c>
      <c r="EK215" s="108"/>
      <c r="EL215" s="73"/>
      <c r="EM215" s="72">
        <f t="shared" si="6093"/>
        <v>0</v>
      </c>
      <c r="EN215" s="108"/>
      <c r="EO215" s="73"/>
      <c r="EP215" s="72">
        <f t="shared" si="6094"/>
        <v>0</v>
      </c>
      <c r="EQ215" s="108"/>
      <c r="ER215" s="73"/>
      <c r="ES215" s="72">
        <f t="shared" si="6095"/>
        <v>0</v>
      </c>
      <c r="ET215" s="108"/>
      <c r="EU215" s="73"/>
      <c r="EV215" s="72">
        <f t="shared" si="6096"/>
        <v>0</v>
      </c>
      <c r="EW215" s="108"/>
      <c r="EX215" s="73"/>
      <c r="EY215" s="72">
        <f t="shared" si="6097"/>
        <v>0</v>
      </c>
      <c r="EZ215" s="108"/>
      <c r="FA215" s="73"/>
      <c r="FB215" s="72">
        <f t="shared" si="6098"/>
        <v>0</v>
      </c>
      <c r="FC215" s="108"/>
      <c r="FD215" s="73"/>
      <c r="FE215" s="72">
        <f t="shared" si="6099"/>
        <v>0</v>
      </c>
      <c r="FF215" s="108"/>
      <c r="FG215" s="73"/>
      <c r="FH215" s="72">
        <f t="shared" si="6100"/>
        <v>0</v>
      </c>
      <c r="FI215" s="108"/>
      <c r="FJ215" s="73"/>
      <c r="FK215" s="72">
        <f t="shared" si="6101"/>
        <v>0</v>
      </c>
      <c r="FL215" s="108"/>
      <c r="FM215" s="73"/>
      <c r="FN215" s="72">
        <f t="shared" si="6102"/>
        <v>0</v>
      </c>
      <c r="FO215" s="108"/>
      <c r="FP215" s="73"/>
      <c r="FQ215" s="72">
        <f t="shared" si="6103"/>
        <v>0</v>
      </c>
      <c r="FR215" s="108"/>
      <c r="FS215" s="73"/>
      <c r="FT215" s="72">
        <f t="shared" si="6104"/>
        <v>0</v>
      </c>
      <c r="FU215" s="108"/>
      <c r="FV215" s="73"/>
      <c r="FW215" s="72">
        <f t="shared" si="6105"/>
        <v>0</v>
      </c>
      <c r="FX215" s="108"/>
      <c r="FY215" s="73"/>
      <c r="FZ215" s="72">
        <f t="shared" si="6106"/>
        <v>0</v>
      </c>
      <c r="GA215" s="108"/>
      <c r="GB215" s="73"/>
      <c r="GC215" s="72">
        <f t="shared" si="6107"/>
        <v>0</v>
      </c>
      <c r="GD215" s="108"/>
      <c r="GE215" s="73"/>
      <c r="GF215" s="72">
        <f t="shared" si="6108"/>
        <v>0</v>
      </c>
      <c r="GG215" s="108"/>
      <c r="GH215" s="73"/>
      <c r="GI215" s="72">
        <f t="shared" si="6109"/>
        <v>0</v>
      </c>
      <c r="GJ215" s="108"/>
      <c r="GK215" s="73"/>
      <c r="GL215" s="72">
        <f t="shared" si="6110"/>
        <v>0</v>
      </c>
      <c r="GM215" s="108"/>
      <c r="GN215" s="73"/>
      <c r="GO215" s="72">
        <f t="shared" si="6111"/>
        <v>0</v>
      </c>
      <c r="GP215" s="108"/>
      <c r="GQ215" s="73"/>
      <c r="GR215" s="72">
        <f t="shared" si="6112"/>
        <v>0</v>
      </c>
      <c r="GS215" s="108"/>
      <c r="GT215" s="73"/>
      <c r="GU215" s="72">
        <f t="shared" si="6113"/>
        <v>0</v>
      </c>
      <c r="GV215" s="108"/>
      <c r="GW215" s="73"/>
      <c r="GX215" s="72">
        <f t="shared" si="6114"/>
        <v>0</v>
      </c>
      <c r="GY215" s="108"/>
      <c r="GZ215" s="73"/>
      <c r="HA215" s="72">
        <f t="shared" si="6115"/>
        <v>0</v>
      </c>
      <c r="HB215" s="108"/>
      <c r="HC215" s="73"/>
      <c r="HD215" s="72">
        <f t="shared" si="6116"/>
        <v>0</v>
      </c>
      <c r="HE215" s="108"/>
      <c r="HF215" s="73"/>
      <c r="HG215" s="72">
        <f t="shared" si="6117"/>
        <v>0</v>
      </c>
      <c r="HH215" s="108"/>
      <c r="HI215" s="73"/>
      <c r="HJ215" s="72">
        <f t="shared" si="6118"/>
        <v>0</v>
      </c>
      <c r="HK215" s="108"/>
      <c r="HL215" s="73"/>
      <c r="HM215" s="72">
        <f t="shared" si="6119"/>
        <v>0</v>
      </c>
      <c r="HN215" s="108"/>
      <c r="HO215" s="73"/>
      <c r="HP215" s="72">
        <f t="shared" si="6120"/>
        <v>0</v>
      </c>
      <c r="HQ215" s="108"/>
      <c r="HR215" s="73"/>
      <c r="HS215" s="72">
        <f t="shared" si="6121"/>
        <v>0</v>
      </c>
      <c r="HT215" s="108"/>
      <c r="HU215" s="73"/>
      <c r="HV215" s="72">
        <f t="shared" si="6122"/>
        <v>0</v>
      </c>
      <c r="HW215" s="108"/>
      <c r="HX215" s="73"/>
      <c r="HY215" s="72">
        <f t="shared" si="6123"/>
        <v>0</v>
      </c>
      <c r="HZ215" s="108"/>
      <c r="IA215" s="73"/>
      <c r="IB215" s="72">
        <f t="shared" si="6124"/>
        <v>0</v>
      </c>
      <c r="IC215" s="108"/>
      <c r="ID215" s="73"/>
      <c r="IE215" s="72">
        <f t="shared" si="6125"/>
        <v>0</v>
      </c>
      <c r="IF215" s="108"/>
      <c r="IG215" s="73"/>
      <c r="IH215" s="72">
        <f t="shared" si="6126"/>
        <v>0</v>
      </c>
      <c r="II215" s="108"/>
      <c r="IJ215" s="73"/>
      <c r="IK215" s="72">
        <f t="shared" si="6127"/>
        <v>0</v>
      </c>
      <c r="IL215" s="108"/>
      <c r="IM215" s="73"/>
      <c r="IN215" s="72">
        <f t="shared" si="6128"/>
        <v>0</v>
      </c>
      <c r="IO215" s="108"/>
      <c r="IP215" s="73"/>
      <c r="IQ215" s="72">
        <f t="shared" si="6129"/>
        <v>0</v>
      </c>
      <c r="IR215" s="108"/>
      <c r="IS215" s="73"/>
      <c r="IT215" s="72">
        <f t="shared" si="6130"/>
        <v>0</v>
      </c>
      <c r="IU215" s="108"/>
      <c r="IV215" s="73"/>
      <c r="IW215" s="72">
        <f t="shared" si="6131"/>
        <v>0</v>
      </c>
      <c r="IX215" s="108"/>
      <c r="IY215" s="73"/>
      <c r="IZ215" s="72">
        <f t="shared" si="6132"/>
        <v>0</v>
      </c>
      <c r="JA215" s="108"/>
      <c r="JB215" s="73"/>
      <c r="JC215" s="72">
        <f t="shared" si="6133"/>
        <v>0</v>
      </c>
      <c r="JD215" s="108"/>
      <c r="JE215" s="73"/>
      <c r="JF215" s="72">
        <f t="shared" si="6134"/>
        <v>0</v>
      </c>
      <c r="JG215" s="108"/>
      <c r="JH215" s="73"/>
      <c r="JI215" s="72">
        <f t="shared" si="6135"/>
        <v>0</v>
      </c>
      <c r="JJ215" s="108"/>
      <c r="JK215" s="73"/>
      <c r="JL215" s="72">
        <f t="shared" si="6136"/>
        <v>0</v>
      </c>
      <c r="JM215" s="108"/>
      <c r="JN215" s="73"/>
      <c r="JO215" s="72">
        <f t="shared" si="6137"/>
        <v>0</v>
      </c>
      <c r="JP215" s="108"/>
      <c r="JQ215" s="73"/>
      <c r="JR215" s="72">
        <f t="shared" si="6138"/>
        <v>0</v>
      </c>
      <c r="JS215" s="108"/>
      <c r="JT215" s="73"/>
      <c r="JU215" s="72">
        <f t="shared" si="6139"/>
        <v>0</v>
      </c>
      <c r="JV215" s="108"/>
      <c r="JW215" s="73"/>
      <c r="JX215" s="72">
        <f t="shared" si="6140"/>
        <v>0</v>
      </c>
      <c r="JY215" s="108"/>
      <c r="JZ215" s="73"/>
      <c r="KA215" s="72">
        <f t="shared" si="6141"/>
        <v>0</v>
      </c>
      <c r="KB215" s="108"/>
      <c r="KC215" s="73"/>
      <c r="KD215" s="72">
        <f t="shared" si="6142"/>
        <v>0</v>
      </c>
      <c r="KE215" s="108"/>
      <c r="KF215" s="73"/>
      <c r="KG215" s="72">
        <f t="shared" si="6143"/>
        <v>0</v>
      </c>
      <c r="KH215" s="108"/>
      <c r="KI215" s="73"/>
      <c r="KJ215" s="72">
        <f t="shared" si="6144"/>
        <v>0</v>
      </c>
      <c r="KK215" s="108"/>
      <c r="KL215" s="73"/>
      <c r="KM215" s="72">
        <f t="shared" si="6145"/>
        <v>0</v>
      </c>
      <c r="KN215" s="108"/>
      <c r="KO215" s="73"/>
      <c r="KP215" s="72">
        <f t="shared" si="6146"/>
        <v>0</v>
      </c>
      <c r="KQ215" s="108"/>
      <c r="KR215" s="73"/>
      <c r="KS215" s="72">
        <f t="shared" si="6147"/>
        <v>0</v>
      </c>
      <c r="KT215" s="108"/>
      <c r="KU215" s="73"/>
      <c r="KV215" s="72">
        <f t="shared" si="6148"/>
        <v>0</v>
      </c>
      <c r="KW215" s="108"/>
      <c r="KX215" s="73"/>
      <c r="KY215" s="72">
        <f t="shared" si="6149"/>
        <v>0</v>
      </c>
      <c r="KZ215" s="108"/>
      <c r="LA215" s="73"/>
      <c r="LB215" s="72">
        <f t="shared" si="6150"/>
        <v>0</v>
      </c>
      <c r="LC215" s="108"/>
      <c r="LD215" s="73"/>
      <c r="LE215" s="72">
        <f t="shared" si="6151"/>
        <v>0</v>
      </c>
      <c r="LF215" s="108"/>
    </row>
    <row r="216" spans="1:318" s="784" customFormat="1">
      <c r="A216" s="25"/>
      <c r="B216" s="25"/>
      <c r="C216" s="25"/>
      <c r="D216" s="25"/>
      <c r="E216" s="25"/>
      <c r="F216" s="406">
        <f t="shared" si="6152"/>
        <v>40</v>
      </c>
      <c r="G216" s="406">
        <f ca="1">VLOOKUP(H216,Equipos!$Q$1:$R$25,2,0)</f>
        <v>21</v>
      </c>
      <c r="H216" s="64" t="str">
        <f>Idiomas!$D$261</f>
        <v>Octavos de final</v>
      </c>
      <c r="I216" s="50"/>
      <c r="J216" s="843"/>
      <c r="K216" s="56" t="str">
        <f>Idiomas!$D$200&amp;"-"&amp;ROWS($L$210:L216)</f>
        <v>Cuartofinalista-7</v>
      </c>
      <c r="L216" s="53"/>
      <c r="M216" s="55" t="str">
        <f>WORLDCUP!AF133</f>
        <v>W92</v>
      </c>
      <c r="N216" s="25"/>
      <c r="O216" s="25"/>
      <c r="P216" s="25"/>
      <c r="Q216" s="25"/>
      <c r="R216" s="108"/>
      <c r="S216" s="796" t="s">
        <v>76</v>
      </c>
      <c r="T216" s="72">
        <f t="shared" si="6052"/>
        <v>0</v>
      </c>
      <c r="U216" s="108"/>
      <c r="V216" s="73" t="s">
        <v>76</v>
      </c>
      <c r="W216" s="72">
        <f t="shared" si="6053"/>
        <v>0</v>
      </c>
      <c r="X216" s="108"/>
      <c r="Y216" s="796" t="s">
        <v>78</v>
      </c>
      <c r="Z216" s="72">
        <f t="shared" si="6054"/>
        <v>0</v>
      </c>
      <c r="AA216" s="108"/>
      <c r="AB216" s="796" t="s">
        <v>76</v>
      </c>
      <c r="AC216" s="72">
        <f t="shared" si="6055"/>
        <v>0</v>
      </c>
      <c r="AD216" s="108"/>
      <c r="AE216" s="796" t="s">
        <v>76</v>
      </c>
      <c r="AF216" s="72">
        <f t="shared" si="6056"/>
        <v>0</v>
      </c>
      <c r="AG216" s="108"/>
      <c r="AH216" s="796" t="s">
        <v>76</v>
      </c>
      <c r="AI216" s="72">
        <f t="shared" si="6057"/>
        <v>0</v>
      </c>
      <c r="AJ216" s="108"/>
      <c r="AK216" s="806" t="s">
        <v>76</v>
      </c>
      <c r="AL216" s="72">
        <f t="shared" si="6058"/>
        <v>0</v>
      </c>
      <c r="AM216" s="108"/>
      <c r="AN216" s="796" t="s">
        <v>76</v>
      </c>
      <c r="AO216" s="72">
        <f t="shared" si="6059"/>
        <v>0</v>
      </c>
      <c r="AP216" s="108"/>
      <c r="AQ216" s="806" t="s">
        <v>78</v>
      </c>
      <c r="AR216" s="72">
        <f t="shared" si="6060"/>
        <v>0</v>
      </c>
      <c r="AS216" s="108"/>
      <c r="AT216" s="796" t="s">
        <v>135</v>
      </c>
      <c r="AU216" s="72">
        <f t="shared" si="6061"/>
        <v>0</v>
      </c>
      <c r="AV216" s="108"/>
      <c r="AW216" s="796" t="s">
        <v>76</v>
      </c>
      <c r="AX216" s="72">
        <f t="shared" si="6062"/>
        <v>0</v>
      </c>
      <c r="AY216" s="108"/>
      <c r="AZ216" s="796" t="s">
        <v>1730</v>
      </c>
      <c r="BA216" s="72">
        <f t="shared" si="6063"/>
        <v>0</v>
      </c>
      <c r="BB216" s="108"/>
      <c r="BC216" s="796" t="s">
        <v>76</v>
      </c>
      <c r="BD216" s="72">
        <f t="shared" si="6064"/>
        <v>0</v>
      </c>
      <c r="BE216" s="108"/>
      <c r="BF216" s="796" t="s">
        <v>1634</v>
      </c>
      <c r="BG216" s="72">
        <f t="shared" si="6065"/>
        <v>0</v>
      </c>
      <c r="BH216" s="108"/>
      <c r="BI216" s="796" t="s">
        <v>76</v>
      </c>
      <c r="BJ216" s="72">
        <f t="shared" si="6066"/>
        <v>0</v>
      </c>
      <c r="BK216" s="108"/>
      <c r="BL216" s="796" t="s">
        <v>1265</v>
      </c>
      <c r="BM216" s="72">
        <f t="shared" si="6067"/>
        <v>0</v>
      </c>
      <c r="BN216" s="108"/>
      <c r="BO216" s="816" t="s">
        <v>76</v>
      </c>
      <c r="BP216" s="72">
        <f t="shared" si="6068"/>
        <v>0</v>
      </c>
      <c r="BQ216" s="108"/>
      <c r="BR216" s="796" t="s">
        <v>1633</v>
      </c>
      <c r="BS216" s="72">
        <f t="shared" si="6069"/>
        <v>0</v>
      </c>
      <c r="BT216" s="108"/>
      <c r="BU216" s="796" t="s">
        <v>76</v>
      </c>
      <c r="BV216" s="72">
        <f t="shared" si="6070"/>
        <v>0</v>
      </c>
      <c r="BW216" s="108"/>
      <c r="BX216" s="73" t="s">
        <v>76</v>
      </c>
      <c r="BY216" s="72">
        <f t="shared" si="6071"/>
        <v>0</v>
      </c>
      <c r="BZ216" s="108"/>
      <c r="CA216" s="816" t="s">
        <v>76</v>
      </c>
      <c r="CB216" s="72">
        <f t="shared" si="6072"/>
        <v>0</v>
      </c>
      <c r="CC216" s="108"/>
      <c r="CD216" s="825" t="s">
        <v>76</v>
      </c>
      <c r="CE216" s="72">
        <f t="shared" si="6073"/>
        <v>0</v>
      </c>
      <c r="CF216" s="108"/>
      <c r="CG216" s="796" t="s">
        <v>76</v>
      </c>
      <c r="CH216" s="72">
        <f t="shared" si="6074"/>
        <v>0</v>
      </c>
      <c r="CI216" s="108"/>
      <c r="CJ216" s="796" t="s">
        <v>76</v>
      </c>
      <c r="CK216" s="72">
        <f t="shared" si="6075"/>
        <v>0</v>
      </c>
      <c r="CL216" s="108"/>
      <c r="CM216" s="796" t="s">
        <v>76</v>
      </c>
      <c r="CN216" s="72">
        <f t="shared" si="6076"/>
        <v>0</v>
      </c>
      <c r="CO216" s="108"/>
      <c r="CP216" s="796" t="s">
        <v>76</v>
      </c>
      <c r="CQ216" s="72">
        <f t="shared" si="6077"/>
        <v>0</v>
      </c>
      <c r="CR216" s="108"/>
      <c r="CS216" s="796" t="s">
        <v>76</v>
      </c>
      <c r="CT216" s="72">
        <f t="shared" si="6078"/>
        <v>0</v>
      </c>
      <c r="CU216" s="108"/>
      <c r="CV216" s="796" t="s">
        <v>76</v>
      </c>
      <c r="CW216" s="72">
        <f t="shared" si="6079"/>
        <v>0</v>
      </c>
      <c r="CX216" s="108"/>
      <c r="CY216" s="796" t="s">
        <v>78</v>
      </c>
      <c r="CZ216" s="72">
        <f t="shared" si="6080"/>
        <v>0</v>
      </c>
      <c r="DA216" s="108"/>
      <c r="DB216" s="796" t="s">
        <v>78</v>
      </c>
      <c r="DC216" s="72">
        <f t="shared" si="6081"/>
        <v>0</v>
      </c>
      <c r="DD216" s="108"/>
      <c r="DE216" s="796" t="s">
        <v>76</v>
      </c>
      <c r="DF216" s="72">
        <f t="shared" si="6082"/>
        <v>0</v>
      </c>
      <c r="DG216" s="108"/>
      <c r="DH216" s="796" t="s">
        <v>76</v>
      </c>
      <c r="DI216" s="72">
        <f t="shared" si="6083"/>
        <v>0</v>
      </c>
      <c r="DJ216" s="108"/>
      <c r="DK216" s="796" t="s">
        <v>76</v>
      </c>
      <c r="DL216" s="72">
        <f t="shared" si="6084"/>
        <v>0</v>
      </c>
      <c r="DM216" s="108"/>
      <c r="DN216" s="73"/>
      <c r="DO216" s="72">
        <f t="shared" si="6085"/>
        <v>0</v>
      </c>
      <c r="DP216" s="108"/>
      <c r="DQ216" s="796" t="s">
        <v>76</v>
      </c>
      <c r="DR216" s="72">
        <f t="shared" si="6086"/>
        <v>0</v>
      </c>
      <c r="DS216" s="108"/>
      <c r="DT216" s="73" t="s">
        <v>76</v>
      </c>
      <c r="DU216" s="72">
        <f t="shared" si="6087"/>
        <v>0</v>
      </c>
      <c r="DV216" s="108"/>
      <c r="DW216" s="73"/>
      <c r="DX216" s="72">
        <f t="shared" si="6088"/>
        <v>0</v>
      </c>
      <c r="DY216" s="108"/>
      <c r="DZ216" s="73"/>
      <c r="EA216" s="72">
        <f t="shared" si="6089"/>
        <v>0</v>
      </c>
      <c r="EB216" s="108"/>
      <c r="EC216" s="73"/>
      <c r="ED216" s="72">
        <f t="shared" si="6090"/>
        <v>0</v>
      </c>
      <c r="EE216" s="108"/>
      <c r="EF216" s="73"/>
      <c r="EG216" s="72">
        <f t="shared" si="6091"/>
        <v>0</v>
      </c>
      <c r="EH216" s="108"/>
      <c r="EI216" s="73"/>
      <c r="EJ216" s="72">
        <f t="shared" si="6092"/>
        <v>0</v>
      </c>
      <c r="EK216" s="108"/>
      <c r="EL216" s="73"/>
      <c r="EM216" s="72">
        <f t="shared" si="6093"/>
        <v>0</v>
      </c>
      <c r="EN216" s="108"/>
      <c r="EO216" s="73"/>
      <c r="EP216" s="72">
        <f t="shared" si="6094"/>
        <v>0</v>
      </c>
      <c r="EQ216" s="108"/>
      <c r="ER216" s="73"/>
      <c r="ES216" s="72">
        <f t="shared" si="6095"/>
        <v>0</v>
      </c>
      <c r="ET216" s="108"/>
      <c r="EU216" s="73"/>
      <c r="EV216" s="72">
        <f t="shared" si="6096"/>
        <v>0</v>
      </c>
      <c r="EW216" s="108"/>
      <c r="EX216" s="73"/>
      <c r="EY216" s="72">
        <f t="shared" si="6097"/>
        <v>0</v>
      </c>
      <c r="EZ216" s="108"/>
      <c r="FA216" s="73"/>
      <c r="FB216" s="72">
        <f t="shared" si="6098"/>
        <v>0</v>
      </c>
      <c r="FC216" s="108"/>
      <c r="FD216" s="73"/>
      <c r="FE216" s="72">
        <f t="shared" si="6099"/>
        <v>0</v>
      </c>
      <c r="FF216" s="108"/>
      <c r="FG216" s="73"/>
      <c r="FH216" s="72">
        <f t="shared" si="6100"/>
        <v>0</v>
      </c>
      <c r="FI216" s="108"/>
      <c r="FJ216" s="73"/>
      <c r="FK216" s="72">
        <f t="shared" si="6101"/>
        <v>0</v>
      </c>
      <c r="FL216" s="108"/>
      <c r="FM216" s="73"/>
      <c r="FN216" s="72">
        <f t="shared" si="6102"/>
        <v>0</v>
      </c>
      <c r="FO216" s="108"/>
      <c r="FP216" s="73"/>
      <c r="FQ216" s="72">
        <f t="shared" si="6103"/>
        <v>0</v>
      </c>
      <c r="FR216" s="108"/>
      <c r="FS216" s="73"/>
      <c r="FT216" s="72">
        <f t="shared" si="6104"/>
        <v>0</v>
      </c>
      <c r="FU216" s="108"/>
      <c r="FV216" s="73"/>
      <c r="FW216" s="72">
        <f t="shared" si="6105"/>
        <v>0</v>
      </c>
      <c r="FX216" s="108"/>
      <c r="FY216" s="73"/>
      <c r="FZ216" s="72">
        <f t="shared" si="6106"/>
        <v>0</v>
      </c>
      <c r="GA216" s="108"/>
      <c r="GB216" s="73"/>
      <c r="GC216" s="72">
        <f t="shared" si="6107"/>
        <v>0</v>
      </c>
      <c r="GD216" s="108"/>
      <c r="GE216" s="73"/>
      <c r="GF216" s="72">
        <f t="shared" si="6108"/>
        <v>0</v>
      </c>
      <c r="GG216" s="108"/>
      <c r="GH216" s="73"/>
      <c r="GI216" s="72">
        <f t="shared" si="6109"/>
        <v>0</v>
      </c>
      <c r="GJ216" s="108"/>
      <c r="GK216" s="73"/>
      <c r="GL216" s="72">
        <f t="shared" si="6110"/>
        <v>0</v>
      </c>
      <c r="GM216" s="108"/>
      <c r="GN216" s="73"/>
      <c r="GO216" s="72">
        <f t="shared" si="6111"/>
        <v>0</v>
      </c>
      <c r="GP216" s="108"/>
      <c r="GQ216" s="73"/>
      <c r="GR216" s="72">
        <f t="shared" si="6112"/>
        <v>0</v>
      </c>
      <c r="GS216" s="108"/>
      <c r="GT216" s="73"/>
      <c r="GU216" s="72">
        <f t="shared" si="6113"/>
        <v>0</v>
      </c>
      <c r="GV216" s="108"/>
      <c r="GW216" s="73"/>
      <c r="GX216" s="72">
        <f t="shared" si="6114"/>
        <v>0</v>
      </c>
      <c r="GY216" s="108"/>
      <c r="GZ216" s="73"/>
      <c r="HA216" s="72">
        <f t="shared" si="6115"/>
        <v>0</v>
      </c>
      <c r="HB216" s="108"/>
      <c r="HC216" s="73"/>
      <c r="HD216" s="72">
        <f t="shared" si="6116"/>
        <v>0</v>
      </c>
      <c r="HE216" s="108"/>
      <c r="HF216" s="73"/>
      <c r="HG216" s="72">
        <f t="shared" si="6117"/>
        <v>0</v>
      </c>
      <c r="HH216" s="108"/>
      <c r="HI216" s="73"/>
      <c r="HJ216" s="72">
        <f t="shared" si="6118"/>
        <v>0</v>
      </c>
      <c r="HK216" s="108"/>
      <c r="HL216" s="73"/>
      <c r="HM216" s="72">
        <f t="shared" si="6119"/>
        <v>0</v>
      </c>
      <c r="HN216" s="108"/>
      <c r="HO216" s="73"/>
      <c r="HP216" s="72">
        <f t="shared" si="6120"/>
        <v>0</v>
      </c>
      <c r="HQ216" s="108"/>
      <c r="HR216" s="73"/>
      <c r="HS216" s="72">
        <f t="shared" si="6121"/>
        <v>0</v>
      </c>
      <c r="HT216" s="108"/>
      <c r="HU216" s="73"/>
      <c r="HV216" s="72">
        <f t="shared" si="6122"/>
        <v>0</v>
      </c>
      <c r="HW216" s="108"/>
      <c r="HX216" s="73"/>
      <c r="HY216" s="72">
        <f t="shared" si="6123"/>
        <v>0</v>
      </c>
      <c r="HZ216" s="108"/>
      <c r="IA216" s="73"/>
      <c r="IB216" s="72">
        <f t="shared" si="6124"/>
        <v>0</v>
      </c>
      <c r="IC216" s="108"/>
      <c r="ID216" s="73"/>
      <c r="IE216" s="72">
        <f t="shared" si="6125"/>
        <v>0</v>
      </c>
      <c r="IF216" s="108"/>
      <c r="IG216" s="73"/>
      <c r="IH216" s="72">
        <f t="shared" si="6126"/>
        <v>0</v>
      </c>
      <c r="II216" s="108"/>
      <c r="IJ216" s="73"/>
      <c r="IK216" s="72">
        <f t="shared" si="6127"/>
        <v>0</v>
      </c>
      <c r="IL216" s="108"/>
      <c r="IM216" s="73"/>
      <c r="IN216" s="72">
        <f t="shared" si="6128"/>
        <v>0</v>
      </c>
      <c r="IO216" s="108"/>
      <c r="IP216" s="73"/>
      <c r="IQ216" s="72">
        <f t="shared" si="6129"/>
        <v>0</v>
      </c>
      <c r="IR216" s="108"/>
      <c r="IS216" s="73"/>
      <c r="IT216" s="72">
        <f t="shared" si="6130"/>
        <v>0</v>
      </c>
      <c r="IU216" s="108"/>
      <c r="IV216" s="73"/>
      <c r="IW216" s="72">
        <f t="shared" si="6131"/>
        <v>0</v>
      </c>
      <c r="IX216" s="108"/>
      <c r="IY216" s="73"/>
      <c r="IZ216" s="72">
        <f t="shared" si="6132"/>
        <v>0</v>
      </c>
      <c r="JA216" s="108"/>
      <c r="JB216" s="73"/>
      <c r="JC216" s="72">
        <f t="shared" si="6133"/>
        <v>0</v>
      </c>
      <c r="JD216" s="108"/>
      <c r="JE216" s="73"/>
      <c r="JF216" s="72">
        <f t="shared" si="6134"/>
        <v>0</v>
      </c>
      <c r="JG216" s="108"/>
      <c r="JH216" s="73"/>
      <c r="JI216" s="72">
        <f t="shared" si="6135"/>
        <v>0</v>
      </c>
      <c r="JJ216" s="108"/>
      <c r="JK216" s="73"/>
      <c r="JL216" s="72">
        <f t="shared" si="6136"/>
        <v>0</v>
      </c>
      <c r="JM216" s="108"/>
      <c r="JN216" s="73"/>
      <c r="JO216" s="72">
        <f t="shared" si="6137"/>
        <v>0</v>
      </c>
      <c r="JP216" s="108"/>
      <c r="JQ216" s="73"/>
      <c r="JR216" s="72">
        <f t="shared" si="6138"/>
        <v>0</v>
      </c>
      <c r="JS216" s="108"/>
      <c r="JT216" s="73"/>
      <c r="JU216" s="72">
        <f t="shared" si="6139"/>
        <v>0</v>
      </c>
      <c r="JV216" s="108"/>
      <c r="JW216" s="73"/>
      <c r="JX216" s="72">
        <f t="shared" si="6140"/>
        <v>0</v>
      </c>
      <c r="JY216" s="108"/>
      <c r="JZ216" s="73"/>
      <c r="KA216" s="72">
        <f t="shared" si="6141"/>
        <v>0</v>
      </c>
      <c r="KB216" s="108"/>
      <c r="KC216" s="73"/>
      <c r="KD216" s="72">
        <f t="shared" si="6142"/>
        <v>0</v>
      </c>
      <c r="KE216" s="108"/>
      <c r="KF216" s="73"/>
      <c r="KG216" s="72">
        <f t="shared" si="6143"/>
        <v>0</v>
      </c>
      <c r="KH216" s="108"/>
      <c r="KI216" s="73"/>
      <c r="KJ216" s="72">
        <f t="shared" si="6144"/>
        <v>0</v>
      </c>
      <c r="KK216" s="108"/>
      <c r="KL216" s="73"/>
      <c r="KM216" s="72">
        <f t="shared" si="6145"/>
        <v>0</v>
      </c>
      <c r="KN216" s="108"/>
      <c r="KO216" s="73"/>
      <c r="KP216" s="72">
        <f t="shared" si="6146"/>
        <v>0</v>
      </c>
      <c r="KQ216" s="108"/>
      <c r="KR216" s="73"/>
      <c r="KS216" s="72">
        <f t="shared" si="6147"/>
        <v>0</v>
      </c>
      <c r="KT216" s="108"/>
      <c r="KU216" s="73"/>
      <c r="KV216" s="72">
        <f t="shared" si="6148"/>
        <v>0</v>
      </c>
      <c r="KW216" s="108"/>
      <c r="KX216" s="73"/>
      <c r="KY216" s="72">
        <f t="shared" si="6149"/>
        <v>0</v>
      </c>
      <c r="KZ216" s="108"/>
      <c r="LA216" s="73"/>
      <c r="LB216" s="72">
        <f t="shared" si="6150"/>
        <v>0</v>
      </c>
      <c r="LC216" s="108"/>
      <c r="LD216" s="73"/>
      <c r="LE216" s="72">
        <f t="shared" si="6151"/>
        <v>0</v>
      </c>
      <c r="LF216" s="108"/>
    </row>
    <row r="217" spans="1:318" s="784" customFormat="1">
      <c r="A217" s="25"/>
      <c r="B217" s="25"/>
      <c r="C217" s="25"/>
      <c r="D217" s="25"/>
      <c r="E217" s="25"/>
      <c r="F217" s="406">
        <f t="shared" si="6152"/>
        <v>40</v>
      </c>
      <c r="G217" s="406">
        <f ca="1">VLOOKUP(H217,Equipos!$Q$1:$R$25,2,0)</f>
        <v>21</v>
      </c>
      <c r="H217" s="64" t="str">
        <f>Idiomas!$D$261</f>
        <v>Octavos de final</v>
      </c>
      <c r="I217" s="50"/>
      <c r="J217" s="843"/>
      <c r="K217" s="113" t="str">
        <f>Idiomas!$D$200&amp;"-"&amp;ROWS($L$210:L217)</f>
        <v>Cuartofinalista-8</v>
      </c>
      <c r="L217" s="113"/>
      <c r="M217" s="114" t="str">
        <f>WORLDCUP!AF134</f>
        <v>W96</v>
      </c>
      <c r="N217" s="25"/>
      <c r="O217" s="25"/>
      <c r="P217" s="25"/>
      <c r="Q217" s="25"/>
      <c r="R217" s="108"/>
      <c r="S217" s="796" t="s">
        <v>79</v>
      </c>
      <c r="T217" s="80">
        <f t="shared" si="6052"/>
        <v>0</v>
      </c>
      <c r="U217" s="108"/>
      <c r="V217" s="79" t="s">
        <v>79</v>
      </c>
      <c r="W217" s="80">
        <f t="shared" si="6053"/>
        <v>0</v>
      </c>
      <c r="X217" s="108"/>
      <c r="Y217" s="796" t="s">
        <v>79</v>
      </c>
      <c r="Z217" s="80">
        <f t="shared" si="6054"/>
        <v>0</v>
      </c>
      <c r="AA217" s="108"/>
      <c r="AB217" s="796" t="s">
        <v>79</v>
      </c>
      <c r="AC217" s="80">
        <f t="shared" si="6055"/>
        <v>0</v>
      </c>
      <c r="AD217" s="108"/>
      <c r="AE217" s="796" t="s">
        <v>79</v>
      </c>
      <c r="AF217" s="80">
        <f t="shared" si="6056"/>
        <v>0</v>
      </c>
      <c r="AG217" s="108"/>
      <c r="AH217" s="796" t="s">
        <v>79</v>
      </c>
      <c r="AI217" s="80">
        <f t="shared" si="6057"/>
        <v>0</v>
      </c>
      <c r="AJ217" s="108"/>
      <c r="AK217" s="806" t="s">
        <v>79</v>
      </c>
      <c r="AL217" s="80">
        <f t="shared" si="6058"/>
        <v>0</v>
      </c>
      <c r="AM217" s="108"/>
      <c r="AN217" s="796" t="s">
        <v>79</v>
      </c>
      <c r="AO217" s="80">
        <f t="shared" si="6059"/>
        <v>0</v>
      </c>
      <c r="AP217" s="108"/>
      <c r="AQ217" s="806" t="s">
        <v>79</v>
      </c>
      <c r="AR217" s="80">
        <f t="shared" si="6060"/>
        <v>0</v>
      </c>
      <c r="AS217" s="108"/>
      <c r="AT217" s="796" t="s">
        <v>79</v>
      </c>
      <c r="AU217" s="80">
        <f t="shared" si="6061"/>
        <v>0</v>
      </c>
      <c r="AV217" s="108"/>
      <c r="AW217" s="796" t="s">
        <v>79</v>
      </c>
      <c r="AX217" s="80">
        <f t="shared" si="6062"/>
        <v>0</v>
      </c>
      <c r="AY217" s="108"/>
      <c r="AZ217" s="796" t="s">
        <v>1631</v>
      </c>
      <c r="BA217" s="80">
        <f t="shared" si="6063"/>
        <v>0</v>
      </c>
      <c r="BB217" s="108"/>
      <c r="BC217" s="796" t="s">
        <v>79</v>
      </c>
      <c r="BD217" s="80">
        <f t="shared" si="6064"/>
        <v>0</v>
      </c>
      <c r="BE217" s="108"/>
      <c r="BF217" s="796" t="s">
        <v>79</v>
      </c>
      <c r="BG217" s="80">
        <f t="shared" si="6065"/>
        <v>0</v>
      </c>
      <c r="BH217" s="108"/>
      <c r="BI217" s="796" t="s">
        <v>79</v>
      </c>
      <c r="BJ217" s="80">
        <f t="shared" si="6066"/>
        <v>0</v>
      </c>
      <c r="BK217" s="108"/>
      <c r="BL217" s="796" t="s">
        <v>79</v>
      </c>
      <c r="BM217" s="80">
        <f t="shared" si="6067"/>
        <v>0</v>
      </c>
      <c r="BN217" s="108"/>
      <c r="BO217" s="816" t="s">
        <v>79</v>
      </c>
      <c r="BP217" s="80">
        <f t="shared" si="6068"/>
        <v>0</v>
      </c>
      <c r="BQ217" s="108"/>
      <c r="BR217" s="796" t="s">
        <v>79</v>
      </c>
      <c r="BS217" s="80">
        <f t="shared" si="6069"/>
        <v>0</v>
      </c>
      <c r="BT217" s="108"/>
      <c r="BU217" s="796" t="s">
        <v>79</v>
      </c>
      <c r="BV217" s="80">
        <f t="shared" si="6070"/>
        <v>0</v>
      </c>
      <c r="BW217" s="108"/>
      <c r="BX217" s="79" t="s">
        <v>79</v>
      </c>
      <c r="BY217" s="80">
        <f t="shared" si="6071"/>
        <v>0</v>
      </c>
      <c r="BZ217" s="108"/>
      <c r="CA217" s="816" t="s">
        <v>79</v>
      </c>
      <c r="CB217" s="80">
        <f t="shared" si="6072"/>
        <v>0</v>
      </c>
      <c r="CC217" s="108"/>
      <c r="CD217" s="825" t="s">
        <v>79</v>
      </c>
      <c r="CE217" s="80">
        <f t="shared" si="6073"/>
        <v>0</v>
      </c>
      <c r="CF217" s="108"/>
      <c r="CG217" s="796" t="s">
        <v>79</v>
      </c>
      <c r="CH217" s="80">
        <f t="shared" si="6074"/>
        <v>0</v>
      </c>
      <c r="CI217" s="108"/>
      <c r="CJ217" s="796" t="s">
        <v>79</v>
      </c>
      <c r="CK217" s="80">
        <f t="shared" si="6075"/>
        <v>0</v>
      </c>
      <c r="CL217" s="108"/>
      <c r="CM217" s="796" t="s">
        <v>1320</v>
      </c>
      <c r="CN217" s="80">
        <f t="shared" si="6076"/>
        <v>0</v>
      </c>
      <c r="CO217" s="108"/>
      <c r="CP217" s="796" t="s">
        <v>79</v>
      </c>
      <c r="CQ217" s="80">
        <f t="shared" si="6077"/>
        <v>0</v>
      </c>
      <c r="CR217" s="108"/>
      <c r="CS217" s="796" t="s">
        <v>79</v>
      </c>
      <c r="CT217" s="80">
        <f t="shared" si="6078"/>
        <v>0</v>
      </c>
      <c r="CU217" s="108"/>
      <c r="CV217" s="796" t="s">
        <v>79</v>
      </c>
      <c r="CW217" s="80">
        <f t="shared" si="6079"/>
        <v>0</v>
      </c>
      <c r="CX217" s="108"/>
      <c r="CY217" s="796" t="s">
        <v>79</v>
      </c>
      <c r="CZ217" s="80">
        <f t="shared" si="6080"/>
        <v>0</v>
      </c>
      <c r="DA217" s="108"/>
      <c r="DB217" s="796" t="s">
        <v>1320</v>
      </c>
      <c r="DC217" s="80">
        <f t="shared" si="6081"/>
        <v>0</v>
      </c>
      <c r="DD217" s="108"/>
      <c r="DE217" s="796" t="s">
        <v>79</v>
      </c>
      <c r="DF217" s="80">
        <f t="shared" si="6082"/>
        <v>0</v>
      </c>
      <c r="DG217" s="108"/>
      <c r="DH217" s="796" t="s">
        <v>79</v>
      </c>
      <c r="DI217" s="80">
        <f t="shared" si="6083"/>
        <v>0</v>
      </c>
      <c r="DJ217" s="108"/>
      <c r="DK217" s="796" t="s">
        <v>79</v>
      </c>
      <c r="DL217" s="80">
        <f t="shared" si="6084"/>
        <v>0</v>
      </c>
      <c r="DM217" s="108"/>
      <c r="DN217" s="79"/>
      <c r="DO217" s="80">
        <f t="shared" si="6085"/>
        <v>0</v>
      </c>
      <c r="DP217" s="108"/>
      <c r="DQ217" s="796" t="s">
        <v>79</v>
      </c>
      <c r="DR217" s="80">
        <f t="shared" si="6086"/>
        <v>0</v>
      </c>
      <c r="DS217" s="108"/>
      <c r="DT217" s="79" t="s">
        <v>79</v>
      </c>
      <c r="DU217" s="80">
        <f t="shared" si="6087"/>
        <v>0</v>
      </c>
      <c r="DV217" s="108"/>
      <c r="DW217" s="79"/>
      <c r="DX217" s="80">
        <f t="shared" si="6088"/>
        <v>0</v>
      </c>
      <c r="DY217" s="108"/>
      <c r="DZ217" s="79"/>
      <c r="EA217" s="80">
        <f t="shared" si="6089"/>
        <v>0</v>
      </c>
      <c r="EB217" s="108"/>
      <c r="EC217" s="79"/>
      <c r="ED217" s="80">
        <f t="shared" si="6090"/>
        <v>0</v>
      </c>
      <c r="EE217" s="108"/>
      <c r="EF217" s="79"/>
      <c r="EG217" s="80">
        <f t="shared" si="6091"/>
        <v>0</v>
      </c>
      <c r="EH217" s="108"/>
      <c r="EI217" s="79"/>
      <c r="EJ217" s="80">
        <f t="shared" si="6092"/>
        <v>0</v>
      </c>
      <c r="EK217" s="108"/>
      <c r="EL217" s="79"/>
      <c r="EM217" s="80">
        <f t="shared" si="6093"/>
        <v>0</v>
      </c>
      <c r="EN217" s="108"/>
      <c r="EO217" s="79"/>
      <c r="EP217" s="80">
        <f t="shared" si="6094"/>
        <v>0</v>
      </c>
      <c r="EQ217" s="108"/>
      <c r="ER217" s="79"/>
      <c r="ES217" s="80">
        <f t="shared" si="6095"/>
        <v>0</v>
      </c>
      <c r="ET217" s="108"/>
      <c r="EU217" s="79"/>
      <c r="EV217" s="80">
        <f t="shared" si="6096"/>
        <v>0</v>
      </c>
      <c r="EW217" s="108"/>
      <c r="EX217" s="79"/>
      <c r="EY217" s="80">
        <f t="shared" si="6097"/>
        <v>0</v>
      </c>
      <c r="EZ217" s="108"/>
      <c r="FA217" s="79"/>
      <c r="FB217" s="80">
        <f t="shared" si="6098"/>
        <v>0</v>
      </c>
      <c r="FC217" s="108"/>
      <c r="FD217" s="79"/>
      <c r="FE217" s="80">
        <f t="shared" si="6099"/>
        <v>0</v>
      </c>
      <c r="FF217" s="108"/>
      <c r="FG217" s="79"/>
      <c r="FH217" s="80">
        <f t="shared" si="6100"/>
        <v>0</v>
      </c>
      <c r="FI217" s="108"/>
      <c r="FJ217" s="79"/>
      <c r="FK217" s="80">
        <f t="shared" si="6101"/>
        <v>0</v>
      </c>
      <c r="FL217" s="108"/>
      <c r="FM217" s="79"/>
      <c r="FN217" s="80">
        <f t="shared" si="6102"/>
        <v>0</v>
      </c>
      <c r="FO217" s="108"/>
      <c r="FP217" s="79"/>
      <c r="FQ217" s="80">
        <f t="shared" si="6103"/>
        <v>0</v>
      </c>
      <c r="FR217" s="108"/>
      <c r="FS217" s="79"/>
      <c r="FT217" s="80">
        <f t="shared" si="6104"/>
        <v>0</v>
      </c>
      <c r="FU217" s="108"/>
      <c r="FV217" s="79"/>
      <c r="FW217" s="80">
        <f t="shared" si="6105"/>
        <v>0</v>
      </c>
      <c r="FX217" s="108"/>
      <c r="FY217" s="79"/>
      <c r="FZ217" s="80">
        <f t="shared" si="6106"/>
        <v>0</v>
      </c>
      <c r="GA217" s="108"/>
      <c r="GB217" s="79"/>
      <c r="GC217" s="80">
        <f t="shared" si="6107"/>
        <v>0</v>
      </c>
      <c r="GD217" s="108"/>
      <c r="GE217" s="79"/>
      <c r="GF217" s="80">
        <f t="shared" si="6108"/>
        <v>0</v>
      </c>
      <c r="GG217" s="108"/>
      <c r="GH217" s="79"/>
      <c r="GI217" s="80">
        <f t="shared" si="6109"/>
        <v>0</v>
      </c>
      <c r="GJ217" s="108"/>
      <c r="GK217" s="79"/>
      <c r="GL217" s="80">
        <f t="shared" si="6110"/>
        <v>0</v>
      </c>
      <c r="GM217" s="108"/>
      <c r="GN217" s="79"/>
      <c r="GO217" s="80">
        <f t="shared" si="6111"/>
        <v>0</v>
      </c>
      <c r="GP217" s="108"/>
      <c r="GQ217" s="79"/>
      <c r="GR217" s="80">
        <f t="shared" si="6112"/>
        <v>0</v>
      </c>
      <c r="GS217" s="108"/>
      <c r="GT217" s="79"/>
      <c r="GU217" s="80">
        <f t="shared" si="6113"/>
        <v>0</v>
      </c>
      <c r="GV217" s="108"/>
      <c r="GW217" s="79"/>
      <c r="GX217" s="80">
        <f t="shared" si="6114"/>
        <v>0</v>
      </c>
      <c r="GY217" s="108"/>
      <c r="GZ217" s="79"/>
      <c r="HA217" s="80">
        <f t="shared" si="6115"/>
        <v>0</v>
      </c>
      <c r="HB217" s="108"/>
      <c r="HC217" s="79"/>
      <c r="HD217" s="80">
        <f t="shared" si="6116"/>
        <v>0</v>
      </c>
      <c r="HE217" s="108"/>
      <c r="HF217" s="79"/>
      <c r="HG217" s="80">
        <f t="shared" si="6117"/>
        <v>0</v>
      </c>
      <c r="HH217" s="108"/>
      <c r="HI217" s="79"/>
      <c r="HJ217" s="80">
        <f t="shared" si="6118"/>
        <v>0</v>
      </c>
      <c r="HK217" s="108"/>
      <c r="HL217" s="79"/>
      <c r="HM217" s="80">
        <f t="shared" si="6119"/>
        <v>0</v>
      </c>
      <c r="HN217" s="108"/>
      <c r="HO217" s="79"/>
      <c r="HP217" s="80">
        <f t="shared" si="6120"/>
        <v>0</v>
      </c>
      <c r="HQ217" s="108"/>
      <c r="HR217" s="79"/>
      <c r="HS217" s="80">
        <f t="shared" si="6121"/>
        <v>0</v>
      </c>
      <c r="HT217" s="108"/>
      <c r="HU217" s="79"/>
      <c r="HV217" s="80">
        <f t="shared" si="6122"/>
        <v>0</v>
      </c>
      <c r="HW217" s="108"/>
      <c r="HX217" s="79"/>
      <c r="HY217" s="80">
        <f t="shared" si="6123"/>
        <v>0</v>
      </c>
      <c r="HZ217" s="108"/>
      <c r="IA217" s="79"/>
      <c r="IB217" s="80">
        <f t="shared" si="6124"/>
        <v>0</v>
      </c>
      <c r="IC217" s="108"/>
      <c r="ID217" s="79"/>
      <c r="IE217" s="80">
        <f t="shared" si="6125"/>
        <v>0</v>
      </c>
      <c r="IF217" s="108"/>
      <c r="IG217" s="79"/>
      <c r="IH217" s="80">
        <f t="shared" si="6126"/>
        <v>0</v>
      </c>
      <c r="II217" s="108"/>
      <c r="IJ217" s="79"/>
      <c r="IK217" s="80">
        <f t="shared" si="6127"/>
        <v>0</v>
      </c>
      <c r="IL217" s="108"/>
      <c r="IM217" s="79"/>
      <c r="IN217" s="80">
        <f t="shared" si="6128"/>
        <v>0</v>
      </c>
      <c r="IO217" s="108"/>
      <c r="IP217" s="79"/>
      <c r="IQ217" s="80">
        <f t="shared" si="6129"/>
        <v>0</v>
      </c>
      <c r="IR217" s="108"/>
      <c r="IS217" s="79"/>
      <c r="IT217" s="80">
        <f t="shared" si="6130"/>
        <v>0</v>
      </c>
      <c r="IU217" s="108"/>
      <c r="IV217" s="79"/>
      <c r="IW217" s="80">
        <f t="shared" si="6131"/>
        <v>0</v>
      </c>
      <c r="IX217" s="108"/>
      <c r="IY217" s="79"/>
      <c r="IZ217" s="80">
        <f t="shared" si="6132"/>
        <v>0</v>
      </c>
      <c r="JA217" s="108"/>
      <c r="JB217" s="79"/>
      <c r="JC217" s="80">
        <f t="shared" si="6133"/>
        <v>0</v>
      </c>
      <c r="JD217" s="108"/>
      <c r="JE217" s="79"/>
      <c r="JF217" s="80">
        <f t="shared" si="6134"/>
        <v>0</v>
      </c>
      <c r="JG217" s="108"/>
      <c r="JH217" s="79"/>
      <c r="JI217" s="80">
        <f t="shared" si="6135"/>
        <v>0</v>
      </c>
      <c r="JJ217" s="108"/>
      <c r="JK217" s="79"/>
      <c r="JL217" s="80">
        <f t="shared" si="6136"/>
        <v>0</v>
      </c>
      <c r="JM217" s="108"/>
      <c r="JN217" s="79"/>
      <c r="JO217" s="80">
        <f t="shared" si="6137"/>
        <v>0</v>
      </c>
      <c r="JP217" s="108"/>
      <c r="JQ217" s="79"/>
      <c r="JR217" s="80">
        <f t="shared" si="6138"/>
        <v>0</v>
      </c>
      <c r="JS217" s="108"/>
      <c r="JT217" s="79"/>
      <c r="JU217" s="80">
        <f t="shared" si="6139"/>
        <v>0</v>
      </c>
      <c r="JV217" s="108"/>
      <c r="JW217" s="79"/>
      <c r="JX217" s="80">
        <f t="shared" si="6140"/>
        <v>0</v>
      </c>
      <c r="JY217" s="108"/>
      <c r="JZ217" s="79"/>
      <c r="KA217" s="80">
        <f t="shared" si="6141"/>
        <v>0</v>
      </c>
      <c r="KB217" s="108"/>
      <c r="KC217" s="79"/>
      <c r="KD217" s="80">
        <f t="shared" si="6142"/>
        <v>0</v>
      </c>
      <c r="KE217" s="108"/>
      <c r="KF217" s="79"/>
      <c r="KG217" s="80">
        <f t="shared" si="6143"/>
        <v>0</v>
      </c>
      <c r="KH217" s="108"/>
      <c r="KI217" s="79"/>
      <c r="KJ217" s="80">
        <f t="shared" si="6144"/>
        <v>0</v>
      </c>
      <c r="KK217" s="108"/>
      <c r="KL217" s="79"/>
      <c r="KM217" s="80">
        <f t="shared" si="6145"/>
        <v>0</v>
      </c>
      <c r="KN217" s="108"/>
      <c r="KO217" s="79"/>
      <c r="KP217" s="80">
        <f t="shared" si="6146"/>
        <v>0</v>
      </c>
      <c r="KQ217" s="108"/>
      <c r="KR217" s="79"/>
      <c r="KS217" s="80">
        <f t="shared" si="6147"/>
        <v>0</v>
      </c>
      <c r="KT217" s="108"/>
      <c r="KU217" s="79"/>
      <c r="KV217" s="80">
        <f t="shared" si="6148"/>
        <v>0</v>
      </c>
      <c r="KW217" s="108"/>
      <c r="KX217" s="79"/>
      <c r="KY217" s="80">
        <f t="shared" si="6149"/>
        <v>0</v>
      </c>
      <c r="KZ217" s="108"/>
      <c r="LA217" s="79"/>
      <c r="LB217" s="80">
        <f t="shared" si="6150"/>
        <v>0</v>
      </c>
      <c r="LC217" s="108"/>
      <c r="LD217" s="79"/>
      <c r="LE217" s="80">
        <f t="shared" si="6151"/>
        <v>0</v>
      </c>
      <c r="LF217" s="108"/>
    </row>
    <row r="218" spans="1:318" s="784" customFormat="1">
      <c r="A218" s="25"/>
      <c r="B218" s="25"/>
      <c r="C218" s="25" t="s">
        <v>1930</v>
      </c>
      <c r="D218" s="25"/>
      <c r="E218" s="25"/>
      <c r="F218" s="406"/>
      <c r="G218" s="406"/>
      <c r="H218" s="64"/>
      <c r="I218" s="50"/>
      <c r="J218" s="92"/>
      <c r="K218" s="432" t="str">
        <f>Idiomas!D461</f>
        <v>Equipos 1/4</v>
      </c>
      <c r="L218" s="433"/>
      <c r="M218" s="432" t="str">
        <f>"Max: "&amp;$D$23*COUNT(T210:T217)</f>
        <v>Max: 320</v>
      </c>
      <c r="N218" s="25"/>
      <c r="O218" s="25"/>
      <c r="P218" s="25"/>
      <c r="Q218" s="25"/>
      <c r="R218" s="49"/>
      <c r="S218" s="797"/>
      <c r="T218" s="70">
        <f t="shared" ref="T218" si="6153">SUM(T210:T217)</f>
        <v>0</v>
      </c>
      <c r="U218" s="49"/>
      <c r="V218" s="83"/>
      <c r="W218" s="70">
        <f t="shared" ref="W218" si="6154">SUM(W210:W217)</f>
        <v>0</v>
      </c>
      <c r="X218" s="49"/>
      <c r="Y218" s="797"/>
      <c r="Z218" s="70">
        <f t="shared" ref="Z218" si="6155">SUM(Z210:Z217)</f>
        <v>0</v>
      </c>
      <c r="AA218" s="49"/>
      <c r="AB218" s="797"/>
      <c r="AC218" s="70">
        <f t="shared" ref="AC218" si="6156">SUM(AC210:AC217)</f>
        <v>0</v>
      </c>
      <c r="AD218" s="49"/>
      <c r="AE218" s="797"/>
      <c r="AF218" s="70">
        <f t="shared" ref="AF218" si="6157">SUM(AF210:AF217)</f>
        <v>0</v>
      </c>
      <c r="AG218" s="49"/>
      <c r="AH218" s="797"/>
      <c r="AI218" s="70">
        <f t="shared" ref="AI218" si="6158">SUM(AI210:AI217)</f>
        <v>0</v>
      </c>
      <c r="AJ218" s="49"/>
      <c r="AK218" s="802"/>
      <c r="AL218" s="70">
        <f t="shared" ref="AL218" si="6159">SUM(AL210:AL217)</f>
        <v>0</v>
      </c>
      <c r="AM218" s="49"/>
      <c r="AN218" s="797"/>
      <c r="AO218" s="70">
        <f t="shared" ref="AO218" si="6160">SUM(AO210:AO217)</f>
        <v>0</v>
      </c>
      <c r="AP218" s="49"/>
      <c r="AQ218" s="802"/>
      <c r="AR218" s="70">
        <f t="shared" ref="AR218" si="6161">SUM(AR210:AR217)</f>
        <v>0</v>
      </c>
      <c r="AS218" s="49"/>
      <c r="AT218" s="797"/>
      <c r="AU218" s="70">
        <f t="shared" ref="AU218" si="6162">SUM(AU210:AU217)</f>
        <v>0</v>
      </c>
      <c r="AV218" s="49"/>
      <c r="AW218" s="797"/>
      <c r="AX218" s="70">
        <f t="shared" ref="AX218" si="6163">SUM(AX210:AX217)</f>
        <v>0</v>
      </c>
      <c r="AY218" s="49"/>
      <c r="AZ218" s="797"/>
      <c r="BA218" s="70">
        <f t="shared" ref="BA218" si="6164">SUM(BA210:BA217)</f>
        <v>0</v>
      </c>
      <c r="BB218" s="49"/>
      <c r="BC218" s="797"/>
      <c r="BD218" s="70">
        <f t="shared" ref="BD218" si="6165">SUM(BD210:BD217)</f>
        <v>0</v>
      </c>
      <c r="BE218" s="49"/>
      <c r="BF218" s="797"/>
      <c r="BG218" s="70">
        <f t="shared" ref="BG218" si="6166">SUM(BG210:BG217)</f>
        <v>0</v>
      </c>
      <c r="BH218" s="49"/>
      <c r="BI218" s="797"/>
      <c r="BJ218" s="70">
        <f t="shared" ref="BJ218" si="6167">SUM(BJ210:BJ217)</f>
        <v>0</v>
      </c>
      <c r="BK218" s="49"/>
      <c r="BL218" s="797"/>
      <c r="BM218" s="70">
        <f t="shared" ref="BM218" si="6168">SUM(BM210:BM217)</f>
        <v>0</v>
      </c>
      <c r="BN218" s="49"/>
      <c r="BO218" s="812"/>
      <c r="BP218" s="70">
        <f t="shared" ref="BP218" si="6169">SUM(BP210:BP217)</f>
        <v>0</v>
      </c>
      <c r="BQ218" s="49"/>
      <c r="BR218" s="797"/>
      <c r="BS218" s="70">
        <f t="shared" ref="BS218" si="6170">SUM(BS210:BS217)</f>
        <v>0</v>
      </c>
      <c r="BT218" s="49"/>
      <c r="BU218" s="797"/>
      <c r="BV218" s="70">
        <f t="shared" ref="BV218" si="6171">SUM(BV210:BV217)</f>
        <v>0</v>
      </c>
      <c r="BW218" s="49"/>
      <c r="BX218" s="83"/>
      <c r="BY218" s="70">
        <f t="shared" ref="BY218" si="6172">SUM(BY210:BY217)</f>
        <v>0</v>
      </c>
      <c r="BZ218" s="49"/>
      <c r="CA218" s="812"/>
      <c r="CB218" s="70">
        <f t="shared" ref="CB218" si="6173">SUM(CB210:CB217)</f>
        <v>0</v>
      </c>
      <c r="CC218" s="49"/>
      <c r="CD218" s="821"/>
      <c r="CE218" s="70">
        <f t="shared" ref="CE218" si="6174">SUM(CE210:CE217)</f>
        <v>0</v>
      </c>
      <c r="CF218" s="49"/>
      <c r="CG218" s="797"/>
      <c r="CH218" s="70">
        <f t="shared" ref="CH218" si="6175">SUM(CH210:CH217)</f>
        <v>0</v>
      </c>
      <c r="CI218" s="49"/>
      <c r="CJ218" s="797"/>
      <c r="CK218" s="70">
        <f t="shared" ref="CK218" si="6176">SUM(CK210:CK217)</f>
        <v>0</v>
      </c>
      <c r="CL218" s="49"/>
      <c r="CM218" s="797"/>
      <c r="CN218" s="70">
        <f t="shared" ref="CN218" si="6177">SUM(CN210:CN217)</f>
        <v>0</v>
      </c>
      <c r="CO218" s="49"/>
      <c r="CP218" s="797"/>
      <c r="CQ218" s="70">
        <f t="shared" ref="CQ218" si="6178">SUM(CQ210:CQ217)</f>
        <v>0</v>
      </c>
      <c r="CR218" s="49"/>
      <c r="CS218" s="797"/>
      <c r="CT218" s="70">
        <f t="shared" ref="CT218" si="6179">SUM(CT210:CT217)</f>
        <v>0</v>
      </c>
      <c r="CU218" s="49"/>
      <c r="CV218" s="797"/>
      <c r="CW218" s="70">
        <f t="shared" ref="CW218" si="6180">SUM(CW210:CW217)</f>
        <v>0</v>
      </c>
      <c r="CX218" s="49"/>
      <c r="CY218" s="797"/>
      <c r="CZ218" s="70">
        <f t="shared" ref="CZ218" si="6181">SUM(CZ210:CZ217)</f>
        <v>0</v>
      </c>
      <c r="DA218" s="49"/>
      <c r="DB218" s="797"/>
      <c r="DC218" s="70">
        <f t="shared" ref="DC218" si="6182">SUM(DC210:DC217)</f>
        <v>0</v>
      </c>
      <c r="DD218" s="49"/>
      <c r="DE218" s="797"/>
      <c r="DF218" s="70">
        <f t="shared" ref="DF218" si="6183">SUM(DF210:DF217)</f>
        <v>0</v>
      </c>
      <c r="DG218" s="49"/>
      <c r="DH218" s="797"/>
      <c r="DI218" s="70">
        <f t="shared" ref="DI218" si="6184">SUM(DI210:DI217)</f>
        <v>0</v>
      </c>
      <c r="DJ218" s="49"/>
      <c r="DK218" s="797"/>
      <c r="DL218" s="70">
        <f t="shared" ref="DL218" si="6185">SUM(DL210:DL217)</f>
        <v>0</v>
      </c>
      <c r="DM218" s="49"/>
      <c r="DN218" s="83"/>
      <c r="DO218" s="70">
        <f t="shared" ref="DO218" si="6186">SUM(DO210:DO217)</f>
        <v>0</v>
      </c>
      <c r="DP218" s="49"/>
      <c r="DQ218" s="797"/>
      <c r="DR218" s="70">
        <f t="shared" ref="DR218" si="6187">SUM(DR210:DR217)</f>
        <v>0</v>
      </c>
      <c r="DS218" s="49"/>
      <c r="DT218" s="83"/>
      <c r="DU218" s="70">
        <f t="shared" ref="DU218" si="6188">SUM(DU210:DU217)</f>
        <v>0</v>
      </c>
      <c r="DV218" s="49"/>
      <c r="DW218" s="83"/>
      <c r="DX218" s="70">
        <f t="shared" ref="DX218" si="6189">SUM(DX210:DX217)</f>
        <v>0</v>
      </c>
      <c r="DY218" s="49"/>
      <c r="DZ218" s="83"/>
      <c r="EA218" s="70">
        <f t="shared" ref="EA218" si="6190">SUM(EA210:EA217)</f>
        <v>0</v>
      </c>
      <c r="EB218" s="49"/>
      <c r="EC218" s="83"/>
      <c r="ED218" s="70">
        <f t="shared" ref="ED218" si="6191">SUM(ED210:ED217)</f>
        <v>0</v>
      </c>
      <c r="EE218" s="49"/>
      <c r="EF218" s="83"/>
      <c r="EG218" s="70">
        <f t="shared" ref="EG218" si="6192">SUM(EG210:EG217)</f>
        <v>0</v>
      </c>
      <c r="EH218" s="49"/>
      <c r="EI218" s="83"/>
      <c r="EJ218" s="70">
        <f t="shared" ref="EJ218" si="6193">SUM(EJ210:EJ217)</f>
        <v>0</v>
      </c>
      <c r="EK218" s="49"/>
      <c r="EL218" s="83"/>
      <c r="EM218" s="70">
        <f t="shared" ref="EM218" si="6194">SUM(EM210:EM217)</f>
        <v>0</v>
      </c>
      <c r="EN218" s="49"/>
      <c r="EO218" s="83"/>
      <c r="EP218" s="70">
        <f t="shared" ref="EP218" si="6195">SUM(EP210:EP217)</f>
        <v>0</v>
      </c>
      <c r="EQ218" s="49"/>
      <c r="ER218" s="83"/>
      <c r="ES218" s="70">
        <f t="shared" ref="ES218" si="6196">SUM(ES210:ES217)</f>
        <v>0</v>
      </c>
      <c r="ET218" s="49"/>
      <c r="EU218" s="83"/>
      <c r="EV218" s="70">
        <f t="shared" ref="EV218" si="6197">SUM(EV210:EV217)</f>
        <v>0</v>
      </c>
      <c r="EW218" s="49"/>
      <c r="EX218" s="83"/>
      <c r="EY218" s="70">
        <f t="shared" ref="EY218" si="6198">SUM(EY210:EY217)</f>
        <v>0</v>
      </c>
      <c r="EZ218" s="49"/>
      <c r="FA218" s="83"/>
      <c r="FB218" s="70">
        <f t="shared" ref="FB218" si="6199">SUM(FB210:FB217)</f>
        <v>0</v>
      </c>
      <c r="FC218" s="49"/>
      <c r="FD218" s="83"/>
      <c r="FE218" s="70">
        <f t="shared" ref="FE218" si="6200">SUM(FE210:FE217)</f>
        <v>0</v>
      </c>
      <c r="FF218" s="49"/>
      <c r="FG218" s="83"/>
      <c r="FH218" s="70">
        <f t="shared" ref="FH218" si="6201">SUM(FH210:FH217)</f>
        <v>0</v>
      </c>
      <c r="FI218" s="49"/>
      <c r="FJ218" s="83"/>
      <c r="FK218" s="70">
        <f t="shared" ref="FK218" si="6202">SUM(FK210:FK217)</f>
        <v>0</v>
      </c>
      <c r="FL218" s="49"/>
      <c r="FM218" s="83"/>
      <c r="FN218" s="70">
        <f t="shared" ref="FN218" si="6203">SUM(FN210:FN217)</f>
        <v>0</v>
      </c>
      <c r="FO218" s="49"/>
      <c r="FP218" s="83"/>
      <c r="FQ218" s="70">
        <f t="shared" ref="FQ218" si="6204">SUM(FQ210:FQ217)</f>
        <v>0</v>
      </c>
      <c r="FR218" s="49"/>
      <c r="FS218" s="83"/>
      <c r="FT218" s="70">
        <f t="shared" ref="FT218" si="6205">SUM(FT210:FT217)</f>
        <v>0</v>
      </c>
      <c r="FU218" s="49"/>
      <c r="FV218" s="83"/>
      <c r="FW218" s="70">
        <f t="shared" ref="FW218" si="6206">SUM(FW210:FW217)</f>
        <v>0</v>
      </c>
      <c r="FX218" s="49"/>
      <c r="FY218" s="83"/>
      <c r="FZ218" s="70">
        <f t="shared" ref="FZ218" si="6207">SUM(FZ210:FZ217)</f>
        <v>0</v>
      </c>
      <c r="GA218" s="49"/>
      <c r="GB218" s="83"/>
      <c r="GC218" s="70">
        <f t="shared" ref="GC218" si="6208">SUM(GC210:GC217)</f>
        <v>0</v>
      </c>
      <c r="GD218" s="49"/>
      <c r="GE218" s="83"/>
      <c r="GF218" s="70">
        <f t="shared" ref="GF218" si="6209">SUM(GF210:GF217)</f>
        <v>0</v>
      </c>
      <c r="GG218" s="49"/>
      <c r="GH218" s="83"/>
      <c r="GI218" s="70">
        <f t="shared" ref="GI218" si="6210">SUM(GI210:GI217)</f>
        <v>0</v>
      </c>
      <c r="GJ218" s="49"/>
      <c r="GK218" s="83"/>
      <c r="GL218" s="70">
        <f t="shared" ref="GL218" si="6211">SUM(GL210:GL217)</f>
        <v>0</v>
      </c>
      <c r="GM218" s="49"/>
      <c r="GN218" s="83"/>
      <c r="GO218" s="70">
        <f t="shared" ref="GO218" si="6212">SUM(GO210:GO217)</f>
        <v>0</v>
      </c>
      <c r="GP218" s="49"/>
      <c r="GQ218" s="83"/>
      <c r="GR218" s="70">
        <f t="shared" ref="GR218" si="6213">SUM(GR210:GR217)</f>
        <v>0</v>
      </c>
      <c r="GS218" s="49"/>
      <c r="GT218" s="83"/>
      <c r="GU218" s="70">
        <f t="shared" ref="GU218" si="6214">SUM(GU210:GU217)</f>
        <v>0</v>
      </c>
      <c r="GV218" s="49"/>
      <c r="GW218" s="83"/>
      <c r="GX218" s="70">
        <f t="shared" ref="GX218" si="6215">SUM(GX210:GX217)</f>
        <v>0</v>
      </c>
      <c r="GY218" s="49"/>
      <c r="GZ218" s="83"/>
      <c r="HA218" s="70">
        <f t="shared" ref="HA218" si="6216">SUM(HA210:HA217)</f>
        <v>0</v>
      </c>
      <c r="HB218" s="49"/>
      <c r="HC218" s="83"/>
      <c r="HD218" s="70">
        <f t="shared" ref="HD218" si="6217">SUM(HD210:HD217)</f>
        <v>0</v>
      </c>
      <c r="HE218" s="49"/>
      <c r="HF218" s="83"/>
      <c r="HG218" s="70">
        <f t="shared" ref="HG218" si="6218">SUM(HG210:HG217)</f>
        <v>0</v>
      </c>
      <c r="HH218" s="49"/>
      <c r="HI218" s="83"/>
      <c r="HJ218" s="70">
        <f t="shared" ref="HJ218" si="6219">SUM(HJ210:HJ217)</f>
        <v>0</v>
      </c>
      <c r="HK218" s="49"/>
      <c r="HL218" s="83"/>
      <c r="HM218" s="70">
        <f t="shared" ref="HM218" si="6220">SUM(HM210:HM217)</f>
        <v>0</v>
      </c>
      <c r="HN218" s="49"/>
      <c r="HO218" s="83"/>
      <c r="HP218" s="70">
        <f t="shared" ref="HP218" si="6221">SUM(HP210:HP217)</f>
        <v>0</v>
      </c>
      <c r="HQ218" s="49"/>
      <c r="HR218" s="83"/>
      <c r="HS218" s="70">
        <f t="shared" ref="HS218" si="6222">SUM(HS210:HS217)</f>
        <v>0</v>
      </c>
      <c r="HT218" s="49"/>
      <c r="HU218" s="83"/>
      <c r="HV218" s="70">
        <f t="shared" ref="HV218" si="6223">SUM(HV210:HV217)</f>
        <v>0</v>
      </c>
      <c r="HW218" s="49"/>
      <c r="HX218" s="83"/>
      <c r="HY218" s="70">
        <f t="shared" ref="HY218" si="6224">SUM(HY210:HY217)</f>
        <v>0</v>
      </c>
      <c r="HZ218" s="49"/>
      <c r="IA218" s="83"/>
      <c r="IB218" s="70">
        <f t="shared" ref="IB218" si="6225">SUM(IB210:IB217)</f>
        <v>0</v>
      </c>
      <c r="IC218" s="49"/>
      <c r="ID218" s="83"/>
      <c r="IE218" s="70">
        <f t="shared" ref="IE218" si="6226">SUM(IE210:IE217)</f>
        <v>0</v>
      </c>
      <c r="IF218" s="49"/>
      <c r="IG218" s="83"/>
      <c r="IH218" s="70">
        <f t="shared" ref="IH218" si="6227">SUM(IH210:IH217)</f>
        <v>0</v>
      </c>
      <c r="II218" s="49"/>
      <c r="IJ218" s="83"/>
      <c r="IK218" s="70">
        <f t="shared" ref="IK218" si="6228">SUM(IK210:IK217)</f>
        <v>0</v>
      </c>
      <c r="IL218" s="49"/>
      <c r="IM218" s="83"/>
      <c r="IN218" s="70">
        <f t="shared" ref="IN218" si="6229">SUM(IN210:IN217)</f>
        <v>0</v>
      </c>
      <c r="IO218" s="49"/>
      <c r="IP218" s="83"/>
      <c r="IQ218" s="70">
        <f t="shared" ref="IQ218" si="6230">SUM(IQ210:IQ217)</f>
        <v>0</v>
      </c>
      <c r="IR218" s="49"/>
      <c r="IS218" s="83"/>
      <c r="IT218" s="70">
        <f t="shared" ref="IT218" si="6231">SUM(IT210:IT217)</f>
        <v>0</v>
      </c>
      <c r="IU218" s="49"/>
      <c r="IV218" s="83"/>
      <c r="IW218" s="70">
        <f t="shared" ref="IW218" si="6232">SUM(IW210:IW217)</f>
        <v>0</v>
      </c>
      <c r="IX218" s="49"/>
      <c r="IY218" s="83"/>
      <c r="IZ218" s="70">
        <f t="shared" ref="IZ218" si="6233">SUM(IZ210:IZ217)</f>
        <v>0</v>
      </c>
      <c r="JA218" s="49"/>
      <c r="JB218" s="83"/>
      <c r="JC218" s="70">
        <f t="shared" ref="JC218" si="6234">SUM(JC210:JC217)</f>
        <v>0</v>
      </c>
      <c r="JD218" s="49"/>
      <c r="JE218" s="83"/>
      <c r="JF218" s="70">
        <f t="shared" ref="JF218" si="6235">SUM(JF210:JF217)</f>
        <v>0</v>
      </c>
      <c r="JG218" s="49"/>
      <c r="JH218" s="83"/>
      <c r="JI218" s="70">
        <f t="shared" ref="JI218" si="6236">SUM(JI210:JI217)</f>
        <v>0</v>
      </c>
      <c r="JJ218" s="49"/>
      <c r="JK218" s="83"/>
      <c r="JL218" s="70">
        <f t="shared" ref="JL218" si="6237">SUM(JL210:JL217)</f>
        <v>0</v>
      </c>
      <c r="JM218" s="49"/>
      <c r="JN218" s="83"/>
      <c r="JO218" s="70">
        <f t="shared" ref="JO218" si="6238">SUM(JO210:JO217)</f>
        <v>0</v>
      </c>
      <c r="JP218" s="49"/>
      <c r="JQ218" s="83"/>
      <c r="JR218" s="70">
        <f t="shared" ref="JR218" si="6239">SUM(JR210:JR217)</f>
        <v>0</v>
      </c>
      <c r="JS218" s="49"/>
      <c r="JT218" s="83"/>
      <c r="JU218" s="70">
        <f t="shared" ref="JU218" si="6240">SUM(JU210:JU217)</f>
        <v>0</v>
      </c>
      <c r="JV218" s="49"/>
      <c r="JW218" s="83"/>
      <c r="JX218" s="70">
        <f t="shared" ref="JX218" si="6241">SUM(JX210:JX217)</f>
        <v>0</v>
      </c>
      <c r="JY218" s="49"/>
      <c r="JZ218" s="83"/>
      <c r="KA218" s="70">
        <f t="shared" ref="KA218" si="6242">SUM(KA210:KA217)</f>
        <v>0</v>
      </c>
      <c r="KB218" s="49"/>
      <c r="KC218" s="83"/>
      <c r="KD218" s="70">
        <f t="shared" ref="KD218" si="6243">SUM(KD210:KD217)</f>
        <v>0</v>
      </c>
      <c r="KE218" s="49"/>
      <c r="KF218" s="83"/>
      <c r="KG218" s="70">
        <f t="shared" ref="KG218" si="6244">SUM(KG210:KG217)</f>
        <v>0</v>
      </c>
      <c r="KH218" s="49"/>
      <c r="KI218" s="83"/>
      <c r="KJ218" s="70">
        <f t="shared" ref="KJ218" si="6245">SUM(KJ210:KJ217)</f>
        <v>0</v>
      </c>
      <c r="KK218" s="49"/>
      <c r="KL218" s="83"/>
      <c r="KM218" s="70">
        <f t="shared" ref="KM218" si="6246">SUM(KM210:KM217)</f>
        <v>0</v>
      </c>
      <c r="KN218" s="49"/>
      <c r="KO218" s="83"/>
      <c r="KP218" s="70">
        <f t="shared" ref="KP218" si="6247">SUM(KP210:KP217)</f>
        <v>0</v>
      </c>
      <c r="KQ218" s="49"/>
      <c r="KR218" s="83"/>
      <c r="KS218" s="70">
        <f t="shared" ref="KS218" si="6248">SUM(KS210:KS217)</f>
        <v>0</v>
      </c>
      <c r="KT218" s="49"/>
      <c r="KU218" s="83"/>
      <c r="KV218" s="70">
        <f t="shared" ref="KV218" si="6249">SUM(KV210:KV217)</f>
        <v>0</v>
      </c>
      <c r="KW218" s="49"/>
      <c r="KX218" s="83"/>
      <c r="KY218" s="70">
        <f t="shared" ref="KY218" si="6250">SUM(KY210:KY217)</f>
        <v>0</v>
      </c>
      <c r="KZ218" s="49"/>
      <c r="LA218" s="83"/>
      <c r="LB218" s="70">
        <f t="shared" ref="LB218" si="6251">SUM(LB210:LB217)</f>
        <v>0</v>
      </c>
      <c r="LC218" s="49"/>
      <c r="LD218" s="83"/>
      <c r="LE218" s="70">
        <f t="shared" ref="LE218" si="6252">SUM(LE210:LE217)</f>
        <v>0</v>
      </c>
      <c r="LF218" s="49"/>
    </row>
    <row r="219" spans="1:318" s="784" customFormat="1">
      <c r="A219" s="25"/>
      <c r="B219" s="25"/>
      <c r="C219" s="25"/>
      <c r="D219" s="25"/>
      <c r="E219" s="25"/>
      <c r="F219" s="406"/>
      <c r="G219" s="406"/>
      <c r="H219" s="64"/>
      <c r="I219" s="52" t="s">
        <v>1578</v>
      </c>
      <c r="J219" s="92"/>
      <c r="K219" s="111" t="str">
        <f>Idiomas!D142</f>
        <v>ENFRENTAMIENTOS CUARTOS</v>
      </c>
      <c r="L219" s="50"/>
      <c r="M219" s="70"/>
      <c r="N219" s="25"/>
      <c r="O219" s="25"/>
      <c r="P219" s="25"/>
      <c r="Q219" s="25"/>
      <c r="R219" s="49"/>
      <c r="S219" s="797"/>
      <c r="T219" s="70"/>
      <c r="U219" s="49"/>
      <c r="V219" s="83"/>
      <c r="W219" s="70"/>
      <c r="X219" s="49"/>
      <c r="Y219" s="797"/>
      <c r="Z219" s="70"/>
      <c r="AA219" s="49"/>
      <c r="AB219" s="797"/>
      <c r="AC219" s="70"/>
      <c r="AD219" s="49"/>
      <c r="AE219" s="797"/>
      <c r="AF219" s="70"/>
      <c r="AG219" s="49"/>
      <c r="AH219" s="797"/>
      <c r="AI219" s="70"/>
      <c r="AJ219" s="49"/>
      <c r="AK219" s="802"/>
      <c r="AL219" s="70"/>
      <c r="AM219" s="49"/>
      <c r="AN219" s="797"/>
      <c r="AO219" s="70"/>
      <c r="AP219" s="49"/>
      <c r="AQ219" s="802"/>
      <c r="AR219" s="70"/>
      <c r="AS219" s="49"/>
      <c r="AT219" s="797"/>
      <c r="AU219" s="70"/>
      <c r="AV219" s="49"/>
      <c r="AW219" s="797"/>
      <c r="AX219" s="70"/>
      <c r="AY219" s="49"/>
      <c r="AZ219" s="797"/>
      <c r="BA219" s="70"/>
      <c r="BB219" s="49"/>
      <c r="BC219" s="797"/>
      <c r="BD219" s="70"/>
      <c r="BE219" s="49"/>
      <c r="BF219" s="797"/>
      <c r="BG219" s="70"/>
      <c r="BH219" s="49"/>
      <c r="BI219" s="797"/>
      <c r="BJ219" s="70"/>
      <c r="BK219" s="49"/>
      <c r="BL219" s="797"/>
      <c r="BM219" s="70"/>
      <c r="BN219" s="49"/>
      <c r="BO219" s="812"/>
      <c r="BP219" s="70"/>
      <c r="BQ219" s="49"/>
      <c r="BR219" s="797"/>
      <c r="BS219" s="70"/>
      <c r="BT219" s="49"/>
      <c r="BU219" s="797"/>
      <c r="BV219" s="70"/>
      <c r="BW219" s="49"/>
      <c r="BX219" s="83"/>
      <c r="BY219" s="70"/>
      <c r="BZ219" s="49"/>
      <c r="CA219" s="812"/>
      <c r="CB219" s="70"/>
      <c r="CC219" s="49"/>
      <c r="CD219" s="821"/>
      <c r="CE219" s="70"/>
      <c r="CF219" s="49"/>
      <c r="CG219" s="797"/>
      <c r="CH219" s="70"/>
      <c r="CI219" s="49"/>
      <c r="CJ219" s="797"/>
      <c r="CK219" s="70"/>
      <c r="CL219" s="49"/>
      <c r="CM219" s="797"/>
      <c r="CN219" s="70"/>
      <c r="CO219" s="49"/>
      <c r="CP219" s="797"/>
      <c r="CQ219" s="70"/>
      <c r="CR219" s="49"/>
      <c r="CS219" s="797"/>
      <c r="CT219" s="70"/>
      <c r="CU219" s="49"/>
      <c r="CV219" s="797"/>
      <c r="CW219" s="70"/>
      <c r="CX219" s="49"/>
      <c r="CY219" s="797"/>
      <c r="CZ219" s="70"/>
      <c r="DA219" s="49"/>
      <c r="DB219" s="797"/>
      <c r="DC219" s="70"/>
      <c r="DD219" s="49"/>
      <c r="DE219" s="797"/>
      <c r="DF219" s="70"/>
      <c r="DG219" s="49"/>
      <c r="DH219" s="797"/>
      <c r="DI219" s="70"/>
      <c r="DJ219" s="49"/>
      <c r="DK219" s="797"/>
      <c r="DL219" s="70"/>
      <c r="DM219" s="49"/>
      <c r="DN219" s="83"/>
      <c r="DO219" s="70"/>
      <c r="DP219" s="49"/>
      <c r="DQ219" s="797"/>
      <c r="DR219" s="70"/>
      <c r="DS219" s="49"/>
      <c r="DT219" s="83"/>
      <c r="DU219" s="70"/>
      <c r="DV219" s="49"/>
      <c r="DW219" s="83"/>
      <c r="DX219" s="70"/>
      <c r="DY219" s="49"/>
      <c r="DZ219" s="83"/>
      <c r="EA219" s="70"/>
      <c r="EB219" s="49"/>
      <c r="EC219" s="83"/>
      <c r="ED219" s="70"/>
      <c r="EE219" s="49"/>
      <c r="EF219" s="83"/>
      <c r="EG219" s="70"/>
      <c r="EH219" s="49"/>
      <c r="EI219" s="83"/>
      <c r="EJ219" s="70"/>
      <c r="EK219" s="49"/>
      <c r="EL219" s="83"/>
      <c r="EM219" s="70"/>
      <c r="EN219" s="49"/>
      <c r="EO219" s="83"/>
      <c r="EP219" s="70"/>
      <c r="EQ219" s="49"/>
      <c r="ER219" s="83"/>
      <c r="ES219" s="70"/>
      <c r="ET219" s="49"/>
      <c r="EU219" s="83"/>
      <c r="EV219" s="70"/>
      <c r="EW219" s="49"/>
      <c r="EX219" s="83"/>
      <c r="EY219" s="70"/>
      <c r="EZ219" s="49"/>
      <c r="FA219" s="83"/>
      <c r="FB219" s="70"/>
      <c r="FC219" s="49"/>
      <c r="FD219" s="83"/>
      <c r="FE219" s="70"/>
      <c r="FF219" s="49"/>
      <c r="FG219" s="83"/>
      <c r="FH219" s="70"/>
      <c r="FI219" s="49"/>
      <c r="FJ219" s="83"/>
      <c r="FK219" s="70"/>
      <c r="FL219" s="49"/>
      <c r="FM219" s="83"/>
      <c r="FN219" s="70"/>
      <c r="FO219" s="49"/>
      <c r="FP219" s="83"/>
      <c r="FQ219" s="70"/>
      <c r="FR219" s="49"/>
      <c r="FS219" s="83"/>
      <c r="FT219" s="70"/>
      <c r="FU219" s="49"/>
      <c r="FV219" s="83"/>
      <c r="FW219" s="70"/>
      <c r="FX219" s="49"/>
      <c r="FY219" s="83"/>
      <c r="FZ219" s="70"/>
      <c r="GA219" s="49"/>
      <c r="GB219" s="83"/>
      <c r="GC219" s="70"/>
      <c r="GD219" s="49"/>
      <c r="GE219" s="83"/>
      <c r="GF219" s="70"/>
      <c r="GG219" s="49"/>
      <c r="GH219" s="83"/>
      <c r="GI219" s="70"/>
      <c r="GJ219" s="49"/>
      <c r="GK219" s="83"/>
      <c r="GL219" s="70"/>
      <c r="GM219" s="49"/>
      <c r="GN219" s="83"/>
      <c r="GO219" s="70"/>
      <c r="GP219" s="49"/>
      <c r="GQ219" s="83"/>
      <c r="GR219" s="70"/>
      <c r="GS219" s="49"/>
      <c r="GT219" s="83"/>
      <c r="GU219" s="70"/>
      <c r="GV219" s="49"/>
      <c r="GW219" s="83"/>
      <c r="GX219" s="70"/>
      <c r="GY219" s="49"/>
      <c r="GZ219" s="83"/>
      <c r="HA219" s="70"/>
      <c r="HB219" s="49"/>
      <c r="HC219" s="83"/>
      <c r="HD219" s="70"/>
      <c r="HE219" s="49"/>
      <c r="HF219" s="83"/>
      <c r="HG219" s="70"/>
      <c r="HH219" s="49"/>
      <c r="HI219" s="83"/>
      <c r="HJ219" s="70"/>
      <c r="HK219" s="49"/>
      <c r="HL219" s="83"/>
      <c r="HM219" s="70"/>
      <c r="HN219" s="49"/>
      <c r="HO219" s="83"/>
      <c r="HP219" s="70"/>
      <c r="HQ219" s="49"/>
      <c r="HR219" s="83"/>
      <c r="HS219" s="70"/>
      <c r="HT219" s="49"/>
      <c r="HU219" s="83"/>
      <c r="HV219" s="70"/>
      <c r="HW219" s="49"/>
      <c r="HX219" s="83"/>
      <c r="HY219" s="70"/>
      <c r="HZ219" s="49"/>
      <c r="IA219" s="83"/>
      <c r="IB219" s="70"/>
      <c r="IC219" s="49"/>
      <c r="ID219" s="83"/>
      <c r="IE219" s="70"/>
      <c r="IF219" s="49"/>
      <c r="IG219" s="83"/>
      <c r="IH219" s="70"/>
      <c r="II219" s="49"/>
      <c r="IJ219" s="83"/>
      <c r="IK219" s="70"/>
      <c r="IL219" s="49"/>
      <c r="IM219" s="83"/>
      <c r="IN219" s="70"/>
      <c r="IO219" s="49"/>
      <c r="IP219" s="83"/>
      <c r="IQ219" s="70"/>
      <c r="IR219" s="49"/>
      <c r="IS219" s="83"/>
      <c r="IT219" s="70"/>
      <c r="IU219" s="49"/>
      <c r="IV219" s="83"/>
      <c r="IW219" s="70"/>
      <c r="IX219" s="49"/>
      <c r="IY219" s="83"/>
      <c r="IZ219" s="70"/>
      <c r="JA219" s="49"/>
      <c r="JB219" s="83"/>
      <c r="JC219" s="70"/>
      <c r="JD219" s="49"/>
      <c r="JE219" s="83"/>
      <c r="JF219" s="70"/>
      <c r="JG219" s="49"/>
      <c r="JH219" s="83"/>
      <c r="JI219" s="70"/>
      <c r="JJ219" s="49"/>
      <c r="JK219" s="83"/>
      <c r="JL219" s="70"/>
      <c r="JM219" s="49"/>
      <c r="JN219" s="83"/>
      <c r="JO219" s="70"/>
      <c r="JP219" s="49"/>
      <c r="JQ219" s="83"/>
      <c r="JR219" s="70"/>
      <c r="JS219" s="49"/>
      <c r="JT219" s="83"/>
      <c r="JU219" s="70"/>
      <c r="JV219" s="49"/>
      <c r="JW219" s="83"/>
      <c r="JX219" s="70"/>
      <c r="JY219" s="49"/>
      <c r="JZ219" s="83"/>
      <c r="KA219" s="70"/>
      <c r="KB219" s="49"/>
      <c r="KC219" s="83"/>
      <c r="KD219" s="70"/>
      <c r="KE219" s="49"/>
      <c r="KF219" s="83"/>
      <c r="KG219" s="70"/>
      <c r="KH219" s="49"/>
      <c r="KI219" s="83"/>
      <c r="KJ219" s="70"/>
      <c r="KK219" s="49"/>
      <c r="KL219" s="83"/>
      <c r="KM219" s="70"/>
      <c r="KN219" s="49"/>
      <c r="KO219" s="83"/>
      <c r="KP219" s="70"/>
      <c r="KQ219" s="49"/>
      <c r="KR219" s="83"/>
      <c r="KS219" s="70"/>
      <c r="KT219" s="49"/>
      <c r="KU219" s="83"/>
      <c r="KV219" s="70"/>
      <c r="KW219" s="49"/>
      <c r="KX219" s="83"/>
      <c r="KY219" s="70"/>
      <c r="KZ219" s="49"/>
      <c r="LA219" s="83"/>
      <c r="LB219" s="70"/>
      <c r="LC219" s="49"/>
      <c r="LD219" s="83"/>
      <c r="LE219" s="70"/>
      <c r="LF219" s="49"/>
    </row>
    <row r="220" spans="1:318" s="784" customFormat="1">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6">
        <f>SUM($D$24:$D$26)*I220</f>
        <v>30</v>
      </c>
      <c r="G220" s="406">
        <f ca="1">VLOOKUP(H220,Equipos!$Q$1:$R$25,2,0)</f>
        <v>22</v>
      </c>
      <c r="H220" s="64" t="str">
        <f>Idiomas!$D$262</f>
        <v>Cuartos de final</v>
      </c>
      <c r="I220" s="45">
        <v>1</v>
      </c>
      <c r="J220" s="843" t="s">
        <v>34</v>
      </c>
      <c r="K220" s="53" t="str">
        <f>CONCATENATE(WORLDCUP!AA131,"-",WORLDCUP!AF131)</f>
        <v>W89-W90</v>
      </c>
      <c r="L220" s="53" t="str">
        <f>IF(OR(WORLDCUP!AC131="",WORLDCUP!AD131=""),"PD",IF(WORLDCUP!AC131&gt;WORLDCUP!AD131,1,IF(WORLDCUP!AC131&lt;WORLDCUP!AD131,2,0)))</f>
        <v>PD</v>
      </c>
      <c r="M220" s="55" t="str">
        <f t="shared" ref="M220:M223" si="6253">IF(L220="PD","-",N220&amp;"-"&amp;O220)</f>
        <v>-</v>
      </c>
      <c r="N220" s="25">
        <f>WORLDCUP!AC131</f>
        <v>0</v>
      </c>
      <c r="O220" s="25">
        <f>WORLDCUP!AD131</f>
        <v>0</v>
      </c>
      <c r="P220" s="25">
        <f t="shared" ref="P220:P223" si="6254">+N220-O220</f>
        <v>0</v>
      </c>
      <c r="Q220" s="25">
        <f>+A220-B220</f>
        <v>0</v>
      </c>
      <c r="R220" s="108"/>
      <c r="S220" s="796" t="s">
        <v>1988</v>
      </c>
      <c r="T220" s="76">
        <f t="shared" ref="T220:T223" si="6255">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08"/>
      <c r="V220" s="75" t="s">
        <v>2033</v>
      </c>
      <c r="W220" s="76">
        <f t="shared" ref="W220:W223" si="6256">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08"/>
      <c r="Y220" s="796" t="s">
        <v>2076</v>
      </c>
      <c r="Z220" s="76">
        <f t="shared" ref="Z220:Z223" si="6257">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08"/>
      <c r="AB220" s="796" t="s">
        <v>2110</v>
      </c>
      <c r="AC220" s="76">
        <f t="shared" ref="AC220:AC223" si="6258">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08"/>
      <c r="AE220" s="796" t="s">
        <v>2033</v>
      </c>
      <c r="AF220" s="76">
        <f t="shared" ref="AF220" si="6259">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08"/>
      <c r="AH220" s="796" t="s">
        <v>2180</v>
      </c>
      <c r="AI220" s="76">
        <f t="shared" ref="AI220:AI223" si="6260">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08"/>
      <c r="AK220" s="806" t="s">
        <v>2218</v>
      </c>
      <c r="AL220" s="76">
        <f t="shared" ref="AL220:AL223" si="6261">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08"/>
      <c r="AN220" s="796" t="s">
        <v>2243</v>
      </c>
      <c r="AO220" s="76">
        <f t="shared" ref="AO220:AO223" si="6262">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08"/>
      <c r="AQ220" s="806" t="s">
        <v>2271</v>
      </c>
      <c r="AR220" s="76">
        <f t="shared" ref="AR220:AR223" si="6263">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08"/>
      <c r="AT220" s="796" t="s">
        <v>2307</v>
      </c>
      <c r="AU220" s="76">
        <f t="shared" ref="AU220:AU223" si="6264">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08"/>
      <c r="AW220" s="796" t="s">
        <v>2326</v>
      </c>
      <c r="AX220" s="76">
        <f t="shared" ref="AX220:AX223" si="6265">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08"/>
      <c r="AZ220" s="796" t="s">
        <v>2375</v>
      </c>
      <c r="BA220" s="76">
        <f t="shared" ref="BA220:BA223" si="6266">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08"/>
      <c r="BC220" s="796" t="s">
        <v>2408</v>
      </c>
      <c r="BD220" s="76">
        <f t="shared" ref="BD220:BD223" si="6267">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08"/>
      <c r="BF220" s="796" t="s">
        <v>2434</v>
      </c>
      <c r="BG220" s="76">
        <f t="shared" ref="BG220:BG223" si="6268">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08"/>
      <c r="BI220" s="796" t="s">
        <v>2467</v>
      </c>
      <c r="BJ220" s="76">
        <f t="shared" ref="BJ220:BJ223" si="6269">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08"/>
      <c r="BL220" s="796" t="s">
        <v>2486</v>
      </c>
      <c r="BM220" s="76">
        <f t="shared" ref="BM220:BM223" si="6270">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08"/>
      <c r="BO220" s="816" t="s">
        <v>2218</v>
      </c>
      <c r="BP220" s="76">
        <f t="shared" ref="BP220:BP223" si="6271">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08"/>
      <c r="BR220" s="796" t="s">
        <v>2110</v>
      </c>
      <c r="BS220" s="76">
        <f t="shared" ref="BS220:BS223" si="6272">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08"/>
      <c r="BU220" s="796" t="s">
        <v>2546</v>
      </c>
      <c r="BV220" s="76">
        <f t="shared" ref="BV220:BV223" si="6273">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08"/>
      <c r="BX220" s="75" t="s">
        <v>2218</v>
      </c>
      <c r="BY220" s="76">
        <f t="shared" ref="BY220:BY223" si="6274">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08"/>
      <c r="CA220" s="816" t="s">
        <v>2586</v>
      </c>
      <c r="CB220" s="76">
        <f t="shared" ref="CB220:CB223" si="6275">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08"/>
      <c r="CD220" s="825" t="s">
        <v>2603</v>
      </c>
      <c r="CE220" s="76">
        <f t="shared" ref="CE220:CE223" si="6276">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08"/>
      <c r="CG220" s="796" t="s">
        <v>2620</v>
      </c>
      <c r="CH220" s="76">
        <f t="shared" ref="CH220:CH223" si="6277">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08"/>
      <c r="CJ220" s="796" t="s">
        <v>2634</v>
      </c>
      <c r="CK220" s="76">
        <f t="shared" ref="CK220:CK223" si="6278">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08"/>
      <c r="CM220" s="796" t="s">
        <v>2661</v>
      </c>
      <c r="CN220" s="76">
        <f t="shared" ref="CN220:CN223" si="6279">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08"/>
      <c r="CP220" s="796" t="s">
        <v>2683</v>
      </c>
      <c r="CQ220" s="76">
        <f t="shared" ref="CQ220:CQ223" si="6280">IFERROR(IF(COUNTIF($K$220:$K$223,LEFT(CP220,FIND("·",CP220)-1))&gt;0,IF(INDEX($L$220:$L$223,MATCH(LEFT(CP220,FIND("·",CP220)-1),$K$220:$K$223,0))=IFERROR(VALUE(MID(CP220,FIND("·",CP220)+1,1)),0),($D$24+(INDEX($M$220:$M$223,MATCH(LEFT(CP220,FIND("·",CP220)-1),$K$220:$K$223,0))=MID(CP220,FIND("|",CP220)+1,10))*$D$26+MAX(0,IF($D$50=1,$D$25*(1-(ABS(INDEX($P$220:$P$223,MATCH(LEFT(CP220,FIND("·",CP220)-1),$K$220:$K$223,0))-(VALUE(MID(CP220,FIND("|",CP220)+1,FIND("-",CP220,FIND("|",CP220))-FIND("|",CP220)-1))-VALUE(MID(CP220,FIND("-",CP220,FIND("|",CP220))+1,10)))))*$D$50),$D$25*(1-(IF(INDEX($L$220:$L$223,MATCH(LEFT(CP220,FIND("·",CP220)-1),$K$220:$K$223,0))=0,ABS(INDEX($N$220:$N$223,MATCH(LEFT(CP220,FIND("·",CP220)-1),$K$220:$K$223,0))-VALUE(MID(CP220,FIND("|",CP220)+1,FIND("-",CP220,FIND("|",CP220))-FIND("|",CP220)-1))),ABS(INDEX($P$220:$P$223,MATCH(LEFT(CP220,FIND("·",CP220)-1),$K$220:$K$223,0))-(VALUE(MID(CP220,FIND("|",CP220)+1,FIND("-",CP220,FIND("|",CP220))-FIND("|",CP220)-1))-VALUE(MID(CP220,FIND("-",CP220,FIND("|",CP220))+1,10)))))*$D$50)))))*INDEX($I$220:$I$223,MATCH(LEFT(CP220,FIND("·",CP220)-1),$K$220:$K$223,0)),0),0),0)+IFERROR(IF(COUNTIF($C$220:$C$223,LEFT(CP220,FIND("·",CP220)-1))&gt;0,IF(INDEX($D$220:$D$223,MATCH(LEFT(CP220,FIND("·",CP220)-1),$C$220:$C$223,0))=IFERROR(VALUE(MID(CP220,FIND("·",CP220)+1,1)),0),($D$24+(INDEX($E$220:$E$223,MATCH(LEFT(CP220,FIND("·",CP220)-1),$C$220:$C$223,0))=MID(CP220,FIND("|",CP220)+1,10))*$D$26+MAX(0,IF($D$50=1,$D$25*(1-(ABS(INDEX($Q$220:$Q$223,MATCH(LEFT(CP220,FIND("·",CP220)-1),$C$220:$C$223,0))-(VALUE(MID(CP220,FIND("|",CP220)+1,FIND("-",CP220,FIND("|",CP220))-FIND("|",CP220)-1))-VALUE(MID(CP220,FIND("-",CP220,FIND("|",CP220))+1,10)))))*$D$50),$D$25*(1-(IF(INDEX($D$220:$D$223,MATCH(LEFT(CP220,FIND("·",CP220)-1),$C$220:$C$223,0))=0,ABS(INDEX($A$220:$A$223,MATCH(LEFT(CP220,FIND("·",CP220)-1),$C$220:$C$223,0))-VALUE(MID(CP220,FIND("|",CP220)+1,FIND("-",CP220,FIND("|",CP220))-FIND("|",CP220)-1))),ABS(INDEX($Q$220:$Q$223,MATCH(LEFT(CP220,FIND("·",CP220)-1),$C$220:$C$223,0))-(VALUE(MID(CP220,FIND("|",CP220)+1,FIND("-",CP220,FIND("|",CP220))-FIND("|",CP220)-1))-VALUE(MID(CP220,FIND("-",CP220,FIND("|",CP220))+1,10)))))*$D$50)))))*INDEX($I$220:$I$223,MATCH(LEFT(CP220,FIND("·",CP220)-1),$C$220:$C$223,0)),0),0),0)</f>
        <v>0</v>
      </c>
      <c r="CR220" s="108"/>
      <c r="CS220" s="796" t="s">
        <v>2683</v>
      </c>
      <c r="CT220" s="76">
        <f t="shared" ref="CT220:CT223" si="6281">IFERROR(IF(COUNTIF($K$220:$K$223,LEFT(CS220,FIND("·",CS220)-1))&gt;0,IF(INDEX($L$220:$L$223,MATCH(LEFT(CS220,FIND("·",CS220)-1),$K$220:$K$223,0))=IFERROR(VALUE(MID(CS220,FIND("·",CS220)+1,1)),0),($D$24+(INDEX($M$220:$M$223,MATCH(LEFT(CS220,FIND("·",CS220)-1),$K$220:$K$223,0))=MID(CS220,FIND("|",CS220)+1,10))*$D$26+MAX(0,IF($D$50=1,$D$25*(1-(ABS(INDEX($P$220:$P$223,MATCH(LEFT(CS220,FIND("·",CS220)-1),$K$220:$K$223,0))-(VALUE(MID(CS220,FIND("|",CS220)+1,FIND("-",CS220,FIND("|",CS220))-FIND("|",CS220)-1))-VALUE(MID(CS220,FIND("-",CS220,FIND("|",CS220))+1,10)))))*$D$50),$D$25*(1-(IF(INDEX($L$220:$L$223,MATCH(LEFT(CS220,FIND("·",CS220)-1),$K$220:$K$223,0))=0,ABS(INDEX($N$220:$N$223,MATCH(LEFT(CS220,FIND("·",CS220)-1),$K$220:$K$223,0))-VALUE(MID(CS220,FIND("|",CS220)+1,FIND("-",CS220,FIND("|",CS220))-FIND("|",CS220)-1))),ABS(INDEX($P$220:$P$223,MATCH(LEFT(CS220,FIND("·",CS220)-1),$K$220:$K$223,0))-(VALUE(MID(CS220,FIND("|",CS220)+1,FIND("-",CS220,FIND("|",CS220))-FIND("|",CS220)-1))-VALUE(MID(CS220,FIND("-",CS220,FIND("|",CS220))+1,10)))))*$D$50)))))*INDEX($I$220:$I$223,MATCH(LEFT(CS220,FIND("·",CS220)-1),$K$220:$K$223,0)),0),0),0)+IFERROR(IF(COUNTIF($C$220:$C$223,LEFT(CS220,FIND("·",CS220)-1))&gt;0,IF(INDEX($D$220:$D$223,MATCH(LEFT(CS220,FIND("·",CS220)-1),$C$220:$C$223,0))=IFERROR(VALUE(MID(CS220,FIND("·",CS220)+1,1)),0),($D$24+(INDEX($E$220:$E$223,MATCH(LEFT(CS220,FIND("·",CS220)-1),$C$220:$C$223,0))=MID(CS220,FIND("|",CS220)+1,10))*$D$26+MAX(0,IF($D$50=1,$D$25*(1-(ABS(INDEX($Q$220:$Q$223,MATCH(LEFT(CS220,FIND("·",CS220)-1),$C$220:$C$223,0))-(VALUE(MID(CS220,FIND("|",CS220)+1,FIND("-",CS220,FIND("|",CS220))-FIND("|",CS220)-1))-VALUE(MID(CS220,FIND("-",CS220,FIND("|",CS220))+1,10)))))*$D$50),$D$25*(1-(IF(INDEX($D$220:$D$223,MATCH(LEFT(CS220,FIND("·",CS220)-1),$C$220:$C$223,0))=0,ABS(INDEX($A$220:$A$223,MATCH(LEFT(CS220,FIND("·",CS220)-1),$C$220:$C$223,0))-VALUE(MID(CS220,FIND("|",CS220)+1,FIND("-",CS220,FIND("|",CS220))-FIND("|",CS220)-1))),ABS(INDEX($Q$220:$Q$223,MATCH(LEFT(CS220,FIND("·",CS220)-1),$C$220:$C$223,0))-(VALUE(MID(CS220,FIND("|",CS220)+1,FIND("-",CS220,FIND("|",CS220))-FIND("|",CS220)-1))-VALUE(MID(CS220,FIND("-",CS220,FIND("|",CS220))+1,10)))))*$D$50)))))*INDEX($I$220:$I$223,MATCH(LEFT(CS220,FIND("·",CS220)-1),$C$220:$C$223,0)),0),0),0)</f>
        <v>0</v>
      </c>
      <c r="CU220" s="108"/>
      <c r="CV220" s="796" t="s">
        <v>2735</v>
      </c>
      <c r="CW220" s="76">
        <f t="shared" ref="CW220:CW223" si="6282">IFERROR(IF(COUNTIF($K$220:$K$223,LEFT(CV220,FIND("·",CV220)-1))&gt;0,IF(INDEX($L$220:$L$223,MATCH(LEFT(CV220,FIND("·",CV220)-1),$K$220:$K$223,0))=IFERROR(VALUE(MID(CV220,FIND("·",CV220)+1,1)),0),($D$24+(INDEX($M$220:$M$223,MATCH(LEFT(CV220,FIND("·",CV220)-1),$K$220:$K$223,0))=MID(CV220,FIND("|",CV220)+1,10))*$D$26+MAX(0,IF($D$50=1,$D$25*(1-(ABS(INDEX($P$220:$P$223,MATCH(LEFT(CV220,FIND("·",CV220)-1),$K$220:$K$223,0))-(VALUE(MID(CV220,FIND("|",CV220)+1,FIND("-",CV220,FIND("|",CV220))-FIND("|",CV220)-1))-VALUE(MID(CV220,FIND("-",CV220,FIND("|",CV220))+1,10)))))*$D$50),$D$25*(1-(IF(INDEX($L$220:$L$223,MATCH(LEFT(CV220,FIND("·",CV220)-1),$K$220:$K$223,0))=0,ABS(INDEX($N$220:$N$223,MATCH(LEFT(CV220,FIND("·",CV220)-1),$K$220:$K$223,0))-VALUE(MID(CV220,FIND("|",CV220)+1,FIND("-",CV220,FIND("|",CV220))-FIND("|",CV220)-1))),ABS(INDEX($P$220:$P$223,MATCH(LEFT(CV220,FIND("·",CV220)-1),$K$220:$K$223,0))-(VALUE(MID(CV220,FIND("|",CV220)+1,FIND("-",CV220,FIND("|",CV220))-FIND("|",CV220)-1))-VALUE(MID(CV220,FIND("-",CV220,FIND("|",CV220))+1,10)))))*$D$50)))))*INDEX($I$220:$I$223,MATCH(LEFT(CV220,FIND("·",CV220)-1),$K$220:$K$223,0)),0),0),0)+IFERROR(IF(COUNTIF($C$220:$C$223,LEFT(CV220,FIND("·",CV220)-1))&gt;0,IF(INDEX($D$220:$D$223,MATCH(LEFT(CV220,FIND("·",CV220)-1),$C$220:$C$223,0))=IFERROR(VALUE(MID(CV220,FIND("·",CV220)+1,1)),0),($D$24+(INDEX($E$220:$E$223,MATCH(LEFT(CV220,FIND("·",CV220)-1),$C$220:$C$223,0))=MID(CV220,FIND("|",CV220)+1,10))*$D$26+MAX(0,IF($D$50=1,$D$25*(1-(ABS(INDEX($Q$220:$Q$223,MATCH(LEFT(CV220,FIND("·",CV220)-1),$C$220:$C$223,0))-(VALUE(MID(CV220,FIND("|",CV220)+1,FIND("-",CV220,FIND("|",CV220))-FIND("|",CV220)-1))-VALUE(MID(CV220,FIND("-",CV220,FIND("|",CV220))+1,10)))))*$D$50),$D$25*(1-(IF(INDEX($D$220:$D$223,MATCH(LEFT(CV220,FIND("·",CV220)-1),$C$220:$C$223,0))=0,ABS(INDEX($A$220:$A$223,MATCH(LEFT(CV220,FIND("·",CV220)-1),$C$220:$C$223,0))-VALUE(MID(CV220,FIND("|",CV220)+1,FIND("-",CV220,FIND("|",CV220))-FIND("|",CV220)-1))),ABS(INDEX($Q$220:$Q$223,MATCH(LEFT(CV220,FIND("·",CV220)-1),$C$220:$C$223,0))-(VALUE(MID(CV220,FIND("|",CV220)+1,FIND("-",CV220,FIND("|",CV220))-FIND("|",CV220)-1))-VALUE(MID(CV220,FIND("-",CV220,FIND("|",CV220))+1,10)))))*$D$50)))))*INDEX($I$220:$I$223,MATCH(LEFT(CV220,FIND("·",CV220)-1),$C$220:$C$223,0)),0),0),0)</f>
        <v>0</v>
      </c>
      <c r="CX220" s="108"/>
      <c r="CY220" s="796" t="s">
        <v>2756</v>
      </c>
      <c r="CZ220" s="76">
        <f t="shared" ref="CZ220:CZ223" si="6283">IFERROR(IF(COUNTIF($K$220:$K$223,LEFT(CY220,FIND("·",CY220)-1))&gt;0,IF(INDEX($L$220:$L$223,MATCH(LEFT(CY220,FIND("·",CY220)-1),$K$220:$K$223,0))=IFERROR(VALUE(MID(CY220,FIND("·",CY220)+1,1)),0),($D$24+(INDEX($M$220:$M$223,MATCH(LEFT(CY220,FIND("·",CY220)-1),$K$220:$K$223,0))=MID(CY220,FIND("|",CY220)+1,10))*$D$26+MAX(0,IF($D$50=1,$D$25*(1-(ABS(INDEX($P$220:$P$223,MATCH(LEFT(CY220,FIND("·",CY220)-1),$K$220:$K$223,0))-(VALUE(MID(CY220,FIND("|",CY220)+1,FIND("-",CY220,FIND("|",CY220))-FIND("|",CY220)-1))-VALUE(MID(CY220,FIND("-",CY220,FIND("|",CY220))+1,10)))))*$D$50),$D$25*(1-(IF(INDEX($L$220:$L$223,MATCH(LEFT(CY220,FIND("·",CY220)-1),$K$220:$K$223,0))=0,ABS(INDEX($N$220:$N$223,MATCH(LEFT(CY220,FIND("·",CY220)-1),$K$220:$K$223,0))-VALUE(MID(CY220,FIND("|",CY220)+1,FIND("-",CY220,FIND("|",CY220))-FIND("|",CY220)-1))),ABS(INDEX($P$220:$P$223,MATCH(LEFT(CY220,FIND("·",CY220)-1),$K$220:$K$223,0))-(VALUE(MID(CY220,FIND("|",CY220)+1,FIND("-",CY220,FIND("|",CY220))-FIND("|",CY220)-1))-VALUE(MID(CY220,FIND("-",CY220,FIND("|",CY220))+1,10)))))*$D$50)))))*INDEX($I$220:$I$223,MATCH(LEFT(CY220,FIND("·",CY220)-1),$K$220:$K$223,0)),0),0),0)+IFERROR(IF(COUNTIF($C$220:$C$223,LEFT(CY220,FIND("·",CY220)-1))&gt;0,IF(INDEX($D$220:$D$223,MATCH(LEFT(CY220,FIND("·",CY220)-1),$C$220:$C$223,0))=IFERROR(VALUE(MID(CY220,FIND("·",CY220)+1,1)),0),($D$24+(INDEX($E$220:$E$223,MATCH(LEFT(CY220,FIND("·",CY220)-1),$C$220:$C$223,0))=MID(CY220,FIND("|",CY220)+1,10))*$D$26+MAX(0,IF($D$50=1,$D$25*(1-(ABS(INDEX($Q$220:$Q$223,MATCH(LEFT(CY220,FIND("·",CY220)-1),$C$220:$C$223,0))-(VALUE(MID(CY220,FIND("|",CY220)+1,FIND("-",CY220,FIND("|",CY220))-FIND("|",CY220)-1))-VALUE(MID(CY220,FIND("-",CY220,FIND("|",CY220))+1,10)))))*$D$50),$D$25*(1-(IF(INDEX($D$220:$D$223,MATCH(LEFT(CY220,FIND("·",CY220)-1),$C$220:$C$223,0))=0,ABS(INDEX($A$220:$A$223,MATCH(LEFT(CY220,FIND("·",CY220)-1),$C$220:$C$223,0))-VALUE(MID(CY220,FIND("|",CY220)+1,FIND("-",CY220,FIND("|",CY220))-FIND("|",CY220)-1))),ABS(INDEX($Q$220:$Q$223,MATCH(LEFT(CY220,FIND("·",CY220)-1),$C$220:$C$223,0))-(VALUE(MID(CY220,FIND("|",CY220)+1,FIND("-",CY220,FIND("|",CY220))-FIND("|",CY220)-1))-VALUE(MID(CY220,FIND("-",CY220,FIND("|",CY220))+1,10)))))*$D$50)))))*INDEX($I$220:$I$223,MATCH(LEFT(CY220,FIND("·",CY220)-1),$C$220:$C$223,0)),0),0),0)</f>
        <v>0</v>
      </c>
      <c r="DA220" s="108"/>
      <c r="DB220" s="796" t="s">
        <v>2782</v>
      </c>
      <c r="DC220" s="76">
        <f t="shared" ref="DC220:DC223" si="6284">IFERROR(IF(COUNTIF($K$220:$K$223,LEFT(DB220,FIND("·",DB220)-1))&gt;0,IF(INDEX($L$220:$L$223,MATCH(LEFT(DB220,FIND("·",DB220)-1),$K$220:$K$223,0))=IFERROR(VALUE(MID(DB220,FIND("·",DB220)+1,1)),0),($D$24+(INDEX($M$220:$M$223,MATCH(LEFT(DB220,FIND("·",DB220)-1),$K$220:$K$223,0))=MID(DB220,FIND("|",DB220)+1,10))*$D$26+MAX(0,IF($D$50=1,$D$25*(1-(ABS(INDEX($P$220:$P$223,MATCH(LEFT(DB220,FIND("·",DB220)-1),$K$220:$K$223,0))-(VALUE(MID(DB220,FIND("|",DB220)+1,FIND("-",DB220,FIND("|",DB220))-FIND("|",DB220)-1))-VALUE(MID(DB220,FIND("-",DB220,FIND("|",DB220))+1,10)))))*$D$50),$D$25*(1-(IF(INDEX($L$220:$L$223,MATCH(LEFT(DB220,FIND("·",DB220)-1),$K$220:$K$223,0))=0,ABS(INDEX($N$220:$N$223,MATCH(LEFT(DB220,FIND("·",DB220)-1),$K$220:$K$223,0))-VALUE(MID(DB220,FIND("|",DB220)+1,FIND("-",DB220,FIND("|",DB220))-FIND("|",DB220)-1))),ABS(INDEX($P$220:$P$223,MATCH(LEFT(DB220,FIND("·",DB220)-1),$K$220:$K$223,0))-(VALUE(MID(DB220,FIND("|",DB220)+1,FIND("-",DB220,FIND("|",DB220))-FIND("|",DB220)-1))-VALUE(MID(DB220,FIND("-",DB220,FIND("|",DB220))+1,10)))))*$D$50)))))*INDEX($I$220:$I$223,MATCH(LEFT(DB220,FIND("·",DB220)-1),$K$220:$K$223,0)),0),0),0)+IFERROR(IF(COUNTIF($C$220:$C$223,LEFT(DB220,FIND("·",DB220)-1))&gt;0,IF(INDEX($D$220:$D$223,MATCH(LEFT(DB220,FIND("·",DB220)-1),$C$220:$C$223,0))=IFERROR(VALUE(MID(DB220,FIND("·",DB220)+1,1)),0),($D$24+(INDEX($E$220:$E$223,MATCH(LEFT(DB220,FIND("·",DB220)-1),$C$220:$C$223,0))=MID(DB220,FIND("|",DB220)+1,10))*$D$26+MAX(0,IF($D$50=1,$D$25*(1-(ABS(INDEX($Q$220:$Q$223,MATCH(LEFT(DB220,FIND("·",DB220)-1),$C$220:$C$223,0))-(VALUE(MID(DB220,FIND("|",DB220)+1,FIND("-",DB220,FIND("|",DB220))-FIND("|",DB220)-1))-VALUE(MID(DB220,FIND("-",DB220,FIND("|",DB220))+1,10)))))*$D$50),$D$25*(1-(IF(INDEX($D$220:$D$223,MATCH(LEFT(DB220,FIND("·",DB220)-1),$C$220:$C$223,0))=0,ABS(INDEX($A$220:$A$223,MATCH(LEFT(DB220,FIND("·",DB220)-1),$C$220:$C$223,0))-VALUE(MID(DB220,FIND("|",DB220)+1,FIND("-",DB220,FIND("|",DB220))-FIND("|",DB220)-1))),ABS(INDEX($Q$220:$Q$223,MATCH(LEFT(DB220,FIND("·",DB220)-1),$C$220:$C$223,0))-(VALUE(MID(DB220,FIND("|",DB220)+1,FIND("-",DB220,FIND("|",DB220))-FIND("|",DB220)-1))-VALUE(MID(DB220,FIND("-",DB220,FIND("|",DB220))+1,10)))))*$D$50)))))*INDEX($I$220:$I$223,MATCH(LEFT(DB220,FIND("·",DB220)-1),$C$220:$C$223,0)),0),0),0)</f>
        <v>0</v>
      </c>
      <c r="DD220" s="108"/>
      <c r="DE220" s="796" t="s">
        <v>2804</v>
      </c>
      <c r="DF220" s="76">
        <f>IFERROR(IF(COUNTIF($K$220:$K$223,LEFT(DE220,FIND("·",DE220)-1))&gt;0,IF(INDEX($L$220:$L$223,MATCH(LEFT(DE220,FIND("·",DE220)-1),$K$220:$K$223,0))=IFERROR(VALUE(MID(DE220,FIND("·",DE220)+1,1)),0),($D$24+(INDEX($M$220:$M$223,MATCH(LEFT(DE220,FIND("·",DE220)-1),$K$220:$K$223,0))=MID(DE220,FIND("|",DE220)+1,10))*$D$26+MAX(0,IF($D$50=1,$D$25*(1-(ABS(INDEX($P$220:$P$223,MATCH(LEFT(DE220,FIND("·",DE220)-1),$K$220:$K$223,0))-(VALUE(MID(DE220,FIND("|",DE220)+1,FIND("-",DE220,FIND("|",DE220))-FIND("|",DE220)-1))-VALUE(MID(DE220,FIND("-",DE220,FIND("|",DE220))+1,10)))))*$D$50),$D$25*(1-(IF(INDEX($L$220:$L$223,MATCH(LEFT(DE220,FIND("·",DE220)-1),$K$220:$K$223,0))=0,ABS(INDEX($N$220:$N$223,MATCH(LEFT(DE220,FIND("·",DE220)-1),$K$220:$K$223,0))-VALUE(MID(DE220,FIND("|",DE220)+1,FIND("-",DE220,FIND("|",DE220))-FIND("|",DE220)-1))),ABS(INDEX($P$220:$P$223,MATCH(LEFT(DE220,FIND("·",DE220)-1),$K$220:$K$223,0))-(VALUE(MID(DE220,FIND("|",DE220)+1,FIND("-",DE220,FIND("|",DE220))-FIND("|",DE220)-1))-VALUE(MID(DE220,FIND("-",DE220,FIND("|",DE220))+1,10)))))*$D$50)))))*INDEX($I$220:$I$223,MATCH(LEFT(DE220,FIND("·",DE220)-1),$K$220:$K$223,0)),0),0),0)+IFERROR(IF(COUNTIF($C$220:$C$223,LEFT(DE220,FIND("·",DE220)-1))&gt;0,IF(INDEX($D$220:$D$223,MATCH(LEFT(DE220,FIND("·",DE220)-1),$C$220:$C$223,0))=IFERROR(VALUE(MID(DE220,FIND("·",DE220)+1,1)),0),($D$24+(INDEX($E$220:$E$223,MATCH(LEFT(DE220,FIND("·",DE220)-1),$C$220:$C$223,0))=MID(DE220,FIND("|",DE220)+1,10))*$D$26+MAX(0,IF($D$50=1,$D$25*(1-(ABS(INDEX($Q$220:$Q$223,MATCH(LEFT(DE220,FIND("·",DE220)-1),$C$220:$C$223,0))-(VALUE(MID(DE220,FIND("|",DE220)+1,FIND("-",DE220,FIND("|",DE220))-FIND("|",DE220)-1))-VALUE(MID(DE220,FIND("-",DE220,FIND("|",DE220))+1,10)))))*$D$50),$D$25*(1-(IF(INDEX($D$220:$D$223,MATCH(LEFT(DE220,FIND("·",DE220)-1),$C$220:$C$223,0))=0,ABS(INDEX($A$220:$A$223,MATCH(LEFT(DE220,FIND("·",DE220)-1),$C$220:$C$223,0))-VALUE(MID(DE220,FIND("|",DE220)+1,FIND("-",DE220,FIND("|",DE220))-FIND("|",DE220)-1))),ABS(INDEX($Q$220:$Q$223,MATCH(LEFT(DE220,FIND("·",DE220)-1),$C$220:$C$223,0))-(VALUE(MID(DE220,FIND("|",DE220)+1,FIND("-",DE220,FIND("|",DE220))-FIND("|",DE220)-1))-VALUE(MID(DE220,FIND("-",DE220,FIND("|",DE220))+1,10)))))*$D$50)))))*INDEX($I$220:$I$223,MATCH(LEFT(DE220,FIND("·",DE220)-1),$C$220:$C$223,0)),0),0),0)</f>
        <v>0</v>
      </c>
      <c r="DG220" s="108"/>
      <c r="DH220" s="796" t="s">
        <v>2661</v>
      </c>
      <c r="DI220" s="76">
        <f>IFERROR(IF(COUNTIF($K$220:$K$223,LEFT(DH220,FIND("·",DH220)-1))&gt;0,IF(INDEX($L$220:$L$223,MATCH(LEFT(DH220,FIND("·",DH220)-1),$K$220:$K$223,0))=IFERROR(VALUE(MID(DH220,FIND("·",DH220)+1,1)),0),($D$24+(INDEX($M$220:$M$223,MATCH(LEFT(DH220,FIND("·",DH220)-1),$K$220:$K$223,0))=MID(DH220,FIND("|",DH220)+1,10))*$D$26+MAX(0,IF($D$50=1,$D$25*(1-(ABS(INDEX($P$220:$P$223,MATCH(LEFT(DH220,FIND("·",DH220)-1),$K$220:$K$223,0))-(VALUE(MID(DH220,FIND("|",DH220)+1,FIND("-",DH220,FIND("|",DH220))-FIND("|",DH220)-1))-VALUE(MID(DH220,FIND("-",DH220,FIND("|",DH220))+1,10)))))*$D$50),$D$25*(1-(IF(INDEX($L$220:$L$223,MATCH(LEFT(DH220,FIND("·",DH220)-1),$K$220:$K$223,0))=0,ABS(INDEX($N$220:$N$223,MATCH(LEFT(DH220,FIND("·",DH220)-1),$K$220:$K$223,0))-VALUE(MID(DH220,FIND("|",DH220)+1,FIND("-",DH220,FIND("|",DH220))-FIND("|",DH220)-1))),ABS(INDEX($P$220:$P$223,MATCH(LEFT(DH220,FIND("·",DH220)-1),$K$220:$K$223,0))-(VALUE(MID(DH220,FIND("|",DH220)+1,FIND("-",DH220,FIND("|",DH220))-FIND("|",DH220)-1))-VALUE(MID(DH220,FIND("-",DH220,FIND("|",DH220))+1,10)))))*$D$50)))))*INDEX($I$220:$I$223,MATCH(LEFT(DH220,FIND("·",DH220)-1),$K$220:$K$223,0)),0),0),0)+IFERROR(IF(COUNTIF($C$220:$C$223,LEFT(DH220,FIND("·",DH220)-1))&gt;0,IF(INDEX($D$220:$D$223,MATCH(LEFT(DH220,FIND("·",DH220)-1),$C$220:$C$223,0))=IFERROR(VALUE(MID(DH220,FIND("·",DH220)+1,1)),0),($D$24+(INDEX($E$220:$E$223,MATCH(LEFT(DH220,FIND("·",DH220)-1),$C$220:$C$223,0))=MID(DH220,FIND("|",DH220)+1,10))*$D$26+MAX(0,IF($D$50=1,$D$25*(1-(ABS(INDEX($Q$220:$Q$223,MATCH(LEFT(DH220,FIND("·",DH220)-1),$C$220:$C$223,0))-(VALUE(MID(DH220,FIND("|",DH220)+1,FIND("-",DH220,FIND("|",DH220))-FIND("|",DH220)-1))-VALUE(MID(DH220,FIND("-",DH220,FIND("|",DH220))+1,10)))))*$D$50),$D$25*(1-(IF(INDEX($D$220:$D$223,MATCH(LEFT(DH220,FIND("·",DH220)-1),$C$220:$C$223,0))=0,ABS(INDEX($A$220:$A$223,MATCH(LEFT(DH220,FIND("·",DH220)-1),$C$220:$C$223,0))-VALUE(MID(DH220,FIND("|",DH220)+1,FIND("-",DH220,FIND("|",DH220))-FIND("|",DH220)-1))),ABS(INDEX($Q$220:$Q$223,MATCH(LEFT(DH220,FIND("·",DH220)-1),$C$220:$C$223,0))-(VALUE(MID(DH220,FIND("|",DH220)+1,FIND("-",DH220,FIND("|",DH220))-FIND("|",DH220)-1))-VALUE(MID(DH220,FIND("-",DH220,FIND("|",DH220))+1,10)))))*$D$50)))))*INDEX($I$220:$I$223,MATCH(LEFT(DH220,FIND("·",DH220)-1),$C$220:$C$223,0)),0),0),0)</f>
        <v>0</v>
      </c>
      <c r="DJ220" s="108"/>
      <c r="DK220" s="796" t="s">
        <v>2821</v>
      </c>
      <c r="DL220" s="76">
        <f>IFERROR(IF(COUNTIF($K$220:$K$223,LEFT(DK220,FIND("·",DK220)-1))&gt;0,IF(INDEX($L$220:$L$223,MATCH(LEFT(DK220,FIND("·",DK220)-1),$K$220:$K$223,0))=IFERROR(VALUE(MID(DK220,FIND("·",DK220)+1,1)),0),($D$24+(INDEX($M$220:$M$223,MATCH(LEFT(DK220,FIND("·",DK220)-1),$K$220:$K$223,0))=MID(DK220,FIND("|",DK220)+1,10))*$D$26+MAX(0,IF($D$50=1,$D$25*(1-(ABS(INDEX($P$220:$P$223,MATCH(LEFT(DK220,FIND("·",DK220)-1),$K$220:$K$223,0))-(VALUE(MID(DK220,FIND("|",DK220)+1,FIND("-",DK220,FIND("|",DK220))-FIND("|",DK220)-1))-VALUE(MID(DK220,FIND("-",DK220,FIND("|",DK220))+1,10)))))*$D$50),$D$25*(1-(IF(INDEX($L$220:$L$223,MATCH(LEFT(DK220,FIND("·",DK220)-1),$K$220:$K$223,0))=0,ABS(INDEX($N$220:$N$223,MATCH(LEFT(DK220,FIND("·",DK220)-1),$K$220:$K$223,0))-VALUE(MID(DK220,FIND("|",DK220)+1,FIND("-",DK220,FIND("|",DK220))-FIND("|",DK220)-1))),ABS(INDEX($P$220:$P$223,MATCH(LEFT(DK220,FIND("·",DK220)-1),$K$220:$K$223,0))-(VALUE(MID(DK220,FIND("|",DK220)+1,FIND("-",DK220,FIND("|",DK220))-FIND("|",DK220)-1))-VALUE(MID(DK220,FIND("-",DK220,FIND("|",DK220))+1,10)))))*$D$50)))))*INDEX($I$220:$I$223,MATCH(LEFT(DK220,FIND("·",DK220)-1),$K$220:$K$223,0)),0),0),0)+IFERROR(IF(COUNTIF($C$220:$C$223,LEFT(DK220,FIND("·",DK220)-1))&gt;0,IF(INDEX($D$220:$D$223,MATCH(LEFT(DK220,FIND("·",DK220)-1),$C$220:$C$223,0))=IFERROR(VALUE(MID(DK220,FIND("·",DK220)+1,1)),0),($D$24+(INDEX($E$220:$E$223,MATCH(LEFT(DK220,FIND("·",DK220)-1),$C$220:$C$223,0))=MID(DK220,FIND("|",DK220)+1,10))*$D$26+MAX(0,IF($D$50=1,$D$25*(1-(ABS(INDEX($Q$220:$Q$223,MATCH(LEFT(DK220,FIND("·",DK220)-1),$C$220:$C$223,0))-(VALUE(MID(DK220,FIND("|",DK220)+1,FIND("-",DK220,FIND("|",DK220))-FIND("|",DK220)-1))-VALUE(MID(DK220,FIND("-",DK220,FIND("|",DK220))+1,10)))))*$D$50),$D$25*(1-(IF(INDEX($D$220:$D$223,MATCH(LEFT(DK220,FIND("·",DK220)-1),$C$220:$C$223,0))=0,ABS(INDEX($A$220:$A$223,MATCH(LEFT(DK220,FIND("·",DK220)-1),$C$220:$C$223,0))-VALUE(MID(DK220,FIND("|",DK220)+1,FIND("-",DK220,FIND("|",DK220))-FIND("|",DK220)-1))),ABS(INDEX($Q$220:$Q$223,MATCH(LEFT(DK220,FIND("·",DK220)-1),$C$220:$C$223,0))-(VALUE(MID(DK220,FIND("|",DK220)+1,FIND("-",DK220,FIND("|",DK220))-FIND("|",DK220)-1))-VALUE(MID(DK220,FIND("-",DK220,FIND("|",DK220))+1,10)))))*$D$50)))))*INDEX($I$220:$I$223,MATCH(LEFT(DK220,FIND("·",DK220)-1),$C$220:$C$223,0)),0),0),0)</f>
        <v>0</v>
      </c>
      <c r="DM220" s="108"/>
      <c r="DN220" s="75" t="str">
        <f>Idiomas!$D$369</f>
        <v>Pegar valores Cuartos</v>
      </c>
      <c r="DO220" s="76">
        <f t="shared" ref="DO220:DO223" si="6285">IFERROR(IF(COUNTIF($K$220:$K$223,LEFT(DN220,FIND("·",DN220)-1))&gt;0,IF(INDEX($L$220:$L$223,MATCH(LEFT(DN220,FIND("·",DN220)-1),$K$220:$K$223,0))=IFERROR(VALUE(MID(DN220,FIND("·",DN220)+1,1)),0),($D$24+(INDEX($M$220:$M$223,MATCH(LEFT(DN220,FIND("·",DN220)-1),$K$220:$K$223,0))=MID(DN220,FIND("|",DN220)+1,10))*$D$26+MAX(0,IF($D$50=1,$D$25*(1-(ABS(INDEX($P$220:$P$223,MATCH(LEFT(DN220,FIND("·",DN220)-1),$K$220:$K$223,0))-(VALUE(MID(DN220,FIND("|",DN220)+1,FIND("-",DN220,FIND("|",DN220))-FIND("|",DN220)-1))-VALUE(MID(DN220,FIND("-",DN220,FIND("|",DN220))+1,10)))))*$D$50),$D$25*(1-(IF(INDEX($L$220:$L$223,MATCH(LEFT(DN220,FIND("·",DN220)-1),$K$220:$K$223,0))=0,ABS(INDEX($N$220:$N$223,MATCH(LEFT(DN220,FIND("·",DN220)-1),$K$220:$K$223,0))-VALUE(MID(DN220,FIND("|",DN220)+1,FIND("-",DN220,FIND("|",DN220))-FIND("|",DN220)-1))),ABS(INDEX($P$220:$P$223,MATCH(LEFT(DN220,FIND("·",DN220)-1),$K$220:$K$223,0))-(VALUE(MID(DN220,FIND("|",DN220)+1,FIND("-",DN220,FIND("|",DN220))-FIND("|",DN220)-1))-VALUE(MID(DN220,FIND("-",DN220,FIND("|",DN220))+1,10)))))*$D$50)))))*INDEX($I$220:$I$223,MATCH(LEFT(DN220,FIND("·",DN220)-1),$K$220:$K$223,0)),0),0),0)+IFERROR(IF(COUNTIF($C$220:$C$223,LEFT(DN220,FIND("·",DN220)-1))&gt;0,IF(INDEX($D$220:$D$223,MATCH(LEFT(DN220,FIND("·",DN220)-1),$C$220:$C$223,0))=IFERROR(VALUE(MID(DN220,FIND("·",DN220)+1,1)),0),($D$24+(INDEX($E$220:$E$223,MATCH(LEFT(DN220,FIND("·",DN220)-1),$C$220:$C$223,0))=MID(DN220,FIND("|",DN220)+1,10))*$D$26+MAX(0,IF($D$50=1,$D$25*(1-(ABS(INDEX($Q$220:$Q$223,MATCH(LEFT(DN220,FIND("·",DN220)-1),$C$220:$C$223,0))-(VALUE(MID(DN220,FIND("|",DN220)+1,FIND("-",DN220,FIND("|",DN220))-FIND("|",DN220)-1))-VALUE(MID(DN220,FIND("-",DN220,FIND("|",DN220))+1,10)))))*$D$50),$D$25*(1-(IF(INDEX($D$220:$D$223,MATCH(LEFT(DN220,FIND("·",DN220)-1),$C$220:$C$223,0))=0,ABS(INDEX($A$220:$A$223,MATCH(LEFT(DN220,FIND("·",DN220)-1),$C$220:$C$223,0))-VALUE(MID(DN220,FIND("|",DN220)+1,FIND("-",DN220,FIND("|",DN220))-FIND("|",DN220)-1))),ABS(INDEX($Q$220:$Q$223,MATCH(LEFT(DN220,FIND("·",DN220)-1),$C$220:$C$223,0))-(VALUE(MID(DN220,FIND("|",DN220)+1,FIND("-",DN220,FIND("|",DN220))-FIND("|",DN220)-1))-VALUE(MID(DN220,FIND("-",DN220,FIND("|",DN220))+1,10)))))*$D$50)))))*INDEX($I$220:$I$223,MATCH(LEFT(DN220,FIND("·",DN220)-1),$C$220:$C$223,0)),0),0),0)</f>
        <v>0</v>
      </c>
      <c r="DP220" s="108"/>
      <c r="DQ220" s="796" t="s">
        <v>1988</v>
      </c>
      <c r="DR220" s="76">
        <f t="shared" ref="DR220:DR223" si="6286">IFERROR(IF(COUNTIF($K$220:$K$223,LEFT(DQ220,FIND("·",DQ220)-1))&gt;0,IF(INDEX($L$220:$L$223,MATCH(LEFT(DQ220,FIND("·",DQ220)-1),$K$220:$K$223,0))=IFERROR(VALUE(MID(DQ220,FIND("·",DQ220)+1,1)),0),($D$24+(INDEX($M$220:$M$223,MATCH(LEFT(DQ220,FIND("·",DQ220)-1),$K$220:$K$223,0))=MID(DQ220,FIND("|",DQ220)+1,10))*$D$26+MAX(0,IF($D$50=1,$D$25*(1-(ABS(INDEX($P$220:$P$223,MATCH(LEFT(DQ220,FIND("·",DQ220)-1),$K$220:$K$223,0))-(VALUE(MID(DQ220,FIND("|",DQ220)+1,FIND("-",DQ220,FIND("|",DQ220))-FIND("|",DQ220)-1))-VALUE(MID(DQ220,FIND("-",DQ220,FIND("|",DQ220))+1,10)))))*$D$50),$D$25*(1-(IF(INDEX($L$220:$L$223,MATCH(LEFT(DQ220,FIND("·",DQ220)-1),$K$220:$K$223,0))=0,ABS(INDEX($N$220:$N$223,MATCH(LEFT(DQ220,FIND("·",DQ220)-1),$K$220:$K$223,0))-VALUE(MID(DQ220,FIND("|",DQ220)+1,FIND("-",DQ220,FIND("|",DQ220))-FIND("|",DQ220)-1))),ABS(INDEX($P$220:$P$223,MATCH(LEFT(DQ220,FIND("·",DQ220)-1),$K$220:$K$223,0))-(VALUE(MID(DQ220,FIND("|",DQ220)+1,FIND("-",DQ220,FIND("|",DQ220))-FIND("|",DQ220)-1))-VALUE(MID(DQ220,FIND("-",DQ220,FIND("|",DQ220))+1,10)))))*$D$50)))))*INDEX($I$220:$I$223,MATCH(LEFT(DQ220,FIND("·",DQ220)-1),$K$220:$K$223,0)),0),0),0)+IFERROR(IF(COUNTIF($C$220:$C$223,LEFT(DQ220,FIND("·",DQ220)-1))&gt;0,IF(INDEX($D$220:$D$223,MATCH(LEFT(DQ220,FIND("·",DQ220)-1),$C$220:$C$223,0))=IFERROR(VALUE(MID(DQ220,FIND("·",DQ220)+1,1)),0),($D$24+(INDEX($E$220:$E$223,MATCH(LEFT(DQ220,FIND("·",DQ220)-1),$C$220:$C$223,0))=MID(DQ220,FIND("|",DQ220)+1,10))*$D$26+MAX(0,IF($D$50=1,$D$25*(1-(ABS(INDEX($Q$220:$Q$223,MATCH(LEFT(DQ220,FIND("·",DQ220)-1),$C$220:$C$223,0))-(VALUE(MID(DQ220,FIND("|",DQ220)+1,FIND("-",DQ220,FIND("|",DQ220))-FIND("|",DQ220)-1))-VALUE(MID(DQ220,FIND("-",DQ220,FIND("|",DQ220))+1,10)))))*$D$50),$D$25*(1-(IF(INDEX($D$220:$D$223,MATCH(LEFT(DQ220,FIND("·",DQ220)-1),$C$220:$C$223,0))=0,ABS(INDEX($A$220:$A$223,MATCH(LEFT(DQ220,FIND("·",DQ220)-1),$C$220:$C$223,0))-VALUE(MID(DQ220,FIND("|",DQ220)+1,FIND("-",DQ220,FIND("|",DQ220))-FIND("|",DQ220)-1))),ABS(INDEX($Q$220:$Q$223,MATCH(LEFT(DQ220,FIND("·",DQ220)-1),$C$220:$C$223,0))-(VALUE(MID(DQ220,FIND("|",DQ220)+1,FIND("-",DQ220,FIND("|",DQ220))-FIND("|",DQ220)-1))-VALUE(MID(DQ220,FIND("-",DQ220,FIND("|",DQ220))+1,10)))))*$D$50)))))*INDEX($I$220:$I$223,MATCH(LEFT(DQ220,FIND("·",DQ220)-1),$C$220:$C$223,0)),0),0),0)</f>
        <v>0</v>
      </c>
      <c r="DS220" s="108"/>
      <c r="DT220" s="75" t="s">
        <v>2408</v>
      </c>
      <c r="DU220" s="76">
        <f t="shared" ref="DU220:DU223" si="6287">IFERROR(IF(COUNTIF($K$220:$K$223,LEFT(DT220,FIND("·",DT220)-1))&gt;0,IF(INDEX($L$220:$L$223,MATCH(LEFT(DT220,FIND("·",DT220)-1),$K$220:$K$223,0))=IFERROR(VALUE(MID(DT220,FIND("·",DT220)+1,1)),0),($D$24+(INDEX($M$220:$M$223,MATCH(LEFT(DT220,FIND("·",DT220)-1),$K$220:$K$223,0))=MID(DT220,FIND("|",DT220)+1,10))*$D$26+MAX(0,IF($D$50=1,$D$25*(1-(ABS(INDEX($P$220:$P$223,MATCH(LEFT(DT220,FIND("·",DT220)-1),$K$220:$K$223,0))-(VALUE(MID(DT220,FIND("|",DT220)+1,FIND("-",DT220,FIND("|",DT220))-FIND("|",DT220)-1))-VALUE(MID(DT220,FIND("-",DT220,FIND("|",DT220))+1,10)))))*$D$50),$D$25*(1-(IF(INDEX($L$220:$L$223,MATCH(LEFT(DT220,FIND("·",DT220)-1),$K$220:$K$223,0))=0,ABS(INDEX($N$220:$N$223,MATCH(LEFT(DT220,FIND("·",DT220)-1),$K$220:$K$223,0))-VALUE(MID(DT220,FIND("|",DT220)+1,FIND("-",DT220,FIND("|",DT220))-FIND("|",DT220)-1))),ABS(INDEX($P$220:$P$223,MATCH(LEFT(DT220,FIND("·",DT220)-1),$K$220:$K$223,0))-(VALUE(MID(DT220,FIND("|",DT220)+1,FIND("-",DT220,FIND("|",DT220))-FIND("|",DT220)-1))-VALUE(MID(DT220,FIND("-",DT220,FIND("|",DT220))+1,10)))))*$D$50)))))*INDEX($I$220:$I$223,MATCH(LEFT(DT220,FIND("·",DT220)-1),$K$220:$K$223,0)),0),0),0)+IFERROR(IF(COUNTIF($C$220:$C$223,LEFT(DT220,FIND("·",DT220)-1))&gt;0,IF(INDEX($D$220:$D$223,MATCH(LEFT(DT220,FIND("·",DT220)-1),$C$220:$C$223,0))=IFERROR(VALUE(MID(DT220,FIND("·",DT220)+1,1)),0),($D$24+(INDEX($E$220:$E$223,MATCH(LEFT(DT220,FIND("·",DT220)-1),$C$220:$C$223,0))=MID(DT220,FIND("|",DT220)+1,10))*$D$26+MAX(0,IF($D$50=1,$D$25*(1-(ABS(INDEX($Q$220:$Q$223,MATCH(LEFT(DT220,FIND("·",DT220)-1),$C$220:$C$223,0))-(VALUE(MID(DT220,FIND("|",DT220)+1,FIND("-",DT220,FIND("|",DT220))-FIND("|",DT220)-1))-VALUE(MID(DT220,FIND("-",DT220,FIND("|",DT220))+1,10)))))*$D$50),$D$25*(1-(IF(INDEX($D$220:$D$223,MATCH(LEFT(DT220,FIND("·",DT220)-1),$C$220:$C$223,0))=0,ABS(INDEX($A$220:$A$223,MATCH(LEFT(DT220,FIND("·",DT220)-1),$C$220:$C$223,0))-VALUE(MID(DT220,FIND("|",DT220)+1,FIND("-",DT220,FIND("|",DT220))-FIND("|",DT220)-1))),ABS(INDEX($Q$220:$Q$223,MATCH(LEFT(DT220,FIND("·",DT220)-1),$C$220:$C$223,0))-(VALUE(MID(DT220,FIND("|",DT220)+1,FIND("-",DT220,FIND("|",DT220))-FIND("|",DT220)-1))-VALUE(MID(DT220,FIND("-",DT220,FIND("|",DT220))+1,10)))))*$D$50)))))*INDEX($I$220:$I$223,MATCH(LEFT(DT220,FIND("·",DT220)-1),$C$220:$C$223,0)),0),0),0)</f>
        <v>0</v>
      </c>
      <c r="DV220" s="108"/>
      <c r="DW220" s="75" t="str">
        <f>Idiomas!$D$369</f>
        <v>Pegar valores Cuartos</v>
      </c>
      <c r="DX220" s="76">
        <f t="shared" ref="DX220:DX223" si="6288">IFERROR(IF(COUNTIF($K$220:$K$223,LEFT(DW220,FIND("·",DW220)-1))&gt;0,IF(INDEX($L$220:$L$223,MATCH(LEFT(DW220,FIND("·",DW220)-1),$K$220:$K$223,0))=IFERROR(VALUE(MID(DW220,FIND("·",DW220)+1,1)),0),($D$24+(INDEX($M$220:$M$223,MATCH(LEFT(DW220,FIND("·",DW220)-1),$K$220:$K$223,0))=MID(DW220,FIND("|",DW220)+1,10))*$D$26+MAX(0,IF($D$50=1,$D$25*(1-(ABS(INDEX($P$220:$P$223,MATCH(LEFT(DW220,FIND("·",DW220)-1),$K$220:$K$223,0))-(VALUE(MID(DW220,FIND("|",DW220)+1,FIND("-",DW220,FIND("|",DW220))-FIND("|",DW220)-1))-VALUE(MID(DW220,FIND("-",DW220,FIND("|",DW220))+1,10)))))*$D$50),$D$25*(1-(IF(INDEX($L$220:$L$223,MATCH(LEFT(DW220,FIND("·",DW220)-1),$K$220:$K$223,0))=0,ABS(INDEX($N$220:$N$223,MATCH(LEFT(DW220,FIND("·",DW220)-1),$K$220:$K$223,0))-VALUE(MID(DW220,FIND("|",DW220)+1,FIND("-",DW220,FIND("|",DW220))-FIND("|",DW220)-1))),ABS(INDEX($P$220:$P$223,MATCH(LEFT(DW220,FIND("·",DW220)-1),$K$220:$K$223,0))-(VALUE(MID(DW220,FIND("|",DW220)+1,FIND("-",DW220,FIND("|",DW220))-FIND("|",DW220)-1))-VALUE(MID(DW220,FIND("-",DW220,FIND("|",DW220))+1,10)))))*$D$50)))))*INDEX($I$220:$I$223,MATCH(LEFT(DW220,FIND("·",DW220)-1),$K$220:$K$223,0)),0),0),0)+IFERROR(IF(COUNTIF($C$220:$C$223,LEFT(DW220,FIND("·",DW220)-1))&gt;0,IF(INDEX($D$220:$D$223,MATCH(LEFT(DW220,FIND("·",DW220)-1),$C$220:$C$223,0))=IFERROR(VALUE(MID(DW220,FIND("·",DW220)+1,1)),0),($D$24+(INDEX($E$220:$E$223,MATCH(LEFT(DW220,FIND("·",DW220)-1),$C$220:$C$223,0))=MID(DW220,FIND("|",DW220)+1,10))*$D$26+MAX(0,IF($D$50=1,$D$25*(1-(ABS(INDEX($Q$220:$Q$223,MATCH(LEFT(DW220,FIND("·",DW220)-1),$C$220:$C$223,0))-(VALUE(MID(DW220,FIND("|",DW220)+1,FIND("-",DW220,FIND("|",DW220))-FIND("|",DW220)-1))-VALUE(MID(DW220,FIND("-",DW220,FIND("|",DW220))+1,10)))))*$D$50),$D$25*(1-(IF(INDEX($D$220:$D$223,MATCH(LEFT(DW220,FIND("·",DW220)-1),$C$220:$C$223,0))=0,ABS(INDEX($A$220:$A$223,MATCH(LEFT(DW220,FIND("·",DW220)-1),$C$220:$C$223,0))-VALUE(MID(DW220,FIND("|",DW220)+1,FIND("-",DW220,FIND("|",DW220))-FIND("|",DW220)-1))),ABS(INDEX($Q$220:$Q$223,MATCH(LEFT(DW220,FIND("·",DW220)-1),$C$220:$C$223,0))-(VALUE(MID(DW220,FIND("|",DW220)+1,FIND("-",DW220,FIND("|",DW220))-FIND("|",DW220)-1))-VALUE(MID(DW220,FIND("-",DW220,FIND("|",DW220))+1,10)))))*$D$50)))))*INDEX($I$220:$I$223,MATCH(LEFT(DW220,FIND("·",DW220)-1),$C$220:$C$223,0)),0),0),0)</f>
        <v>0</v>
      </c>
      <c r="DY220" s="108"/>
      <c r="DZ220" s="75" t="str">
        <f>Idiomas!$D$369</f>
        <v>Pegar valores Cuartos</v>
      </c>
      <c r="EA220" s="76">
        <f>IFERROR(IF(COUNTIF($K$220:$K$223,LEFT(DZ220,FIND("·",DZ220)-1))&gt;0,IF(INDEX($L$220:$L$223,MATCH(LEFT(DZ220,FIND("·",DZ220)-1),$K$220:$K$223,0))=IFERROR(VALUE(MID(DZ220,FIND("·",DZ220)+1,1)),0),($D$24+(INDEX($M$220:$M$223,MATCH(LEFT(DZ220,FIND("·",DZ220)-1),$K$220:$K$223,0))=MID(DZ220,FIND("|",DZ220)+1,10))*$D$26+MAX(0,IF($D$50=1,$D$25*(1-(ABS(INDEX($P$220:$P$223,MATCH(LEFT(DZ220,FIND("·",DZ220)-1),$K$220:$K$223,0))-(VALUE(MID(DZ220,FIND("|",DZ220)+1,FIND("-",DZ220,FIND("|",DZ220))-FIND("|",DZ220)-1))-VALUE(MID(DZ220,FIND("-",DZ220,FIND("|",DZ220))+1,10)))))*$D$50),$D$25*(1-(IF(INDEX($L$220:$L$223,MATCH(LEFT(DZ220,FIND("·",DZ220)-1),$K$220:$K$223,0))=0,ABS(INDEX($N$220:$N$223,MATCH(LEFT(DZ220,FIND("·",DZ220)-1),$K$220:$K$223,0))-VALUE(MID(DZ220,FIND("|",DZ220)+1,FIND("-",DZ220,FIND("|",DZ220))-FIND("|",DZ220)-1))),ABS(INDEX($P$220:$P$223,MATCH(LEFT(DZ220,FIND("·",DZ220)-1),$K$220:$K$223,0))-(VALUE(MID(DZ220,FIND("|",DZ220)+1,FIND("-",DZ220,FIND("|",DZ220))-FIND("|",DZ220)-1))-VALUE(MID(DZ220,FIND("-",DZ220,FIND("|",DZ220))+1,10)))))*$D$50)))))*INDEX($I$220:$I$223,MATCH(LEFT(DZ220,FIND("·",DZ220)-1),$K$220:$K$223,0)),0),0),0)+IFERROR(IF(COUNTIF($C$220:$C$223,LEFT(DZ220,FIND("·",DZ220)-1))&gt;0,IF(INDEX($D$220:$D$223,MATCH(LEFT(DZ220,FIND("·",DZ220)-1),$C$220:$C$223,0))=IFERROR(VALUE(MID(DZ220,FIND("·",DZ220)+1,1)),0),($D$24+(INDEX($E$220:$E$223,MATCH(LEFT(DZ220,FIND("·",DZ220)-1),$C$220:$C$223,0))=MID(DZ220,FIND("|",DZ220)+1,10))*$D$26+MAX(0,IF($D$50=1,$D$25*(1-(ABS(INDEX($Q$220:$Q$223,MATCH(LEFT(DZ220,FIND("·",DZ220)-1),$C$220:$C$223,0))-(VALUE(MID(DZ220,FIND("|",DZ220)+1,FIND("-",DZ220,FIND("|",DZ220))-FIND("|",DZ220)-1))-VALUE(MID(DZ220,FIND("-",DZ220,FIND("|",DZ220))+1,10)))))*$D$50),$D$25*(1-(IF(INDEX($D$220:$D$223,MATCH(LEFT(DZ220,FIND("·",DZ220)-1),$C$220:$C$223,0))=0,ABS(INDEX($A$220:$A$223,MATCH(LEFT(DZ220,FIND("·",DZ220)-1),$C$220:$C$223,0))-VALUE(MID(DZ220,FIND("|",DZ220)+1,FIND("-",DZ220,FIND("|",DZ220))-FIND("|",DZ220)-1))),ABS(INDEX($Q$220:$Q$223,MATCH(LEFT(DZ220,FIND("·",DZ220)-1),$C$220:$C$223,0))-(VALUE(MID(DZ220,FIND("|",DZ220)+1,FIND("-",DZ220,FIND("|",DZ220))-FIND("|",DZ220)-1))-VALUE(MID(DZ220,FIND("-",DZ220,FIND("|",DZ220))+1,10)))))*$D$50)))))*INDEX($I$220:$I$223,MATCH(LEFT(DZ220,FIND("·",DZ220)-1),$C$220:$C$223,0)),0),0),0)</f>
        <v>0</v>
      </c>
      <c r="EB220" s="108"/>
      <c r="EC220" s="75" t="str">
        <f>Idiomas!$D$369</f>
        <v>Pegar valores Cuartos</v>
      </c>
      <c r="ED220" s="76">
        <f t="shared" ref="ED220:ED223" si="6289">IFERROR(IF(COUNTIF($K$220:$K$223,LEFT(EC220,FIND("·",EC220)-1))&gt;0,IF(INDEX($L$220:$L$223,MATCH(LEFT(EC220,FIND("·",EC220)-1),$K$220:$K$223,0))=IFERROR(VALUE(MID(EC220,FIND("·",EC220)+1,1)),0),($D$24+(INDEX($M$220:$M$223,MATCH(LEFT(EC220,FIND("·",EC220)-1),$K$220:$K$223,0))=MID(EC220,FIND("|",EC220)+1,10))*$D$26+MAX(0,IF($D$50=1,$D$25*(1-(ABS(INDEX($P$220:$P$223,MATCH(LEFT(EC220,FIND("·",EC220)-1),$K$220:$K$223,0))-(VALUE(MID(EC220,FIND("|",EC220)+1,FIND("-",EC220,FIND("|",EC220))-FIND("|",EC220)-1))-VALUE(MID(EC220,FIND("-",EC220,FIND("|",EC220))+1,10)))))*$D$50),$D$25*(1-(IF(INDEX($L$220:$L$223,MATCH(LEFT(EC220,FIND("·",EC220)-1),$K$220:$K$223,0))=0,ABS(INDEX($N$220:$N$223,MATCH(LEFT(EC220,FIND("·",EC220)-1),$K$220:$K$223,0))-VALUE(MID(EC220,FIND("|",EC220)+1,FIND("-",EC220,FIND("|",EC220))-FIND("|",EC220)-1))),ABS(INDEX($P$220:$P$223,MATCH(LEFT(EC220,FIND("·",EC220)-1),$K$220:$K$223,0))-(VALUE(MID(EC220,FIND("|",EC220)+1,FIND("-",EC220,FIND("|",EC220))-FIND("|",EC220)-1))-VALUE(MID(EC220,FIND("-",EC220,FIND("|",EC220))+1,10)))))*$D$50)))))*INDEX($I$220:$I$223,MATCH(LEFT(EC220,FIND("·",EC220)-1),$K$220:$K$223,0)),0),0),0)+IFERROR(IF(COUNTIF($C$220:$C$223,LEFT(EC220,FIND("·",EC220)-1))&gt;0,IF(INDEX($D$220:$D$223,MATCH(LEFT(EC220,FIND("·",EC220)-1),$C$220:$C$223,0))=IFERROR(VALUE(MID(EC220,FIND("·",EC220)+1,1)),0),($D$24+(INDEX($E$220:$E$223,MATCH(LEFT(EC220,FIND("·",EC220)-1),$C$220:$C$223,0))=MID(EC220,FIND("|",EC220)+1,10))*$D$26+MAX(0,IF($D$50=1,$D$25*(1-(ABS(INDEX($Q$220:$Q$223,MATCH(LEFT(EC220,FIND("·",EC220)-1),$C$220:$C$223,0))-(VALUE(MID(EC220,FIND("|",EC220)+1,FIND("-",EC220,FIND("|",EC220))-FIND("|",EC220)-1))-VALUE(MID(EC220,FIND("-",EC220,FIND("|",EC220))+1,10)))))*$D$50),$D$25*(1-(IF(INDEX($D$220:$D$223,MATCH(LEFT(EC220,FIND("·",EC220)-1),$C$220:$C$223,0))=0,ABS(INDEX($A$220:$A$223,MATCH(LEFT(EC220,FIND("·",EC220)-1),$C$220:$C$223,0))-VALUE(MID(EC220,FIND("|",EC220)+1,FIND("-",EC220,FIND("|",EC220))-FIND("|",EC220)-1))),ABS(INDEX($Q$220:$Q$223,MATCH(LEFT(EC220,FIND("·",EC220)-1),$C$220:$C$223,0))-(VALUE(MID(EC220,FIND("|",EC220)+1,FIND("-",EC220,FIND("|",EC220))-FIND("|",EC220)-1))-VALUE(MID(EC220,FIND("-",EC220,FIND("|",EC220))+1,10)))))*$D$50)))))*INDEX($I$220:$I$223,MATCH(LEFT(EC220,FIND("·",EC220)-1),$C$220:$C$223,0)),0),0),0)</f>
        <v>0</v>
      </c>
      <c r="EE220" s="108"/>
      <c r="EF220" s="75" t="str">
        <f>Idiomas!$D$369</f>
        <v>Pegar valores Cuartos</v>
      </c>
      <c r="EG220" s="76">
        <f t="shared" ref="EG220:EG223" si="6290">IFERROR(IF(COUNTIF($K$220:$K$223,LEFT(EF220,FIND("·",EF220)-1))&gt;0,IF(INDEX($L$220:$L$223,MATCH(LEFT(EF220,FIND("·",EF220)-1),$K$220:$K$223,0))=IFERROR(VALUE(MID(EF220,FIND("·",EF220)+1,1)),0),($D$24+(INDEX($M$220:$M$223,MATCH(LEFT(EF220,FIND("·",EF220)-1),$K$220:$K$223,0))=MID(EF220,FIND("|",EF220)+1,10))*$D$26+MAX(0,IF($D$50=1,$D$25*(1-(ABS(INDEX($P$220:$P$223,MATCH(LEFT(EF220,FIND("·",EF220)-1),$K$220:$K$223,0))-(VALUE(MID(EF220,FIND("|",EF220)+1,FIND("-",EF220,FIND("|",EF220))-FIND("|",EF220)-1))-VALUE(MID(EF220,FIND("-",EF220,FIND("|",EF220))+1,10)))))*$D$50),$D$25*(1-(IF(INDEX($L$220:$L$223,MATCH(LEFT(EF220,FIND("·",EF220)-1),$K$220:$K$223,0))=0,ABS(INDEX($N$220:$N$223,MATCH(LEFT(EF220,FIND("·",EF220)-1),$K$220:$K$223,0))-VALUE(MID(EF220,FIND("|",EF220)+1,FIND("-",EF220,FIND("|",EF220))-FIND("|",EF220)-1))),ABS(INDEX($P$220:$P$223,MATCH(LEFT(EF220,FIND("·",EF220)-1),$K$220:$K$223,0))-(VALUE(MID(EF220,FIND("|",EF220)+1,FIND("-",EF220,FIND("|",EF220))-FIND("|",EF220)-1))-VALUE(MID(EF220,FIND("-",EF220,FIND("|",EF220))+1,10)))))*$D$50)))))*INDEX($I$220:$I$223,MATCH(LEFT(EF220,FIND("·",EF220)-1),$K$220:$K$223,0)),0),0),0)+IFERROR(IF(COUNTIF($C$220:$C$223,LEFT(EF220,FIND("·",EF220)-1))&gt;0,IF(INDEX($D$220:$D$223,MATCH(LEFT(EF220,FIND("·",EF220)-1),$C$220:$C$223,0))=IFERROR(VALUE(MID(EF220,FIND("·",EF220)+1,1)),0),($D$24+(INDEX($E$220:$E$223,MATCH(LEFT(EF220,FIND("·",EF220)-1),$C$220:$C$223,0))=MID(EF220,FIND("|",EF220)+1,10))*$D$26+MAX(0,IF($D$50=1,$D$25*(1-(ABS(INDEX($Q$220:$Q$223,MATCH(LEFT(EF220,FIND("·",EF220)-1),$C$220:$C$223,0))-(VALUE(MID(EF220,FIND("|",EF220)+1,FIND("-",EF220,FIND("|",EF220))-FIND("|",EF220)-1))-VALUE(MID(EF220,FIND("-",EF220,FIND("|",EF220))+1,10)))))*$D$50),$D$25*(1-(IF(INDEX($D$220:$D$223,MATCH(LEFT(EF220,FIND("·",EF220)-1),$C$220:$C$223,0))=0,ABS(INDEX($A$220:$A$223,MATCH(LEFT(EF220,FIND("·",EF220)-1),$C$220:$C$223,0))-VALUE(MID(EF220,FIND("|",EF220)+1,FIND("-",EF220,FIND("|",EF220))-FIND("|",EF220)-1))),ABS(INDEX($Q$220:$Q$223,MATCH(LEFT(EF220,FIND("·",EF220)-1),$C$220:$C$223,0))-(VALUE(MID(EF220,FIND("|",EF220)+1,FIND("-",EF220,FIND("|",EF220))-FIND("|",EF220)-1))-VALUE(MID(EF220,FIND("-",EF220,FIND("|",EF220))+1,10)))))*$D$50)))))*INDEX($I$220:$I$223,MATCH(LEFT(EF220,FIND("·",EF220)-1),$C$220:$C$223,0)),0),0),0)</f>
        <v>0</v>
      </c>
      <c r="EH220" s="108"/>
      <c r="EI220" s="75" t="str">
        <f>Idiomas!$D$369</f>
        <v>Pegar valores Cuartos</v>
      </c>
      <c r="EJ220" s="76">
        <f t="shared" ref="EJ220:EJ223" si="6291">IFERROR(IF(COUNTIF($K$220:$K$223,LEFT(EI220,FIND("·",EI220)-1))&gt;0,IF(INDEX($L$220:$L$223,MATCH(LEFT(EI220,FIND("·",EI220)-1),$K$220:$K$223,0))=IFERROR(VALUE(MID(EI220,FIND("·",EI220)+1,1)),0),($D$24+(INDEX($M$220:$M$223,MATCH(LEFT(EI220,FIND("·",EI220)-1),$K$220:$K$223,0))=MID(EI220,FIND("|",EI220)+1,10))*$D$26+MAX(0,IF($D$50=1,$D$25*(1-(ABS(INDEX($P$220:$P$223,MATCH(LEFT(EI220,FIND("·",EI220)-1),$K$220:$K$223,0))-(VALUE(MID(EI220,FIND("|",EI220)+1,FIND("-",EI220,FIND("|",EI220))-FIND("|",EI220)-1))-VALUE(MID(EI220,FIND("-",EI220,FIND("|",EI220))+1,10)))))*$D$50),$D$25*(1-(IF(INDEX($L$220:$L$223,MATCH(LEFT(EI220,FIND("·",EI220)-1),$K$220:$K$223,0))=0,ABS(INDEX($N$220:$N$223,MATCH(LEFT(EI220,FIND("·",EI220)-1),$K$220:$K$223,0))-VALUE(MID(EI220,FIND("|",EI220)+1,FIND("-",EI220,FIND("|",EI220))-FIND("|",EI220)-1))),ABS(INDEX($P$220:$P$223,MATCH(LEFT(EI220,FIND("·",EI220)-1),$K$220:$K$223,0))-(VALUE(MID(EI220,FIND("|",EI220)+1,FIND("-",EI220,FIND("|",EI220))-FIND("|",EI220)-1))-VALUE(MID(EI220,FIND("-",EI220,FIND("|",EI220))+1,10)))))*$D$50)))))*INDEX($I$220:$I$223,MATCH(LEFT(EI220,FIND("·",EI220)-1),$K$220:$K$223,0)),0),0),0)+IFERROR(IF(COUNTIF($C$220:$C$223,LEFT(EI220,FIND("·",EI220)-1))&gt;0,IF(INDEX($D$220:$D$223,MATCH(LEFT(EI220,FIND("·",EI220)-1),$C$220:$C$223,0))=IFERROR(VALUE(MID(EI220,FIND("·",EI220)+1,1)),0),($D$24+(INDEX($E$220:$E$223,MATCH(LEFT(EI220,FIND("·",EI220)-1),$C$220:$C$223,0))=MID(EI220,FIND("|",EI220)+1,10))*$D$26+MAX(0,IF($D$50=1,$D$25*(1-(ABS(INDEX($Q$220:$Q$223,MATCH(LEFT(EI220,FIND("·",EI220)-1),$C$220:$C$223,0))-(VALUE(MID(EI220,FIND("|",EI220)+1,FIND("-",EI220,FIND("|",EI220))-FIND("|",EI220)-1))-VALUE(MID(EI220,FIND("-",EI220,FIND("|",EI220))+1,10)))))*$D$50),$D$25*(1-(IF(INDEX($D$220:$D$223,MATCH(LEFT(EI220,FIND("·",EI220)-1),$C$220:$C$223,0))=0,ABS(INDEX($A$220:$A$223,MATCH(LEFT(EI220,FIND("·",EI220)-1),$C$220:$C$223,0))-VALUE(MID(EI220,FIND("|",EI220)+1,FIND("-",EI220,FIND("|",EI220))-FIND("|",EI220)-1))),ABS(INDEX($Q$220:$Q$223,MATCH(LEFT(EI220,FIND("·",EI220)-1),$C$220:$C$223,0))-(VALUE(MID(EI220,FIND("|",EI220)+1,FIND("-",EI220,FIND("|",EI220))-FIND("|",EI220)-1))-VALUE(MID(EI220,FIND("-",EI220,FIND("|",EI220))+1,10)))))*$D$50)))))*INDEX($I$220:$I$223,MATCH(LEFT(EI220,FIND("·",EI220)-1),$C$220:$C$223,0)),0),0),0)</f>
        <v>0</v>
      </c>
      <c r="EK220" s="108"/>
      <c r="EL220" s="75" t="str">
        <f>Idiomas!$D$369</f>
        <v>Pegar valores Cuartos</v>
      </c>
      <c r="EM220" s="76">
        <f t="shared" ref="EM220:EM223" si="6292">IFERROR(IF(COUNTIF($K$220:$K$223,LEFT(EL220,FIND("·",EL220)-1))&gt;0,IF(INDEX($L$220:$L$223,MATCH(LEFT(EL220,FIND("·",EL220)-1),$K$220:$K$223,0))=IFERROR(VALUE(MID(EL220,FIND("·",EL220)+1,1)),0),($D$24+(INDEX($M$220:$M$223,MATCH(LEFT(EL220,FIND("·",EL220)-1),$K$220:$K$223,0))=MID(EL220,FIND("|",EL220)+1,10))*$D$26+MAX(0,IF($D$50=1,$D$25*(1-(ABS(INDEX($P$220:$P$223,MATCH(LEFT(EL220,FIND("·",EL220)-1),$K$220:$K$223,0))-(VALUE(MID(EL220,FIND("|",EL220)+1,FIND("-",EL220,FIND("|",EL220))-FIND("|",EL220)-1))-VALUE(MID(EL220,FIND("-",EL220,FIND("|",EL220))+1,10)))))*$D$50),$D$25*(1-(IF(INDEX($L$220:$L$223,MATCH(LEFT(EL220,FIND("·",EL220)-1),$K$220:$K$223,0))=0,ABS(INDEX($N$220:$N$223,MATCH(LEFT(EL220,FIND("·",EL220)-1),$K$220:$K$223,0))-VALUE(MID(EL220,FIND("|",EL220)+1,FIND("-",EL220,FIND("|",EL220))-FIND("|",EL220)-1))),ABS(INDEX($P$220:$P$223,MATCH(LEFT(EL220,FIND("·",EL220)-1),$K$220:$K$223,0))-(VALUE(MID(EL220,FIND("|",EL220)+1,FIND("-",EL220,FIND("|",EL220))-FIND("|",EL220)-1))-VALUE(MID(EL220,FIND("-",EL220,FIND("|",EL220))+1,10)))))*$D$50)))))*INDEX($I$220:$I$223,MATCH(LEFT(EL220,FIND("·",EL220)-1),$K$220:$K$223,0)),0),0),0)+IFERROR(IF(COUNTIF($C$220:$C$223,LEFT(EL220,FIND("·",EL220)-1))&gt;0,IF(INDEX($D$220:$D$223,MATCH(LEFT(EL220,FIND("·",EL220)-1),$C$220:$C$223,0))=IFERROR(VALUE(MID(EL220,FIND("·",EL220)+1,1)),0),($D$24+(INDEX($E$220:$E$223,MATCH(LEFT(EL220,FIND("·",EL220)-1),$C$220:$C$223,0))=MID(EL220,FIND("|",EL220)+1,10))*$D$26+MAX(0,IF($D$50=1,$D$25*(1-(ABS(INDEX($Q$220:$Q$223,MATCH(LEFT(EL220,FIND("·",EL220)-1),$C$220:$C$223,0))-(VALUE(MID(EL220,FIND("|",EL220)+1,FIND("-",EL220,FIND("|",EL220))-FIND("|",EL220)-1))-VALUE(MID(EL220,FIND("-",EL220,FIND("|",EL220))+1,10)))))*$D$50),$D$25*(1-(IF(INDEX($D$220:$D$223,MATCH(LEFT(EL220,FIND("·",EL220)-1),$C$220:$C$223,0))=0,ABS(INDEX($A$220:$A$223,MATCH(LEFT(EL220,FIND("·",EL220)-1),$C$220:$C$223,0))-VALUE(MID(EL220,FIND("|",EL220)+1,FIND("-",EL220,FIND("|",EL220))-FIND("|",EL220)-1))),ABS(INDEX($Q$220:$Q$223,MATCH(LEFT(EL220,FIND("·",EL220)-1),$C$220:$C$223,0))-(VALUE(MID(EL220,FIND("|",EL220)+1,FIND("-",EL220,FIND("|",EL220))-FIND("|",EL220)-1))-VALUE(MID(EL220,FIND("-",EL220,FIND("|",EL220))+1,10)))))*$D$50)))))*INDEX($I$220:$I$223,MATCH(LEFT(EL220,FIND("·",EL220)-1),$C$220:$C$223,0)),0),0),0)</f>
        <v>0</v>
      </c>
      <c r="EN220" s="108"/>
      <c r="EO220" s="75" t="str">
        <f>Idiomas!$D$369</f>
        <v>Pegar valores Cuartos</v>
      </c>
      <c r="EP220" s="76">
        <f t="shared" ref="EP220:EP223" si="6293">IFERROR(IF(COUNTIF($K$220:$K$223,LEFT(EO220,FIND("·",EO220)-1))&gt;0,IF(INDEX($L$220:$L$223,MATCH(LEFT(EO220,FIND("·",EO220)-1),$K$220:$K$223,0))=IFERROR(VALUE(MID(EO220,FIND("·",EO220)+1,1)),0),($D$24+(INDEX($M$220:$M$223,MATCH(LEFT(EO220,FIND("·",EO220)-1),$K$220:$K$223,0))=MID(EO220,FIND("|",EO220)+1,10))*$D$26+MAX(0,IF($D$50=1,$D$25*(1-(ABS(INDEX($P$220:$P$223,MATCH(LEFT(EO220,FIND("·",EO220)-1),$K$220:$K$223,0))-(VALUE(MID(EO220,FIND("|",EO220)+1,FIND("-",EO220,FIND("|",EO220))-FIND("|",EO220)-1))-VALUE(MID(EO220,FIND("-",EO220,FIND("|",EO220))+1,10)))))*$D$50),$D$25*(1-(IF(INDEX($L$220:$L$223,MATCH(LEFT(EO220,FIND("·",EO220)-1),$K$220:$K$223,0))=0,ABS(INDEX($N$220:$N$223,MATCH(LEFT(EO220,FIND("·",EO220)-1),$K$220:$K$223,0))-VALUE(MID(EO220,FIND("|",EO220)+1,FIND("-",EO220,FIND("|",EO220))-FIND("|",EO220)-1))),ABS(INDEX($P$220:$P$223,MATCH(LEFT(EO220,FIND("·",EO220)-1),$K$220:$K$223,0))-(VALUE(MID(EO220,FIND("|",EO220)+1,FIND("-",EO220,FIND("|",EO220))-FIND("|",EO220)-1))-VALUE(MID(EO220,FIND("-",EO220,FIND("|",EO220))+1,10)))))*$D$50)))))*INDEX($I$220:$I$223,MATCH(LEFT(EO220,FIND("·",EO220)-1),$K$220:$K$223,0)),0),0),0)+IFERROR(IF(COUNTIF($C$220:$C$223,LEFT(EO220,FIND("·",EO220)-1))&gt;0,IF(INDEX($D$220:$D$223,MATCH(LEFT(EO220,FIND("·",EO220)-1),$C$220:$C$223,0))=IFERROR(VALUE(MID(EO220,FIND("·",EO220)+1,1)),0),($D$24+(INDEX($E$220:$E$223,MATCH(LEFT(EO220,FIND("·",EO220)-1),$C$220:$C$223,0))=MID(EO220,FIND("|",EO220)+1,10))*$D$26+MAX(0,IF($D$50=1,$D$25*(1-(ABS(INDEX($Q$220:$Q$223,MATCH(LEFT(EO220,FIND("·",EO220)-1),$C$220:$C$223,0))-(VALUE(MID(EO220,FIND("|",EO220)+1,FIND("-",EO220,FIND("|",EO220))-FIND("|",EO220)-1))-VALUE(MID(EO220,FIND("-",EO220,FIND("|",EO220))+1,10)))))*$D$50),$D$25*(1-(IF(INDEX($D$220:$D$223,MATCH(LEFT(EO220,FIND("·",EO220)-1),$C$220:$C$223,0))=0,ABS(INDEX($A$220:$A$223,MATCH(LEFT(EO220,FIND("·",EO220)-1),$C$220:$C$223,0))-VALUE(MID(EO220,FIND("|",EO220)+1,FIND("-",EO220,FIND("|",EO220))-FIND("|",EO220)-1))),ABS(INDEX($Q$220:$Q$223,MATCH(LEFT(EO220,FIND("·",EO220)-1),$C$220:$C$223,0))-(VALUE(MID(EO220,FIND("|",EO220)+1,FIND("-",EO220,FIND("|",EO220))-FIND("|",EO220)-1))-VALUE(MID(EO220,FIND("-",EO220,FIND("|",EO220))+1,10)))))*$D$50)))))*INDEX($I$220:$I$223,MATCH(LEFT(EO220,FIND("·",EO220)-1),$C$220:$C$223,0)),0),0),0)</f>
        <v>0</v>
      </c>
      <c r="EQ220" s="108"/>
      <c r="ER220" s="75" t="str">
        <f>Idiomas!$D$369</f>
        <v>Pegar valores Cuartos</v>
      </c>
      <c r="ES220" s="76">
        <f t="shared" ref="ES220:ES223" si="6294">IFERROR(IF(COUNTIF($K$220:$K$223,LEFT(ER220,FIND("·",ER220)-1))&gt;0,IF(INDEX($L$220:$L$223,MATCH(LEFT(ER220,FIND("·",ER220)-1),$K$220:$K$223,0))=IFERROR(VALUE(MID(ER220,FIND("·",ER220)+1,1)),0),($D$24+(INDEX($M$220:$M$223,MATCH(LEFT(ER220,FIND("·",ER220)-1),$K$220:$K$223,0))=MID(ER220,FIND("|",ER220)+1,10))*$D$26+MAX(0,IF($D$50=1,$D$25*(1-(ABS(INDEX($P$220:$P$223,MATCH(LEFT(ER220,FIND("·",ER220)-1),$K$220:$K$223,0))-(VALUE(MID(ER220,FIND("|",ER220)+1,FIND("-",ER220,FIND("|",ER220))-FIND("|",ER220)-1))-VALUE(MID(ER220,FIND("-",ER220,FIND("|",ER220))+1,10)))))*$D$50),$D$25*(1-(IF(INDEX($L$220:$L$223,MATCH(LEFT(ER220,FIND("·",ER220)-1),$K$220:$K$223,0))=0,ABS(INDEX($N$220:$N$223,MATCH(LEFT(ER220,FIND("·",ER220)-1),$K$220:$K$223,0))-VALUE(MID(ER220,FIND("|",ER220)+1,FIND("-",ER220,FIND("|",ER220))-FIND("|",ER220)-1))),ABS(INDEX($P$220:$P$223,MATCH(LEFT(ER220,FIND("·",ER220)-1),$K$220:$K$223,0))-(VALUE(MID(ER220,FIND("|",ER220)+1,FIND("-",ER220,FIND("|",ER220))-FIND("|",ER220)-1))-VALUE(MID(ER220,FIND("-",ER220,FIND("|",ER220))+1,10)))))*$D$50)))))*INDEX($I$220:$I$223,MATCH(LEFT(ER220,FIND("·",ER220)-1),$K$220:$K$223,0)),0),0),0)+IFERROR(IF(COUNTIF($C$220:$C$223,LEFT(ER220,FIND("·",ER220)-1))&gt;0,IF(INDEX($D$220:$D$223,MATCH(LEFT(ER220,FIND("·",ER220)-1),$C$220:$C$223,0))=IFERROR(VALUE(MID(ER220,FIND("·",ER220)+1,1)),0),($D$24+(INDEX($E$220:$E$223,MATCH(LEFT(ER220,FIND("·",ER220)-1),$C$220:$C$223,0))=MID(ER220,FIND("|",ER220)+1,10))*$D$26+MAX(0,IF($D$50=1,$D$25*(1-(ABS(INDEX($Q$220:$Q$223,MATCH(LEFT(ER220,FIND("·",ER220)-1),$C$220:$C$223,0))-(VALUE(MID(ER220,FIND("|",ER220)+1,FIND("-",ER220,FIND("|",ER220))-FIND("|",ER220)-1))-VALUE(MID(ER220,FIND("-",ER220,FIND("|",ER220))+1,10)))))*$D$50),$D$25*(1-(IF(INDEX($D$220:$D$223,MATCH(LEFT(ER220,FIND("·",ER220)-1),$C$220:$C$223,0))=0,ABS(INDEX($A$220:$A$223,MATCH(LEFT(ER220,FIND("·",ER220)-1),$C$220:$C$223,0))-VALUE(MID(ER220,FIND("|",ER220)+1,FIND("-",ER220,FIND("|",ER220))-FIND("|",ER220)-1))),ABS(INDEX($Q$220:$Q$223,MATCH(LEFT(ER220,FIND("·",ER220)-1),$C$220:$C$223,0))-(VALUE(MID(ER220,FIND("|",ER220)+1,FIND("-",ER220,FIND("|",ER220))-FIND("|",ER220)-1))-VALUE(MID(ER220,FIND("-",ER220,FIND("|",ER220))+1,10)))))*$D$50)))))*INDEX($I$220:$I$223,MATCH(LEFT(ER220,FIND("·",ER220)-1),$C$220:$C$223,0)),0),0),0)</f>
        <v>0</v>
      </c>
      <c r="ET220" s="108"/>
      <c r="EU220" s="75" t="str">
        <f>Idiomas!$D$369</f>
        <v>Pegar valores Cuartos</v>
      </c>
      <c r="EV220" s="76">
        <f t="shared" ref="EV220:EV223" si="6295">IFERROR(IF(COUNTIF($K$220:$K$223,LEFT(EU220,FIND("·",EU220)-1))&gt;0,IF(INDEX($L$220:$L$223,MATCH(LEFT(EU220,FIND("·",EU220)-1),$K$220:$K$223,0))=IFERROR(VALUE(MID(EU220,FIND("·",EU220)+1,1)),0),($D$24+(INDEX($M$220:$M$223,MATCH(LEFT(EU220,FIND("·",EU220)-1),$K$220:$K$223,0))=MID(EU220,FIND("|",EU220)+1,10))*$D$26+MAX(0,IF($D$50=1,$D$25*(1-(ABS(INDEX($P$220:$P$223,MATCH(LEFT(EU220,FIND("·",EU220)-1),$K$220:$K$223,0))-(VALUE(MID(EU220,FIND("|",EU220)+1,FIND("-",EU220,FIND("|",EU220))-FIND("|",EU220)-1))-VALUE(MID(EU220,FIND("-",EU220,FIND("|",EU220))+1,10)))))*$D$50),$D$25*(1-(IF(INDEX($L$220:$L$223,MATCH(LEFT(EU220,FIND("·",EU220)-1),$K$220:$K$223,0))=0,ABS(INDEX($N$220:$N$223,MATCH(LEFT(EU220,FIND("·",EU220)-1),$K$220:$K$223,0))-VALUE(MID(EU220,FIND("|",EU220)+1,FIND("-",EU220,FIND("|",EU220))-FIND("|",EU220)-1))),ABS(INDEX($P$220:$P$223,MATCH(LEFT(EU220,FIND("·",EU220)-1),$K$220:$K$223,0))-(VALUE(MID(EU220,FIND("|",EU220)+1,FIND("-",EU220,FIND("|",EU220))-FIND("|",EU220)-1))-VALUE(MID(EU220,FIND("-",EU220,FIND("|",EU220))+1,10)))))*$D$50)))))*INDEX($I$220:$I$223,MATCH(LEFT(EU220,FIND("·",EU220)-1),$K$220:$K$223,0)),0),0),0)+IFERROR(IF(COUNTIF($C$220:$C$223,LEFT(EU220,FIND("·",EU220)-1))&gt;0,IF(INDEX($D$220:$D$223,MATCH(LEFT(EU220,FIND("·",EU220)-1),$C$220:$C$223,0))=IFERROR(VALUE(MID(EU220,FIND("·",EU220)+1,1)),0),($D$24+(INDEX($E$220:$E$223,MATCH(LEFT(EU220,FIND("·",EU220)-1),$C$220:$C$223,0))=MID(EU220,FIND("|",EU220)+1,10))*$D$26+MAX(0,IF($D$50=1,$D$25*(1-(ABS(INDEX($Q$220:$Q$223,MATCH(LEFT(EU220,FIND("·",EU220)-1),$C$220:$C$223,0))-(VALUE(MID(EU220,FIND("|",EU220)+1,FIND("-",EU220,FIND("|",EU220))-FIND("|",EU220)-1))-VALUE(MID(EU220,FIND("-",EU220,FIND("|",EU220))+1,10)))))*$D$50),$D$25*(1-(IF(INDEX($D$220:$D$223,MATCH(LEFT(EU220,FIND("·",EU220)-1),$C$220:$C$223,0))=0,ABS(INDEX($A$220:$A$223,MATCH(LEFT(EU220,FIND("·",EU220)-1),$C$220:$C$223,0))-VALUE(MID(EU220,FIND("|",EU220)+1,FIND("-",EU220,FIND("|",EU220))-FIND("|",EU220)-1))),ABS(INDEX($Q$220:$Q$223,MATCH(LEFT(EU220,FIND("·",EU220)-1),$C$220:$C$223,0))-(VALUE(MID(EU220,FIND("|",EU220)+1,FIND("-",EU220,FIND("|",EU220))-FIND("|",EU220)-1))-VALUE(MID(EU220,FIND("-",EU220,FIND("|",EU220))+1,10)))))*$D$50)))))*INDEX($I$220:$I$223,MATCH(LEFT(EU220,FIND("·",EU220)-1),$C$220:$C$223,0)),0),0),0)</f>
        <v>0</v>
      </c>
      <c r="EW220" s="108"/>
      <c r="EX220" s="75" t="str">
        <f>Idiomas!$D$369</f>
        <v>Pegar valores Cuartos</v>
      </c>
      <c r="EY220" s="76">
        <f t="shared" ref="EY220:EY223" si="6296">IFERROR(IF(COUNTIF($K$220:$K$223,LEFT(EX220,FIND("·",EX220)-1))&gt;0,IF(INDEX($L$220:$L$223,MATCH(LEFT(EX220,FIND("·",EX220)-1),$K$220:$K$223,0))=IFERROR(VALUE(MID(EX220,FIND("·",EX220)+1,1)),0),($D$24+(INDEX($M$220:$M$223,MATCH(LEFT(EX220,FIND("·",EX220)-1),$K$220:$K$223,0))=MID(EX220,FIND("|",EX220)+1,10))*$D$26+MAX(0,IF($D$50=1,$D$25*(1-(ABS(INDEX($P$220:$P$223,MATCH(LEFT(EX220,FIND("·",EX220)-1),$K$220:$K$223,0))-(VALUE(MID(EX220,FIND("|",EX220)+1,FIND("-",EX220,FIND("|",EX220))-FIND("|",EX220)-1))-VALUE(MID(EX220,FIND("-",EX220,FIND("|",EX220))+1,10)))))*$D$50),$D$25*(1-(IF(INDEX($L$220:$L$223,MATCH(LEFT(EX220,FIND("·",EX220)-1),$K$220:$K$223,0))=0,ABS(INDEX($N$220:$N$223,MATCH(LEFT(EX220,FIND("·",EX220)-1),$K$220:$K$223,0))-VALUE(MID(EX220,FIND("|",EX220)+1,FIND("-",EX220,FIND("|",EX220))-FIND("|",EX220)-1))),ABS(INDEX($P$220:$P$223,MATCH(LEFT(EX220,FIND("·",EX220)-1),$K$220:$K$223,0))-(VALUE(MID(EX220,FIND("|",EX220)+1,FIND("-",EX220,FIND("|",EX220))-FIND("|",EX220)-1))-VALUE(MID(EX220,FIND("-",EX220,FIND("|",EX220))+1,10)))))*$D$50)))))*INDEX($I$220:$I$223,MATCH(LEFT(EX220,FIND("·",EX220)-1),$K$220:$K$223,0)),0),0),0)+IFERROR(IF(COUNTIF($C$220:$C$223,LEFT(EX220,FIND("·",EX220)-1))&gt;0,IF(INDEX($D$220:$D$223,MATCH(LEFT(EX220,FIND("·",EX220)-1),$C$220:$C$223,0))=IFERROR(VALUE(MID(EX220,FIND("·",EX220)+1,1)),0),($D$24+(INDEX($E$220:$E$223,MATCH(LEFT(EX220,FIND("·",EX220)-1),$C$220:$C$223,0))=MID(EX220,FIND("|",EX220)+1,10))*$D$26+MAX(0,IF($D$50=1,$D$25*(1-(ABS(INDEX($Q$220:$Q$223,MATCH(LEFT(EX220,FIND("·",EX220)-1),$C$220:$C$223,0))-(VALUE(MID(EX220,FIND("|",EX220)+1,FIND("-",EX220,FIND("|",EX220))-FIND("|",EX220)-1))-VALUE(MID(EX220,FIND("-",EX220,FIND("|",EX220))+1,10)))))*$D$50),$D$25*(1-(IF(INDEX($D$220:$D$223,MATCH(LEFT(EX220,FIND("·",EX220)-1),$C$220:$C$223,0))=0,ABS(INDEX($A$220:$A$223,MATCH(LEFT(EX220,FIND("·",EX220)-1),$C$220:$C$223,0))-VALUE(MID(EX220,FIND("|",EX220)+1,FIND("-",EX220,FIND("|",EX220))-FIND("|",EX220)-1))),ABS(INDEX($Q$220:$Q$223,MATCH(LEFT(EX220,FIND("·",EX220)-1),$C$220:$C$223,0))-(VALUE(MID(EX220,FIND("|",EX220)+1,FIND("-",EX220,FIND("|",EX220))-FIND("|",EX220)-1))-VALUE(MID(EX220,FIND("-",EX220,FIND("|",EX220))+1,10)))))*$D$50)))))*INDEX($I$220:$I$223,MATCH(LEFT(EX220,FIND("·",EX220)-1),$C$220:$C$223,0)),0),0),0)</f>
        <v>0</v>
      </c>
      <c r="EZ220" s="108"/>
      <c r="FA220" s="75" t="str">
        <f>Idiomas!$D$369</f>
        <v>Pegar valores Cuartos</v>
      </c>
      <c r="FB220" s="76">
        <f t="shared" ref="FB220:FB223" si="6297">IFERROR(IF(COUNTIF($K$220:$K$223,LEFT(FA220,FIND("·",FA220)-1))&gt;0,IF(INDEX($L$220:$L$223,MATCH(LEFT(FA220,FIND("·",FA220)-1),$K$220:$K$223,0))=IFERROR(VALUE(MID(FA220,FIND("·",FA220)+1,1)),0),($D$24+(INDEX($M$220:$M$223,MATCH(LEFT(FA220,FIND("·",FA220)-1),$K$220:$K$223,0))=MID(FA220,FIND("|",FA220)+1,10))*$D$26+MAX(0,IF($D$50=1,$D$25*(1-(ABS(INDEX($P$220:$P$223,MATCH(LEFT(FA220,FIND("·",FA220)-1),$K$220:$K$223,0))-(VALUE(MID(FA220,FIND("|",FA220)+1,FIND("-",FA220,FIND("|",FA220))-FIND("|",FA220)-1))-VALUE(MID(FA220,FIND("-",FA220,FIND("|",FA220))+1,10)))))*$D$50),$D$25*(1-(IF(INDEX($L$220:$L$223,MATCH(LEFT(FA220,FIND("·",FA220)-1),$K$220:$K$223,0))=0,ABS(INDEX($N$220:$N$223,MATCH(LEFT(FA220,FIND("·",FA220)-1),$K$220:$K$223,0))-VALUE(MID(FA220,FIND("|",FA220)+1,FIND("-",FA220,FIND("|",FA220))-FIND("|",FA220)-1))),ABS(INDEX($P$220:$P$223,MATCH(LEFT(FA220,FIND("·",FA220)-1),$K$220:$K$223,0))-(VALUE(MID(FA220,FIND("|",FA220)+1,FIND("-",FA220,FIND("|",FA220))-FIND("|",FA220)-1))-VALUE(MID(FA220,FIND("-",FA220,FIND("|",FA220))+1,10)))))*$D$50)))))*INDEX($I$220:$I$223,MATCH(LEFT(FA220,FIND("·",FA220)-1),$K$220:$K$223,0)),0),0),0)+IFERROR(IF(COUNTIF($C$220:$C$223,LEFT(FA220,FIND("·",FA220)-1))&gt;0,IF(INDEX($D$220:$D$223,MATCH(LEFT(FA220,FIND("·",FA220)-1),$C$220:$C$223,0))=IFERROR(VALUE(MID(FA220,FIND("·",FA220)+1,1)),0),($D$24+(INDEX($E$220:$E$223,MATCH(LEFT(FA220,FIND("·",FA220)-1),$C$220:$C$223,0))=MID(FA220,FIND("|",FA220)+1,10))*$D$26+MAX(0,IF($D$50=1,$D$25*(1-(ABS(INDEX($Q$220:$Q$223,MATCH(LEFT(FA220,FIND("·",FA220)-1),$C$220:$C$223,0))-(VALUE(MID(FA220,FIND("|",FA220)+1,FIND("-",FA220,FIND("|",FA220))-FIND("|",FA220)-1))-VALUE(MID(FA220,FIND("-",FA220,FIND("|",FA220))+1,10)))))*$D$50),$D$25*(1-(IF(INDEX($D$220:$D$223,MATCH(LEFT(FA220,FIND("·",FA220)-1),$C$220:$C$223,0))=0,ABS(INDEX($A$220:$A$223,MATCH(LEFT(FA220,FIND("·",FA220)-1),$C$220:$C$223,0))-VALUE(MID(FA220,FIND("|",FA220)+1,FIND("-",FA220,FIND("|",FA220))-FIND("|",FA220)-1))),ABS(INDEX($Q$220:$Q$223,MATCH(LEFT(FA220,FIND("·",FA220)-1),$C$220:$C$223,0))-(VALUE(MID(FA220,FIND("|",FA220)+1,FIND("-",FA220,FIND("|",FA220))-FIND("|",FA220)-1))-VALUE(MID(FA220,FIND("-",FA220,FIND("|",FA220))+1,10)))))*$D$50)))))*INDEX($I$220:$I$223,MATCH(LEFT(FA220,FIND("·",FA220)-1),$C$220:$C$223,0)),0),0),0)</f>
        <v>0</v>
      </c>
      <c r="FC220" s="108"/>
      <c r="FD220" s="75" t="str">
        <f>Idiomas!$D$369</f>
        <v>Pegar valores Cuartos</v>
      </c>
      <c r="FE220" s="76">
        <f t="shared" ref="FE220:FE223" si="6298">IFERROR(IF(COUNTIF($K$220:$K$223,LEFT(FD220,FIND("·",FD220)-1))&gt;0,IF(INDEX($L$220:$L$223,MATCH(LEFT(FD220,FIND("·",FD220)-1),$K$220:$K$223,0))=IFERROR(VALUE(MID(FD220,FIND("·",FD220)+1,1)),0),($D$24+(INDEX($M$220:$M$223,MATCH(LEFT(FD220,FIND("·",FD220)-1),$K$220:$K$223,0))=MID(FD220,FIND("|",FD220)+1,10))*$D$26+MAX(0,IF($D$50=1,$D$25*(1-(ABS(INDEX($P$220:$P$223,MATCH(LEFT(FD220,FIND("·",FD220)-1),$K$220:$K$223,0))-(VALUE(MID(FD220,FIND("|",FD220)+1,FIND("-",FD220,FIND("|",FD220))-FIND("|",FD220)-1))-VALUE(MID(FD220,FIND("-",FD220,FIND("|",FD220))+1,10)))))*$D$50),$D$25*(1-(IF(INDEX($L$220:$L$223,MATCH(LEFT(FD220,FIND("·",FD220)-1),$K$220:$K$223,0))=0,ABS(INDEX($N$220:$N$223,MATCH(LEFT(FD220,FIND("·",FD220)-1),$K$220:$K$223,0))-VALUE(MID(FD220,FIND("|",FD220)+1,FIND("-",FD220,FIND("|",FD220))-FIND("|",FD220)-1))),ABS(INDEX($P$220:$P$223,MATCH(LEFT(FD220,FIND("·",FD220)-1),$K$220:$K$223,0))-(VALUE(MID(FD220,FIND("|",FD220)+1,FIND("-",FD220,FIND("|",FD220))-FIND("|",FD220)-1))-VALUE(MID(FD220,FIND("-",FD220,FIND("|",FD220))+1,10)))))*$D$50)))))*INDEX($I$220:$I$223,MATCH(LEFT(FD220,FIND("·",FD220)-1),$K$220:$K$223,0)),0),0),0)+IFERROR(IF(COUNTIF($C$220:$C$223,LEFT(FD220,FIND("·",FD220)-1))&gt;0,IF(INDEX($D$220:$D$223,MATCH(LEFT(FD220,FIND("·",FD220)-1),$C$220:$C$223,0))=IFERROR(VALUE(MID(FD220,FIND("·",FD220)+1,1)),0),($D$24+(INDEX($E$220:$E$223,MATCH(LEFT(FD220,FIND("·",FD220)-1),$C$220:$C$223,0))=MID(FD220,FIND("|",FD220)+1,10))*$D$26+MAX(0,IF($D$50=1,$D$25*(1-(ABS(INDEX($Q$220:$Q$223,MATCH(LEFT(FD220,FIND("·",FD220)-1),$C$220:$C$223,0))-(VALUE(MID(FD220,FIND("|",FD220)+1,FIND("-",FD220,FIND("|",FD220))-FIND("|",FD220)-1))-VALUE(MID(FD220,FIND("-",FD220,FIND("|",FD220))+1,10)))))*$D$50),$D$25*(1-(IF(INDEX($D$220:$D$223,MATCH(LEFT(FD220,FIND("·",FD220)-1),$C$220:$C$223,0))=0,ABS(INDEX($A$220:$A$223,MATCH(LEFT(FD220,FIND("·",FD220)-1),$C$220:$C$223,0))-VALUE(MID(FD220,FIND("|",FD220)+1,FIND("-",FD220,FIND("|",FD220))-FIND("|",FD220)-1))),ABS(INDEX($Q$220:$Q$223,MATCH(LEFT(FD220,FIND("·",FD220)-1),$C$220:$C$223,0))-(VALUE(MID(FD220,FIND("|",FD220)+1,FIND("-",FD220,FIND("|",FD220))-FIND("|",FD220)-1))-VALUE(MID(FD220,FIND("-",FD220,FIND("|",FD220))+1,10)))))*$D$50)))))*INDEX($I$220:$I$223,MATCH(LEFT(FD220,FIND("·",FD220)-1),$C$220:$C$223,0)),0),0),0)</f>
        <v>0</v>
      </c>
      <c r="FF220" s="108"/>
      <c r="FG220" s="75" t="str">
        <f>Idiomas!$D$369</f>
        <v>Pegar valores Cuartos</v>
      </c>
      <c r="FH220" s="76">
        <f t="shared" ref="FH220:FH223" si="6299">IFERROR(IF(COUNTIF($K$220:$K$223,LEFT(FG220,FIND("·",FG220)-1))&gt;0,IF(INDEX($L$220:$L$223,MATCH(LEFT(FG220,FIND("·",FG220)-1),$K$220:$K$223,0))=IFERROR(VALUE(MID(FG220,FIND("·",FG220)+1,1)),0),($D$24+(INDEX($M$220:$M$223,MATCH(LEFT(FG220,FIND("·",FG220)-1),$K$220:$K$223,0))=MID(FG220,FIND("|",FG220)+1,10))*$D$26+MAX(0,IF($D$50=1,$D$25*(1-(ABS(INDEX($P$220:$P$223,MATCH(LEFT(FG220,FIND("·",FG220)-1),$K$220:$K$223,0))-(VALUE(MID(FG220,FIND("|",FG220)+1,FIND("-",FG220,FIND("|",FG220))-FIND("|",FG220)-1))-VALUE(MID(FG220,FIND("-",FG220,FIND("|",FG220))+1,10)))))*$D$50),$D$25*(1-(IF(INDEX($L$220:$L$223,MATCH(LEFT(FG220,FIND("·",FG220)-1),$K$220:$K$223,0))=0,ABS(INDEX($N$220:$N$223,MATCH(LEFT(FG220,FIND("·",FG220)-1),$K$220:$K$223,0))-VALUE(MID(FG220,FIND("|",FG220)+1,FIND("-",FG220,FIND("|",FG220))-FIND("|",FG220)-1))),ABS(INDEX($P$220:$P$223,MATCH(LEFT(FG220,FIND("·",FG220)-1),$K$220:$K$223,0))-(VALUE(MID(FG220,FIND("|",FG220)+1,FIND("-",FG220,FIND("|",FG220))-FIND("|",FG220)-1))-VALUE(MID(FG220,FIND("-",FG220,FIND("|",FG220))+1,10)))))*$D$50)))))*INDEX($I$220:$I$223,MATCH(LEFT(FG220,FIND("·",FG220)-1),$K$220:$K$223,0)),0),0),0)+IFERROR(IF(COUNTIF($C$220:$C$223,LEFT(FG220,FIND("·",FG220)-1))&gt;0,IF(INDEX($D$220:$D$223,MATCH(LEFT(FG220,FIND("·",FG220)-1),$C$220:$C$223,0))=IFERROR(VALUE(MID(FG220,FIND("·",FG220)+1,1)),0),($D$24+(INDEX($E$220:$E$223,MATCH(LEFT(FG220,FIND("·",FG220)-1),$C$220:$C$223,0))=MID(FG220,FIND("|",FG220)+1,10))*$D$26+MAX(0,IF($D$50=1,$D$25*(1-(ABS(INDEX($Q$220:$Q$223,MATCH(LEFT(FG220,FIND("·",FG220)-1),$C$220:$C$223,0))-(VALUE(MID(FG220,FIND("|",FG220)+1,FIND("-",FG220,FIND("|",FG220))-FIND("|",FG220)-1))-VALUE(MID(FG220,FIND("-",FG220,FIND("|",FG220))+1,10)))))*$D$50),$D$25*(1-(IF(INDEX($D$220:$D$223,MATCH(LEFT(FG220,FIND("·",FG220)-1),$C$220:$C$223,0))=0,ABS(INDEX($A$220:$A$223,MATCH(LEFT(FG220,FIND("·",FG220)-1),$C$220:$C$223,0))-VALUE(MID(FG220,FIND("|",FG220)+1,FIND("-",FG220,FIND("|",FG220))-FIND("|",FG220)-1))),ABS(INDEX($Q$220:$Q$223,MATCH(LEFT(FG220,FIND("·",FG220)-1),$C$220:$C$223,0))-(VALUE(MID(FG220,FIND("|",FG220)+1,FIND("-",FG220,FIND("|",FG220))-FIND("|",FG220)-1))-VALUE(MID(FG220,FIND("-",FG220,FIND("|",FG220))+1,10)))))*$D$50)))))*INDEX($I$220:$I$223,MATCH(LEFT(FG220,FIND("·",FG220)-1),$C$220:$C$223,0)),0),0),0)</f>
        <v>0</v>
      </c>
      <c r="FI220" s="108"/>
      <c r="FJ220" s="75" t="str">
        <f>Idiomas!$D$369</f>
        <v>Pegar valores Cuartos</v>
      </c>
      <c r="FK220" s="76">
        <f t="shared" ref="FK220:FK223" si="6300">IFERROR(IF(COUNTIF($K$220:$K$223,LEFT(FJ220,FIND("·",FJ220)-1))&gt;0,IF(INDEX($L$220:$L$223,MATCH(LEFT(FJ220,FIND("·",FJ220)-1),$K$220:$K$223,0))=IFERROR(VALUE(MID(FJ220,FIND("·",FJ220)+1,1)),0),($D$24+(INDEX($M$220:$M$223,MATCH(LEFT(FJ220,FIND("·",FJ220)-1),$K$220:$K$223,0))=MID(FJ220,FIND("|",FJ220)+1,10))*$D$26+MAX(0,IF($D$50=1,$D$25*(1-(ABS(INDEX($P$220:$P$223,MATCH(LEFT(FJ220,FIND("·",FJ220)-1),$K$220:$K$223,0))-(VALUE(MID(FJ220,FIND("|",FJ220)+1,FIND("-",FJ220,FIND("|",FJ220))-FIND("|",FJ220)-1))-VALUE(MID(FJ220,FIND("-",FJ220,FIND("|",FJ220))+1,10)))))*$D$50),$D$25*(1-(IF(INDEX($L$220:$L$223,MATCH(LEFT(FJ220,FIND("·",FJ220)-1),$K$220:$K$223,0))=0,ABS(INDEX($N$220:$N$223,MATCH(LEFT(FJ220,FIND("·",FJ220)-1),$K$220:$K$223,0))-VALUE(MID(FJ220,FIND("|",FJ220)+1,FIND("-",FJ220,FIND("|",FJ220))-FIND("|",FJ220)-1))),ABS(INDEX($P$220:$P$223,MATCH(LEFT(FJ220,FIND("·",FJ220)-1),$K$220:$K$223,0))-(VALUE(MID(FJ220,FIND("|",FJ220)+1,FIND("-",FJ220,FIND("|",FJ220))-FIND("|",FJ220)-1))-VALUE(MID(FJ220,FIND("-",FJ220,FIND("|",FJ220))+1,10)))))*$D$50)))))*INDEX($I$220:$I$223,MATCH(LEFT(FJ220,FIND("·",FJ220)-1),$K$220:$K$223,0)),0),0),0)+IFERROR(IF(COUNTIF($C$220:$C$223,LEFT(FJ220,FIND("·",FJ220)-1))&gt;0,IF(INDEX($D$220:$D$223,MATCH(LEFT(FJ220,FIND("·",FJ220)-1),$C$220:$C$223,0))=IFERROR(VALUE(MID(FJ220,FIND("·",FJ220)+1,1)),0),($D$24+(INDEX($E$220:$E$223,MATCH(LEFT(FJ220,FIND("·",FJ220)-1),$C$220:$C$223,0))=MID(FJ220,FIND("|",FJ220)+1,10))*$D$26+MAX(0,IF($D$50=1,$D$25*(1-(ABS(INDEX($Q$220:$Q$223,MATCH(LEFT(FJ220,FIND("·",FJ220)-1),$C$220:$C$223,0))-(VALUE(MID(FJ220,FIND("|",FJ220)+1,FIND("-",FJ220,FIND("|",FJ220))-FIND("|",FJ220)-1))-VALUE(MID(FJ220,FIND("-",FJ220,FIND("|",FJ220))+1,10)))))*$D$50),$D$25*(1-(IF(INDEX($D$220:$D$223,MATCH(LEFT(FJ220,FIND("·",FJ220)-1),$C$220:$C$223,0))=0,ABS(INDEX($A$220:$A$223,MATCH(LEFT(FJ220,FIND("·",FJ220)-1),$C$220:$C$223,0))-VALUE(MID(FJ220,FIND("|",FJ220)+1,FIND("-",FJ220,FIND("|",FJ220))-FIND("|",FJ220)-1))),ABS(INDEX($Q$220:$Q$223,MATCH(LEFT(FJ220,FIND("·",FJ220)-1),$C$220:$C$223,0))-(VALUE(MID(FJ220,FIND("|",FJ220)+1,FIND("-",FJ220,FIND("|",FJ220))-FIND("|",FJ220)-1))-VALUE(MID(FJ220,FIND("-",FJ220,FIND("|",FJ220))+1,10)))))*$D$50)))))*INDEX($I$220:$I$223,MATCH(LEFT(FJ220,FIND("·",FJ220)-1),$C$220:$C$223,0)),0),0),0)</f>
        <v>0</v>
      </c>
      <c r="FL220" s="108"/>
      <c r="FM220" s="75" t="str">
        <f>Idiomas!$D$369</f>
        <v>Pegar valores Cuartos</v>
      </c>
      <c r="FN220" s="76">
        <f t="shared" ref="FN220:FN223" si="6301">IFERROR(IF(COUNTIF($K$220:$K$223,LEFT(FM220,FIND("·",FM220)-1))&gt;0,IF(INDEX($L$220:$L$223,MATCH(LEFT(FM220,FIND("·",FM220)-1),$K$220:$K$223,0))=IFERROR(VALUE(MID(FM220,FIND("·",FM220)+1,1)),0),($D$24+(INDEX($M$220:$M$223,MATCH(LEFT(FM220,FIND("·",FM220)-1),$K$220:$K$223,0))=MID(FM220,FIND("|",FM220)+1,10))*$D$26+MAX(0,IF($D$50=1,$D$25*(1-(ABS(INDEX($P$220:$P$223,MATCH(LEFT(FM220,FIND("·",FM220)-1),$K$220:$K$223,0))-(VALUE(MID(FM220,FIND("|",FM220)+1,FIND("-",FM220,FIND("|",FM220))-FIND("|",FM220)-1))-VALUE(MID(FM220,FIND("-",FM220,FIND("|",FM220))+1,10)))))*$D$50),$D$25*(1-(IF(INDEX($L$220:$L$223,MATCH(LEFT(FM220,FIND("·",FM220)-1),$K$220:$K$223,0))=0,ABS(INDEX($N$220:$N$223,MATCH(LEFT(FM220,FIND("·",FM220)-1),$K$220:$K$223,0))-VALUE(MID(FM220,FIND("|",FM220)+1,FIND("-",FM220,FIND("|",FM220))-FIND("|",FM220)-1))),ABS(INDEX($P$220:$P$223,MATCH(LEFT(FM220,FIND("·",FM220)-1),$K$220:$K$223,0))-(VALUE(MID(FM220,FIND("|",FM220)+1,FIND("-",FM220,FIND("|",FM220))-FIND("|",FM220)-1))-VALUE(MID(FM220,FIND("-",FM220,FIND("|",FM220))+1,10)))))*$D$50)))))*INDEX($I$220:$I$223,MATCH(LEFT(FM220,FIND("·",FM220)-1),$K$220:$K$223,0)),0),0),0)+IFERROR(IF(COUNTIF($C$220:$C$223,LEFT(FM220,FIND("·",FM220)-1))&gt;0,IF(INDEX($D$220:$D$223,MATCH(LEFT(FM220,FIND("·",FM220)-1),$C$220:$C$223,0))=IFERROR(VALUE(MID(FM220,FIND("·",FM220)+1,1)),0),($D$24+(INDEX($E$220:$E$223,MATCH(LEFT(FM220,FIND("·",FM220)-1),$C$220:$C$223,0))=MID(FM220,FIND("|",FM220)+1,10))*$D$26+MAX(0,IF($D$50=1,$D$25*(1-(ABS(INDEX($Q$220:$Q$223,MATCH(LEFT(FM220,FIND("·",FM220)-1),$C$220:$C$223,0))-(VALUE(MID(FM220,FIND("|",FM220)+1,FIND("-",FM220,FIND("|",FM220))-FIND("|",FM220)-1))-VALUE(MID(FM220,FIND("-",FM220,FIND("|",FM220))+1,10)))))*$D$50),$D$25*(1-(IF(INDEX($D$220:$D$223,MATCH(LEFT(FM220,FIND("·",FM220)-1),$C$220:$C$223,0))=0,ABS(INDEX($A$220:$A$223,MATCH(LEFT(FM220,FIND("·",FM220)-1),$C$220:$C$223,0))-VALUE(MID(FM220,FIND("|",FM220)+1,FIND("-",FM220,FIND("|",FM220))-FIND("|",FM220)-1))),ABS(INDEX($Q$220:$Q$223,MATCH(LEFT(FM220,FIND("·",FM220)-1),$C$220:$C$223,0))-(VALUE(MID(FM220,FIND("|",FM220)+1,FIND("-",FM220,FIND("|",FM220))-FIND("|",FM220)-1))-VALUE(MID(FM220,FIND("-",FM220,FIND("|",FM220))+1,10)))))*$D$50)))))*INDEX($I$220:$I$223,MATCH(LEFT(FM220,FIND("·",FM220)-1),$C$220:$C$223,0)),0),0),0)</f>
        <v>0</v>
      </c>
      <c r="FO220" s="108"/>
      <c r="FP220" s="75" t="str">
        <f>Idiomas!$D$369</f>
        <v>Pegar valores Cuartos</v>
      </c>
      <c r="FQ220" s="76">
        <f t="shared" ref="FQ220:FQ223" si="6302">IFERROR(IF(COUNTIF($K$220:$K$223,LEFT(FP220,FIND("·",FP220)-1))&gt;0,IF(INDEX($L$220:$L$223,MATCH(LEFT(FP220,FIND("·",FP220)-1),$K$220:$K$223,0))=IFERROR(VALUE(MID(FP220,FIND("·",FP220)+1,1)),0),($D$24+(INDEX($M$220:$M$223,MATCH(LEFT(FP220,FIND("·",FP220)-1),$K$220:$K$223,0))=MID(FP220,FIND("|",FP220)+1,10))*$D$26+MAX(0,IF($D$50=1,$D$25*(1-(ABS(INDEX($P$220:$P$223,MATCH(LEFT(FP220,FIND("·",FP220)-1),$K$220:$K$223,0))-(VALUE(MID(FP220,FIND("|",FP220)+1,FIND("-",FP220,FIND("|",FP220))-FIND("|",FP220)-1))-VALUE(MID(FP220,FIND("-",FP220,FIND("|",FP220))+1,10)))))*$D$50),$D$25*(1-(IF(INDEX($L$220:$L$223,MATCH(LEFT(FP220,FIND("·",FP220)-1),$K$220:$K$223,0))=0,ABS(INDEX($N$220:$N$223,MATCH(LEFT(FP220,FIND("·",FP220)-1),$K$220:$K$223,0))-VALUE(MID(FP220,FIND("|",FP220)+1,FIND("-",FP220,FIND("|",FP220))-FIND("|",FP220)-1))),ABS(INDEX($P$220:$P$223,MATCH(LEFT(FP220,FIND("·",FP220)-1),$K$220:$K$223,0))-(VALUE(MID(FP220,FIND("|",FP220)+1,FIND("-",FP220,FIND("|",FP220))-FIND("|",FP220)-1))-VALUE(MID(FP220,FIND("-",FP220,FIND("|",FP220))+1,10)))))*$D$50)))))*INDEX($I$220:$I$223,MATCH(LEFT(FP220,FIND("·",FP220)-1),$K$220:$K$223,0)),0),0),0)+IFERROR(IF(COUNTIF($C$220:$C$223,LEFT(FP220,FIND("·",FP220)-1))&gt;0,IF(INDEX($D$220:$D$223,MATCH(LEFT(FP220,FIND("·",FP220)-1),$C$220:$C$223,0))=IFERROR(VALUE(MID(FP220,FIND("·",FP220)+1,1)),0),($D$24+(INDEX($E$220:$E$223,MATCH(LEFT(FP220,FIND("·",FP220)-1),$C$220:$C$223,0))=MID(FP220,FIND("|",FP220)+1,10))*$D$26+MAX(0,IF($D$50=1,$D$25*(1-(ABS(INDEX($Q$220:$Q$223,MATCH(LEFT(FP220,FIND("·",FP220)-1),$C$220:$C$223,0))-(VALUE(MID(FP220,FIND("|",FP220)+1,FIND("-",FP220,FIND("|",FP220))-FIND("|",FP220)-1))-VALUE(MID(FP220,FIND("-",FP220,FIND("|",FP220))+1,10)))))*$D$50),$D$25*(1-(IF(INDEX($D$220:$D$223,MATCH(LEFT(FP220,FIND("·",FP220)-1),$C$220:$C$223,0))=0,ABS(INDEX($A$220:$A$223,MATCH(LEFT(FP220,FIND("·",FP220)-1),$C$220:$C$223,0))-VALUE(MID(FP220,FIND("|",FP220)+1,FIND("-",FP220,FIND("|",FP220))-FIND("|",FP220)-1))),ABS(INDEX($Q$220:$Q$223,MATCH(LEFT(FP220,FIND("·",FP220)-1),$C$220:$C$223,0))-(VALUE(MID(FP220,FIND("|",FP220)+1,FIND("-",FP220,FIND("|",FP220))-FIND("|",FP220)-1))-VALUE(MID(FP220,FIND("-",FP220,FIND("|",FP220))+1,10)))))*$D$50)))))*INDEX($I$220:$I$223,MATCH(LEFT(FP220,FIND("·",FP220)-1),$C$220:$C$223,0)),0),0),0)</f>
        <v>0</v>
      </c>
      <c r="FR220" s="108"/>
      <c r="FS220" s="75" t="str">
        <f>Idiomas!$D$369</f>
        <v>Pegar valores Cuartos</v>
      </c>
      <c r="FT220" s="76">
        <f t="shared" ref="FT220:FT223" si="6303">IFERROR(IF(COUNTIF($K$220:$K$223,LEFT(FS220,FIND("·",FS220)-1))&gt;0,IF(INDEX($L$220:$L$223,MATCH(LEFT(FS220,FIND("·",FS220)-1),$K$220:$K$223,0))=IFERROR(VALUE(MID(FS220,FIND("·",FS220)+1,1)),0),($D$24+(INDEX($M$220:$M$223,MATCH(LEFT(FS220,FIND("·",FS220)-1),$K$220:$K$223,0))=MID(FS220,FIND("|",FS220)+1,10))*$D$26+MAX(0,IF($D$50=1,$D$25*(1-(ABS(INDEX($P$220:$P$223,MATCH(LEFT(FS220,FIND("·",FS220)-1),$K$220:$K$223,0))-(VALUE(MID(FS220,FIND("|",FS220)+1,FIND("-",FS220,FIND("|",FS220))-FIND("|",FS220)-1))-VALUE(MID(FS220,FIND("-",FS220,FIND("|",FS220))+1,10)))))*$D$50),$D$25*(1-(IF(INDEX($L$220:$L$223,MATCH(LEFT(FS220,FIND("·",FS220)-1),$K$220:$K$223,0))=0,ABS(INDEX($N$220:$N$223,MATCH(LEFT(FS220,FIND("·",FS220)-1),$K$220:$K$223,0))-VALUE(MID(FS220,FIND("|",FS220)+1,FIND("-",FS220,FIND("|",FS220))-FIND("|",FS220)-1))),ABS(INDEX($P$220:$P$223,MATCH(LEFT(FS220,FIND("·",FS220)-1),$K$220:$K$223,0))-(VALUE(MID(FS220,FIND("|",FS220)+1,FIND("-",FS220,FIND("|",FS220))-FIND("|",FS220)-1))-VALUE(MID(FS220,FIND("-",FS220,FIND("|",FS220))+1,10)))))*$D$50)))))*INDEX($I$220:$I$223,MATCH(LEFT(FS220,FIND("·",FS220)-1),$K$220:$K$223,0)),0),0),0)+IFERROR(IF(COUNTIF($C$220:$C$223,LEFT(FS220,FIND("·",FS220)-1))&gt;0,IF(INDEX($D$220:$D$223,MATCH(LEFT(FS220,FIND("·",FS220)-1),$C$220:$C$223,0))=IFERROR(VALUE(MID(FS220,FIND("·",FS220)+1,1)),0),($D$24+(INDEX($E$220:$E$223,MATCH(LEFT(FS220,FIND("·",FS220)-1),$C$220:$C$223,0))=MID(FS220,FIND("|",FS220)+1,10))*$D$26+MAX(0,IF($D$50=1,$D$25*(1-(ABS(INDEX($Q$220:$Q$223,MATCH(LEFT(FS220,FIND("·",FS220)-1),$C$220:$C$223,0))-(VALUE(MID(FS220,FIND("|",FS220)+1,FIND("-",FS220,FIND("|",FS220))-FIND("|",FS220)-1))-VALUE(MID(FS220,FIND("-",FS220,FIND("|",FS220))+1,10)))))*$D$50),$D$25*(1-(IF(INDEX($D$220:$D$223,MATCH(LEFT(FS220,FIND("·",FS220)-1),$C$220:$C$223,0))=0,ABS(INDEX($A$220:$A$223,MATCH(LEFT(FS220,FIND("·",FS220)-1),$C$220:$C$223,0))-VALUE(MID(FS220,FIND("|",FS220)+1,FIND("-",FS220,FIND("|",FS220))-FIND("|",FS220)-1))),ABS(INDEX($Q$220:$Q$223,MATCH(LEFT(FS220,FIND("·",FS220)-1),$C$220:$C$223,0))-(VALUE(MID(FS220,FIND("|",FS220)+1,FIND("-",FS220,FIND("|",FS220))-FIND("|",FS220)-1))-VALUE(MID(FS220,FIND("-",FS220,FIND("|",FS220))+1,10)))))*$D$50)))))*INDEX($I$220:$I$223,MATCH(LEFT(FS220,FIND("·",FS220)-1),$C$220:$C$223,0)),0),0),0)</f>
        <v>0</v>
      </c>
      <c r="FU220" s="108"/>
      <c r="FV220" s="75" t="str">
        <f>Idiomas!$D$369</f>
        <v>Pegar valores Cuartos</v>
      </c>
      <c r="FW220" s="76">
        <f t="shared" ref="FW220:FW223" si="6304">IFERROR(IF(COUNTIF($K$220:$K$223,LEFT(FV220,FIND("·",FV220)-1))&gt;0,IF(INDEX($L$220:$L$223,MATCH(LEFT(FV220,FIND("·",FV220)-1),$K$220:$K$223,0))=IFERROR(VALUE(MID(FV220,FIND("·",FV220)+1,1)),0),($D$24+(INDEX($M$220:$M$223,MATCH(LEFT(FV220,FIND("·",FV220)-1),$K$220:$K$223,0))=MID(FV220,FIND("|",FV220)+1,10))*$D$26+MAX(0,IF($D$50=1,$D$25*(1-(ABS(INDEX($P$220:$P$223,MATCH(LEFT(FV220,FIND("·",FV220)-1),$K$220:$K$223,0))-(VALUE(MID(FV220,FIND("|",FV220)+1,FIND("-",FV220,FIND("|",FV220))-FIND("|",FV220)-1))-VALUE(MID(FV220,FIND("-",FV220,FIND("|",FV220))+1,10)))))*$D$50),$D$25*(1-(IF(INDEX($L$220:$L$223,MATCH(LEFT(FV220,FIND("·",FV220)-1),$K$220:$K$223,0))=0,ABS(INDEX($N$220:$N$223,MATCH(LEFT(FV220,FIND("·",FV220)-1),$K$220:$K$223,0))-VALUE(MID(FV220,FIND("|",FV220)+1,FIND("-",FV220,FIND("|",FV220))-FIND("|",FV220)-1))),ABS(INDEX($P$220:$P$223,MATCH(LEFT(FV220,FIND("·",FV220)-1),$K$220:$K$223,0))-(VALUE(MID(FV220,FIND("|",FV220)+1,FIND("-",FV220,FIND("|",FV220))-FIND("|",FV220)-1))-VALUE(MID(FV220,FIND("-",FV220,FIND("|",FV220))+1,10)))))*$D$50)))))*INDEX($I$220:$I$223,MATCH(LEFT(FV220,FIND("·",FV220)-1),$K$220:$K$223,0)),0),0),0)+IFERROR(IF(COUNTIF($C$220:$C$223,LEFT(FV220,FIND("·",FV220)-1))&gt;0,IF(INDEX($D$220:$D$223,MATCH(LEFT(FV220,FIND("·",FV220)-1),$C$220:$C$223,0))=IFERROR(VALUE(MID(FV220,FIND("·",FV220)+1,1)),0),($D$24+(INDEX($E$220:$E$223,MATCH(LEFT(FV220,FIND("·",FV220)-1),$C$220:$C$223,0))=MID(FV220,FIND("|",FV220)+1,10))*$D$26+MAX(0,IF($D$50=1,$D$25*(1-(ABS(INDEX($Q$220:$Q$223,MATCH(LEFT(FV220,FIND("·",FV220)-1),$C$220:$C$223,0))-(VALUE(MID(FV220,FIND("|",FV220)+1,FIND("-",FV220,FIND("|",FV220))-FIND("|",FV220)-1))-VALUE(MID(FV220,FIND("-",FV220,FIND("|",FV220))+1,10)))))*$D$50),$D$25*(1-(IF(INDEX($D$220:$D$223,MATCH(LEFT(FV220,FIND("·",FV220)-1),$C$220:$C$223,0))=0,ABS(INDEX($A$220:$A$223,MATCH(LEFT(FV220,FIND("·",FV220)-1),$C$220:$C$223,0))-VALUE(MID(FV220,FIND("|",FV220)+1,FIND("-",FV220,FIND("|",FV220))-FIND("|",FV220)-1))),ABS(INDEX($Q$220:$Q$223,MATCH(LEFT(FV220,FIND("·",FV220)-1),$C$220:$C$223,0))-(VALUE(MID(FV220,FIND("|",FV220)+1,FIND("-",FV220,FIND("|",FV220))-FIND("|",FV220)-1))-VALUE(MID(FV220,FIND("-",FV220,FIND("|",FV220))+1,10)))))*$D$50)))))*INDEX($I$220:$I$223,MATCH(LEFT(FV220,FIND("·",FV220)-1),$C$220:$C$223,0)),0),0),0)</f>
        <v>0</v>
      </c>
      <c r="FX220" s="108"/>
      <c r="FY220" s="75" t="str">
        <f>Idiomas!$D$369</f>
        <v>Pegar valores Cuartos</v>
      </c>
      <c r="FZ220" s="76">
        <f t="shared" ref="FZ220:FZ223" si="6305">IFERROR(IF(COUNTIF($K$220:$K$223,LEFT(FY220,FIND("·",FY220)-1))&gt;0,IF(INDEX($L$220:$L$223,MATCH(LEFT(FY220,FIND("·",FY220)-1),$K$220:$K$223,0))=IFERROR(VALUE(MID(FY220,FIND("·",FY220)+1,1)),0),($D$24+(INDEX($M$220:$M$223,MATCH(LEFT(FY220,FIND("·",FY220)-1),$K$220:$K$223,0))=MID(FY220,FIND("|",FY220)+1,10))*$D$26+MAX(0,IF($D$50=1,$D$25*(1-(ABS(INDEX($P$220:$P$223,MATCH(LEFT(FY220,FIND("·",FY220)-1),$K$220:$K$223,0))-(VALUE(MID(FY220,FIND("|",FY220)+1,FIND("-",FY220,FIND("|",FY220))-FIND("|",FY220)-1))-VALUE(MID(FY220,FIND("-",FY220,FIND("|",FY220))+1,10)))))*$D$50),$D$25*(1-(IF(INDEX($L$220:$L$223,MATCH(LEFT(FY220,FIND("·",FY220)-1),$K$220:$K$223,0))=0,ABS(INDEX($N$220:$N$223,MATCH(LEFT(FY220,FIND("·",FY220)-1),$K$220:$K$223,0))-VALUE(MID(FY220,FIND("|",FY220)+1,FIND("-",FY220,FIND("|",FY220))-FIND("|",FY220)-1))),ABS(INDEX($P$220:$P$223,MATCH(LEFT(FY220,FIND("·",FY220)-1),$K$220:$K$223,0))-(VALUE(MID(FY220,FIND("|",FY220)+1,FIND("-",FY220,FIND("|",FY220))-FIND("|",FY220)-1))-VALUE(MID(FY220,FIND("-",FY220,FIND("|",FY220))+1,10)))))*$D$50)))))*INDEX($I$220:$I$223,MATCH(LEFT(FY220,FIND("·",FY220)-1),$K$220:$K$223,0)),0),0),0)+IFERROR(IF(COUNTIF($C$220:$C$223,LEFT(FY220,FIND("·",FY220)-1))&gt;0,IF(INDEX($D$220:$D$223,MATCH(LEFT(FY220,FIND("·",FY220)-1),$C$220:$C$223,0))=IFERROR(VALUE(MID(FY220,FIND("·",FY220)+1,1)),0),($D$24+(INDEX($E$220:$E$223,MATCH(LEFT(FY220,FIND("·",FY220)-1),$C$220:$C$223,0))=MID(FY220,FIND("|",FY220)+1,10))*$D$26+MAX(0,IF($D$50=1,$D$25*(1-(ABS(INDEX($Q$220:$Q$223,MATCH(LEFT(FY220,FIND("·",FY220)-1),$C$220:$C$223,0))-(VALUE(MID(FY220,FIND("|",FY220)+1,FIND("-",FY220,FIND("|",FY220))-FIND("|",FY220)-1))-VALUE(MID(FY220,FIND("-",FY220,FIND("|",FY220))+1,10)))))*$D$50),$D$25*(1-(IF(INDEX($D$220:$D$223,MATCH(LEFT(FY220,FIND("·",FY220)-1),$C$220:$C$223,0))=0,ABS(INDEX($A$220:$A$223,MATCH(LEFT(FY220,FIND("·",FY220)-1),$C$220:$C$223,0))-VALUE(MID(FY220,FIND("|",FY220)+1,FIND("-",FY220,FIND("|",FY220))-FIND("|",FY220)-1))),ABS(INDEX($Q$220:$Q$223,MATCH(LEFT(FY220,FIND("·",FY220)-1),$C$220:$C$223,0))-(VALUE(MID(FY220,FIND("|",FY220)+1,FIND("-",FY220,FIND("|",FY220))-FIND("|",FY220)-1))-VALUE(MID(FY220,FIND("-",FY220,FIND("|",FY220))+1,10)))))*$D$50)))))*INDEX($I$220:$I$223,MATCH(LEFT(FY220,FIND("·",FY220)-1),$C$220:$C$223,0)),0),0),0)</f>
        <v>0</v>
      </c>
      <c r="GA220" s="108"/>
      <c r="GB220" s="75" t="str">
        <f>Idiomas!$D$369</f>
        <v>Pegar valores Cuartos</v>
      </c>
      <c r="GC220" s="76">
        <f t="shared" ref="GC220:GC223" si="6306">IFERROR(IF(COUNTIF($K$220:$K$223,LEFT(GB220,FIND("·",GB220)-1))&gt;0,IF(INDEX($L$220:$L$223,MATCH(LEFT(GB220,FIND("·",GB220)-1),$K$220:$K$223,0))=IFERROR(VALUE(MID(GB220,FIND("·",GB220)+1,1)),0),($D$24+(INDEX($M$220:$M$223,MATCH(LEFT(GB220,FIND("·",GB220)-1),$K$220:$K$223,0))=MID(GB220,FIND("|",GB220)+1,10))*$D$26+MAX(0,IF($D$50=1,$D$25*(1-(ABS(INDEX($P$220:$P$223,MATCH(LEFT(GB220,FIND("·",GB220)-1),$K$220:$K$223,0))-(VALUE(MID(GB220,FIND("|",GB220)+1,FIND("-",GB220,FIND("|",GB220))-FIND("|",GB220)-1))-VALUE(MID(GB220,FIND("-",GB220,FIND("|",GB220))+1,10)))))*$D$50),$D$25*(1-(IF(INDEX($L$220:$L$223,MATCH(LEFT(GB220,FIND("·",GB220)-1),$K$220:$K$223,0))=0,ABS(INDEX($N$220:$N$223,MATCH(LEFT(GB220,FIND("·",GB220)-1),$K$220:$K$223,0))-VALUE(MID(GB220,FIND("|",GB220)+1,FIND("-",GB220,FIND("|",GB220))-FIND("|",GB220)-1))),ABS(INDEX($P$220:$P$223,MATCH(LEFT(GB220,FIND("·",GB220)-1),$K$220:$K$223,0))-(VALUE(MID(GB220,FIND("|",GB220)+1,FIND("-",GB220,FIND("|",GB220))-FIND("|",GB220)-1))-VALUE(MID(GB220,FIND("-",GB220,FIND("|",GB220))+1,10)))))*$D$50)))))*INDEX($I$220:$I$223,MATCH(LEFT(GB220,FIND("·",GB220)-1),$K$220:$K$223,0)),0),0),0)+IFERROR(IF(COUNTIF($C$220:$C$223,LEFT(GB220,FIND("·",GB220)-1))&gt;0,IF(INDEX($D$220:$D$223,MATCH(LEFT(GB220,FIND("·",GB220)-1),$C$220:$C$223,0))=IFERROR(VALUE(MID(GB220,FIND("·",GB220)+1,1)),0),($D$24+(INDEX($E$220:$E$223,MATCH(LEFT(GB220,FIND("·",GB220)-1),$C$220:$C$223,0))=MID(GB220,FIND("|",GB220)+1,10))*$D$26+MAX(0,IF($D$50=1,$D$25*(1-(ABS(INDEX($Q$220:$Q$223,MATCH(LEFT(GB220,FIND("·",GB220)-1),$C$220:$C$223,0))-(VALUE(MID(GB220,FIND("|",GB220)+1,FIND("-",GB220,FIND("|",GB220))-FIND("|",GB220)-1))-VALUE(MID(GB220,FIND("-",GB220,FIND("|",GB220))+1,10)))))*$D$50),$D$25*(1-(IF(INDEX($D$220:$D$223,MATCH(LEFT(GB220,FIND("·",GB220)-1),$C$220:$C$223,0))=0,ABS(INDEX($A$220:$A$223,MATCH(LEFT(GB220,FIND("·",GB220)-1),$C$220:$C$223,0))-VALUE(MID(GB220,FIND("|",GB220)+1,FIND("-",GB220,FIND("|",GB220))-FIND("|",GB220)-1))),ABS(INDEX($Q$220:$Q$223,MATCH(LEFT(GB220,FIND("·",GB220)-1),$C$220:$C$223,0))-(VALUE(MID(GB220,FIND("|",GB220)+1,FIND("-",GB220,FIND("|",GB220))-FIND("|",GB220)-1))-VALUE(MID(GB220,FIND("-",GB220,FIND("|",GB220))+1,10)))))*$D$50)))))*INDEX($I$220:$I$223,MATCH(LEFT(GB220,FIND("·",GB220)-1),$C$220:$C$223,0)),0),0),0)</f>
        <v>0</v>
      </c>
      <c r="GD220" s="108"/>
      <c r="GE220" s="75" t="str">
        <f>Idiomas!$D$369</f>
        <v>Pegar valores Cuartos</v>
      </c>
      <c r="GF220" s="76">
        <f t="shared" ref="GF220:GF223" si="6307">IFERROR(IF(COUNTIF($K$220:$K$223,LEFT(GE220,FIND("·",GE220)-1))&gt;0,IF(INDEX($L$220:$L$223,MATCH(LEFT(GE220,FIND("·",GE220)-1),$K$220:$K$223,0))=IFERROR(VALUE(MID(GE220,FIND("·",GE220)+1,1)),0),($D$24+(INDEX($M$220:$M$223,MATCH(LEFT(GE220,FIND("·",GE220)-1),$K$220:$K$223,0))=MID(GE220,FIND("|",GE220)+1,10))*$D$26+MAX(0,IF($D$50=1,$D$25*(1-(ABS(INDEX($P$220:$P$223,MATCH(LEFT(GE220,FIND("·",GE220)-1),$K$220:$K$223,0))-(VALUE(MID(GE220,FIND("|",GE220)+1,FIND("-",GE220,FIND("|",GE220))-FIND("|",GE220)-1))-VALUE(MID(GE220,FIND("-",GE220,FIND("|",GE220))+1,10)))))*$D$50),$D$25*(1-(IF(INDEX($L$220:$L$223,MATCH(LEFT(GE220,FIND("·",GE220)-1),$K$220:$K$223,0))=0,ABS(INDEX($N$220:$N$223,MATCH(LEFT(GE220,FIND("·",GE220)-1),$K$220:$K$223,0))-VALUE(MID(GE220,FIND("|",GE220)+1,FIND("-",GE220,FIND("|",GE220))-FIND("|",GE220)-1))),ABS(INDEX($P$220:$P$223,MATCH(LEFT(GE220,FIND("·",GE220)-1),$K$220:$K$223,0))-(VALUE(MID(GE220,FIND("|",GE220)+1,FIND("-",GE220,FIND("|",GE220))-FIND("|",GE220)-1))-VALUE(MID(GE220,FIND("-",GE220,FIND("|",GE220))+1,10)))))*$D$50)))))*INDEX($I$220:$I$223,MATCH(LEFT(GE220,FIND("·",GE220)-1),$K$220:$K$223,0)),0),0),0)+IFERROR(IF(COUNTIF($C$220:$C$223,LEFT(GE220,FIND("·",GE220)-1))&gt;0,IF(INDEX($D$220:$D$223,MATCH(LEFT(GE220,FIND("·",GE220)-1),$C$220:$C$223,0))=IFERROR(VALUE(MID(GE220,FIND("·",GE220)+1,1)),0),($D$24+(INDEX($E$220:$E$223,MATCH(LEFT(GE220,FIND("·",GE220)-1),$C$220:$C$223,0))=MID(GE220,FIND("|",GE220)+1,10))*$D$26+MAX(0,IF($D$50=1,$D$25*(1-(ABS(INDEX($Q$220:$Q$223,MATCH(LEFT(GE220,FIND("·",GE220)-1),$C$220:$C$223,0))-(VALUE(MID(GE220,FIND("|",GE220)+1,FIND("-",GE220,FIND("|",GE220))-FIND("|",GE220)-1))-VALUE(MID(GE220,FIND("-",GE220,FIND("|",GE220))+1,10)))))*$D$50),$D$25*(1-(IF(INDEX($D$220:$D$223,MATCH(LEFT(GE220,FIND("·",GE220)-1),$C$220:$C$223,0))=0,ABS(INDEX($A$220:$A$223,MATCH(LEFT(GE220,FIND("·",GE220)-1),$C$220:$C$223,0))-VALUE(MID(GE220,FIND("|",GE220)+1,FIND("-",GE220,FIND("|",GE220))-FIND("|",GE220)-1))),ABS(INDEX($Q$220:$Q$223,MATCH(LEFT(GE220,FIND("·",GE220)-1),$C$220:$C$223,0))-(VALUE(MID(GE220,FIND("|",GE220)+1,FIND("-",GE220,FIND("|",GE220))-FIND("|",GE220)-1))-VALUE(MID(GE220,FIND("-",GE220,FIND("|",GE220))+1,10)))))*$D$50)))))*INDEX($I$220:$I$223,MATCH(LEFT(GE220,FIND("·",GE220)-1),$C$220:$C$223,0)),0),0),0)</f>
        <v>0</v>
      </c>
      <c r="GG220" s="108"/>
      <c r="GH220" s="75" t="str">
        <f>Idiomas!$D$369</f>
        <v>Pegar valores Cuartos</v>
      </c>
      <c r="GI220" s="76">
        <f t="shared" ref="GI220:GI223" si="6308">IFERROR(IF(COUNTIF($K$220:$K$223,LEFT(GH220,FIND("·",GH220)-1))&gt;0,IF(INDEX($L$220:$L$223,MATCH(LEFT(GH220,FIND("·",GH220)-1),$K$220:$K$223,0))=IFERROR(VALUE(MID(GH220,FIND("·",GH220)+1,1)),0),($D$24+(INDEX($M$220:$M$223,MATCH(LEFT(GH220,FIND("·",GH220)-1),$K$220:$K$223,0))=MID(GH220,FIND("|",GH220)+1,10))*$D$26+MAX(0,IF($D$50=1,$D$25*(1-(ABS(INDEX($P$220:$P$223,MATCH(LEFT(GH220,FIND("·",GH220)-1),$K$220:$K$223,0))-(VALUE(MID(GH220,FIND("|",GH220)+1,FIND("-",GH220,FIND("|",GH220))-FIND("|",GH220)-1))-VALUE(MID(GH220,FIND("-",GH220,FIND("|",GH220))+1,10)))))*$D$50),$D$25*(1-(IF(INDEX($L$220:$L$223,MATCH(LEFT(GH220,FIND("·",GH220)-1),$K$220:$K$223,0))=0,ABS(INDEX($N$220:$N$223,MATCH(LEFT(GH220,FIND("·",GH220)-1),$K$220:$K$223,0))-VALUE(MID(GH220,FIND("|",GH220)+1,FIND("-",GH220,FIND("|",GH220))-FIND("|",GH220)-1))),ABS(INDEX($P$220:$P$223,MATCH(LEFT(GH220,FIND("·",GH220)-1),$K$220:$K$223,0))-(VALUE(MID(GH220,FIND("|",GH220)+1,FIND("-",GH220,FIND("|",GH220))-FIND("|",GH220)-1))-VALUE(MID(GH220,FIND("-",GH220,FIND("|",GH220))+1,10)))))*$D$50)))))*INDEX($I$220:$I$223,MATCH(LEFT(GH220,FIND("·",GH220)-1),$K$220:$K$223,0)),0),0),0)+IFERROR(IF(COUNTIF($C$220:$C$223,LEFT(GH220,FIND("·",GH220)-1))&gt;0,IF(INDEX($D$220:$D$223,MATCH(LEFT(GH220,FIND("·",GH220)-1),$C$220:$C$223,0))=IFERROR(VALUE(MID(GH220,FIND("·",GH220)+1,1)),0),($D$24+(INDEX($E$220:$E$223,MATCH(LEFT(GH220,FIND("·",GH220)-1),$C$220:$C$223,0))=MID(GH220,FIND("|",GH220)+1,10))*$D$26+MAX(0,IF($D$50=1,$D$25*(1-(ABS(INDEX($Q$220:$Q$223,MATCH(LEFT(GH220,FIND("·",GH220)-1),$C$220:$C$223,0))-(VALUE(MID(GH220,FIND("|",GH220)+1,FIND("-",GH220,FIND("|",GH220))-FIND("|",GH220)-1))-VALUE(MID(GH220,FIND("-",GH220,FIND("|",GH220))+1,10)))))*$D$50),$D$25*(1-(IF(INDEX($D$220:$D$223,MATCH(LEFT(GH220,FIND("·",GH220)-1),$C$220:$C$223,0))=0,ABS(INDEX($A$220:$A$223,MATCH(LEFT(GH220,FIND("·",GH220)-1),$C$220:$C$223,0))-VALUE(MID(GH220,FIND("|",GH220)+1,FIND("-",GH220,FIND("|",GH220))-FIND("|",GH220)-1))),ABS(INDEX($Q$220:$Q$223,MATCH(LEFT(GH220,FIND("·",GH220)-1),$C$220:$C$223,0))-(VALUE(MID(GH220,FIND("|",GH220)+1,FIND("-",GH220,FIND("|",GH220))-FIND("|",GH220)-1))-VALUE(MID(GH220,FIND("-",GH220,FIND("|",GH220))+1,10)))))*$D$50)))))*INDEX($I$220:$I$223,MATCH(LEFT(GH220,FIND("·",GH220)-1),$C$220:$C$223,0)),0),0),0)</f>
        <v>0</v>
      </c>
      <c r="GJ220" s="108"/>
      <c r="GK220" s="75" t="str">
        <f>Idiomas!$D$369</f>
        <v>Pegar valores Cuartos</v>
      </c>
      <c r="GL220" s="76">
        <f t="shared" ref="GL220:GL223" si="6309">IFERROR(IF(COUNTIF($K$220:$K$223,LEFT(GK220,FIND("·",GK220)-1))&gt;0,IF(INDEX($L$220:$L$223,MATCH(LEFT(GK220,FIND("·",GK220)-1),$K$220:$K$223,0))=IFERROR(VALUE(MID(GK220,FIND("·",GK220)+1,1)),0),($D$24+(INDEX($M$220:$M$223,MATCH(LEFT(GK220,FIND("·",GK220)-1),$K$220:$K$223,0))=MID(GK220,FIND("|",GK220)+1,10))*$D$26+MAX(0,IF($D$50=1,$D$25*(1-(ABS(INDEX($P$220:$P$223,MATCH(LEFT(GK220,FIND("·",GK220)-1),$K$220:$K$223,0))-(VALUE(MID(GK220,FIND("|",GK220)+1,FIND("-",GK220,FIND("|",GK220))-FIND("|",GK220)-1))-VALUE(MID(GK220,FIND("-",GK220,FIND("|",GK220))+1,10)))))*$D$50),$D$25*(1-(IF(INDEX($L$220:$L$223,MATCH(LEFT(GK220,FIND("·",GK220)-1),$K$220:$K$223,0))=0,ABS(INDEX($N$220:$N$223,MATCH(LEFT(GK220,FIND("·",GK220)-1),$K$220:$K$223,0))-VALUE(MID(GK220,FIND("|",GK220)+1,FIND("-",GK220,FIND("|",GK220))-FIND("|",GK220)-1))),ABS(INDEX($P$220:$P$223,MATCH(LEFT(GK220,FIND("·",GK220)-1),$K$220:$K$223,0))-(VALUE(MID(GK220,FIND("|",GK220)+1,FIND("-",GK220,FIND("|",GK220))-FIND("|",GK220)-1))-VALUE(MID(GK220,FIND("-",GK220,FIND("|",GK220))+1,10)))))*$D$50)))))*INDEX($I$220:$I$223,MATCH(LEFT(GK220,FIND("·",GK220)-1),$K$220:$K$223,0)),0),0),0)+IFERROR(IF(COUNTIF($C$220:$C$223,LEFT(GK220,FIND("·",GK220)-1))&gt;0,IF(INDEX($D$220:$D$223,MATCH(LEFT(GK220,FIND("·",GK220)-1),$C$220:$C$223,0))=IFERROR(VALUE(MID(GK220,FIND("·",GK220)+1,1)),0),($D$24+(INDEX($E$220:$E$223,MATCH(LEFT(GK220,FIND("·",GK220)-1),$C$220:$C$223,0))=MID(GK220,FIND("|",GK220)+1,10))*$D$26+MAX(0,IF($D$50=1,$D$25*(1-(ABS(INDEX($Q$220:$Q$223,MATCH(LEFT(GK220,FIND("·",GK220)-1),$C$220:$C$223,0))-(VALUE(MID(GK220,FIND("|",GK220)+1,FIND("-",GK220,FIND("|",GK220))-FIND("|",GK220)-1))-VALUE(MID(GK220,FIND("-",GK220,FIND("|",GK220))+1,10)))))*$D$50),$D$25*(1-(IF(INDEX($D$220:$D$223,MATCH(LEFT(GK220,FIND("·",GK220)-1),$C$220:$C$223,0))=0,ABS(INDEX($A$220:$A$223,MATCH(LEFT(GK220,FIND("·",GK220)-1),$C$220:$C$223,0))-VALUE(MID(GK220,FIND("|",GK220)+1,FIND("-",GK220,FIND("|",GK220))-FIND("|",GK220)-1))),ABS(INDEX($Q$220:$Q$223,MATCH(LEFT(GK220,FIND("·",GK220)-1),$C$220:$C$223,0))-(VALUE(MID(GK220,FIND("|",GK220)+1,FIND("-",GK220,FIND("|",GK220))-FIND("|",GK220)-1))-VALUE(MID(GK220,FIND("-",GK220,FIND("|",GK220))+1,10)))))*$D$50)))))*INDEX($I$220:$I$223,MATCH(LEFT(GK220,FIND("·",GK220)-1),$C$220:$C$223,0)),0),0),0)</f>
        <v>0</v>
      </c>
      <c r="GM220" s="108"/>
      <c r="GN220" s="75" t="str">
        <f>Idiomas!$D$369</f>
        <v>Pegar valores Cuartos</v>
      </c>
      <c r="GO220" s="76">
        <f t="shared" ref="GO220:GO223" si="6310">IFERROR(IF(COUNTIF($K$220:$K$223,LEFT(GN220,FIND("·",GN220)-1))&gt;0,IF(INDEX($L$220:$L$223,MATCH(LEFT(GN220,FIND("·",GN220)-1),$K$220:$K$223,0))=IFERROR(VALUE(MID(GN220,FIND("·",GN220)+1,1)),0),($D$24+(INDEX($M$220:$M$223,MATCH(LEFT(GN220,FIND("·",GN220)-1),$K$220:$K$223,0))=MID(GN220,FIND("|",GN220)+1,10))*$D$26+MAX(0,IF($D$50=1,$D$25*(1-(ABS(INDEX($P$220:$P$223,MATCH(LEFT(GN220,FIND("·",GN220)-1),$K$220:$K$223,0))-(VALUE(MID(GN220,FIND("|",GN220)+1,FIND("-",GN220,FIND("|",GN220))-FIND("|",GN220)-1))-VALUE(MID(GN220,FIND("-",GN220,FIND("|",GN220))+1,10)))))*$D$50),$D$25*(1-(IF(INDEX($L$220:$L$223,MATCH(LEFT(GN220,FIND("·",GN220)-1),$K$220:$K$223,0))=0,ABS(INDEX($N$220:$N$223,MATCH(LEFT(GN220,FIND("·",GN220)-1),$K$220:$K$223,0))-VALUE(MID(GN220,FIND("|",GN220)+1,FIND("-",GN220,FIND("|",GN220))-FIND("|",GN220)-1))),ABS(INDEX($P$220:$P$223,MATCH(LEFT(GN220,FIND("·",GN220)-1),$K$220:$K$223,0))-(VALUE(MID(GN220,FIND("|",GN220)+1,FIND("-",GN220,FIND("|",GN220))-FIND("|",GN220)-1))-VALUE(MID(GN220,FIND("-",GN220,FIND("|",GN220))+1,10)))))*$D$50)))))*INDEX($I$220:$I$223,MATCH(LEFT(GN220,FIND("·",GN220)-1),$K$220:$K$223,0)),0),0),0)+IFERROR(IF(COUNTIF($C$220:$C$223,LEFT(GN220,FIND("·",GN220)-1))&gt;0,IF(INDEX($D$220:$D$223,MATCH(LEFT(GN220,FIND("·",GN220)-1),$C$220:$C$223,0))=IFERROR(VALUE(MID(GN220,FIND("·",GN220)+1,1)),0),($D$24+(INDEX($E$220:$E$223,MATCH(LEFT(GN220,FIND("·",GN220)-1),$C$220:$C$223,0))=MID(GN220,FIND("|",GN220)+1,10))*$D$26+MAX(0,IF($D$50=1,$D$25*(1-(ABS(INDEX($Q$220:$Q$223,MATCH(LEFT(GN220,FIND("·",GN220)-1),$C$220:$C$223,0))-(VALUE(MID(GN220,FIND("|",GN220)+1,FIND("-",GN220,FIND("|",GN220))-FIND("|",GN220)-1))-VALUE(MID(GN220,FIND("-",GN220,FIND("|",GN220))+1,10)))))*$D$50),$D$25*(1-(IF(INDEX($D$220:$D$223,MATCH(LEFT(GN220,FIND("·",GN220)-1),$C$220:$C$223,0))=0,ABS(INDEX($A$220:$A$223,MATCH(LEFT(GN220,FIND("·",GN220)-1),$C$220:$C$223,0))-VALUE(MID(GN220,FIND("|",GN220)+1,FIND("-",GN220,FIND("|",GN220))-FIND("|",GN220)-1))),ABS(INDEX($Q$220:$Q$223,MATCH(LEFT(GN220,FIND("·",GN220)-1),$C$220:$C$223,0))-(VALUE(MID(GN220,FIND("|",GN220)+1,FIND("-",GN220,FIND("|",GN220))-FIND("|",GN220)-1))-VALUE(MID(GN220,FIND("-",GN220,FIND("|",GN220))+1,10)))))*$D$50)))))*INDEX($I$220:$I$223,MATCH(LEFT(GN220,FIND("·",GN220)-1),$C$220:$C$223,0)),0),0),0)</f>
        <v>0</v>
      </c>
      <c r="GP220" s="108"/>
      <c r="GQ220" s="75" t="str">
        <f>Idiomas!$D$369</f>
        <v>Pegar valores Cuartos</v>
      </c>
      <c r="GR220" s="76">
        <f t="shared" ref="GR220:GR223" si="6311">IFERROR(IF(COUNTIF($K$220:$K$223,LEFT(GQ220,FIND("·",GQ220)-1))&gt;0,IF(INDEX($L$220:$L$223,MATCH(LEFT(GQ220,FIND("·",GQ220)-1),$K$220:$K$223,0))=IFERROR(VALUE(MID(GQ220,FIND("·",GQ220)+1,1)),0),($D$24+(INDEX($M$220:$M$223,MATCH(LEFT(GQ220,FIND("·",GQ220)-1),$K$220:$K$223,0))=MID(GQ220,FIND("|",GQ220)+1,10))*$D$26+MAX(0,IF($D$50=1,$D$25*(1-(ABS(INDEX($P$220:$P$223,MATCH(LEFT(GQ220,FIND("·",GQ220)-1),$K$220:$K$223,0))-(VALUE(MID(GQ220,FIND("|",GQ220)+1,FIND("-",GQ220,FIND("|",GQ220))-FIND("|",GQ220)-1))-VALUE(MID(GQ220,FIND("-",GQ220,FIND("|",GQ220))+1,10)))))*$D$50),$D$25*(1-(IF(INDEX($L$220:$L$223,MATCH(LEFT(GQ220,FIND("·",GQ220)-1),$K$220:$K$223,0))=0,ABS(INDEX($N$220:$N$223,MATCH(LEFT(GQ220,FIND("·",GQ220)-1),$K$220:$K$223,0))-VALUE(MID(GQ220,FIND("|",GQ220)+1,FIND("-",GQ220,FIND("|",GQ220))-FIND("|",GQ220)-1))),ABS(INDEX($P$220:$P$223,MATCH(LEFT(GQ220,FIND("·",GQ220)-1),$K$220:$K$223,0))-(VALUE(MID(GQ220,FIND("|",GQ220)+1,FIND("-",GQ220,FIND("|",GQ220))-FIND("|",GQ220)-1))-VALUE(MID(GQ220,FIND("-",GQ220,FIND("|",GQ220))+1,10)))))*$D$50)))))*INDEX($I$220:$I$223,MATCH(LEFT(GQ220,FIND("·",GQ220)-1),$K$220:$K$223,0)),0),0),0)+IFERROR(IF(COUNTIF($C$220:$C$223,LEFT(GQ220,FIND("·",GQ220)-1))&gt;0,IF(INDEX($D$220:$D$223,MATCH(LEFT(GQ220,FIND("·",GQ220)-1),$C$220:$C$223,0))=IFERROR(VALUE(MID(GQ220,FIND("·",GQ220)+1,1)),0),($D$24+(INDEX($E$220:$E$223,MATCH(LEFT(GQ220,FIND("·",GQ220)-1),$C$220:$C$223,0))=MID(GQ220,FIND("|",GQ220)+1,10))*$D$26+MAX(0,IF($D$50=1,$D$25*(1-(ABS(INDEX($Q$220:$Q$223,MATCH(LEFT(GQ220,FIND("·",GQ220)-1),$C$220:$C$223,0))-(VALUE(MID(GQ220,FIND("|",GQ220)+1,FIND("-",GQ220,FIND("|",GQ220))-FIND("|",GQ220)-1))-VALUE(MID(GQ220,FIND("-",GQ220,FIND("|",GQ220))+1,10)))))*$D$50),$D$25*(1-(IF(INDEX($D$220:$D$223,MATCH(LEFT(GQ220,FIND("·",GQ220)-1),$C$220:$C$223,0))=0,ABS(INDEX($A$220:$A$223,MATCH(LEFT(GQ220,FIND("·",GQ220)-1),$C$220:$C$223,0))-VALUE(MID(GQ220,FIND("|",GQ220)+1,FIND("-",GQ220,FIND("|",GQ220))-FIND("|",GQ220)-1))),ABS(INDEX($Q$220:$Q$223,MATCH(LEFT(GQ220,FIND("·",GQ220)-1),$C$220:$C$223,0))-(VALUE(MID(GQ220,FIND("|",GQ220)+1,FIND("-",GQ220,FIND("|",GQ220))-FIND("|",GQ220)-1))-VALUE(MID(GQ220,FIND("-",GQ220,FIND("|",GQ220))+1,10)))))*$D$50)))))*INDEX($I$220:$I$223,MATCH(LEFT(GQ220,FIND("·",GQ220)-1),$C$220:$C$223,0)),0),0),0)</f>
        <v>0</v>
      </c>
      <c r="GS220" s="108"/>
      <c r="GT220" s="75" t="str">
        <f>Idiomas!$D$369</f>
        <v>Pegar valores Cuartos</v>
      </c>
      <c r="GU220" s="76">
        <f t="shared" ref="GU220:GU223" si="6312">IFERROR(IF(COUNTIF($K$220:$K$223,LEFT(GT220,FIND("·",GT220)-1))&gt;0,IF(INDEX($L$220:$L$223,MATCH(LEFT(GT220,FIND("·",GT220)-1),$K$220:$K$223,0))=IFERROR(VALUE(MID(GT220,FIND("·",GT220)+1,1)),0),($D$24+(INDEX($M$220:$M$223,MATCH(LEFT(GT220,FIND("·",GT220)-1),$K$220:$K$223,0))=MID(GT220,FIND("|",GT220)+1,10))*$D$26+MAX(0,IF($D$50=1,$D$25*(1-(ABS(INDEX($P$220:$P$223,MATCH(LEFT(GT220,FIND("·",GT220)-1),$K$220:$K$223,0))-(VALUE(MID(GT220,FIND("|",GT220)+1,FIND("-",GT220,FIND("|",GT220))-FIND("|",GT220)-1))-VALUE(MID(GT220,FIND("-",GT220,FIND("|",GT220))+1,10)))))*$D$50),$D$25*(1-(IF(INDEX($L$220:$L$223,MATCH(LEFT(GT220,FIND("·",GT220)-1),$K$220:$K$223,0))=0,ABS(INDEX($N$220:$N$223,MATCH(LEFT(GT220,FIND("·",GT220)-1),$K$220:$K$223,0))-VALUE(MID(GT220,FIND("|",GT220)+1,FIND("-",GT220,FIND("|",GT220))-FIND("|",GT220)-1))),ABS(INDEX($P$220:$P$223,MATCH(LEFT(GT220,FIND("·",GT220)-1),$K$220:$K$223,0))-(VALUE(MID(GT220,FIND("|",GT220)+1,FIND("-",GT220,FIND("|",GT220))-FIND("|",GT220)-1))-VALUE(MID(GT220,FIND("-",GT220,FIND("|",GT220))+1,10)))))*$D$50)))))*INDEX($I$220:$I$223,MATCH(LEFT(GT220,FIND("·",GT220)-1),$K$220:$K$223,0)),0),0),0)+IFERROR(IF(COUNTIF($C$220:$C$223,LEFT(GT220,FIND("·",GT220)-1))&gt;0,IF(INDEX($D$220:$D$223,MATCH(LEFT(GT220,FIND("·",GT220)-1),$C$220:$C$223,0))=IFERROR(VALUE(MID(GT220,FIND("·",GT220)+1,1)),0),($D$24+(INDEX($E$220:$E$223,MATCH(LEFT(GT220,FIND("·",GT220)-1),$C$220:$C$223,0))=MID(GT220,FIND("|",GT220)+1,10))*$D$26+MAX(0,IF($D$50=1,$D$25*(1-(ABS(INDEX($Q$220:$Q$223,MATCH(LEFT(GT220,FIND("·",GT220)-1),$C$220:$C$223,0))-(VALUE(MID(GT220,FIND("|",GT220)+1,FIND("-",GT220,FIND("|",GT220))-FIND("|",GT220)-1))-VALUE(MID(GT220,FIND("-",GT220,FIND("|",GT220))+1,10)))))*$D$50),$D$25*(1-(IF(INDEX($D$220:$D$223,MATCH(LEFT(GT220,FIND("·",GT220)-1),$C$220:$C$223,0))=0,ABS(INDEX($A$220:$A$223,MATCH(LEFT(GT220,FIND("·",GT220)-1),$C$220:$C$223,0))-VALUE(MID(GT220,FIND("|",GT220)+1,FIND("-",GT220,FIND("|",GT220))-FIND("|",GT220)-1))),ABS(INDEX($Q$220:$Q$223,MATCH(LEFT(GT220,FIND("·",GT220)-1),$C$220:$C$223,0))-(VALUE(MID(GT220,FIND("|",GT220)+1,FIND("-",GT220,FIND("|",GT220))-FIND("|",GT220)-1))-VALUE(MID(GT220,FIND("-",GT220,FIND("|",GT220))+1,10)))))*$D$50)))))*INDEX($I$220:$I$223,MATCH(LEFT(GT220,FIND("·",GT220)-1),$C$220:$C$223,0)),0),0),0)</f>
        <v>0</v>
      </c>
      <c r="GV220" s="108"/>
      <c r="GW220" s="75" t="str">
        <f>Idiomas!$D$369</f>
        <v>Pegar valores Cuartos</v>
      </c>
      <c r="GX220" s="76">
        <f t="shared" ref="GX220:GX223" si="6313">IFERROR(IF(COUNTIF($K$220:$K$223,LEFT(GW220,FIND("·",GW220)-1))&gt;0,IF(INDEX($L$220:$L$223,MATCH(LEFT(GW220,FIND("·",GW220)-1),$K$220:$K$223,0))=IFERROR(VALUE(MID(GW220,FIND("·",GW220)+1,1)),0),($D$24+(INDEX($M$220:$M$223,MATCH(LEFT(GW220,FIND("·",GW220)-1),$K$220:$K$223,0))=MID(GW220,FIND("|",GW220)+1,10))*$D$26+MAX(0,IF($D$50=1,$D$25*(1-(ABS(INDEX($P$220:$P$223,MATCH(LEFT(GW220,FIND("·",GW220)-1),$K$220:$K$223,0))-(VALUE(MID(GW220,FIND("|",GW220)+1,FIND("-",GW220,FIND("|",GW220))-FIND("|",GW220)-1))-VALUE(MID(GW220,FIND("-",GW220,FIND("|",GW220))+1,10)))))*$D$50),$D$25*(1-(IF(INDEX($L$220:$L$223,MATCH(LEFT(GW220,FIND("·",GW220)-1),$K$220:$K$223,0))=0,ABS(INDEX($N$220:$N$223,MATCH(LEFT(GW220,FIND("·",GW220)-1),$K$220:$K$223,0))-VALUE(MID(GW220,FIND("|",GW220)+1,FIND("-",GW220,FIND("|",GW220))-FIND("|",GW220)-1))),ABS(INDEX($P$220:$P$223,MATCH(LEFT(GW220,FIND("·",GW220)-1),$K$220:$K$223,0))-(VALUE(MID(GW220,FIND("|",GW220)+1,FIND("-",GW220,FIND("|",GW220))-FIND("|",GW220)-1))-VALUE(MID(GW220,FIND("-",GW220,FIND("|",GW220))+1,10)))))*$D$50)))))*INDEX($I$220:$I$223,MATCH(LEFT(GW220,FIND("·",GW220)-1),$K$220:$K$223,0)),0),0),0)+IFERROR(IF(COUNTIF($C$220:$C$223,LEFT(GW220,FIND("·",GW220)-1))&gt;0,IF(INDEX($D$220:$D$223,MATCH(LEFT(GW220,FIND("·",GW220)-1),$C$220:$C$223,0))=IFERROR(VALUE(MID(GW220,FIND("·",GW220)+1,1)),0),($D$24+(INDEX($E$220:$E$223,MATCH(LEFT(GW220,FIND("·",GW220)-1),$C$220:$C$223,0))=MID(GW220,FIND("|",GW220)+1,10))*$D$26+MAX(0,IF($D$50=1,$D$25*(1-(ABS(INDEX($Q$220:$Q$223,MATCH(LEFT(GW220,FIND("·",GW220)-1),$C$220:$C$223,0))-(VALUE(MID(GW220,FIND("|",GW220)+1,FIND("-",GW220,FIND("|",GW220))-FIND("|",GW220)-1))-VALUE(MID(GW220,FIND("-",GW220,FIND("|",GW220))+1,10)))))*$D$50),$D$25*(1-(IF(INDEX($D$220:$D$223,MATCH(LEFT(GW220,FIND("·",GW220)-1),$C$220:$C$223,0))=0,ABS(INDEX($A$220:$A$223,MATCH(LEFT(GW220,FIND("·",GW220)-1),$C$220:$C$223,0))-VALUE(MID(GW220,FIND("|",GW220)+1,FIND("-",GW220,FIND("|",GW220))-FIND("|",GW220)-1))),ABS(INDEX($Q$220:$Q$223,MATCH(LEFT(GW220,FIND("·",GW220)-1),$C$220:$C$223,0))-(VALUE(MID(GW220,FIND("|",GW220)+1,FIND("-",GW220,FIND("|",GW220))-FIND("|",GW220)-1))-VALUE(MID(GW220,FIND("-",GW220,FIND("|",GW220))+1,10)))))*$D$50)))))*INDEX($I$220:$I$223,MATCH(LEFT(GW220,FIND("·",GW220)-1),$C$220:$C$223,0)),0),0),0)</f>
        <v>0</v>
      </c>
      <c r="GY220" s="108"/>
      <c r="GZ220" s="75" t="str">
        <f>Idiomas!$D$369</f>
        <v>Pegar valores Cuartos</v>
      </c>
      <c r="HA220" s="76">
        <f t="shared" ref="HA220:HA223" si="6314">IFERROR(IF(COUNTIF($K$220:$K$223,LEFT(GZ220,FIND("·",GZ220)-1))&gt;0,IF(INDEX($L$220:$L$223,MATCH(LEFT(GZ220,FIND("·",GZ220)-1),$K$220:$K$223,0))=IFERROR(VALUE(MID(GZ220,FIND("·",GZ220)+1,1)),0),($D$24+(INDEX($M$220:$M$223,MATCH(LEFT(GZ220,FIND("·",GZ220)-1),$K$220:$K$223,0))=MID(GZ220,FIND("|",GZ220)+1,10))*$D$26+MAX(0,IF($D$50=1,$D$25*(1-(ABS(INDEX($P$220:$P$223,MATCH(LEFT(GZ220,FIND("·",GZ220)-1),$K$220:$K$223,0))-(VALUE(MID(GZ220,FIND("|",GZ220)+1,FIND("-",GZ220,FIND("|",GZ220))-FIND("|",GZ220)-1))-VALUE(MID(GZ220,FIND("-",GZ220,FIND("|",GZ220))+1,10)))))*$D$50),$D$25*(1-(IF(INDEX($L$220:$L$223,MATCH(LEFT(GZ220,FIND("·",GZ220)-1),$K$220:$K$223,0))=0,ABS(INDEX($N$220:$N$223,MATCH(LEFT(GZ220,FIND("·",GZ220)-1),$K$220:$K$223,0))-VALUE(MID(GZ220,FIND("|",GZ220)+1,FIND("-",GZ220,FIND("|",GZ220))-FIND("|",GZ220)-1))),ABS(INDEX($P$220:$P$223,MATCH(LEFT(GZ220,FIND("·",GZ220)-1),$K$220:$K$223,0))-(VALUE(MID(GZ220,FIND("|",GZ220)+1,FIND("-",GZ220,FIND("|",GZ220))-FIND("|",GZ220)-1))-VALUE(MID(GZ220,FIND("-",GZ220,FIND("|",GZ220))+1,10)))))*$D$50)))))*INDEX($I$220:$I$223,MATCH(LEFT(GZ220,FIND("·",GZ220)-1),$K$220:$K$223,0)),0),0),0)+IFERROR(IF(COUNTIF($C$220:$C$223,LEFT(GZ220,FIND("·",GZ220)-1))&gt;0,IF(INDEX($D$220:$D$223,MATCH(LEFT(GZ220,FIND("·",GZ220)-1),$C$220:$C$223,0))=IFERROR(VALUE(MID(GZ220,FIND("·",GZ220)+1,1)),0),($D$24+(INDEX($E$220:$E$223,MATCH(LEFT(GZ220,FIND("·",GZ220)-1),$C$220:$C$223,0))=MID(GZ220,FIND("|",GZ220)+1,10))*$D$26+MAX(0,IF($D$50=1,$D$25*(1-(ABS(INDEX($Q$220:$Q$223,MATCH(LEFT(GZ220,FIND("·",GZ220)-1),$C$220:$C$223,0))-(VALUE(MID(GZ220,FIND("|",GZ220)+1,FIND("-",GZ220,FIND("|",GZ220))-FIND("|",GZ220)-1))-VALUE(MID(GZ220,FIND("-",GZ220,FIND("|",GZ220))+1,10)))))*$D$50),$D$25*(1-(IF(INDEX($D$220:$D$223,MATCH(LEFT(GZ220,FIND("·",GZ220)-1),$C$220:$C$223,0))=0,ABS(INDEX($A$220:$A$223,MATCH(LEFT(GZ220,FIND("·",GZ220)-1),$C$220:$C$223,0))-VALUE(MID(GZ220,FIND("|",GZ220)+1,FIND("-",GZ220,FIND("|",GZ220))-FIND("|",GZ220)-1))),ABS(INDEX($Q$220:$Q$223,MATCH(LEFT(GZ220,FIND("·",GZ220)-1),$C$220:$C$223,0))-(VALUE(MID(GZ220,FIND("|",GZ220)+1,FIND("-",GZ220,FIND("|",GZ220))-FIND("|",GZ220)-1))-VALUE(MID(GZ220,FIND("-",GZ220,FIND("|",GZ220))+1,10)))))*$D$50)))))*INDEX($I$220:$I$223,MATCH(LEFT(GZ220,FIND("·",GZ220)-1),$C$220:$C$223,0)),0),0),0)</f>
        <v>0</v>
      </c>
      <c r="HB220" s="108"/>
      <c r="HC220" s="75" t="str">
        <f>Idiomas!$D$369</f>
        <v>Pegar valores Cuartos</v>
      </c>
      <c r="HD220" s="76">
        <f t="shared" ref="HD220:HD223" si="6315">IFERROR(IF(COUNTIF($K$220:$K$223,LEFT(HC220,FIND("·",HC220)-1))&gt;0,IF(INDEX($L$220:$L$223,MATCH(LEFT(HC220,FIND("·",HC220)-1),$K$220:$K$223,0))=IFERROR(VALUE(MID(HC220,FIND("·",HC220)+1,1)),0),($D$24+(INDEX($M$220:$M$223,MATCH(LEFT(HC220,FIND("·",HC220)-1),$K$220:$K$223,0))=MID(HC220,FIND("|",HC220)+1,10))*$D$26+MAX(0,IF($D$50=1,$D$25*(1-(ABS(INDEX($P$220:$P$223,MATCH(LEFT(HC220,FIND("·",HC220)-1),$K$220:$K$223,0))-(VALUE(MID(HC220,FIND("|",HC220)+1,FIND("-",HC220,FIND("|",HC220))-FIND("|",HC220)-1))-VALUE(MID(HC220,FIND("-",HC220,FIND("|",HC220))+1,10)))))*$D$50),$D$25*(1-(IF(INDEX($L$220:$L$223,MATCH(LEFT(HC220,FIND("·",HC220)-1),$K$220:$K$223,0))=0,ABS(INDEX($N$220:$N$223,MATCH(LEFT(HC220,FIND("·",HC220)-1),$K$220:$K$223,0))-VALUE(MID(HC220,FIND("|",HC220)+1,FIND("-",HC220,FIND("|",HC220))-FIND("|",HC220)-1))),ABS(INDEX($P$220:$P$223,MATCH(LEFT(HC220,FIND("·",HC220)-1),$K$220:$K$223,0))-(VALUE(MID(HC220,FIND("|",HC220)+1,FIND("-",HC220,FIND("|",HC220))-FIND("|",HC220)-1))-VALUE(MID(HC220,FIND("-",HC220,FIND("|",HC220))+1,10)))))*$D$50)))))*INDEX($I$220:$I$223,MATCH(LEFT(HC220,FIND("·",HC220)-1),$K$220:$K$223,0)),0),0),0)+IFERROR(IF(COUNTIF($C$220:$C$223,LEFT(HC220,FIND("·",HC220)-1))&gt;0,IF(INDEX($D$220:$D$223,MATCH(LEFT(HC220,FIND("·",HC220)-1),$C$220:$C$223,0))=IFERROR(VALUE(MID(HC220,FIND("·",HC220)+1,1)),0),($D$24+(INDEX($E$220:$E$223,MATCH(LEFT(HC220,FIND("·",HC220)-1),$C$220:$C$223,0))=MID(HC220,FIND("|",HC220)+1,10))*$D$26+MAX(0,IF($D$50=1,$D$25*(1-(ABS(INDEX($Q$220:$Q$223,MATCH(LEFT(HC220,FIND("·",HC220)-1),$C$220:$C$223,0))-(VALUE(MID(HC220,FIND("|",HC220)+1,FIND("-",HC220,FIND("|",HC220))-FIND("|",HC220)-1))-VALUE(MID(HC220,FIND("-",HC220,FIND("|",HC220))+1,10)))))*$D$50),$D$25*(1-(IF(INDEX($D$220:$D$223,MATCH(LEFT(HC220,FIND("·",HC220)-1),$C$220:$C$223,0))=0,ABS(INDEX($A$220:$A$223,MATCH(LEFT(HC220,FIND("·",HC220)-1),$C$220:$C$223,0))-VALUE(MID(HC220,FIND("|",HC220)+1,FIND("-",HC220,FIND("|",HC220))-FIND("|",HC220)-1))),ABS(INDEX($Q$220:$Q$223,MATCH(LEFT(HC220,FIND("·",HC220)-1),$C$220:$C$223,0))-(VALUE(MID(HC220,FIND("|",HC220)+1,FIND("-",HC220,FIND("|",HC220))-FIND("|",HC220)-1))-VALUE(MID(HC220,FIND("-",HC220,FIND("|",HC220))+1,10)))))*$D$50)))))*INDEX($I$220:$I$223,MATCH(LEFT(HC220,FIND("·",HC220)-1),$C$220:$C$223,0)),0),0),0)</f>
        <v>0</v>
      </c>
      <c r="HE220" s="108"/>
      <c r="HF220" s="75" t="str">
        <f>Idiomas!$D$369</f>
        <v>Pegar valores Cuartos</v>
      </c>
      <c r="HG220" s="76">
        <f t="shared" ref="HG220:HG223" si="6316">IFERROR(IF(COUNTIF($K$220:$K$223,LEFT(HF220,FIND("·",HF220)-1))&gt;0,IF(INDEX($L$220:$L$223,MATCH(LEFT(HF220,FIND("·",HF220)-1),$K$220:$K$223,0))=IFERROR(VALUE(MID(HF220,FIND("·",HF220)+1,1)),0),($D$24+(INDEX($M$220:$M$223,MATCH(LEFT(HF220,FIND("·",HF220)-1),$K$220:$K$223,0))=MID(HF220,FIND("|",HF220)+1,10))*$D$26+MAX(0,IF($D$50=1,$D$25*(1-(ABS(INDEX($P$220:$P$223,MATCH(LEFT(HF220,FIND("·",HF220)-1),$K$220:$K$223,0))-(VALUE(MID(HF220,FIND("|",HF220)+1,FIND("-",HF220,FIND("|",HF220))-FIND("|",HF220)-1))-VALUE(MID(HF220,FIND("-",HF220,FIND("|",HF220))+1,10)))))*$D$50),$D$25*(1-(IF(INDEX($L$220:$L$223,MATCH(LEFT(HF220,FIND("·",HF220)-1),$K$220:$K$223,0))=0,ABS(INDEX($N$220:$N$223,MATCH(LEFT(HF220,FIND("·",HF220)-1),$K$220:$K$223,0))-VALUE(MID(HF220,FIND("|",HF220)+1,FIND("-",HF220,FIND("|",HF220))-FIND("|",HF220)-1))),ABS(INDEX($P$220:$P$223,MATCH(LEFT(HF220,FIND("·",HF220)-1),$K$220:$K$223,0))-(VALUE(MID(HF220,FIND("|",HF220)+1,FIND("-",HF220,FIND("|",HF220))-FIND("|",HF220)-1))-VALUE(MID(HF220,FIND("-",HF220,FIND("|",HF220))+1,10)))))*$D$50)))))*INDEX($I$220:$I$223,MATCH(LEFT(HF220,FIND("·",HF220)-1),$K$220:$K$223,0)),0),0),0)+IFERROR(IF(COUNTIF($C$220:$C$223,LEFT(HF220,FIND("·",HF220)-1))&gt;0,IF(INDEX($D$220:$D$223,MATCH(LEFT(HF220,FIND("·",HF220)-1),$C$220:$C$223,0))=IFERROR(VALUE(MID(HF220,FIND("·",HF220)+1,1)),0),($D$24+(INDEX($E$220:$E$223,MATCH(LEFT(HF220,FIND("·",HF220)-1),$C$220:$C$223,0))=MID(HF220,FIND("|",HF220)+1,10))*$D$26+MAX(0,IF($D$50=1,$D$25*(1-(ABS(INDEX($Q$220:$Q$223,MATCH(LEFT(HF220,FIND("·",HF220)-1),$C$220:$C$223,0))-(VALUE(MID(HF220,FIND("|",HF220)+1,FIND("-",HF220,FIND("|",HF220))-FIND("|",HF220)-1))-VALUE(MID(HF220,FIND("-",HF220,FIND("|",HF220))+1,10)))))*$D$50),$D$25*(1-(IF(INDEX($D$220:$D$223,MATCH(LEFT(HF220,FIND("·",HF220)-1),$C$220:$C$223,0))=0,ABS(INDEX($A$220:$A$223,MATCH(LEFT(HF220,FIND("·",HF220)-1),$C$220:$C$223,0))-VALUE(MID(HF220,FIND("|",HF220)+1,FIND("-",HF220,FIND("|",HF220))-FIND("|",HF220)-1))),ABS(INDEX($Q$220:$Q$223,MATCH(LEFT(HF220,FIND("·",HF220)-1),$C$220:$C$223,0))-(VALUE(MID(HF220,FIND("|",HF220)+1,FIND("-",HF220,FIND("|",HF220))-FIND("|",HF220)-1))-VALUE(MID(HF220,FIND("-",HF220,FIND("|",HF220))+1,10)))))*$D$50)))))*INDEX($I$220:$I$223,MATCH(LEFT(HF220,FIND("·",HF220)-1),$C$220:$C$223,0)),0),0),0)</f>
        <v>0</v>
      </c>
      <c r="HH220" s="108"/>
      <c r="HI220" s="75" t="str">
        <f>Idiomas!$D$369</f>
        <v>Pegar valores Cuartos</v>
      </c>
      <c r="HJ220" s="76">
        <f t="shared" ref="HJ220:HJ223" si="6317">IFERROR(IF(COUNTIF($K$220:$K$223,LEFT(HI220,FIND("·",HI220)-1))&gt;0,IF(INDEX($L$220:$L$223,MATCH(LEFT(HI220,FIND("·",HI220)-1),$K$220:$K$223,0))=IFERROR(VALUE(MID(HI220,FIND("·",HI220)+1,1)),0),($D$24+(INDEX($M$220:$M$223,MATCH(LEFT(HI220,FIND("·",HI220)-1),$K$220:$K$223,0))=MID(HI220,FIND("|",HI220)+1,10))*$D$26+MAX(0,IF($D$50=1,$D$25*(1-(ABS(INDEX($P$220:$P$223,MATCH(LEFT(HI220,FIND("·",HI220)-1),$K$220:$K$223,0))-(VALUE(MID(HI220,FIND("|",HI220)+1,FIND("-",HI220,FIND("|",HI220))-FIND("|",HI220)-1))-VALUE(MID(HI220,FIND("-",HI220,FIND("|",HI220))+1,10)))))*$D$50),$D$25*(1-(IF(INDEX($L$220:$L$223,MATCH(LEFT(HI220,FIND("·",HI220)-1),$K$220:$K$223,0))=0,ABS(INDEX($N$220:$N$223,MATCH(LEFT(HI220,FIND("·",HI220)-1),$K$220:$K$223,0))-VALUE(MID(HI220,FIND("|",HI220)+1,FIND("-",HI220,FIND("|",HI220))-FIND("|",HI220)-1))),ABS(INDEX($P$220:$P$223,MATCH(LEFT(HI220,FIND("·",HI220)-1),$K$220:$K$223,0))-(VALUE(MID(HI220,FIND("|",HI220)+1,FIND("-",HI220,FIND("|",HI220))-FIND("|",HI220)-1))-VALUE(MID(HI220,FIND("-",HI220,FIND("|",HI220))+1,10)))))*$D$50)))))*INDEX($I$220:$I$223,MATCH(LEFT(HI220,FIND("·",HI220)-1),$K$220:$K$223,0)),0),0),0)+IFERROR(IF(COUNTIF($C$220:$C$223,LEFT(HI220,FIND("·",HI220)-1))&gt;0,IF(INDEX($D$220:$D$223,MATCH(LEFT(HI220,FIND("·",HI220)-1),$C$220:$C$223,0))=IFERROR(VALUE(MID(HI220,FIND("·",HI220)+1,1)),0),($D$24+(INDEX($E$220:$E$223,MATCH(LEFT(HI220,FIND("·",HI220)-1),$C$220:$C$223,0))=MID(HI220,FIND("|",HI220)+1,10))*$D$26+MAX(0,IF($D$50=1,$D$25*(1-(ABS(INDEX($Q$220:$Q$223,MATCH(LEFT(HI220,FIND("·",HI220)-1),$C$220:$C$223,0))-(VALUE(MID(HI220,FIND("|",HI220)+1,FIND("-",HI220,FIND("|",HI220))-FIND("|",HI220)-1))-VALUE(MID(HI220,FIND("-",HI220,FIND("|",HI220))+1,10)))))*$D$50),$D$25*(1-(IF(INDEX($D$220:$D$223,MATCH(LEFT(HI220,FIND("·",HI220)-1),$C$220:$C$223,0))=0,ABS(INDEX($A$220:$A$223,MATCH(LEFT(HI220,FIND("·",HI220)-1),$C$220:$C$223,0))-VALUE(MID(HI220,FIND("|",HI220)+1,FIND("-",HI220,FIND("|",HI220))-FIND("|",HI220)-1))),ABS(INDEX($Q$220:$Q$223,MATCH(LEFT(HI220,FIND("·",HI220)-1),$C$220:$C$223,0))-(VALUE(MID(HI220,FIND("|",HI220)+1,FIND("-",HI220,FIND("|",HI220))-FIND("|",HI220)-1))-VALUE(MID(HI220,FIND("-",HI220,FIND("|",HI220))+1,10)))))*$D$50)))))*INDEX($I$220:$I$223,MATCH(LEFT(HI220,FIND("·",HI220)-1),$C$220:$C$223,0)),0),0),0)</f>
        <v>0</v>
      </c>
      <c r="HK220" s="108"/>
      <c r="HL220" s="75" t="str">
        <f>Idiomas!$D$369</f>
        <v>Pegar valores Cuartos</v>
      </c>
      <c r="HM220" s="76">
        <f t="shared" ref="HM220:HM223" si="6318">IFERROR(IF(COUNTIF($K$220:$K$223,LEFT(HL220,FIND("·",HL220)-1))&gt;0,IF(INDEX($L$220:$L$223,MATCH(LEFT(HL220,FIND("·",HL220)-1),$K$220:$K$223,0))=IFERROR(VALUE(MID(HL220,FIND("·",HL220)+1,1)),0),($D$24+(INDEX($M$220:$M$223,MATCH(LEFT(HL220,FIND("·",HL220)-1),$K$220:$K$223,0))=MID(HL220,FIND("|",HL220)+1,10))*$D$26+MAX(0,IF($D$50=1,$D$25*(1-(ABS(INDEX($P$220:$P$223,MATCH(LEFT(HL220,FIND("·",HL220)-1),$K$220:$K$223,0))-(VALUE(MID(HL220,FIND("|",HL220)+1,FIND("-",HL220,FIND("|",HL220))-FIND("|",HL220)-1))-VALUE(MID(HL220,FIND("-",HL220,FIND("|",HL220))+1,10)))))*$D$50),$D$25*(1-(IF(INDEX($L$220:$L$223,MATCH(LEFT(HL220,FIND("·",HL220)-1),$K$220:$K$223,0))=0,ABS(INDEX($N$220:$N$223,MATCH(LEFT(HL220,FIND("·",HL220)-1),$K$220:$K$223,0))-VALUE(MID(HL220,FIND("|",HL220)+1,FIND("-",HL220,FIND("|",HL220))-FIND("|",HL220)-1))),ABS(INDEX($P$220:$P$223,MATCH(LEFT(HL220,FIND("·",HL220)-1),$K$220:$K$223,0))-(VALUE(MID(HL220,FIND("|",HL220)+1,FIND("-",HL220,FIND("|",HL220))-FIND("|",HL220)-1))-VALUE(MID(HL220,FIND("-",HL220,FIND("|",HL220))+1,10)))))*$D$50)))))*INDEX($I$220:$I$223,MATCH(LEFT(HL220,FIND("·",HL220)-1),$K$220:$K$223,0)),0),0),0)+IFERROR(IF(COUNTIF($C$220:$C$223,LEFT(HL220,FIND("·",HL220)-1))&gt;0,IF(INDEX($D$220:$D$223,MATCH(LEFT(HL220,FIND("·",HL220)-1),$C$220:$C$223,0))=IFERROR(VALUE(MID(HL220,FIND("·",HL220)+1,1)),0),($D$24+(INDEX($E$220:$E$223,MATCH(LEFT(HL220,FIND("·",HL220)-1),$C$220:$C$223,0))=MID(HL220,FIND("|",HL220)+1,10))*$D$26+MAX(0,IF($D$50=1,$D$25*(1-(ABS(INDEX($Q$220:$Q$223,MATCH(LEFT(HL220,FIND("·",HL220)-1),$C$220:$C$223,0))-(VALUE(MID(HL220,FIND("|",HL220)+1,FIND("-",HL220,FIND("|",HL220))-FIND("|",HL220)-1))-VALUE(MID(HL220,FIND("-",HL220,FIND("|",HL220))+1,10)))))*$D$50),$D$25*(1-(IF(INDEX($D$220:$D$223,MATCH(LEFT(HL220,FIND("·",HL220)-1),$C$220:$C$223,0))=0,ABS(INDEX($A$220:$A$223,MATCH(LEFT(HL220,FIND("·",HL220)-1),$C$220:$C$223,0))-VALUE(MID(HL220,FIND("|",HL220)+1,FIND("-",HL220,FIND("|",HL220))-FIND("|",HL220)-1))),ABS(INDEX($Q$220:$Q$223,MATCH(LEFT(HL220,FIND("·",HL220)-1),$C$220:$C$223,0))-(VALUE(MID(HL220,FIND("|",HL220)+1,FIND("-",HL220,FIND("|",HL220))-FIND("|",HL220)-1))-VALUE(MID(HL220,FIND("-",HL220,FIND("|",HL220))+1,10)))))*$D$50)))))*INDEX($I$220:$I$223,MATCH(LEFT(HL220,FIND("·",HL220)-1),$C$220:$C$223,0)),0),0),0)</f>
        <v>0</v>
      </c>
      <c r="HN220" s="108"/>
      <c r="HO220" s="75" t="str">
        <f>Idiomas!$D$369</f>
        <v>Pegar valores Cuartos</v>
      </c>
      <c r="HP220" s="76">
        <f t="shared" ref="HP220:HP223" si="6319">IFERROR(IF(COUNTIF($K$220:$K$223,LEFT(HO220,FIND("·",HO220)-1))&gt;0,IF(INDEX($L$220:$L$223,MATCH(LEFT(HO220,FIND("·",HO220)-1),$K$220:$K$223,0))=IFERROR(VALUE(MID(HO220,FIND("·",HO220)+1,1)),0),($D$24+(INDEX($M$220:$M$223,MATCH(LEFT(HO220,FIND("·",HO220)-1),$K$220:$K$223,0))=MID(HO220,FIND("|",HO220)+1,10))*$D$26+MAX(0,IF($D$50=1,$D$25*(1-(ABS(INDEX($P$220:$P$223,MATCH(LEFT(HO220,FIND("·",HO220)-1),$K$220:$K$223,0))-(VALUE(MID(HO220,FIND("|",HO220)+1,FIND("-",HO220,FIND("|",HO220))-FIND("|",HO220)-1))-VALUE(MID(HO220,FIND("-",HO220,FIND("|",HO220))+1,10)))))*$D$50),$D$25*(1-(IF(INDEX($L$220:$L$223,MATCH(LEFT(HO220,FIND("·",HO220)-1),$K$220:$K$223,0))=0,ABS(INDEX($N$220:$N$223,MATCH(LEFT(HO220,FIND("·",HO220)-1),$K$220:$K$223,0))-VALUE(MID(HO220,FIND("|",HO220)+1,FIND("-",HO220,FIND("|",HO220))-FIND("|",HO220)-1))),ABS(INDEX($P$220:$P$223,MATCH(LEFT(HO220,FIND("·",HO220)-1),$K$220:$K$223,0))-(VALUE(MID(HO220,FIND("|",HO220)+1,FIND("-",HO220,FIND("|",HO220))-FIND("|",HO220)-1))-VALUE(MID(HO220,FIND("-",HO220,FIND("|",HO220))+1,10)))))*$D$50)))))*INDEX($I$220:$I$223,MATCH(LEFT(HO220,FIND("·",HO220)-1),$K$220:$K$223,0)),0),0),0)+IFERROR(IF(COUNTIF($C$220:$C$223,LEFT(HO220,FIND("·",HO220)-1))&gt;0,IF(INDEX($D$220:$D$223,MATCH(LEFT(HO220,FIND("·",HO220)-1),$C$220:$C$223,0))=IFERROR(VALUE(MID(HO220,FIND("·",HO220)+1,1)),0),($D$24+(INDEX($E$220:$E$223,MATCH(LEFT(HO220,FIND("·",HO220)-1),$C$220:$C$223,0))=MID(HO220,FIND("|",HO220)+1,10))*$D$26+MAX(0,IF($D$50=1,$D$25*(1-(ABS(INDEX($Q$220:$Q$223,MATCH(LEFT(HO220,FIND("·",HO220)-1),$C$220:$C$223,0))-(VALUE(MID(HO220,FIND("|",HO220)+1,FIND("-",HO220,FIND("|",HO220))-FIND("|",HO220)-1))-VALUE(MID(HO220,FIND("-",HO220,FIND("|",HO220))+1,10)))))*$D$50),$D$25*(1-(IF(INDEX($D$220:$D$223,MATCH(LEFT(HO220,FIND("·",HO220)-1),$C$220:$C$223,0))=0,ABS(INDEX($A$220:$A$223,MATCH(LEFT(HO220,FIND("·",HO220)-1),$C$220:$C$223,0))-VALUE(MID(HO220,FIND("|",HO220)+1,FIND("-",HO220,FIND("|",HO220))-FIND("|",HO220)-1))),ABS(INDEX($Q$220:$Q$223,MATCH(LEFT(HO220,FIND("·",HO220)-1),$C$220:$C$223,0))-(VALUE(MID(HO220,FIND("|",HO220)+1,FIND("-",HO220,FIND("|",HO220))-FIND("|",HO220)-1))-VALUE(MID(HO220,FIND("-",HO220,FIND("|",HO220))+1,10)))))*$D$50)))))*INDEX($I$220:$I$223,MATCH(LEFT(HO220,FIND("·",HO220)-1),$C$220:$C$223,0)),0),0),0)</f>
        <v>0</v>
      </c>
      <c r="HQ220" s="108"/>
      <c r="HR220" s="75" t="str">
        <f>Idiomas!$D$369</f>
        <v>Pegar valores Cuartos</v>
      </c>
      <c r="HS220" s="76">
        <f t="shared" ref="HS220:HS223" si="6320">IFERROR(IF(COUNTIF($K$220:$K$223,LEFT(HR220,FIND("·",HR220)-1))&gt;0,IF(INDEX($L$220:$L$223,MATCH(LEFT(HR220,FIND("·",HR220)-1),$K$220:$K$223,0))=IFERROR(VALUE(MID(HR220,FIND("·",HR220)+1,1)),0),($D$24+(INDEX($M$220:$M$223,MATCH(LEFT(HR220,FIND("·",HR220)-1),$K$220:$K$223,0))=MID(HR220,FIND("|",HR220)+1,10))*$D$26+MAX(0,IF($D$50=1,$D$25*(1-(ABS(INDEX($P$220:$P$223,MATCH(LEFT(HR220,FIND("·",HR220)-1),$K$220:$K$223,0))-(VALUE(MID(HR220,FIND("|",HR220)+1,FIND("-",HR220,FIND("|",HR220))-FIND("|",HR220)-1))-VALUE(MID(HR220,FIND("-",HR220,FIND("|",HR220))+1,10)))))*$D$50),$D$25*(1-(IF(INDEX($L$220:$L$223,MATCH(LEFT(HR220,FIND("·",HR220)-1),$K$220:$K$223,0))=0,ABS(INDEX($N$220:$N$223,MATCH(LEFT(HR220,FIND("·",HR220)-1),$K$220:$K$223,0))-VALUE(MID(HR220,FIND("|",HR220)+1,FIND("-",HR220,FIND("|",HR220))-FIND("|",HR220)-1))),ABS(INDEX($P$220:$P$223,MATCH(LEFT(HR220,FIND("·",HR220)-1),$K$220:$K$223,0))-(VALUE(MID(HR220,FIND("|",HR220)+1,FIND("-",HR220,FIND("|",HR220))-FIND("|",HR220)-1))-VALUE(MID(HR220,FIND("-",HR220,FIND("|",HR220))+1,10)))))*$D$50)))))*INDEX($I$220:$I$223,MATCH(LEFT(HR220,FIND("·",HR220)-1),$K$220:$K$223,0)),0),0),0)+IFERROR(IF(COUNTIF($C$220:$C$223,LEFT(HR220,FIND("·",HR220)-1))&gt;0,IF(INDEX($D$220:$D$223,MATCH(LEFT(HR220,FIND("·",HR220)-1),$C$220:$C$223,0))=IFERROR(VALUE(MID(HR220,FIND("·",HR220)+1,1)),0),($D$24+(INDEX($E$220:$E$223,MATCH(LEFT(HR220,FIND("·",HR220)-1),$C$220:$C$223,0))=MID(HR220,FIND("|",HR220)+1,10))*$D$26+MAX(0,IF($D$50=1,$D$25*(1-(ABS(INDEX($Q$220:$Q$223,MATCH(LEFT(HR220,FIND("·",HR220)-1),$C$220:$C$223,0))-(VALUE(MID(HR220,FIND("|",HR220)+1,FIND("-",HR220,FIND("|",HR220))-FIND("|",HR220)-1))-VALUE(MID(HR220,FIND("-",HR220,FIND("|",HR220))+1,10)))))*$D$50),$D$25*(1-(IF(INDEX($D$220:$D$223,MATCH(LEFT(HR220,FIND("·",HR220)-1),$C$220:$C$223,0))=0,ABS(INDEX($A$220:$A$223,MATCH(LEFT(HR220,FIND("·",HR220)-1),$C$220:$C$223,0))-VALUE(MID(HR220,FIND("|",HR220)+1,FIND("-",HR220,FIND("|",HR220))-FIND("|",HR220)-1))),ABS(INDEX($Q$220:$Q$223,MATCH(LEFT(HR220,FIND("·",HR220)-1),$C$220:$C$223,0))-(VALUE(MID(HR220,FIND("|",HR220)+1,FIND("-",HR220,FIND("|",HR220))-FIND("|",HR220)-1))-VALUE(MID(HR220,FIND("-",HR220,FIND("|",HR220))+1,10)))))*$D$50)))))*INDEX($I$220:$I$223,MATCH(LEFT(HR220,FIND("·",HR220)-1),$C$220:$C$223,0)),0),0),0)</f>
        <v>0</v>
      </c>
      <c r="HT220" s="108"/>
      <c r="HU220" s="75" t="str">
        <f>Idiomas!$D$369</f>
        <v>Pegar valores Cuartos</v>
      </c>
      <c r="HV220" s="76">
        <f t="shared" ref="HV220:HV223" si="6321">IFERROR(IF(COUNTIF($K$220:$K$223,LEFT(HU220,FIND("·",HU220)-1))&gt;0,IF(INDEX($L$220:$L$223,MATCH(LEFT(HU220,FIND("·",HU220)-1),$K$220:$K$223,0))=IFERROR(VALUE(MID(HU220,FIND("·",HU220)+1,1)),0),($D$24+(INDEX($M$220:$M$223,MATCH(LEFT(HU220,FIND("·",HU220)-1),$K$220:$K$223,0))=MID(HU220,FIND("|",HU220)+1,10))*$D$26+MAX(0,IF($D$50=1,$D$25*(1-(ABS(INDEX($P$220:$P$223,MATCH(LEFT(HU220,FIND("·",HU220)-1),$K$220:$K$223,0))-(VALUE(MID(HU220,FIND("|",HU220)+1,FIND("-",HU220,FIND("|",HU220))-FIND("|",HU220)-1))-VALUE(MID(HU220,FIND("-",HU220,FIND("|",HU220))+1,10)))))*$D$50),$D$25*(1-(IF(INDEX($L$220:$L$223,MATCH(LEFT(HU220,FIND("·",HU220)-1),$K$220:$K$223,0))=0,ABS(INDEX($N$220:$N$223,MATCH(LEFT(HU220,FIND("·",HU220)-1),$K$220:$K$223,0))-VALUE(MID(HU220,FIND("|",HU220)+1,FIND("-",HU220,FIND("|",HU220))-FIND("|",HU220)-1))),ABS(INDEX($P$220:$P$223,MATCH(LEFT(HU220,FIND("·",HU220)-1),$K$220:$K$223,0))-(VALUE(MID(HU220,FIND("|",HU220)+1,FIND("-",HU220,FIND("|",HU220))-FIND("|",HU220)-1))-VALUE(MID(HU220,FIND("-",HU220,FIND("|",HU220))+1,10)))))*$D$50)))))*INDEX($I$220:$I$223,MATCH(LEFT(HU220,FIND("·",HU220)-1),$K$220:$K$223,0)),0),0),0)+IFERROR(IF(COUNTIF($C$220:$C$223,LEFT(HU220,FIND("·",HU220)-1))&gt;0,IF(INDEX($D$220:$D$223,MATCH(LEFT(HU220,FIND("·",HU220)-1),$C$220:$C$223,0))=IFERROR(VALUE(MID(HU220,FIND("·",HU220)+1,1)),0),($D$24+(INDEX($E$220:$E$223,MATCH(LEFT(HU220,FIND("·",HU220)-1),$C$220:$C$223,0))=MID(HU220,FIND("|",HU220)+1,10))*$D$26+MAX(0,IF($D$50=1,$D$25*(1-(ABS(INDEX($Q$220:$Q$223,MATCH(LEFT(HU220,FIND("·",HU220)-1),$C$220:$C$223,0))-(VALUE(MID(HU220,FIND("|",HU220)+1,FIND("-",HU220,FIND("|",HU220))-FIND("|",HU220)-1))-VALUE(MID(HU220,FIND("-",HU220,FIND("|",HU220))+1,10)))))*$D$50),$D$25*(1-(IF(INDEX($D$220:$D$223,MATCH(LEFT(HU220,FIND("·",HU220)-1),$C$220:$C$223,0))=0,ABS(INDEX($A$220:$A$223,MATCH(LEFT(HU220,FIND("·",HU220)-1),$C$220:$C$223,0))-VALUE(MID(HU220,FIND("|",HU220)+1,FIND("-",HU220,FIND("|",HU220))-FIND("|",HU220)-1))),ABS(INDEX($Q$220:$Q$223,MATCH(LEFT(HU220,FIND("·",HU220)-1),$C$220:$C$223,0))-(VALUE(MID(HU220,FIND("|",HU220)+1,FIND("-",HU220,FIND("|",HU220))-FIND("|",HU220)-1))-VALUE(MID(HU220,FIND("-",HU220,FIND("|",HU220))+1,10)))))*$D$50)))))*INDEX($I$220:$I$223,MATCH(LEFT(HU220,FIND("·",HU220)-1),$C$220:$C$223,0)),0),0),0)</f>
        <v>0</v>
      </c>
      <c r="HW220" s="108"/>
      <c r="HX220" s="75" t="str">
        <f>Idiomas!$D$369</f>
        <v>Pegar valores Cuartos</v>
      </c>
      <c r="HY220" s="76">
        <f t="shared" ref="HY220:HY223" si="6322">IFERROR(IF(COUNTIF($K$220:$K$223,LEFT(HX220,FIND("·",HX220)-1))&gt;0,IF(INDEX($L$220:$L$223,MATCH(LEFT(HX220,FIND("·",HX220)-1),$K$220:$K$223,0))=IFERROR(VALUE(MID(HX220,FIND("·",HX220)+1,1)),0),($D$24+(INDEX($M$220:$M$223,MATCH(LEFT(HX220,FIND("·",HX220)-1),$K$220:$K$223,0))=MID(HX220,FIND("|",HX220)+1,10))*$D$26+MAX(0,IF($D$50=1,$D$25*(1-(ABS(INDEX($P$220:$P$223,MATCH(LEFT(HX220,FIND("·",HX220)-1),$K$220:$K$223,0))-(VALUE(MID(HX220,FIND("|",HX220)+1,FIND("-",HX220,FIND("|",HX220))-FIND("|",HX220)-1))-VALUE(MID(HX220,FIND("-",HX220,FIND("|",HX220))+1,10)))))*$D$50),$D$25*(1-(IF(INDEX($L$220:$L$223,MATCH(LEFT(HX220,FIND("·",HX220)-1),$K$220:$K$223,0))=0,ABS(INDEX($N$220:$N$223,MATCH(LEFT(HX220,FIND("·",HX220)-1),$K$220:$K$223,0))-VALUE(MID(HX220,FIND("|",HX220)+1,FIND("-",HX220,FIND("|",HX220))-FIND("|",HX220)-1))),ABS(INDEX($P$220:$P$223,MATCH(LEFT(HX220,FIND("·",HX220)-1),$K$220:$K$223,0))-(VALUE(MID(HX220,FIND("|",HX220)+1,FIND("-",HX220,FIND("|",HX220))-FIND("|",HX220)-1))-VALUE(MID(HX220,FIND("-",HX220,FIND("|",HX220))+1,10)))))*$D$50)))))*INDEX($I$220:$I$223,MATCH(LEFT(HX220,FIND("·",HX220)-1),$K$220:$K$223,0)),0),0),0)+IFERROR(IF(COUNTIF($C$220:$C$223,LEFT(HX220,FIND("·",HX220)-1))&gt;0,IF(INDEX($D$220:$D$223,MATCH(LEFT(HX220,FIND("·",HX220)-1),$C$220:$C$223,0))=IFERROR(VALUE(MID(HX220,FIND("·",HX220)+1,1)),0),($D$24+(INDEX($E$220:$E$223,MATCH(LEFT(HX220,FIND("·",HX220)-1),$C$220:$C$223,0))=MID(HX220,FIND("|",HX220)+1,10))*$D$26+MAX(0,IF($D$50=1,$D$25*(1-(ABS(INDEX($Q$220:$Q$223,MATCH(LEFT(HX220,FIND("·",HX220)-1),$C$220:$C$223,0))-(VALUE(MID(HX220,FIND("|",HX220)+1,FIND("-",HX220,FIND("|",HX220))-FIND("|",HX220)-1))-VALUE(MID(HX220,FIND("-",HX220,FIND("|",HX220))+1,10)))))*$D$50),$D$25*(1-(IF(INDEX($D$220:$D$223,MATCH(LEFT(HX220,FIND("·",HX220)-1),$C$220:$C$223,0))=0,ABS(INDEX($A$220:$A$223,MATCH(LEFT(HX220,FIND("·",HX220)-1),$C$220:$C$223,0))-VALUE(MID(HX220,FIND("|",HX220)+1,FIND("-",HX220,FIND("|",HX220))-FIND("|",HX220)-1))),ABS(INDEX($Q$220:$Q$223,MATCH(LEFT(HX220,FIND("·",HX220)-1),$C$220:$C$223,0))-(VALUE(MID(HX220,FIND("|",HX220)+1,FIND("-",HX220,FIND("|",HX220))-FIND("|",HX220)-1))-VALUE(MID(HX220,FIND("-",HX220,FIND("|",HX220))+1,10)))))*$D$50)))))*INDEX($I$220:$I$223,MATCH(LEFT(HX220,FIND("·",HX220)-1),$C$220:$C$223,0)),0),0),0)</f>
        <v>0</v>
      </c>
      <c r="HZ220" s="108"/>
      <c r="IA220" s="75" t="str">
        <f>Idiomas!$D$369</f>
        <v>Pegar valores Cuartos</v>
      </c>
      <c r="IB220" s="76">
        <f t="shared" ref="IB220:IB223" si="6323">IFERROR(IF(COUNTIF($K$220:$K$223,LEFT(IA220,FIND("·",IA220)-1))&gt;0,IF(INDEX($L$220:$L$223,MATCH(LEFT(IA220,FIND("·",IA220)-1),$K$220:$K$223,0))=IFERROR(VALUE(MID(IA220,FIND("·",IA220)+1,1)),0),($D$24+(INDEX($M$220:$M$223,MATCH(LEFT(IA220,FIND("·",IA220)-1),$K$220:$K$223,0))=MID(IA220,FIND("|",IA220)+1,10))*$D$26+MAX(0,IF($D$50=1,$D$25*(1-(ABS(INDEX($P$220:$P$223,MATCH(LEFT(IA220,FIND("·",IA220)-1),$K$220:$K$223,0))-(VALUE(MID(IA220,FIND("|",IA220)+1,FIND("-",IA220,FIND("|",IA220))-FIND("|",IA220)-1))-VALUE(MID(IA220,FIND("-",IA220,FIND("|",IA220))+1,10)))))*$D$50),$D$25*(1-(IF(INDEX($L$220:$L$223,MATCH(LEFT(IA220,FIND("·",IA220)-1),$K$220:$K$223,0))=0,ABS(INDEX($N$220:$N$223,MATCH(LEFT(IA220,FIND("·",IA220)-1),$K$220:$K$223,0))-VALUE(MID(IA220,FIND("|",IA220)+1,FIND("-",IA220,FIND("|",IA220))-FIND("|",IA220)-1))),ABS(INDEX($P$220:$P$223,MATCH(LEFT(IA220,FIND("·",IA220)-1),$K$220:$K$223,0))-(VALUE(MID(IA220,FIND("|",IA220)+1,FIND("-",IA220,FIND("|",IA220))-FIND("|",IA220)-1))-VALUE(MID(IA220,FIND("-",IA220,FIND("|",IA220))+1,10)))))*$D$50)))))*INDEX($I$220:$I$223,MATCH(LEFT(IA220,FIND("·",IA220)-1),$K$220:$K$223,0)),0),0),0)+IFERROR(IF(COUNTIF($C$220:$C$223,LEFT(IA220,FIND("·",IA220)-1))&gt;0,IF(INDEX($D$220:$D$223,MATCH(LEFT(IA220,FIND("·",IA220)-1),$C$220:$C$223,0))=IFERROR(VALUE(MID(IA220,FIND("·",IA220)+1,1)),0),($D$24+(INDEX($E$220:$E$223,MATCH(LEFT(IA220,FIND("·",IA220)-1),$C$220:$C$223,0))=MID(IA220,FIND("|",IA220)+1,10))*$D$26+MAX(0,IF($D$50=1,$D$25*(1-(ABS(INDEX($Q$220:$Q$223,MATCH(LEFT(IA220,FIND("·",IA220)-1),$C$220:$C$223,0))-(VALUE(MID(IA220,FIND("|",IA220)+1,FIND("-",IA220,FIND("|",IA220))-FIND("|",IA220)-1))-VALUE(MID(IA220,FIND("-",IA220,FIND("|",IA220))+1,10)))))*$D$50),$D$25*(1-(IF(INDEX($D$220:$D$223,MATCH(LEFT(IA220,FIND("·",IA220)-1),$C$220:$C$223,0))=0,ABS(INDEX($A$220:$A$223,MATCH(LEFT(IA220,FIND("·",IA220)-1),$C$220:$C$223,0))-VALUE(MID(IA220,FIND("|",IA220)+1,FIND("-",IA220,FIND("|",IA220))-FIND("|",IA220)-1))),ABS(INDEX($Q$220:$Q$223,MATCH(LEFT(IA220,FIND("·",IA220)-1),$C$220:$C$223,0))-(VALUE(MID(IA220,FIND("|",IA220)+1,FIND("-",IA220,FIND("|",IA220))-FIND("|",IA220)-1))-VALUE(MID(IA220,FIND("-",IA220,FIND("|",IA220))+1,10)))))*$D$50)))))*INDEX($I$220:$I$223,MATCH(LEFT(IA220,FIND("·",IA220)-1),$C$220:$C$223,0)),0),0),0)</f>
        <v>0</v>
      </c>
      <c r="IC220" s="108"/>
      <c r="ID220" s="75" t="str">
        <f>Idiomas!$D$369</f>
        <v>Pegar valores Cuartos</v>
      </c>
      <c r="IE220" s="76">
        <f t="shared" ref="IE220:IE223" si="6324">IFERROR(IF(COUNTIF($K$220:$K$223,LEFT(ID220,FIND("·",ID220)-1))&gt;0,IF(INDEX($L$220:$L$223,MATCH(LEFT(ID220,FIND("·",ID220)-1),$K$220:$K$223,0))=IFERROR(VALUE(MID(ID220,FIND("·",ID220)+1,1)),0),($D$24+(INDEX($M$220:$M$223,MATCH(LEFT(ID220,FIND("·",ID220)-1),$K$220:$K$223,0))=MID(ID220,FIND("|",ID220)+1,10))*$D$26+MAX(0,IF($D$50=1,$D$25*(1-(ABS(INDEX($P$220:$P$223,MATCH(LEFT(ID220,FIND("·",ID220)-1),$K$220:$K$223,0))-(VALUE(MID(ID220,FIND("|",ID220)+1,FIND("-",ID220,FIND("|",ID220))-FIND("|",ID220)-1))-VALUE(MID(ID220,FIND("-",ID220,FIND("|",ID220))+1,10)))))*$D$50),$D$25*(1-(IF(INDEX($L$220:$L$223,MATCH(LEFT(ID220,FIND("·",ID220)-1),$K$220:$K$223,0))=0,ABS(INDEX($N$220:$N$223,MATCH(LEFT(ID220,FIND("·",ID220)-1),$K$220:$K$223,0))-VALUE(MID(ID220,FIND("|",ID220)+1,FIND("-",ID220,FIND("|",ID220))-FIND("|",ID220)-1))),ABS(INDEX($P$220:$P$223,MATCH(LEFT(ID220,FIND("·",ID220)-1),$K$220:$K$223,0))-(VALUE(MID(ID220,FIND("|",ID220)+1,FIND("-",ID220,FIND("|",ID220))-FIND("|",ID220)-1))-VALUE(MID(ID220,FIND("-",ID220,FIND("|",ID220))+1,10)))))*$D$50)))))*INDEX($I$220:$I$223,MATCH(LEFT(ID220,FIND("·",ID220)-1),$K$220:$K$223,0)),0),0),0)+IFERROR(IF(COUNTIF($C$220:$C$223,LEFT(ID220,FIND("·",ID220)-1))&gt;0,IF(INDEX($D$220:$D$223,MATCH(LEFT(ID220,FIND("·",ID220)-1),$C$220:$C$223,0))=IFERROR(VALUE(MID(ID220,FIND("·",ID220)+1,1)),0),($D$24+(INDEX($E$220:$E$223,MATCH(LEFT(ID220,FIND("·",ID220)-1),$C$220:$C$223,0))=MID(ID220,FIND("|",ID220)+1,10))*$D$26+MAX(0,IF($D$50=1,$D$25*(1-(ABS(INDEX($Q$220:$Q$223,MATCH(LEFT(ID220,FIND("·",ID220)-1),$C$220:$C$223,0))-(VALUE(MID(ID220,FIND("|",ID220)+1,FIND("-",ID220,FIND("|",ID220))-FIND("|",ID220)-1))-VALUE(MID(ID220,FIND("-",ID220,FIND("|",ID220))+1,10)))))*$D$50),$D$25*(1-(IF(INDEX($D$220:$D$223,MATCH(LEFT(ID220,FIND("·",ID220)-1),$C$220:$C$223,0))=0,ABS(INDEX($A$220:$A$223,MATCH(LEFT(ID220,FIND("·",ID220)-1),$C$220:$C$223,0))-VALUE(MID(ID220,FIND("|",ID220)+1,FIND("-",ID220,FIND("|",ID220))-FIND("|",ID220)-1))),ABS(INDEX($Q$220:$Q$223,MATCH(LEFT(ID220,FIND("·",ID220)-1),$C$220:$C$223,0))-(VALUE(MID(ID220,FIND("|",ID220)+1,FIND("-",ID220,FIND("|",ID220))-FIND("|",ID220)-1))-VALUE(MID(ID220,FIND("-",ID220,FIND("|",ID220))+1,10)))))*$D$50)))))*INDEX($I$220:$I$223,MATCH(LEFT(ID220,FIND("·",ID220)-1),$C$220:$C$223,0)),0),0),0)</f>
        <v>0</v>
      </c>
      <c r="IF220" s="108"/>
      <c r="IG220" s="75" t="str">
        <f>Idiomas!$D$369</f>
        <v>Pegar valores Cuartos</v>
      </c>
      <c r="IH220" s="76">
        <f t="shared" ref="IH220:IH223" si="6325">IFERROR(IF(COUNTIF($K$220:$K$223,LEFT(IG220,FIND("·",IG220)-1))&gt;0,IF(INDEX($L$220:$L$223,MATCH(LEFT(IG220,FIND("·",IG220)-1),$K$220:$K$223,0))=IFERROR(VALUE(MID(IG220,FIND("·",IG220)+1,1)),0),($D$24+(INDEX($M$220:$M$223,MATCH(LEFT(IG220,FIND("·",IG220)-1),$K$220:$K$223,0))=MID(IG220,FIND("|",IG220)+1,10))*$D$26+MAX(0,IF($D$50=1,$D$25*(1-(ABS(INDEX($P$220:$P$223,MATCH(LEFT(IG220,FIND("·",IG220)-1),$K$220:$K$223,0))-(VALUE(MID(IG220,FIND("|",IG220)+1,FIND("-",IG220,FIND("|",IG220))-FIND("|",IG220)-1))-VALUE(MID(IG220,FIND("-",IG220,FIND("|",IG220))+1,10)))))*$D$50),$D$25*(1-(IF(INDEX($L$220:$L$223,MATCH(LEFT(IG220,FIND("·",IG220)-1),$K$220:$K$223,0))=0,ABS(INDEX($N$220:$N$223,MATCH(LEFT(IG220,FIND("·",IG220)-1),$K$220:$K$223,0))-VALUE(MID(IG220,FIND("|",IG220)+1,FIND("-",IG220,FIND("|",IG220))-FIND("|",IG220)-1))),ABS(INDEX($P$220:$P$223,MATCH(LEFT(IG220,FIND("·",IG220)-1),$K$220:$K$223,0))-(VALUE(MID(IG220,FIND("|",IG220)+1,FIND("-",IG220,FIND("|",IG220))-FIND("|",IG220)-1))-VALUE(MID(IG220,FIND("-",IG220,FIND("|",IG220))+1,10)))))*$D$50)))))*INDEX($I$220:$I$223,MATCH(LEFT(IG220,FIND("·",IG220)-1),$K$220:$K$223,0)),0),0),0)+IFERROR(IF(COUNTIF($C$220:$C$223,LEFT(IG220,FIND("·",IG220)-1))&gt;0,IF(INDEX($D$220:$D$223,MATCH(LEFT(IG220,FIND("·",IG220)-1),$C$220:$C$223,0))=IFERROR(VALUE(MID(IG220,FIND("·",IG220)+1,1)),0),($D$24+(INDEX($E$220:$E$223,MATCH(LEFT(IG220,FIND("·",IG220)-1),$C$220:$C$223,0))=MID(IG220,FIND("|",IG220)+1,10))*$D$26+MAX(0,IF($D$50=1,$D$25*(1-(ABS(INDEX($Q$220:$Q$223,MATCH(LEFT(IG220,FIND("·",IG220)-1),$C$220:$C$223,0))-(VALUE(MID(IG220,FIND("|",IG220)+1,FIND("-",IG220,FIND("|",IG220))-FIND("|",IG220)-1))-VALUE(MID(IG220,FIND("-",IG220,FIND("|",IG220))+1,10)))))*$D$50),$D$25*(1-(IF(INDEX($D$220:$D$223,MATCH(LEFT(IG220,FIND("·",IG220)-1),$C$220:$C$223,0))=0,ABS(INDEX($A$220:$A$223,MATCH(LEFT(IG220,FIND("·",IG220)-1),$C$220:$C$223,0))-VALUE(MID(IG220,FIND("|",IG220)+1,FIND("-",IG220,FIND("|",IG220))-FIND("|",IG220)-1))),ABS(INDEX($Q$220:$Q$223,MATCH(LEFT(IG220,FIND("·",IG220)-1),$C$220:$C$223,0))-(VALUE(MID(IG220,FIND("|",IG220)+1,FIND("-",IG220,FIND("|",IG220))-FIND("|",IG220)-1))-VALUE(MID(IG220,FIND("-",IG220,FIND("|",IG220))+1,10)))))*$D$50)))))*INDEX($I$220:$I$223,MATCH(LEFT(IG220,FIND("·",IG220)-1),$C$220:$C$223,0)),0),0),0)</f>
        <v>0</v>
      </c>
      <c r="II220" s="108"/>
      <c r="IJ220" s="75" t="str">
        <f>Idiomas!$D$369</f>
        <v>Pegar valores Cuartos</v>
      </c>
      <c r="IK220" s="76">
        <f t="shared" ref="IK220:IK223" si="6326">IFERROR(IF(COUNTIF($K$220:$K$223,LEFT(IJ220,FIND("·",IJ220)-1))&gt;0,IF(INDEX($L$220:$L$223,MATCH(LEFT(IJ220,FIND("·",IJ220)-1),$K$220:$K$223,0))=IFERROR(VALUE(MID(IJ220,FIND("·",IJ220)+1,1)),0),($D$24+(INDEX($M$220:$M$223,MATCH(LEFT(IJ220,FIND("·",IJ220)-1),$K$220:$K$223,0))=MID(IJ220,FIND("|",IJ220)+1,10))*$D$26+MAX(0,IF($D$50=1,$D$25*(1-(ABS(INDEX($P$220:$P$223,MATCH(LEFT(IJ220,FIND("·",IJ220)-1),$K$220:$K$223,0))-(VALUE(MID(IJ220,FIND("|",IJ220)+1,FIND("-",IJ220,FIND("|",IJ220))-FIND("|",IJ220)-1))-VALUE(MID(IJ220,FIND("-",IJ220,FIND("|",IJ220))+1,10)))))*$D$50),$D$25*(1-(IF(INDEX($L$220:$L$223,MATCH(LEFT(IJ220,FIND("·",IJ220)-1),$K$220:$K$223,0))=0,ABS(INDEX($N$220:$N$223,MATCH(LEFT(IJ220,FIND("·",IJ220)-1),$K$220:$K$223,0))-VALUE(MID(IJ220,FIND("|",IJ220)+1,FIND("-",IJ220,FIND("|",IJ220))-FIND("|",IJ220)-1))),ABS(INDEX($P$220:$P$223,MATCH(LEFT(IJ220,FIND("·",IJ220)-1),$K$220:$K$223,0))-(VALUE(MID(IJ220,FIND("|",IJ220)+1,FIND("-",IJ220,FIND("|",IJ220))-FIND("|",IJ220)-1))-VALUE(MID(IJ220,FIND("-",IJ220,FIND("|",IJ220))+1,10)))))*$D$50)))))*INDEX($I$220:$I$223,MATCH(LEFT(IJ220,FIND("·",IJ220)-1),$K$220:$K$223,0)),0),0),0)+IFERROR(IF(COUNTIF($C$220:$C$223,LEFT(IJ220,FIND("·",IJ220)-1))&gt;0,IF(INDEX($D$220:$D$223,MATCH(LEFT(IJ220,FIND("·",IJ220)-1),$C$220:$C$223,0))=IFERROR(VALUE(MID(IJ220,FIND("·",IJ220)+1,1)),0),($D$24+(INDEX($E$220:$E$223,MATCH(LEFT(IJ220,FIND("·",IJ220)-1),$C$220:$C$223,0))=MID(IJ220,FIND("|",IJ220)+1,10))*$D$26+MAX(0,IF($D$50=1,$D$25*(1-(ABS(INDEX($Q$220:$Q$223,MATCH(LEFT(IJ220,FIND("·",IJ220)-1),$C$220:$C$223,0))-(VALUE(MID(IJ220,FIND("|",IJ220)+1,FIND("-",IJ220,FIND("|",IJ220))-FIND("|",IJ220)-1))-VALUE(MID(IJ220,FIND("-",IJ220,FIND("|",IJ220))+1,10)))))*$D$50),$D$25*(1-(IF(INDEX($D$220:$D$223,MATCH(LEFT(IJ220,FIND("·",IJ220)-1),$C$220:$C$223,0))=0,ABS(INDEX($A$220:$A$223,MATCH(LEFT(IJ220,FIND("·",IJ220)-1),$C$220:$C$223,0))-VALUE(MID(IJ220,FIND("|",IJ220)+1,FIND("-",IJ220,FIND("|",IJ220))-FIND("|",IJ220)-1))),ABS(INDEX($Q$220:$Q$223,MATCH(LEFT(IJ220,FIND("·",IJ220)-1),$C$220:$C$223,0))-(VALUE(MID(IJ220,FIND("|",IJ220)+1,FIND("-",IJ220,FIND("|",IJ220))-FIND("|",IJ220)-1))-VALUE(MID(IJ220,FIND("-",IJ220,FIND("|",IJ220))+1,10)))))*$D$50)))))*INDEX($I$220:$I$223,MATCH(LEFT(IJ220,FIND("·",IJ220)-1),$C$220:$C$223,0)),0),0),0)</f>
        <v>0</v>
      </c>
      <c r="IL220" s="108"/>
      <c r="IM220" s="75" t="str">
        <f>Idiomas!$D$369</f>
        <v>Pegar valores Cuartos</v>
      </c>
      <c r="IN220" s="76">
        <f t="shared" ref="IN220:IN223" si="6327">IFERROR(IF(COUNTIF($K$220:$K$223,LEFT(IM220,FIND("·",IM220)-1))&gt;0,IF(INDEX($L$220:$L$223,MATCH(LEFT(IM220,FIND("·",IM220)-1),$K$220:$K$223,0))=IFERROR(VALUE(MID(IM220,FIND("·",IM220)+1,1)),0),($D$24+(INDEX($M$220:$M$223,MATCH(LEFT(IM220,FIND("·",IM220)-1),$K$220:$K$223,0))=MID(IM220,FIND("|",IM220)+1,10))*$D$26+MAX(0,IF($D$50=1,$D$25*(1-(ABS(INDEX($P$220:$P$223,MATCH(LEFT(IM220,FIND("·",IM220)-1),$K$220:$K$223,0))-(VALUE(MID(IM220,FIND("|",IM220)+1,FIND("-",IM220,FIND("|",IM220))-FIND("|",IM220)-1))-VALUE(MID(IM220,FIND("-",IM220,FIND("|",IM220))+1,10)))))*$D$50),$D$25*(1-(IF(INDEX($L$220:$L$223,MATCH(LEFT(IM220,FIND("·",IM220)-1),$K$220:$K$223,0))=0,ABS(INDEX($N$220:$N$223,MATCH(LEFT(IM220,FIND("·",IM220)-1),$K$220:$K$223,0))-VALUE(MID(IM220,FIND("|",IM220)+1,FIND("-",IM220,FIND("|",IM220))-FIND("|",IM220)-1))),ABS(INDEX($P$220:$P$223,MATCH(LEFT(IM220,FIND("·",IM220)-1),$K$220:$K$223,0))-(VALUE(MID(IM220,FIND("|",IM220)+1,FIND("-",IM220,FIND("|",IM220))-FIND("|",IM220)-1))-VALUE(MID(IM220,FIND("-",IM220,FIND("|",IM220))+1,10)))))*$D$50)))))*INDEX($I$220:$I$223,MATCH(LEFT(IM220,FIND("·",IM220)-1),$K$220:$K$223,0)),0),0),0)+IFERROR(IF(COUNTIF($C$220:$C$223,LEFT(IM220,FIND("·",IM220)-1))&gt;0,IF(INDEX($D$220:$D$223,MATCH(LEFT(IM220,FIND("·",IM220)-1),$C$220:$C$223,0))=IFERROR(VALUE(MID(IM220,FIND("·",IM220)+1,1)),0),($D$24+(INDEX($E$220:$E$223,MATCH(LEFT(IM220,FIND("·",IM220)-1),$C$220:$C$223,0))=MID(IM220,FIND("|",IM220)+1,10))*$D$26+MAX(0,IF($D$50=1,$D$25*(1-(ABS(INDEX($Q$220:$Q$223,MATCH(LEFT(IM220,FIND("·",IM220)-1),$C$220:$C$223,0))-(VALUE(MID(IM220,FIND("|",IM220)+1,FIND("-",IM220,FIND("|",IM220))-FIND("|",IM220)-1))-VALUE(MID(IM220,FIND("-",IM220,FIND("|",IM220))+1,10)))))*$D$50),$D$25*(1-(IF(INDEX($D$220:$D$223,MATCH(LEFT(IM220,FIND("·",IM220)-1),$C$220:$C$223,0))=0,ABS(INDEX($A$220:$A$223,MATCH(LEFT(IM220,FIND("·",IM220)-1),$C$220:$C$223,0))-VALUE(MID(IM220,FIND("|",IM220)+1,FIND("-",IM220,FIND("|",IM220))-FIND("|",IM220)-1))),ABS(INDEX($Q$220:$Q$223,MATCH(LEFT(IM220,FIND("·",IM220)-1),$C$220:$C$223,0))-(VALUE(MID(IM220,FIND("|",IM220)+1,FIND("-",IM220,FIND("|",IM220))-FIND("|",IM220)-1))-VALUE(MID(IM220,FIND("-",IM220,FIND("|",IM220))+1,10)))))*$D$50)))))*INDEX($I$220:$I$223,MATCH(LEFT(IM220,FIND("·",IM220)-1),$C$220:$C$223,0)),0),0),0)</f>
        <v>0</v>
      </c>
      <c r="IO220" s="108"/>
      <c r="IP220" s="75" t="str">
        <f>Idiomas!$D$369</f>
        <v>Pegar valores Cuartos</v>
      </c>
      <c r="IQ220" s="76">
        <f t="shared" ref="IQ220:IQ223" si="6328">IFERROR(IF(COUNTIF($K$220:$K$223,LEFT(IP220,FIND("·",IP220)-1))&gt;0,IF(INDEX($L$220:$L$223,MATCH(LEFT(IP220,FIND("·",IP220)-1),$K$220:$K$223,0))=IFERROR(VALUE(MID(IP220,FIND("·",IP220)+1,1)),0),($D$24+(INDEX($M$220:$M$223,MATCH(LEFT(IP220,FIND("·",IP220)-1),$K$220:$K$223,0))=MID(IP220,FIND("|",IP220)+1,10))*$D$26+MAX(0,IF($D$50=1,$D$25*(1-(ABS(INDEX($P$220:$P$223,MATCH(LEFT(IP220,FIND("·",IP220)-1),$K$220:$K$223,0))-(VALUE(MID(IP220,FIND("|",IP220)+1,FIND("-",IP220,FIND("|",IP220))-FIND("|",IP220)-1))-VALUE(MID(IP220,FIND("-",IP220,FIND("|",IP220))+1,10)))))*$D$50),$D$25*(1-(IF(INDEX($L$220:$L$223,MATCH(LEFT(IP220,FIND("·",IP220)-1),$K$220:$K$223,0))=0,ABS(INDEX($N$220:$N$223,MATCH(LEFT(IP220,FIND("·",IP220)-1),$K$220:$K$223,0))-VALUE(MID(IP220,FIND("|",IP220)+1,FIND("-",IP220,FIND("|",IP220))-FIND("|",IP220)-1))),ABS(INDEX($P$220:$P$223,MATCH(LEFT(IP220,FIND("·",IP220)-1),$K$220:$K$223,0))-(VALUE(MID(IP220,FIND("|",IP220)+1,FIND("-",IP220,FIND("|",IP220))-FIND("|",IP220)-1))-VALUE(MID(IP220,FIND("-",IP220,FIND("|",IP220))+1,10)))))*$D$50)))))*INDEX($I$220:$I$223,MATCH(LEFT(IP220,FIND("·",IP220)-1),$K$220:$K$223,0)),0),0),0)+IFERROR(IF(COUNTIF($C$220:$C$223,LEFT(IP220,FIND("·",IP220)-1))&gt;0,IF(INDEX($D$220:$D$223,MATCH(LEFT(IP220,FIND("·",IP220)-1),$C$220:$C$223,0))=IFERROR(VALUE(MID(IP220,FIND("·",IP220)+1,1)),0),($D$24+(INDEX($E$220:$E$223,MATCH(LEFT(IP220,FIND("·",IP220)-1),$C$220:$C$223,0))=MID(IP220,FIND("|",IP220)+1,10))*$D$26+MAX(0,IF($D$50=1,$D$25*(1-(ABS(INDEX($Q$220:$Q$223,MATCH(LEFT(IP220,FIND("·",IP220)-1),$C$220:$C$223,0))-(VALUE(MID(IP220,FIND("|",IP220)+1,FIND("-",IP220,FIND("|",IP220))-FIND("|",IP220)-1))-VALUE(MID(IP220,FIND("-",IP220,FIND("|",IP220))+1,10)))))*$D$50),$D$25*(1-(IF(INDEX($D$220:$D$223,MATCH(LEFT(IP220,FIND("·",IP220)-1),$C$220:$C$223,0))=0,ABS(INDEX($A$220:$A$223,MATCH(LEFT(IP220,FIND("·",IP220)-1),$C$220:$C$223,0))-VALUE(MID(IP220,FIND("|",IP220)+1,FIND("-",IP220,FIND("|",IP220))-FIND("|",IP220)-1))),ABS(INDEX($Q$220:$Q$223,MATCH(LEFT(IP220,FIND("·",IP220)-1),$C$220:$C$223,0))-(VALUE(MID(IP220,FIND("|",IP220)+1,FIND("-",IP220,FIND("|",IP220))-FIND("|",IP220)-1))-VALUE(MID(IP220,FIND("-",IP220,FIND("|",IP220))+1,10)))))*$D$50)))))*INDEX($I$220:$I$223,MATCH(LEFT(IP220,FIND("·",IP220)-1),$C$220:$C$223,0)),0),0),0)</f>
        <v>0</v>
      </c>
      <c r="IR220" s="108"/>
      <c r="IS220" s="75" t="str">
        <f>Idiomas!$D$369</f>
        <v>Pegar valores Cuartos</v>
      </c>
      <c r="IT220" s="76">
        <f t="shared" ref="IT220:IT223" si="6329">IFERROR(IF(COUNTIF($K$220:$K$223,LEFT(IS220,FIND("·",IS220)-1))&gt;0,IF(INDEX($L$220:$L$223,MATCH(LEFT(IS220,FIND("·",IS220)-1),$K$220:$K$223,0))=IFERROR(VALUE(MID(IS220,FIND("·",IS220)+1,1)),0),($D$24+(INDEX($M$220:$M$223,MATCH(LEFT(IS220,FIND("·",IS220)-1),$K$220:$K$223,0))=MID(IS220,FIND("|",IS220)+1,10))*$D$26+MAX(0,IF($D$50=1,$D$25*(1-(ABS(INDEX($P$220:$P$223,MATCH(LEFT(IS220,FIND("·",IS220)-1),$K$220:$K$223,0))-(VALUE(MID(IS220,FIND("|",IS220)+1,FIND("-",IS220,FIND("|",IS220))-FIND("|",IS220)-1))-VALUE(MID(IS220,FIND("-",IS220,FIND("|",IS220))+1,10)))))*$D$50),$D$25*(1-(IF(INDEX($L$220:$L$223,MATCH(LEFT(IS220,FIND("·",IS220)-1),$K$220:$K$223,0))=0,ABS(INDEX($N$220:$N$223,MATCH(LEFT(IS220,FIND("·",IS220)-1),$K$220:$K$223,0))-VALUE(MID(IS220,FIND("|",IS220)+1,FIND("-",IS220,FIND("|",IS220))-FIND("|",IS220)-1))),ABS(INDEX($P$220:$P$223,MATCH(LEFT(IS220,FIND("·",IS220)-1),$K$220:$K$223,0))-(VALUE(MID(IS220,FIND("|",IS220)+1,FIND("-",IS220,FIND("|",IS220))-FIND("|",IS220)-1))-VALUE(MID(IS220,FIND("-",IS220,FIND("|",IS220))+1,10)))))*$D$50)))))*INDEX($I$220:$I$223,MATCH(LEFT(IS220,FIND("·",IS220)-1),$K$220:$K$223,0)),0),0),0)+IFERROR(IF(COUNTIF($C$220:$C$223,LEFT(IS220,FIND("·",IS220)-1))&gt;0,IF(INDEX($D$220:$D$223,MATCH(LEFT(IS220,FIND("·",IS220)-1),$C$220:$C$223,0))=IFERROR(VALUE(MID(IS220,FIND("·",IS220)+1,1)),0),($D$24+(INDEX($E$220:$E$223,MATCH(LEFT(IS220,FIND("·",IS220)-1),$C$220:$C$223,0))=MID(IS220,FIND("|",IS220)+1,10))*$D$26+MAX(0,IF($D$50=1,$D$25*(1-(ABS(INDEX($Q$220:$Q$223,MATCH(LEFT(IS220,FIND("·",IS220)-1),$C$220:$C$223,0))-(VALUE(MID(IS220,FIND("|",IS220)+1,FIND("-",IS220,FIND("|",IS220))-FIND("|",IS220)-1))-VALUE(MID(IS220,FIND("-",IS220,FIND("|",IS220))+1,10)))))*$D$50),$D$25*(1-(IF(INDEX($D$220:$D$223,MATCH(LEFT(IS220,FIND("·",IS220)-1),$C$220:$C$223,0))=0,ABS(INDEX($A$220:$A$223,MATCH(LEFT(IS220,FIND("·",IS220)-1),$C$220:$C$223,0))-VALUE(MID(IS220,FIND("|",IS220)+1,FIND("-",IS220,FIND("|",IS220))-FIND("|",IS220)-1))),ABS(INDEX($Q$220:$Q$223,MATCH(LEFT(IS220,FIND("·",IS220)-1),$C$220:$C$223,0))-(VALUE(MID(IS220,FIND("|",IS220)+1,FIND("-",IS220,FIND("|",IS220))-FIND("|",IS220)-1))-VALUE(MID(IS220,FIND("-",IS220,FIND("|",IS220))+1,10)))))*$D$50)))))*INDEX($I$220:$I$223,MATCH(LEFT(IS220,FIND("·",IS220)-1),$C$220:$C$223,0)),0),0),0)</f>
        <v>0</v>
      </c>
      <c r="IU220" s="108"/>
      <c r="IV220" s="75" t="str">
        <f>Idiomas!$D$369</f>
        <v>Pegar valores Cuartos</v>
      </c>
      <c r="IW220" s="76">
        <f t="shared" ref="IW220:IW223" si="6330">IFERROR(IF(COUNTIF($K$220:$K$223,LEFT(IV220,FIND("·",IV220)-1))&gt;0,IF(INDEX($L$220:$L$223,MATCH(LEFT(IV220,FIND("·",IV220)-1),$K$220:$K$223,0))=IFERROR(VALUE(MID(IV220,FIND("·",IV220)+1,1)),0),($D$24+(INDEX($M$220:$M$223,MATCH(LEFT(IV220,FIND("·",IV220)-1),$K$220:$K$223,0))=MID(IV220,FIND("|",IV220)+1,10))*$D$26+MAX(0,IF($D$50=1,$D$25*(1-(ABS(INDEX($P$220:$P$223,MATCH(LEFT(IV220,FIND("·",IV220)-1),$K$220:$K$223,0))-(VALUE(MID(IV220,FIND("|",IV220)+1,FIND("-",IV220,FIND("|",IV220))-FIND("|",IV220)-1))-VALUE(MID(IV220,FIND("-",IV220,FIND("|",IV220))+1,10)))))*$D$50),$D$25*(1-(IF(INDEX($L$220:$L$223,MATCH(LEFT(IV220,FIND("·",IV220)-1),$K$220:$K$223,0))=0,ABS(INDEX($N$220:$N$223,MATCH(LEFT(IV220,FIND("·",IV220)-1),$K$220:$K$223,0))-VALUE(MID(IV220,FIND("|",IV220)+1,FIND("-",IV220,FIND("|",IV220))-FIND("|",IV220)-1))),ABS(INDEX($P$220:$P$223,MATCH(LEFT(IV220,FIND("·",IV220)-1),$K$220:$K$223,0))-(VALUE(MID(IV220,FIND("|",IV220)+1,FIND("-",IV220,FIND("|",IV220))-FIND("|",IV220)-1))-VALUE(MID(IV220,FIND("-",IV220,FIND("|",IV220))+1,10)))))*$D$50)))))*INDEX($I$220:$I$223,MATCH(LEFT(IV220,FIND("·",IV220)-1),$K$220:$K$223,0)),0),0),0)+IFERROR(IF(COUNTIF($C$220:$C$223,LEFT(IV220,FIND("·",IV220)-1))&gt;0,IF(INDEX($D$220:$D$223,MATCH(LEFT(IV220,FIND("·",IV220)-1),$C$220:$C$223,0))=IFERROR(VALUE(MID(IV220,FIND("·",IV220)+1,1)),0),($D$24+(INDEX($E$220:$E$223,MATCH(LEFT(IV220,FIND("·",IV220)-1),$C$220:$C$223,0))=MID(IV220,FIND("|",IV220)+1,10))*$D$26+MAX(0,IF($D$50=1,$D$25*(1-(ABS(INDEX($Q$220:$Q$223,MATCH(LEFT(IV220,FIND("·",IV220)-1),$C$220:$C$223,0))-(VALUE(MID(IV220,FIND("|",IV220)+1,FIND("-",IV220,FIND("|",IV220))-FIND("|",IV220)-1))-VALUE(MID(IV220,FIND("-",IV220,FIND("|",IV220))+1,10)))))*$D$50),$D$25*(1-(IF(INDEX($D$220:$D$223,MATCH(LEFT(IV220,FIND("·",IV220)-1),$C$220:$C$223,0))=0,ABS(INDEX($A$220:$A$223,MATCH(LEFT(IV220,FIND("·",IV220)-1),$C$220:$C$223,0))-VALUE(MID(IV220,FIND("|",IV220)+1,FIND("-",IV220,FIND("|",IV220))-FIND("|",IV220)-1))),ABS(INDEX($Q$220:$Q$223,MATCH(LEFT(IV220,FIND("·",IV220)-1),$C$220:$C$223,0))-(VALUE(MID(IV220,FIND("|",IV220)+1,FIND("-",IV220,FIND("|",IV220))-FIND("|",IV220)-1))-VALUE(MID(IV220,FIND("-",IV220,FIND("|",IV220))+1,10)))))*$D$50)))))*INDEX($I$220:$I$223,MATCH(LEFT(IV220,FIND("·",IV220)-1),$C$220:$C$223,0)),0),0),0)</f>
        <v>0</v>
      </c>
      <c r="IX220" s="108"/>
      <c r="IY220" s="75" t="str">
        <f>Idiomas!$D$369</f>
        <v>Pegar valores Cuartos</v>
      </c>
      <c r="IZ220" s="76">
        <f t="shared" ref="IZ220:IZ223" si="6331">IFERROR(IF(COUNTIF($K$220:$K$223,LEFT(IY220,FIND("·",IY220)-1))&gt;0,IF(INDEX($L$220:$L$223,MATCH(LEFT(IY220,FIND("·",IY220)-1),$K$220:$K$223,0))=IFERROR(VALUE(MID(IY220,FIND("·",IY220)+1,1)),0),($D$24+(INDEX($M$220:$M$223,MATCH(LEFT(IY220,FIND("·",IY220)-1),$K$220:$K$223,0))=MID(IY220,FIND("|",IY220)+1,10))*$D$26+MAX(0,IF($D$50=1,$D$25*(1-(ABS(INDEX($P$220:$P$223,MATCH(LEFT(IY220,FIND("·",IY220)-1),$K$220:$K$223,0))-(VALUE(MID(IY220,FIND("|",IY220)+1,FIND("-",IY220,FIND("|",IY220))-FIND("|",IY220)-1))-VALUE(MID(IY220,FIND("-",IY220,FIND("|",IY220))+1,10)))))*$D$50),$D$25*(1-(IF(INDEX($L$220:$L$223,MATCH(LEFT(IY220,FIND("·",IY220)-1),$K$220:$K$223,0))=0,ABS(INDEX($N$220:$N$223,MATCH(LEFT(IY220,FIND("·",IY220)-1),$K$220:$K$223,0))-VALUE(MID(IY220,FIND("|",IY220)+1,FIND("-",IY220,FIND("|",IY220))-FIND("|",IY220)-1))),ABS(INDEX($P$220:$P$223,MATCH(LEFT(IY220,FIND("·",IY220)-1),$K$220:$K$223,0))-(VALUE(MID(IY220,FIND("|",IY220)+1,FIND("-",IY220,FIND("|",IY220))-FIND("|",IY220)-1))-VALUE(MID(IY220,FIND("-",IY220,FIND("|",IY220))+1,10)))))*$D$50)))))*INDEX($I$220:$I$223,MATCH(LEFT(IY220,FIND("·",IY220)-1),$K$220:$K$223,0)),0),0),0)+IFERROR(IF(COUNTIF($C$220:$C$223,LEFT(IY220,FIND("·",IY220)-1))&gt;0,IF(INDEX($D$220:$D$223,MATCH(LEFT(IY220,FIND("·",IY220)-1),$C$220:$C$223,0))=IFERROR(VALUE(MID(IY220,FIND("·",IY220)+1,1)),0),($D$24+(INDEX($E$220:$E$223,MATCH(LEFT(IY220,FIND("·",IY220)-1),$C$220:$C$223,0))=MID(IY220,FIND("|",IY220)+1,10))*$D$26+MAX(0,IF($D$50=1,$D$25*(1-(ABS(INDEX($Q$220:$Q$223,MATCH(LEFT(IY220,FIND("·",IY220)-1),$C$220:$C$223,0))-(VALUE(MID(IY220,FIND("|",IY220)+1,FIND("-",IY220,FIND("|",IY220))-FIND("|",IY220)-1))-VALUE(MID(IY220,FIND("-",IY220,FIND("|",IY220))+1,10)))))*$D$50),$D$25*(1-(IF(INDEX($D$220:$D$223,MATCH(LEFT(IY220,FIND("·",IY220)-1),$C$220:$C$223,0))=0,ABS(INDEX($A$220:$A$223,MATCH(LEFT(IY220,FIND("·",IY220)-1),$C$220:$C$223,0))-VALUE(MID(IY220,FIND("|",IY220)+1,FIND("-",IY220,FIND("|",IY220))-FIND("|",IY220)-1))),ABS(INDEX($Q$220:$Q$223,MATCH(LEFT(IY220,FIND("·",IY220)-1),$C$220:$C$223,0))-(VALUE(MID(IY220,FIND("|",IY220)+1,FIND("-",IY220,FIND("|",IY220))-FIND("|",IY220)-1))-VALUE(MID(IY220,FIND("-",IY220,FIND("|",IY220))+1,10)))))*$D$50)))))*INDEX($I$220:$I$223,MATCH(LEFT(IY220,FIND("·",IY220)-1),$C$220:$C$223,0)),0),0),0)</f>
        <v>0</v>
      </c>
      <c r="JA220" s="108"/>
      <c r="JB220" s="75" t="str">
        <f>Idiomas!$D$369</f>
        <v>Pegar valores Cuartos</v>
      </c>
      <c r="JC220" s="76">
        <f t="shared" ref="JC220:JC223" si="6332">IFERROR(IF(COUNTIF($K$220:$K$223,LEFT(JB220,FIND("·",JB220)-1))&gt;0,IF(INDEX($L$220:$L$223,MATCH(LEFT(JB220,FIND("·",JB220)-1),$K$220:$K$223,0))=IFERROR(VALUE(MID(JB220,FIND("·",JB220)+1,1)),0),($D$24+(INDEX($M$220:$M$223,MATCH(LEFT(JB220,FIND("·",JB220)-1),$K$220:$K$223,0))=MID(JB220,FIND("|",JB220)+1,10))*$D$26+MAX(0,IF($D$50=1,$D$25*(1-(ABS(INDEX($P$220:$P$223,MATCH(LEFT(JB220,FIND("·",JB220)-1),$K$220:$K$223,0))-(VALUE(MID(JB220,FIND("|",JB220)+1,FIND("-",JB220,FIND("|",JB220))-FIND("|",JB220)-1))-VALUE(MID(JB220,FIND("-",JB220,FIND("|",JB220))+1,10)))))*$D$50),$D$25*(1-(IF(INDEX($L$220:$L$223,MATCH(LEFT(JB220,FIND("·",JB220)-1),$K$220:$K$223,0))=0,ABS(INDEX($N$220:$N$223,MATCH(LEFT(JB220,FIND("·",JB220)-1),$K$220:$K$223,0))-VALUE(MID(JB220,FIND("|",JB220)+1,FIND("-",JB220,FIND("|",JB220))-FIND("|",JB220)-1))),ABS(INDEX($P$220:$P$223,MATCH(LEFT(JB220,FIND("·",JB220)-1),$K$220:$K$223,0))-(VALUE(MID(JB220,FIND("|",JB220)+1,FIND("-",JB220,FIND("|",JB220))-FIND("|",JB220)-1))-VALUE(MID(JB220,FIND("-",JB220,FIND("|",JB220))+1,10)))))*$D$50)))))*INDEX($I$220:$I$223,MATCH(LEFT(JB220,FIND("·",JB220)-1),$K$220:$K$223,0)),0),0),0)+IFERROR(IF(COUNTIF($C$220:$C$223,LEFT(JB220,FIND("·",JB220)-1))&gt;0,IF(INDEX($D$220:$D$223,MATCH(LEFT(JB220,FIND("·",JB220)-1),$C$220:$C$223,0))=IFERROR(VALUE(MID(JB220,FIND("·",JB220)+1,1)),0),($D$24+(INDEX($E$220:$E$223,MATCH(LEFT(JB220,FIND("·",JB220)-1),$C$220:$C$223,0))=MID(JB220,FIND("|",JB220)+1,10))*$D$26+MAX(0,IF($D$50=1,$D$25*(1-(ABS(INDEX($Q$220:$Q$223,MATCH(LEFT(JB220,FIND("·",JB220)-1),$C$220:$C$223,0))-(VALUE(MID(JB220,FIND("|",JB220)+1,FIND("-",JB220,FIND("|",JB220))-FIND("|",JB220)-1))-VALUE(MID(JB220,FIND("-",JB220,FIND("|",JB220))+1,10)))))*$D$50),$D$25*(1-(IF(INDEX($D$220:$D$223,MATCH(LEFT(JB220,FIND("·",JB220)-1),$C$220:$C$223,0))=0,ABS(INDEX($A$220:$A$223,MATCH(LEFT(JB220,FIND("·",JB220)-1),$C$220:$C$223,0))-VALUE(MID(JB220,FIND("|",JB220)+1,FIND("-",JB220,FIND("|",JB220))-FIND("|",JB220)-1))),ABS(INDEX($Q$220:$Q$223,MATCH(LEFT(JB220,FIND("·",JB220)-1),$C$220:$C$223,0))-(VALUE(MID(JB220,FIND("|",JB220)+1,FIND("-",JB220,FIND("|",JB220))-FIND("|",JB220)-1))-VALUE(MID(JB220,FIND("-",JB220,FIND("|",JB220))+1,10)))))*$D$50)))))*INDEX($I$220:$I$223,MATCH(LEFT(JB220,FIND("·",JB220)-1),$C$220:$C$223,0)),0),0),0)</f>
        <v>0</v>
      </c>
      <c r="JD220" s="108"/>
      <c r="JE220" s="75" t="str">
        <f>Idiomas!$D$369</f>
        <v>Pegar valores Cuartos</v>
      </c>
      <c r="JF220" s="76">
        <f t="shared" ref="JF220:JF223" si="6333">IFERROR(IF(COUNTIF($K$220:$K$223,LEFT(JE220,FIND("·",JE220)-1))&gt;0,IF(INDEX($L$220:$L$223,MATCH(LEFT(JE220,FIND("·",JE220)-1),$K$220:$K$223,0))=IFERROR(VALUE(MID(JE220,FIND("·",JE220)+1,1)),0),($D$24+(INDEX($M$220:$M$223,MATCH(LEFT(JE220,FIND("·",JE220)-1),$K$220:$K$223,0))=MID(JE220,FIND("|",JE220)+1,10))*$D$26+MAX(0,IF($D$50=1,$D$25*(1-(ABS(INDEX($P$220:$P$223,MATCH(LEFT(JE220,FIND("·",JE220)-1),$K$220:$K$223,0))-(VALUE(MID(JE220,FIND("|",JE220)+1,FIND("-",JE220,FIND("|",JE220))-FIND("|",JE220)-1))-VALUE(MID(JE220,FIND("-",JE220,FIND("|",JE220))+1,10)))))*$D$50),$D$25*(1-(IF(INDEX($L$220:$L$223,MATCH(LEFT(JE220,FIND("·",JE220)-1),$K$220:$K$223,0))=0,ABS(INDEX($N$220:$N$223,MATCH(LEFT(JE220,FIND("·",JE220)-1),$K$220:$K$223,0))-VALUE(MID(JE220,FIND("|",JE220)+1,FIND("-",JE220,FIND("|",JE220))-FIND("|",JE220)-1))),ABS(INDEX($P$220:$P$223,MATCH(LEFT(JE220,FIND("·",JE220)-1),$K$220:$K$223,0))-(VALUE(MID(JE220,FIND("|",JE220)+1,FIND("-",JE220,FIND("|",JE220))-FIND("|",JE220)-1))-VALUE(MID(JE220,FIND("-",JE220,FIND("|",JE220))+1,10)))))*$D$50)))))*INDEX($I$220:$I$223,MATCH(LEFT(JE220,FIND("·",JE220)-1),$K$220:$K$223,0)),0),0),0)+IFERROR(IF(COUNTIF($C$220:$C$223,LEFT(JE220,FIND("·",JE220)-1))&gt;0,IF(INDEX($D$220:$D$223,MATCH(LEFT(JE220,FIND("·",JE220)-1),$C$220:$C$223,0))=IFERROR(VALUE(MID(JE220,FIND("·",JE220)+1,1)),0),($D$24+(INDEX($E$220:$E$223,MATCH(LEFT(JE220,FIND("·",JE220)-1),$C$220:$C$223,0))=MID(JE220,FIND("|",JE220)+1,10))*$D$26+MAX(0,IF($D$50=1,$D$25*(1-(ABS(INDEX($Q$220:$Q$223,MATCH(LEFT(JE220,FIND("·",JE220)-1),$C$220:$C$223,0))-(VALUE(MID(JE220,FIND("|",JE220)+1,FIND("-",JE220,FIND("|",JE220))-FIND("|",JE220)-1))-VALUE(MID(JE220,FIND("-",JE220,FIND("|",JE220))+1,10)))))*$D$50),$D$25*(1-(IF(INDEX($D$220:$D$223,MATCH(LEFT(JE220,FIND("·",JE220)-1),$C$220:$C$223,0))=0,ABS(INDEX($A$220:$A$223,MATCH(LEFT(JE220,FIND("·",JE220)-1),$C$220:$C$223,0))-VALUE(MID(JE220,FIND("|",JE220)+1,FIND("-",JE220,FIND("|",JE220))-FIND("|",JE220)-1))),ABS(INDEX($Q$220:$Q$223,MATCH(LEFT(JE220,FIND("·",JE220)-1),$C$220:$C$223,0))-(VALUE(MID(JE220,FIND("|",JE220)+1,FIND("-",JE220,FIND("|",JE220))-FIND("|",JE220)-1))-VALUE(MID(JE220,FIND("-",JE220,FIND("|",JE220))+1,10)))))*$D$50)))))*INDEX($I$220:$I$223,MATCH(LEFT(JE220,FIND("·",JE220)-1),$C$220:$C$223,0)),0),0),0)</f>
        <v>0</v>
      </c>
      <c r="JG220" s="108"/>
      <c r="JH220" s="75" t="str">
        <f>Idiomas!$D$369</f>
        <v>Pegar valores Cuartos</v>
      </c>
      <c r="JI220" s="76">
        <f t="shared" ref="JI220:JI223" si="6334">IFERROR(IF(COUNTIF($K$220:$K$223,LEFT(JH220,FIND("·",JH220)-1))&gt;0,IF(INDEX($L$220:$L$223,MATCH(LEFT(JH220,FIND("·",JH220)-1),$K$220:$K$223,0))=IFERROR(VALUE(MID(JH220,FIND("·",JH220)+1,1)),0),($D$24+(INDEX($M$220:$M$223,MATCH(LEFT(JH220,FIND("·",JH220)-1),$K$220:$K$223,0))=MID(JH220,FIND("|",JH220)+1,10))*$D$26+MAX(0,IF($D$50=1,$D$25*(1-(ABS(INDEX($P$220:$P$223,MATCH(LEFT(JH220,FIND("·",JH220)-1),$K$220:$K$223,0))-(VALUE(MID(JH220,FIND("|",JH220)+1,FIND("-",JH220,FIND("|",JH220))-FIND("|",JH220)-1))-VALUE(MID(JH220,FIND("-",JH220,FIND("|",JH220))+1,10)))))*$D$50),$D$25*(1-(IF(INDEX($L$220:$L$223,MATCH(LEFT(JH220,FIND("·",JH220)-1),$K$220:$K$223,0))=0,ABS(INDEX($N$220:$N$223,MATCH(LEFT(JH220,FIND("·",JH220)-1),$K$220:$K$223,0))-VALUE(MID(JH220,FIND("|",JH220)+1,FIND("-",JH220,FIND("|",JH220))-FIND("|",JH220)-1))),ABS(INDEX($P$220:$P$223,MATCH(LEFT(JH220,FIND("·",JH220)-1),$K$220:$K$223,0))-(VALUE(MID(JH220,FIND("|",JH220)+1,FIND("-",JH220,FIND("|",JH220))-FIND("|",JH220)-1))-VALUE(MID(JH220,FIND("-",JH220,FIND("|",JH220))+1,10)))))*$D$50)))))*INDEX($I$220:$I$223,MATCH(LEFT(JH220,FIND("·",JH220)-1),$K$220:$K$223,0)),0),0),0)+IFERROR(IF(COUNTIF($C$220:$C$223,LEFT(JH220,FIND("·",JH220)-1))&gt;0,IF(INDEX($D$220:$D$223,MATCH(LEFT(JH220,FIND("·",JH220)-1),$C$220:$C$223,0))=IFERROR(VALUE(MID(JH220,FIND("·",JH220)+1,1)),0),($D$24+(INDEX($E$220:$E$223,MATCH(LEFT(JH220,FIND("·",JH220)-1),$C$220:$C$223,0))=MID(JH220,FIND("|",JH220)+1,10))*$D$26+MAX(0,IF($D$50=1,$D$25*(1-(ABS(INDEX($Q$220:$Q$223,MATCH(LEFT(JH220,FIND("·",JH220)-1),$C$220:$C$223,0))-(VALUE(MID(JH220,FIND("|",JH220)+1,FIND("-",JH220,FIND("|",JH220))-FIND("|",JH220)-1))-VALUE(MID(JH220,FIND("-",JH220,FIND("|",JH220))+1,10)))))*$D$50),$D$25*(1-(IF(INDEX($D$220:$D$223,MATCH(LEFT(JH220,FIND("·",JH220)-1),$C$220:$C$223,0))=0,ABS(INDEX($A$220:$A$223,MATCH(LEFT(JH220,FIND("·",JH220)-1),$C$220:$C$223,0))-VALUE(MID(JH220,FIND("|",JH220)+1,FIND("-",JH220,FIND("|",JH220))-FIND("|",JH220)-1))),ABS(INDEX($Q$220:$Q$223,MATCH(LEFT(JH220,FIND("·",JH220)-1),$C$220:$C$223,0))-(VALUE(MID(JH220,FIND("|",JH220)+1,FIND("-",JH220,FIND("|",JH220))-FIND("|",JH220)-1))-VALUE(MID(JH220,FIND("-",JH220,FIND("|",JH220))+1,10)))))*$D$50)))))*INDEX($I$220:$I$223,MATCH(LEFT(JH220,FIND("·",JH220)-1),$C$220:$C$223,0)),0),0),0)</f>
        <v>0</v>
      </c>
      <c r="JJ220" s="108"/>
      <c r="JK220" s="75" t="str">
        <f>Idiomas!$D$369</f>
        <v>Pegar valores Cuartos</v>
      </c>
      <c r="JL220" s="76">
        <f t="shared" ref="JL220:JL223" si="6335">IFERROR(IF(COUNTIF($K$220:$K$223,LEFT(JK220,FIND("·",JK220)-1))&gt;0,IF(INDEX($L$220:$L$223,MATCH(LEFT(JK220,FIND("·",JK220)-1),$K$220:$K$223,0))=IFERROR(VALUE(MID(JK220,FIND("·",JK220)+1,1)),0),($D$24+(INDEX($M$220:$M$223,MATCH(LEFT(JK220,FIND("·",JK220)-1),$K$220:$K$223,0))=MID(JK220,FIND("|",JK220)+1,10))*$D$26+MAX(0,IF($D$50=1,$D$25*(1-(ABS(INDEX($P$220:$P$223,MATCH(LEFT(JK220,FIND("·",JK220)-1),$K$220:$K$223,0))-(VALUE(MID(JK220,FIND("|",JK220)+1,FIND("-",JK220,FIND("|",JK220))-FIND("|",JK220)-1))-VALUE(MID(JK220,FIND("-",JK220,FIND("|",JK220))+1,10)))))*$D$50),$D$25*(1-(IF(INDEX($L$220:$L$223,MATCH(LEFT(JK220,FIND("·",JK220)-1),$K$220:$K$223,0))=0,ABS(INDEX($N$220:$N$223,MATCH(LEFT(JK220,FIND("·",JK220)-1),$K$220:$K$223,0))-VALUE(MID(JK220,FIND("|",JK220)+1,FIND("-",JK220,FIND("|",JK220))-FIND("|",JK220)-1))),ABS(INDEX($P$220:$P$223,MATCH(LEFT(JK220,FIND("·",JK220)-1),$K$220:$K$223,0))-(VALUE(MID(JK220,FIND("|",JK220)+1,FIND("-",JK220,FIND("|",JK220))-FIND("|",JK220)-1))-VALUE(MID(JK220,FIND("-",JK220,FIND("|",JK220))+1,10)))))*$D$50)))))*INDEX($I$220:$I$223,MATCH(LEFT(JK220,FIND("·",JK220)-1),$K$220:$K$223,0)),0),0),0)+IFERROR(IF(COUNTIF($C$220:$C$223,LEFT(JK220,FIND("·",JK220)-1))&gt;0,IF(INDEX($D$220:$D$223,MATCH(LEFT(JK220,FIND("·",JK220)-1),$C$220:$C$223,0))=IFERROR(VALUE(MID(JK220,FIND("·",JK220)+1,1)),0),($D$24+(INDEX($E$220:$E$223,MATCH(LEFT(JK220,FIND("·",JK220)-1),$C$220:$C$223,0))=MID(JK220,FIND("|",JK220)+1,10))*$D$26+MAX(0,IF($D$50=1,$D$25*(1-(ABS(INDEX($Q$220:$Q$223,MATCH(LEFT(JK220,FIND("·",JK220)-1),$C$220:$C$223,0))-(VALUE(MID(JK220,FIND("|",JK220)+1,FIND("-",JK220,FIND("|",JK220))-FIND("|",JK220)-1))-VALUE(MID(JK220,FIND("-",JK220,FIND("|",JK220))+1,10)))))*$D$50),$D$25*(1-(IF(INDEX($D$220:$D$223,MATCH(LEFT(JK220,FIND("·",JK220)-1),$C$220:$C$223,0))=0,ABS(INDEX($A$220:$A$223,MATCH(LEFT(JK220,FIND("·",JK220)-1),$C$220:$C$223,0))-VALUE(MID(JK220,FIND("|",JK220)+1,FIND("-",JK220,FIND("|",JK220))-FIND("|",JK220)-1))),ABS(INDEX($Q$220:$Q$223,MATCH(LEFT(JK220,FIND("·",JK220)-1),$C$220:$C$223,0))-(VALUE(MID(JK220,FIND("|",JK220)+1,FIND("-",JK220,FIND("|",JK220))-FIND("|",JK220)-1))-VALUE(MID(JK220,FIND("-",JK220,FIND("|",JK220))+1,10)))))*$D$50)))))*INDEX($I$220:$I$223,MATCH(LEFT(JK220,FIND("·",JK220)-1),$C$220:$C$223,0)),0),0),0)</f>
        <v>0</v>
      </c>
      <c r="JM220" s="108"/>
      <c r="JN220" s="75" t="str">
        <f>Idiomas!$D$369</f>
        <v>Pegar valores Cuartos</v>
      </c>
      <c r="JO220" s="76">
        <f t="shared" ref="JO220:JO223" si="6336">IFERROR(IF(COUNTIF($K$220:$K$223,LEFT(JN220,FIND("·",JN220)-1))&gt;0,IF(INDEX($L$220:$L$223,MATCH(LEFT(JN220,FIND("·",JN220)-1),$K$220:$K$223,0))=IFERROR(VALUE(MID(JN220,FIND("·",JN220)+1,1)),0),($D$24+(INDEX($M$220:$M$223,MATCH(LEFT(JN220,FIND("·",JN220)-1),$K$220:$K$223,0))=MID(JN220,FIND("|",JN220)+1,10))*$D$26+MAX(0,IF($D$50=1,$D$25*(1-(ABS(INDEX($P$220:$P$223,MATCH(LEFT(JN220,FIND("·",JN220)-1),$K$220:$K$223,0))-(VALUE(MID(JN220,FIND("|",JN220)+1,FIND("-",JN220,FIND("|",JN220))-FIND("|",JN220)-1))-VALUE(MID(JN220,FIND("-",JN220,FIND("|",JN220))+1,10)))))*$D$50),$D$25*(1-(IF(INDEX($L$220:$L$223,MATCH(LEFT(JN220,FIND("·",JN220)-1),$K$220:$K$223,0))=0,ABS(INDEX($N$220:$N$223,MATCH(LEFT(JN220,FIND("·",JN220)-1),$K$220:$K$223,0))-VALUE(MID(JN220,FIND("|",JN220)+1,FIND("-",JN220,FIND("|",JN220))-FIND("|",JN220)-1))),ABS(INDEX($P$220:$P$223,MATCH(LEFT(JN220,FIND("·",JN220)-1),$K$220:$K$223,0))-(VALUE(MID(JN220,FIND("|",JN220)+1,FIND("-",JN220,FIND("|",JN220))-FIND("|",JN220)-1))-VALUE(MID(JN220,FIND("-",JN220,FIND("|",JN220))+1,10)))))*$D$50)))))*INDEX($I$220:$I$223,MATCH(LEFT(JN220,FIND("·",JN220)-1),$K$220:$K$223,0)),0),0),0)+IFERROR(IF(COUNTIF($C$220:$C$223,LEFT(JN220,FIND("·",JN220)-1))&gt;0,IF(INDEX($D$220:$D$223,MATCH(LEFT(JN220,FIND("·",JN220)-1),$C$220:$C$223,0))=IFERROR(VALUE(MID(JN220,FIND("·",JN220)+1,1)),0),($D$24+(INDEX($E$220:$E$223,MATCH(LEFT(JN220,FIND("·",JN220)-1),$C$220:$C$223,0))=MID(JN220,FIND("|",JN220)+1,10))*$D$26+MAX(0,IF($D$50=1,$D$25*(1-(ABS(INDEX($Q$220:$Q$223,MATCH(LEFT(JN220,FIND("·",JN220)-1),$C$220:$C$223,0))-(VALUE(MID(JN220,FIND("|",JN220)+1,FIND("-",JN220,FIND("|",JN220))-FIND("|",JN220)-1))-VALUE(MID(JN220,FIND("-",JN220,FIND("|",JN220))+1,10)))))*$D$50),$D$25*(1-(IF(INDEX($D$220:$D$223,MATCH(LEFT(JN220,FIND("·",JN220)-1),$C$220:$C$223,0))=0,ABS(INDEX($A$220:$A$223,MATCH(LEFT(JN220,FIND("·",JN220)-1),$C$220:$C$223,0))-VALUE(MID(JN220,FIND("|",JN220)+1,FIND("-",JN220,FIND("|",JN220))-FIND("|",JN220)-1))),ABS(INDEX($Q$220:$Q$223,MATCH(LEFT(JN220,FIND("·",JN220)-1),$C$220:$C$223,0))-(VALUE(MID(JN220,FIND("|",JN220)+1,FIND("-",JN220,FIND("|",JN220))-FIND("|",JN220)-1))-VALUE(MID(JN220,FIND("-",JN220,FIND("|",JN220))+1,10)))))*$D$50)))))*INDEX($I$220:$I$223,MATCH(LEFT(JN220,FIND("·",JN220)-1),$C$220:$C$223,0)),0),0),0)</f>
        <v>0</v>
      </c>
      <c r="JP220" s="108"/>
      <c r="JQ220" s="75" t="str">
        <f>Idiomas!$D$369</f>
        <v>Pegar valores Cuartos</v>
      </c>
      <c r="JR220" s="76">
        <f t="shared" ref="JR220:JR223" si="6337">IFERROR(IF(COUNTIF($K$220:$K$223,LEFT(JQ220,FIND("·",JQ220)-1))&gt;0,IF(INDEX($L$220:$L$223,MATCH(LEFT(JQ220,FIND("·",JQ220)-1),$K$220:$K$223,0))=IFERROR(VALUE(MID(JQ220,FIND("·",JQ220)+1,1)),0),($D$24+(INDEX($M$220:$M$223,MATCH(LEFT(JQ220,FIND("·",JQ220)-1),$K$220:$K$223,0))=MID(JQ220,FIND("|",JQ220)+1,10))*$D$26+MAX(0,IF($D$50=1,$D$25*(1-(ABS(INDEX($P$220:$P$223,MATCH(LEFT(JQ220,FIND("·",JQ220)-1),$K$220:$K$223,0))-(VALUE(MID(JQ220,FIND("|",JQ220)+1,FIND("-",JQ220,FIND("|",JQ220))-FIND("|",JQ220)-1))-VALUE(MID(JQ220,FIND("-",JQ220,FIND("|",JQ220))+1,10)))))*$D$50),$D$25*(1-(IF(INDEX($L$220:$L$223,MATCH(LEFT(JQ220,FIND("·",JQ220)-1),$K$220:$K$223,0))=0,ABS(INDEX($N$220:$N$223,MATCH(LEFT(JQ220,FIND("·",JQ220)-1),$K$220:$K$223,0))-VALUE(MID(JQ220,FIND("|",JQ220)+1,FIND("-",JQ220,FIND("|",JQ220))-FIND("|",JQ220)-1))),ABS(INDEX($P$220:$P$223,MATCH(LEFT(JQ220,FIND("·",JQ220)-1),$K$220:$K$223,0))-(VALUE(MID(JQ220,FIND("|",JQ220)+1,FIND("-",JQ220,FIND("|",JQ220))-FIND("|",JQ220)-1))-VALUE(MID(JQ220,FIND("-",JQ220,FIND("|",JQ220))+1,10)))))*$D$50)))))*INDEX($I$220:$I$223,MATCH(LEFT(JQ220,FIND("·",JQ220)-1),$K$220:$K$223,0)),0),0),0)+IFERROR(IF(COUNTIF($C$220:$C$223,LEFT(JQ220,FIND("·",JQ220)-1))&gt;0,IF(INDEX($D$220:$D$223,MATCH(LEFT(JQ220,FIND("·",JQ220)-1),$C$220:$C$223,0))=IFERROR(VALUE(MID(JQ220,FIND("·",JQ220)+1,1)),0),($D$24+(INDEX($E$220:$E$223,MATCH(LEFT(JQ220,FIND("·",JQ220)-1),$C$220:$C$223,0))=MID(JQ220,FIND("|",JQ220)+1,10))*$D$26+MAX(0,IF($D$50=1,$D$25*(1-(ABS(INDEX($Q$220:$Q$223,MATCH(LEFT(JQ220,FIND("·",JQ220)-1),$C$220:$C$223,0))-(VALUE(MID(JQ220,FIND("|",JQ220)+1,FIND("-",JQ220,FIND("|",JQ220))-FIND("|",JQ220)-1))-VALUE(MID(JQ220,FIND("-",JQ220,FIND("|",JQ220))+1,10)))))*$D$50),$D$25*(1-(IF(INDEX($D$220:$D$223,MATCH(LEFT(JQ220,FIND("·",JQ220)-1),$C$220:$C$223,0))=0,ABS(INDEX($A$220:$A$223,MATCH(LEFT(JQ220,FIND("·",JQ220)-1),$C$220:$C$223,0))-VALUE(MID(JQ220,FIND("|",JQ220)+1,FIND("-",JQ220,FIND("|",JQ220))-FIND("|",JQ220)-1))),ABS(INDEX($Q$220:$Q$223,MATCH(LEFT(JQ220,FIND("·",JQ220)-1),$C$220:$C$223,0))-(VALUE(MID(JQ220,FIND("|",JQ220)+1,FIND("-",JQ220,FIND("|",JQ220))-FIND("|",JQ220)-1))-VALUE(MID(JQ220,FIND("-",JQ220,FIND("|",JQ220))+1,10)))))*$D$50)))))*INDEX($I$220:$I$223,MATCH(LEFT(JQ220,FIND("·",JQ220)-1),$C$220:$C$223,0)),0),0),0)</f>
        <v>0</v>
      </c>
      <c r="JS220" s="108"/>
      <c r="JT220" s="75" t="str">
        <f>Idiomas!$D$369</f>
        <v>Pegar valores Cuartos</v>
      </c>
      <c r="JU220" s="76">
        <f t="shared" ref="JU220:JU223" si="6338">IFERROR(IF(COUNTIF($K$220:$K$223,LEFT(JT220,FIND("·",JT220)-1))&gt;0,IF(INDEX($L$220:$L$223,MATCH(LEFT(JT220,FIND("·",JT220)-1),$K$220:$K$223,0))=IFERROR(VALUE(MID(JT220,FIND("·",JT220)+1,1)),0),($D$24+(INDEX($M$220:$M$223,MATCH(LEFT(JT220,FIND("·",JT220)-1),$K$220:$K$223,0))=MID(JT220,FIND("|",JT220)+1,10))*$D$26+MAX(0,IF($D$50=1,$D$25*(1-(ABS(INDEX($P$220:$P$223,MATCH(LEFT(JT220,FIND("·",JT220)-1),$K$220:$K$223,0))-(VALUE(MID(JT220,FIND("|",JT220)+1,FIND("-",JT220,FIND("|",JT220))-FIND("|",JT220)-1))-VALUE(MID(JT220,FIND("-",JT220,FIND("|",JT220))+1,10)))))*$D$50),$D$25*(1-(IF(INDEX($L$220:$L$223,MATCH(LEFT(JT220,FIND("·",JT220)-1),$K$220:$K$223,0))=0,ABS(INDEX($N$220:$N$223,MATCH(LEFT(JT220,FIND("·",JT220)-1),$K$220:$K$223,0))-VALUE(MID(JT220,FIND("|",JT220)+1,FIND("-",JT220,FIND("|",JT220))-FIND("|",JT220)-1))),ABS(INDEX($P$220:$P$223,MATCH(LEFT(JT220,FIND("·",JT220)-1),$K$220:$K$223,0))-(VALUE(MID(JT220,FIND("|",JT220)+1,FIND("-",JT220,FIND("|",JT220))-FIND("|",JT220)-1))-VALUE(MID(JT220,FIND("-",JT220,FIND("|",JT220))+1,10)))))*$D$50)))))*INDEX($I$220:$I$223,MATCH(LEFT(JT220,FIND("·",JT220)-1),$K$220:$K$223,0)),0),0),0)+IFERROR(IF(COUNTIF($C$220:$C$223,LEFT(JT220,FIND("·",JT220)-1))&gt;0,IF(INDEX($D$220:$D$223,MATCH(LEFT(JT220,FIND("·",JT220)-1),$C$220:$C$223,0))=IFERROR(VALUE(MID(JT220,FIND("·",JT220)+1,1)),0),($D$24+(INDEX($E$220:$E$223,MATCH(LEFT(JT220,FIND("·",JT220)-1),$C$220:$C$223,0))=MID(JT220,FIND("|",JT220)+1,10))*$D$26+MAX(0,IF($D$50=1,$D$25*(1-(ABS(INDEX($Q$220:$Q$223,MATCH(LEFT(JT220,FIND("·",JT220)-1),$C$220:$C$223,0))-(VALUE(MID(JT220,FIND("|",JT220)+1,FIND("-",JT220,FIND("|",JT220))-FIND("|",JT220)-1))-VALUE(MID(JT220,FIND("-",JT220,FIND("|",JT220))+1,10)))))*$D$50),$D$25*(1-(IF(INDEX($D$220:$D$223,MATCH(LEFT(JT220,FIND("·",JT220)-1),$C$220:$C$223,0))=0,ABS(INDEX($A$220:$A$223,MATCH(LEFT(JT220,FIND("·",JT220)-1),$C$220:$C$223,0))-VALUE(MID(JT220,FIND("|",JT220)+1,FIND("-",JT220,FIND("|",JT220))-FIND("|",JT220)-1))),ABS(INDEX($Q$220:$Q$223,MATCH(LEFT(JT220,FIND("·",JT220)-1),$C$220:$C$223,0))-(VALUE(MID(JT220,FIND("|",JT220)+1,FIND("-",JT220,FIND("|",JT220))-FIND("|",JT220)-1))-VALUE(MID(JT220,FIND("-",JT220,FIND("|",JT220))+1,10)))))*$D$50)))))*INDEX($I$220:$I$223,MATCH(LEFT(JT220,FIND("·",JT220)-1),$C$220:$C$223,0)),0),0),0)</f>
        <v>0</v>
      </c>
      <c r="JV220" s="108"/>
      <c r="JW220" s="75" t="str">
        <f>Idiomas!$D$369</f>
        <v>Pegar valores Cuartos</v>
      </c>
      <c r="JX220" s="76">
        <f t="shared" ref="JX220:JX223" si="6339">IFERROR(IF(COUNTIF($K$220:$K$223,LEFT(JW220,FIND("·",JW220)-1))&gt;0,IF(INDEX($L$220:$L$223,MATCH(LEFT(JW220,FIND("·",JW220)-1),$K$220:$K$223,0))=IFERROR(VALUE(MID(JW220,FIND("·",JW220)+1,1)),0),($D$24+(INDEX($M$220:$M$223,MATCH(LEFT(JW220,FIND("·",JW220)-1),$K$220:$K$223,0))=MID(JW220,FIND("|",JW220)+1,10))*$D$26+MAX(0,IF($D$50=1,$D$25*(1-(ABS(INDEX($P$220:$P$223,MATCH(LEFT(JW220,FIND("·",JW220)-1),$K$220:$K$223,0))-(VALUE(MID(JW220,FIND("|",JW220)+1,FIND("-",JW220,FIND("|",JW220))-FIND("|",JW220)-1))-VALUE(MID(JW220,FIND("-",JW220,FIND("|",JW220))+1,10)))))*$D$50),$D$25*(1-(IF(INDEX($L$220:$L$223,MATCH(LEFT(JW220,FIND("·",JW220)-1),$K$220:$K$223,0))=0,ABS(INDEX($N$220:$N$223,MATCH(LEFT(JW220,FIND("·",JW220)-1),$K$220:$K$223,0))-VALUE(MID(JW220,FIND("|",JW220)+1,FIND("-",JW220,FIND("|",JW220))-FIND("|",JW220)-1))),ABS(INDEX($P$220:$P$223,MATCH(LEFT(JW220,FIND("·",JW220)-1),$K$220:$K$223,0))-(VALUE(MID(JW220,FIND("|",JW220)+1,FIND("-",JW220,FIND("|",JW220))-FIND("|",JW220)-1))-VALUE(MID(JW220,FIND("-",JW220,FIND("|",JW220))+1,10)))))*$D$50)))))*INDEX($I$220:$I$223,MATCH(LEFT(JW220,FIND("·",JW220)-1),$K$220:$K$223,0)),0),0),0)+IFERROR(IF(COUNTIF($C$220:$C$223,LEFT(JW220,FIND("·",JW220)-1))&gt;0,IF(INDEX($D$220:$D$223,MATCH(LEFT(JW220,FIND("·",JW220)-1),$C$220:$C$223,0))=IFERROR(VALUE(MID(JW220,FIND("·",JW220)+1,1)),0),($D$24+(INDEX($E$220:$E$223,MATCH(LEFT(JW220,FIND("·",JW220)-1),$C$220:$C$223,0))=MID(JW220,FIND("|",JW220)+1,10))*$D$26+MAX(0,IF($D$50=1,$D$25*(1-(ABS(INDEX($Q$220:$Q$223,MATCH(LEFT(JW220,FIND("·",JW220)-1),$C$220:$C$223,0))-(VALUE(MID(JW220,FIND("|",JW220)+1,FIND("-",JW220,FIND("|",JW220))-FIND("|",JW220)-1))-VALUE(MID(JW220,FIND("-",JW220,FIND("|",JW220))+1,10)))))*$D$50),$D$25*(1-(IF(INDEX($D$220:$D$223,MATCH(LEFT(JW220,FIND("·",JW220)-1),$C$220:$C$223,0))=0,ABS(INDEX($A$220:$A$223,MATCH(LEFT(JW220,FIND("·",JW220)-1),$C$220:$C$223,0))-VALUE(MID(JW220,FIND("|",JW220)+1,FIND("-",JW220,FIND("|",JW220))-FIND("|",JW220)-1))),ABS(INDEX($Q$220:$Q$223,MATCH(LEFT(JW220,FIND("·",JW220)-1),$C$220:$C$223,0))-(VALUE(MID(JW220,FIND("|",JW220)+1,FIND("-",JW220,FIND("|",JW220))-FIND("|",JW220)-1))-VALUE(MID(JW220,FIND("-",JW220,FIND("|",JW220))+1,10)))))*$D$50)))))*INDEX($I$220:$I$223,MATCH(LEFT(JW220,FIND("·",JW220)-1),$C$220:$C$223,0)),0),0),0)</f>
        <v>0</v>
      </c>
      <c r="JY220" s="108"/>
      <c r="JZ220" s="75" t="str">
        <f>Idiomas!$D$369</f>
        <v>Pegar valores Cuartos</v>
      </c>
      <c r="KA220" s="76">
        <f t="shared" ref="KA220:KA223" si="6340">IFERROR(IF(COUNTIF($K$220:$K$223,LEFT(JZ220,FIND("·",JZ220)-1))&gt;0,IF(INDEX($L$220:$L$223,MATCH(LEFT(JZ220,FIND("·",JZ220)-1),$K$220:$K$223,0))=IFERROR(VALUE(MID(JZ220,FIND("·",JZ220)+1,1)),0),($D$24+(INDEX($M$220:$M$223,MATCH(LEFT(JZ220,FIND("·",JZ220)-1),$K$220:$K$223,0))=MID(JZ220,FIND("|",JZ220)+1,10))*$D$26+MAX(0,IF($D$50=1,$D$25*(1-(ABS(INDEX($P$220:$P$223,MATCH(LEFT(JZ220,FIND("·",JZ220)-1),$K$220:$K$223,0))-(VALUE(MID(JZ220,FIND("|",JZ220)+1,FIND("-",JZ220,FIND("|",JZ220))-FIND("|",JZ220)-1))-VALUE(MID(JZ220,FIND("-",JZ220,FIND("|",JZ220))+1,10)))))*$D$50),$D$25*(1-(IF(INDEX($L$220:$L$223,MATCH(LEFT(JZ220,FIND("·",JZ220)-1),$K$220:$K$223,0))=0,ABS(INDEX($N$220:$N$223,MATCH(LEFT(JZ220,FIND("·",JZ220)-1),$K$220:$K$223,0))-VALUE(MID(JZ220,FIND("|",JZ220)+1,FIND("-",JZ220,FIND("|",JZ220))-FIND("|",JZ220)-1))),ABS(INDEX($P$220:$P$223,MATCH(LEFT(JZ220,FIND("·",JZ220)-1),$K$220:$K$223,0))-(VALUE(MID(JZ220,FIND("|",JZ220)+1,FIND("-",JZ220,FIND("|",JZ220))-FIND("|",JZ220)-1))-VALUE(MID(JZ220,FIND("-",JZ220,FIND("|",JZ220))+1,10)))))*$D$50)))))*INDEX($I$220:$I$223,MATCH(LEFT(JZ220,FIND("·",JZ220)-1),$K$220:$K$223,0)),0),0),0)+IFERROR(IF(COUNTIF($C$220:$C$223,LEFT(JZ220,FIND("·",JZ220)-1))&gt;0,IF(INDEX($D$220:$D$223,MATCH(LEFT(JZ220,FIND("·",JZ220)-1),$C$220:$C$223,0))=IFERROR(VALUE(MID(JZ220,FIND("·",JZ220)+1,1)),0),($D$24+(INDEX($E$220:$E$223,MATCH(LEFT(JZ220,FIND("·",JZ220)-1),$C$220:$C$223,0))=MID(JZ220,FIND("|",JZ220)+1,10))*$D$26+MAX(0,IF($D$50=1,$D$25*(1-(ABS(INDEX($Q$220:$Q$223,MATCH(LEFT(JZ220,FIND("·",JZ220)-1),$C$220:$C$223,0))-(VALUE(MID(JZ220,FIND("|",JZ220)+1,FIND("-",JZ220,FIND("|",JZ220))-FIND("|",JZ220)-1))-VALUE(MID(JZ220,FIND("-",JZ220,FIND("|",JZ220))+1,10)))))*$D$50),$D$25*(1-(IF(INDEX($D$220:$D$223,MATCH(LEFT(JZ220,FIND("·",JZ220)-1),$C$220:$C$223,0))=0,ABS(INDEX($A$220:$A$223,MATCH(LEFT(JZ220,FIND("·",JZ220)-1),$C$220:$C$223,0))-VALUE(MID(JZ220,FIND("|",JZ220)+1,FIND("-",JZ220,FIND("|",JZ220))-FIND("|",JZ220)-1))),ABS(INDEX($Q$220:$Q$223,MATCH(LEFT(JZ220,FIND("·",JZ220)-1),$C$220:$C$223,0))-(VALUE(MID(JZ220,FIND("|",JZ220)+1,FIND("-",JZ220,FIND("|",JZ220))-FIND("|",JZ220)-1))-VALUE(MID(JZ220,FIND("-",JZ220,FIND("|",JZ220))+1,10)))))*$D$50)))))*INDEX($I$220:$I$223,MATCH(LEFT(JZ220,FIND("·",JZ220)-1),$C$220:$C$223,0)),0),0),0)</f>
        <v>0</v>
      </c>
      <c r="KB220" s="108"/>
      <c r="KC220" s="75" t="str">
        <f>Idiomas!$D$369</f>
        <v>Pegar valores Cuartos</v>
      </c>
      <c r="KD220" s="76">
        <f t="shared" ref="KD220:KD223" si="6341">IFERROR(IF(COUNTIF($K$220:$K$223,LEFT(KC220,FIND("·",KC220)-1))&gt;0,IF(INDEX($L$220:$L$223,MATCH(LEFT(KC220,FIND("·",KC220)-1),$K$220:$K$223,0))=IFERROR(VALUE(MID(KC220,FIND("·",KC220)+1,1)),0),($D$24+(INDEX($M$220:$M$223,MATCH(LEFT(KC220,FIND("·",KC220)-1),$K$220:$K$223,0))=MID(KC220,FIND("|",KC220)+1,10))*$D$26+MAX(0,IF($D$50=1,$D$25*(1-(ABS(INDEX($P$220:$P$223,MATCH(LEFT(KC220,FIND("·",KC220)-1),$K$220:$K$223,0))-(VALUE(MID(KC220,FIND("|",KC220)+1,FIND("-",KC220,FIND("|",KC220))-FIND("|",KC220)-1))-VALUE(MID(KC220,FIND("-",KC220,FIND("|",KC220))+1,10)))))*$D$50),$D$25*(1-(IF(INDEX($L$220:$L$223,MATCH(LEFT(KC220,FIND("·",KC220)-1),$K$220:$K$223,0))=0,ABS(INDEX($N$220:$N$223,MATCH(LEFT(KC220,FIND("·",KC220)-1),$K$220:$K$223,0))-VALUE(MID(KC220,FIND("|",KC220)+1,FIND("-",KC220,FIND("|",KC220))-FIND("|",KC220)-1))),ABS(INDEX($P$220:$P$223,MATCH(LEFT(KC220,FIND("·",KC220)-1),$K$220:$K$223,0))-(VALUE(MID(KC220,FIND("|",KC220)+1,FIND("-",KC220,FIND("|",KC220))-FIND("|",KC220)-1))-VALUE(MID(KC220,FIND("-",KC220,FIND("|",KC220))+1,10)))))*$D$50)))))*INDEX($I$220:$I$223,MATCH(LEFT(KC220,FIND("·",KC220)-1),$K$220:$K$223,0)),0),0),0)+IFERROR(IF(COUNTIF($C$220:$C$223,LEFT(KC220,FIND("·",KC220)-1))&gt;0,IF(INDEX($D$220:$D$223,MATCH(LEFT(KC220,FIND("·",KC220)-1),$C$220:$C$223,0))=IFERROR(VALUE(MID(KC220,FIND("·",KC220)+1,1)),0),($D$24+(INDEX($E$220:$E$223,MATCH(LEFT(KC220,FIND("·",KC220)-1),$C$220:$C$223,0))=MID(KC220,FIND("|",KC220)+1,10))*$D$26+MAX(0,IF($D$50=1,$D$25*(1-(ABS(INDEX($Q$220:$Q$223,MATCH(LEFT(KC220,FIND("·",KC220)-1),$C$220:$C$223,0))-(VALUE(MID(KC220,FIND("|",KC220)+1,FIND("-",KC220,FIND("|",KC220))-FIND("|",KC220)-1))-VALUE(MID(KC220,FIND("-",KC220,FIND("|",KC220))+1,10)))))*$D$50),$D$25*(1-(IF(INDEX($D$220:$D$223,MATCH(LEFT(KC220,FIND("·",KC220)-1),$C$220:$C$223,0))=0,ABS(INDEX($A$220:$A$223,MATCH(LEFT(KC220,FIND("·",KC220)-1),$C$220:$C$223,0))-VALUE(MID(KC220,FIND("|",KC220)+1,FIND("-",KC220,FIND("|",KC220))-FIND("|",KC220)-1))),ABS(INDEX($Q$220:$Q$223,MATCH(LEFT(KC220,FIND("·",KC220)-1),$C$220:$C$223,0))-(VALUE(MID(KC220,FIND("|",KC220)+1,FIND("-",KC220,FIND("|",KC220))-FIND("|",KC220)-1))-VALUE(MID(KC220,FIND("-",KC220,FIND("|",KC220))+1,10)))))*$D$50)))))*INDEX($I$220:$I$223,MATCH(LEFT(KC220,FIND("·",KC220)-1),$C$220:$C$223,0)),0),0),0)</f>
        <v>0</v>
      </c>
      <c r="KE220" s="108"/>
      <c r="KF220" s="75" t="str">
        <f>Idiomas!$D$369</f>
        <v>Pegar valores Cuartos</v>
      </c>
      <c r="KG220" s="76">
        <f t="shared" ref="KG220:KG223" si="6342">IFERROR(IF(COUNTIF($K$220:$K$223,LEFT(KF220,FIND("·",KF220)-1))&gt;0,IF(INDEX($L$220:$L$223,MATCH(LEFT(KF220,FIND("·",KF220)-1),$K$220:$K$223,0))=IFERROR(VALUE(MID(KF220,FIND("·",KF220)+1,1)),0),($D$24+(INDEX($M$220:$M$223,MATCH(LEFT(KF220,FIND("·",KF220)-1),$K$220:$K$223,0))=MID(KF220,FIND("|",KF220)+1,10))*$D$26+MAX(0,IF($D$50=1,$D$25*(1-(ABS(INDEX($P$220:$P$223,MATCH(LEFT(KF220,FIND("·",KF220)-1),$K$220:$K$223,0))-(VALUE(MID(KF220,FIND("|",KF220)+1,FIND("-",KF220,FIND("|",KF220))-FIND("|",KF220)-1))-VALUE(MID(KF220,FIND("-",KF220,FIND("|",KF220))+1,10)))))*$D$50),$D$25*(1-(IF(INDEX($L$220:$L$223,MATCH(LEFT(KF220,FIND("·",KF220)-1),$K$220:$K$223,0))=0,ABS(INDEX($N$220:$N$223,MATCH(LEFT(KF220,FIND("·",KF220)-1),$K$220:$K$223,0))-VALUE(MID(KF220,FIND("|",KF220)+1,FIND("-",KF220,FIND("|",KF220))-FIND("|",KF220)-1))),ABS(INDEX($P$220:$P$223,MATCH(LEFT(KF220,FIND("·",KF220)-1),$K$220:$K$223,0))-(VALUE(MID(KF220,FIND("|",KF220)+1,FIND("-",KF220,FIND("|",KF220))-FIND("|",KF220)-1))-VALUE(MID(KF220,FIND("-",KF220,FIND("|",KF220))+1,10)))))*$D$50)))))*INDEX($I$220:$I$223,MATCH(LEFT(KF220,FIND("·",KF220)-1),$K$220:$K$223,0)),0),0),0)+IFERROR(IF(COUNTIF($C$220:$C$223,LEFT(KF220,FIND("·",KF220)-1))&gt;0,IF(INDEX($D$220:$D$223,MATCH(LEFT(KF220,FIND("·",KF220)-1),$C$220:$C$223,0))=IFERROR(VALUE(MID(KF220,FIND("·",KF220)+1,1)),0),($D$24+(INDEX($E$220:$E$223,MATCH(LEFT(KF220,FIND("·",KF220)-1),$C$220:$C$223,0))=MID(KF220,FIND("|",KF220)+1,10))*$D$26+MAX(0,IF($D$50=1,$D$25*(1-(ABS(INDEX($Q$220:$Q$223,MATCH(LEFT(KF220,FIND("·",KF220)-1),$C$220:$C$223,0))-(VALUE(MID(KF220,FIND("|",KF220)+1,FIND("-",KF220,FIND("|",KF220))-FIND("|",KF220)-1))-VALUE(MID(KF220,FIND("-",KF220,FIND("|",KF220))+1,10)))))*$D$50),$D$25*(1-(IF(INDEX($D$220:$D$223,MATCH(LEFT(KF220,FIND("·",KF220)-1),$C$220:$C$223,0))=0,ABS(INDEX($A$220:$A$223,MATCH(LEFT(KF220,FIND("·",KF220)-1),$C$220:$C$223,0))-VALUE(MID(KF220,FIND("|",KF220)+1,FIND("-",KF220,FIND("|",KF220))-FIND("|",KF220)-1))),ABS(INDEX($Q$220:$Q$223,MATCH(LEFT(KF220,FIND("·",KF220)-1),$C$220:$C$223,0))-(VALUE(MID(KF220,FIND("|",KF220)+1,FIND("-",KF220,FIND("|",KF220))-FIND("|",KF220)-1))-VALUE(MID(KF220,FIND("-",KF220,FIND("|",KF220))+1,10)))))*$D$50)))))*INDEX($I$220:$I$223,MATCH(LEFT(KF220,FIND("·",KF220)-1),$C$220:$C$223,0)),0),0),0)</f>
        <v>0</v>
      </c>
      <c r="KH220" s="108"/>
      <c r="KI220" s="75" t="str">
        <f>Idiomas!$D$369</f>
        <v>Pegar valores Cuartos</v>
      </c>
      <c r="KJ220" s="76">
        <f t="shared" ref="KJ220:KJ223" si="6343">IFERROR(IF(COUNTIF($K$220:$K$223,LEFT(KI220,FIND("·",KI220)-1))&gt;0,IF(INDEX($L$220:$L$223,MATCH(LEFT(KI220,FIND("·",KI220)-1),$K$220:$K$223,0))=IFERROR(VALUE(MID(KI220,FIND("·",KI220)+1,1)),0),($D$24+(INDEX($M$220:$M$223,MATCH(LEFT(KI220,FIND("·",KI220)-1),$K$220:$K$223,0))=MID(KI220,FIND("|",KI220)+1,10))*$D$26+MAX(0,IF($D$50=1,$D$25*(1-(ABS(INDEX($P$220:$P$223,MATCH(LEFT(KI220,FIND("·",KI220)-1),$K$220:$K$223,0))-(VALUE(MID(KI220,FIND("|",KI220)+1,FIND("-",KI220,FIND("|",KI220))-FIND("|",KI220)-1))-VALUE(MID(KI220,FIND("-",KI220,FIND("|",KI220))+1,10)))))*$D$50),$D$25*(1-(IF(INDEX($L$220:$L$223,MATCH(LEFT(KI220,FIND("·",KI220)-1),$K$220:$K$223,0))=0,ABS(INDEX($N$220:$N$223,MATCH(LEFT(KI220,FIND("·",KI220)-1),$K$220:$K$223,0))-VALUE(MID(KI220,FIND("|",KI220)+1,FIND("-",KI220,FIND("|",KI220))-FIND("|",KI220)-1))),ABS(INDEX($P$220:$P$223,MATCH(LEFT(KI220,FIND("·",KI220)-1),$K$220:$K$223,0))-(VALUE(MID(KI220,FIND("|",KI220)+1,FIND("-",KI220,FIND("|",KI220))-FIND("|",KI220)-1))-VALUE(MID(KI220,FIND("-",KI220,FIND("|",KI220))+1,10)))))*$D$50)))))*INDEX($I$220:$I$223,MATCH(LEFT(KI220,FIND("·",KI220)-1),$K$220:$K$223,0)),0),0),0)+IFERROR(IF(COUNTIF($C$220:$C$223,LEFT(KI220,FIND("·",KI220)-1))&gt;0,IF(INDEX($D$220:$D$223,MATCH(LEFT(KI220,FIND("·",KI220)-1),$C$220:$C$223,0))=IFERROR(VALUE(MID(KI220,FIND("·",KI220)+1,1)),0),($D$24+(INDEX($E$220:$E$223,MATCH(LEFT(KI220,FIND("·",KI220)-1),$C$220:$C$223,0))=MID(KI220,FIND("|",KI220)+1,10))*$D$26+MAX(0,IF($D$50=1,$D$25*(1-(ABS(INDEX($Q$220:$Q$223,MATCH(LEFT(KI220,FIND("·",KI220)-1),$C$220:$C$223,0))-(VALUE(MID(KI220,FIND("|",KI220)+1,FIND("-",KI220,FIND("|",KI220))-FIND("|",KI220)-1))-VALUE(MID(KI220,FIND("-",KI220,FIND("|",KI220))+1,10)))))*$D$50),$D$25*(1-(IF(INDEX($D$220:$D$223,MATCH(LEFT(KI220,FIND("·",KI220)-1),$C$220:$C$223,0))=0,ABS(INDEX($A$220:$A$223,MATCH(LEFT(KI220,FIND("·",KI220)-1),$C$220:$C$223,0))-VALUE(MID(KI220,FIND("|",KI220)+1,FIND("-",KI220,FIND("|",KI220))-FIND("|",KI220)-1))),ABS(INDEX($Q$220:$Q$223,MATCH(LEFT(KI220,FIND("·",KI220)-1),$C$220:$C$223,0))-(VALUE(MID(KI220,FIND("|",KI220)+1,FIND("-",KI220,FIND("|",KI220))-FIND("|",KI220)-1))-VALUE(MID(KI220,FIND("-",KI220,FIND("|",KI220))+1,10)))))*$D$50)))))*INDEX($I$220:$I$223,MATCH(LEFT(KI220,FIND("·",KI220)-1),$C$220:$C$223,0)),0),0),0)</f>
        <v>0</v>
      </c>
      <c r="KK220" s="108"/>
      <c r="KL220" s="75" t="str">
        <f>Idiomas!$D$369</f>
        <v>Pegar valores Cuartos</v>
      </c>
      <c r="KM220" s="76">
        <f t="shared" ref="KM220:KM223" si="6344">IFERROR(IF(COUNTIF($K$220:$K$223,LEFT(KL220,FIND("·",KL220)-1))&gt;0,IF(INDEX($L$220:$L$223,MATCH(LEFT(KL220,FIND("·",KL220)-1),$K$220:$K$223,0))=IFERROR(VALUE(MID(KL220,FIND("·",KL220)+1,1)),0),($D$24+(INDEX($M$220:$M$223,MATCH(LEFT(KL220,FIND("·",KL220)-1),$K$220:$K$223,0))=MID(KL220,FIND("|",KL220)+1,10))*$D$26+MAX(0,IF($D$50=1,$D$25*(1-(ABS(INDEX($P$220:$P$223,MATCH(LEFT(KL220,FIND("·",KL220)-1),$K$220:$K$223,0))-(VALUE(MID(KL220,FIND("|",KL220)+1,FIND("-",KL220,FIND("|",KL220))-FIND("|",KL220)-1))-VALUE(MID(KL220,FIND("-",KL220,FIND("|",KL220))+1,10)))))*$D$50),$D$25*(1-(IF(INDEX($L$220:$L$223,MATCH(LEFT(KL220,FIND("·",KL220)-1),$K$220:$K$223,0))=0,ABS(INDEX($N$220:$N$223,MATCH(LEFT(KL220,FIND("·",KL220)-1),$K$220:$K$223,0))-VALUE(MID(KL220,FIND("|",KL220)+1,FIND("-",KL220,FIND("|",KL220))-FIND("|",KL220)-1))),ABS(INDEX($P$220:$P$223,MATCH(LEFT(KL220,FIND("·",KL220)-1),$K$220:$K$223,0))-(VALUE(MID(KL220,FIND("|",KL220)+1,FIND("-",KL220,FIND("|",KL220))-FIND("|",KL220)-1))-VALUE(MID(KL220,FIND("-",KL220,FIND("|",KL220))+1,10)))))*$D$50)))))*INDEX($I$220:$I$223,MATCH(LEFT(KL220,FIND("·",KL220)-1),$K$220:$K$223,0)),0),0),0)+IFERROR(IF(COUNTIF($C$220:$C$223,LEFT(KL220,FIND("·",KL220)-1))&gt;0,IF(INDEX($D$220:$D$223,MATCH(LEFT(KL220,FIND("·",KL220)-1),$C$220:$C$223,0))=IFERROR(VALUE(MID(KL220,FIND("·",KL220)+1,1)),0),($D$24+(INDEX($E$220:$E$223,MATCH(LEFT(KL220,FIND("·",KL220)-1),$C$220:$C$223,0))=MID(KL220,FIND("|",KL220)+1,10))*$D$26+MAX(0,IF($D$50=1,$D$25*(1-(ABS(INDEX($Q$220:$Q$223,MATCH(LEFT(KL220,FIND("·",KL220)-1),$C$220:$C$223,0))-(VALUE(MID(KL220,FIND("|",KL220)+1,FIND("-",KL220,FIND("|",KL220))-FIND("|",KL220)-1))-VALUE(MID(KL220,FIND("-",KL220,FIND("|",KL220))+1,10)))))*$D$50),$D$25*(1-(IF(INDEX($D$220:$D$223,MATCH(LEFT(KL220,FIND("·",KL220)-1),$C$220:$C$223,0))=0,ABS(INDEX($A$220:$A$223,MATCH(LEFT(KL220,FIND("·",KL220)-1),$C$220:$C$223,0))-VALUE(MID(KL220,FIND("|",KL220)+1,FIND("-",KL220,FIND("|",KL220))-FIND("|",KL220)-1))),ABS(INDEX($Q$220:$Q$223,MATCH(LEFT(KL220,FIND("·",KL220)-1),$C$220:$C$223,0))-(VALUE(MID(KL220,FIND("|",KL220)+1,FIND("-",KL220,FIND("|",KL220))-FIND("|",KL220)-1))-VALUE(MID(KL220,FIND("-",KL220,FIND("|",KL220))+1,10)))))*$D$50)))))*INDEX($I$220:$I$223,MATCH(LEFT(KL220,FIND("·",KL220)-1),$C$220:$C$223,0)),0),0),0)</f>
        <v>0</v>
      </c>
      <c r="KN220" s="108"/>
      <c r="KO220" s="75" t="str">
        <f>Idiomas!$D$369</f>
        <v>Pegar valores Cuartos</v>
      </c>
      <c r="KP220" s="76">
        <f t="shared" ref="KP220:KP223" si="6345">IFERROR(IF(COUNTIF($K$220:$K$223,LEFT(KO220,FIND("·",KO220)-1))&gt;0,IF(INDEX($L$220:$L$223,MATCH(LEFT(KO220,FIND("·",KO220)-1),$K$220:$K$223,0))=IFERROR(VALUE(MID(KO220,FIND("·",KO220)+1,1)),0),($D$24+(INDEX($M$220:$M$223,MATCH(LEFT(KO220,FIND("·",KO220)-1),$K$220:$K$223,0))=MID(KO220,FIND("|",KO220)+1,10))*$D$26+MAX(0,IF($D$50=1,$D$25*(1-(ABS(INDEX($P$220:$P$223,MATCH(LEFT(KO220,FIND("·",KO220)-1),$K$220:$K$223,0))-(VALUE(MID(KO220,FIND("|",KO220)+1,FIND("-",KO220,FIND("|",KO220))-FIND("|",KO220)-1))-VALUE(MID(KO220,FIND("-",KO220,FIND("|",KO220))+1,10)))))*$D$50),$D$25*(1-(IF(INDEX($L$220:$L$223,MATCH(LEFT(KO220,FIND("·",KO220)-1),$K$220:$K$223,0))=0,ABS(INDEX($N$220:$N$223,MATCH(LEFT(KO220,FIND("·",KO220)-1),$K$220:$K$223,0))-VALUE(MID(KO220,FIND("|",KO220)+1,FIND("-",KO220,FIND("|",KO220))-FIND("|",KO220)-1))),ABS(INDEX($P$220:$P$223,MATCH(LEFT(KO220,FIND("·",KO220)-1),$K$220:$K$223,0))-(VALUE(MID(KO220,FIND("|",KO220)+1,FIND("-",KO220,FIND("|",KO220))-FIND("|",KO220)-1))-VALUE(MID(KO220,FIND("-",KO220,FIND("|",KO220))+1,10)))))*$D$50)))))*INDEX($I$220:$I$223,MATCH(LEFT(KO220,FIND("·",KO220)-1),$K$220:$K$223,0)),0),0),0)+IFERROR(IF(COUNTIF($C$220:$C$223,LEFT(KO220,FIND("·",KO220)-1))&gt;0,IF(INDEX($D$220:$D$223,MATCH(LEFT(KO220,FIND("·",KO220)-1),$C$220:$C$223,0))=IFERROR(VALUE(MID(KO220,FIND("·",KO220)+1,1)),0),($D$24+(INDEX($E$220:$E$223,MATCH(LEFT(KO220,FIND("·",KO220)-1),$C$220:$C$223,0))=MID(KO220,FIND("|",KO220)+1,10))*$D$26+MAX(0,IF($D$50=1,$D$25*(1-(ABS(INDEX($Q$220:$Q$223,MATCH(LEFT(KO220,FIND("·",KO220)-1),$C$220:$C$223,0))-(VALUE(MID(KO220,FIND("|",KO220)+1,FIND("-",KO220,FIND("|",KO220))-FIND("|",KO220)-1))-VALUE(MID(KO220,FIND("-",KO220,FIND("|",KO220))+1,10)))))*$D$50),$D$25*(1-(IF(INDEX($D$220:$D$223,MATCH(LEFT(KO220,FIND("·",KO220)-1),$C$220:$C$223,0))=0,ABS(INDEX($A$220:$A$223,MATCH(LEFT(KO220,FIND("·",KO220)-1),$C$220:$C$223,0))-VALUE(MID(KO220,FIND("|",KO220)+1,FIND("-",KO220,FIND("|",KO220))-FIND("|",KO220)-1))),ABS(INDEX($Q$220:$Q$223,MATCH(LEFT(KO220,FIND("·",KO220)-1),$C$220:$C$223,0))-(VALUE(MID(KO220,FIND("|",KO220)+1,FIND("-",KO220,FIND("|",KO220))-FIND("|",KO220)-1))-VALUE(MID(KO220,FIND("-",KO220,FIND("|",KO220))+1,10)))))*$D$50)))))*INDEX($I$220:$I$223,MATCH(LEFT(KO220,FIND("·",KO220)-1),$C$220:$C$223,0)),0),0),0)</f>
        <v>0</v>
      </c>
      <c r="KQ220" s="108"/>
      <c r="KR220" s="75" t="str">
        <f>Idiomas!$D$369</f>
        <v>Pegar valores Cuartos</v>
      </c>
      <c r="KS220" s="76">
        <f t="shared" ref="KS220:KS223" si="6346">IFERROR(IF(COUNTIF($K$220:$K$223,LEFT(KR220,FIND("·",KR220)-1))&gt;0,IF(INDEX($L$220:$L$223,MATCH(LEFT(KR220,FIND("·",KR220)-1),$K$220:$K$223,0))=IFERROR(VALUE(MID(KR220,FIND("·",KR220)+1,1)),0),($D$24+(INDEX($M$220:$M$223,MATCH(LEFT(KR220,FIND("·",KR220)-1),$K$220:$K$223,0))=MID(KR220,FIND("|",KR220)+1,10))*$D$26+MAX(0,IF($D$50=1,$D$25*(1-(ABS(INDEX($P$220:$P$223,MATCH(LEFT(KR220,FIND("·",KR220)-1),$K$220:$K$223,0))-(VALUE(MID(KR220,FIND("|",KR220)+1,FIND("-",KR220,FIND("|",KR220))-FIND("|",KR220)-1))-VALUE(MID(KR220,FIND("-",KR220,FIND("|",KR220))+1,10)))))*$D$50),$D$25*(1-(IF(INDEX($L$220:$L$223,MATCH(LEFT(KR220,FIND("·",KR220)-1),$K$220:$K$223,0))=0,ABS(INDEX($N$220:$N$223,MATCH(LEFT(KR220,FIND("·",KR220)-1),$K$220:$K$223,0))-VALUE(MID(KR220,FIND("|",KR220)+1,FIND("-",KR220,FIND("|",KR220))-FIND("|",KR220)-1))),ABS(INDEX($P$220:$P$223,MATCH(LEFT(KR220,FIND("·",KR220)-1),$K$220:$K$223,0))-(VALUE(MID(KR220,FIND("|",KR220)+1,FIND("-",KR220,FIND("|",KR220))-FIND("|",KR220)-1))-VALUE(MID(KR220,FIND("-",KR220,FIND("|",KR220))+1,10)))))*$D$50)))))*INDEX($I$220:$I$223,MATCH(LEFT(KR220,FIND("·",KR220)-1),$K$220:$K$223,0)),0),0),0)+IFERROR(IF(COUNTIF($C$220:$C$223,LEFT(KR220,FIND("·",KR220)-1))&gt;0,IF(INDEX($D$220:$D$223,MATCH(LEFT(KR220,FIND("·",KR220)-1),$C$220:$C$223,0))=IFERROR(VALUE(MID(KR220,FIND("·",KR220)+1,1)),0),($D$24+(INDEX($E$220:$E$223,MATCH(LEFT(KR220,FIND("·",KR220)-1),$C$220:$C$223,0))=MID(KR220,FIND("|",KR220)+1,10))*$D$26+MAX(0,IF($D$50=1,$D$25*(1-(ABS(INDEX($Q$220:$Q$223,MATCH(LEFT(KR220,FIND("·",KR220)-1),$C$220:$C$223,0))-(VALUE(MID(KR220,FIND("|",KR220)+1,FIND("-",KR220,FIND("|",KR220))-FIND("|",KR220)-1))-VALUE(MID(KR220,FIND("-",KR220,FIND("|",KR220))+1,10)))))*$D$50),$D$25*(1-(IF(INDEX($D$220:$D$223,MATCH(LEFT(KR220,FIND("·",KR220)-1),$C$220:$C$223,0))=0,ABS(INDEX($A$220:$A$223,MATCH(LEFT(KR220,FIND("·",KR220)-1),$C$220:$C$223,0))-VALUE(MID(KR220,FIND("|",KR220)+1,FIND("-",KR220,FIND("|",KR220))-FIND("|",KR220)-1))),ABS(INDEX($Q$220:$Q$223,MATCH(LEFT(KR220,FIND("·",KR220)-1),$C$220:$C$223,0))-(VALUE(MID(KR220,FIND("|",KR220)+1,FIND("-",KR220,FIND("|",KR220))-FIND("|",KR220)-1))-VALUE(MID(KR220,FIND("-",KR220,FIND("|",KR220))+1,10)))))*$D$50)))))*INDEX($I$220:$I$223,MATCH(LEFT(KR220,FIND("·",KR220)-1),$C$220:$C$223,0)),0),0),0)</f>
        <v>0</v>
      </c>
      <c r="KT220" s="108"/>
      <c r="KU220" s="75" t="str">
        <f>Idiomas!$D$369</f>
        <v>Pegar valores Cuartos</v>
      </c>
      <c r="KV220" s="76">
        <f t="shared" ref="KV220:KV223" si="6347">IFERROR(IF(COUNTIF($K$220:$K$223,LEFT(KU220,FIND("·",KU220)-1))&gt;0,IF(INDEX($L$220:$L$223,MATCH(LEFT(KU220,FIND("·",KU220)-1),$K$220:$K$223,0))=IFERROR(VALUE(MID(KU220,FIND("·",KU220)+1,1)),0),($D$24+(INDEX($M$220:$M$223,MATCH(LEFT(KU220,FIND("·",KU220)-1),$K$220:$K$223,0))=MID(KU220,FIND("|",KU220)+1,10))*$D$26+MAX(0,IF($D$50=1,$D$25*(1-(ABS(INDEX($P$220:$P$223,MATCH(LEFT(KU220,FIND("·",KU220)-1),$K$220:$K$223,0))-(VALUE(MID(KU220,FIND("|",KU220)+1,FIND("-",KU220,FIND("|",KU220))-FIND("|",KU220)-1))-VALUE(MID(KU220,FIND("-",KU220,FIND("|",KU220))+1,10)))))*$D$50),$D$25*(1-(IF(INDEX($L$220:$L$223,MATCH(LEFT(KU220,FIND("·",KU220)-1),$K$220:$K$223,0))=0,ABS(INDEX($N$220:$N$223,MATCH(LEFT(KU220,FIND("·",KU220)-1),$K$220:$K$223,0))-VALUE(MID(KU220,FIND("|",KU220)+1,FIND("-",KU220,FIND("|",KU220))-FIND("|",KU220)-1))),ABS(INDEX($P$220:$P$223,MATCH(LEFT(KU220,FIND("·",KU220)-1),$K$220:$K$223,0))-(VALUE(MID(KU220,FIND("|",KU220)+1,FIND("-",KU220,FIND("|",KU220))-FIND("|",KU220)-1))-VALUE(MID(KU220,FIND("-",KU220,FIND("|",KU220))+1,10)))))*$D$50)))))*INDEX($I$220:$I$223,MATCH(LEFT(KU220,FIND("·",KU220)-1),$K$220:$K$223,0)),0),0),0)+IFERROR(IF(COUNTIF($C$220:$C$223,LEFT(KU220,FIND("·",KU220)-1))&gt;0,IF(INDEX($D$220:$D$223,MATCH(LEFT(KU220,FIND("·",KU220)-1),$C$220:$C$223,0))=IFERROR(VALUE(MID(KU220,FIND("·",KU220)+1,1)),0),($D$24+(INDEX($E$220:$E$223,MATCH(LEFT(KU220,FIND("·",KU220)-1),$C$220:$C$223,0))=MID(KU220,FIND("|",KU220)+1,10))*$D$26+MAX(0,IF($D$50=1,$D$25*(1-(ABS(INDEX($Q$220:$Q$223,MATCH(LEFT(KU220,FIND("·",KU220)-1),$C$220:$C$223,0))-(VALUE(MID(KU220,FIND("|",KU220)+1,FIND("-",KU220,FIND("|",KU220))-FIND("|",KU220)-1))-VALUE(MID(KU220,FIND("-",KU220,FIND("|",KU220))+1,10)))))*$D$50),$D$25*(1-(IF(INDEX($D$220:$D$223,MATCH(LEFT(KU220,FIND("·",KU220)-1),$C$220:$C$223,0))=0,ABS(INDEX($A$220:$A$223,MATCH(LEFT(KU220,FIND("·",KU220)-1),$C$220:$C$223,0))-VALUE(MID(KU220,FIND("|",KU220)+1,FIND("-",KU220,FIND("|",KU220))-FIND("|",KU220)-1))),ABS(INDEX($Q$220:$Q$223,MATCH(LEFT(KU220,FIND("·",KU220)-1),$C$220:$C$223,0))-(VALUE(MID(KU220,FIND("|",KU220)+1,FIND("-",KU220,FIND("|",KU220))-FIND("|",KU220)-1))-VALUE(MID(KU220,FIND("-",KU220,FIND("|",KU220))+1,10)))))*$D$50)))))*INDEX($I$220:$I$223,MATCH(LEFT(KU220,FIND("·",KU220)-1),$C$220:$C$223,0)),0),0),0)</f>
        <v>0</v>
      </c>
      <c r="KW220" s="108"/>
      <c r="KX220" s="75" t="str">
        <f>Idiomas!$D$369</f>
        <v>Pegar valores Cuartos</v>
      </c>
      <c r="KY220" s="76">
        <f t="shared" ref="KY220:KY223" si="6348">IFERROR(IF(COUNTIF($K$220:$K$223,LEFT(KX220,FIND("·",KX220)-1))&gt;0,IF(INDEX($L$220:$L$223,MATCH(LEFT(KX220,FIND("·",KX220)-1),$K$220:$K$223,0))=IFERROR(VALUE(MID(KX220,FIND("·",KX220)+1,1)),0),($D$24+(INDEX($M$220:$M$223,MATCH(LEFT(KX220,FIND("·",KX220)-1),$K$220:$K$223,0))=MID(KX220,FIND("|",KX220)+1,10))*$D$26+MAX(0,IF($D$50=1,$D$25*(1-(ABS(INDEX($P$220:$P$223,MATCH(LEFT(KX220,FIND("·",KX220)-1),$K$220:$K$223,0))-(VALUE(MID(KX220,FIND("|",KX220)+1,FIND("-",KX220,FIND("|",KX220))-FIND("|",KX220)-1))-VALUE(MID(KX220,FIND("-",KX220,FIND("|",KX220))+1,10)))))*$D$50),$D$25*(1-(IF(INDEX($L$220:$L$223,MATCH(LEFT(KX220,FIND("·",KX220)-1),$K$220:$K$223,0))=0,ABS(INDEX($N$220:$N$223,MATCH(LEFT(KX220,FIND("·",KX220)-1),$K$220:$K$223,0))-VALUE(MID(KX220,FIND("|",KX220)+1,FIND("-",KX220,FIND("|",KX220))-FIND("|",KX220)-1))),ABS(INDEX($P$220:$P$223,MATCH(LEFT(KX220,FIND("·",KX220)-1),$K$220:$K$223,0))-(VALUE(MID(KX220,FIND("|",KX220)+1,FIND("-",KX220,FIND("|",KX220))-FIND("|",KX220)-1))-VALUE(MID(KX220,FIND("-",KX220,FIND("|",KX220))+1,10)))))*$D$50)))))*INDEX($I$220:$I$223,MATCH(LEFT(KX220,FIND("·",KX220)-1),$K$220:$K$223,0)),0),0),0)+IFERROR(IF(COUNTIF($C$220:$C$223,LEFT(KX220,FIND("·",KX220)-1))&gt;0,IF(INDEX($D$220:$D$223,MATCH(LEFT(KX220,FIND("·",KX220)-1),$C$220:$C$223,0))=IFERROR(VALUE(MID(KX220,FIND("·",KX220)+1,1)),0),($D$24+(INDEX($E$220:$E$223,MATCH(LEFT(KX220,FIND("·",KX220)-1),$C$220:$C$223,0))=MID(KX220,FIND("|",KX220)+1,10))*$D$26+MAX(0,IF($D$50=1,$D$25*(1-(ABS(INDEX($Q$220:$Q$223,MATCH(LEFT(KX220,FIND("·",KX220)-1),$C$220:$C$223,0))-(VALUE(MID(KX220,FIND("|",KX220)+1,FIND("-",KX220,FIND("|",KX220))-FIND("|",KX220)-1))-VALUE(MID(KX220,FIND("-",KX220,FIND("|",KX220))+1,10)))))*$D$50),$D$25*(1-(IF(INDEX($D$220:$D$223,MATCH(LEFT(KX220,FIND("·",KX220)-1),$C$220:$C$223,0))=0,ABS(INDEX($A$220:$A$223,MATCH(LEFT(KX220,FIND("·",KX220)-1),$C$220:$C$223,0))-VALUE(MID(KX220,FIND("|",KX220)+1,FIND("-",KX220,FIND("|",KX220))-FIND("|",KX220)-1))),ABS(INDEX($Q$220:$Q$223,MATCH(LEFT(KX220,FIND("·",KX220)-1),$C$220:$C$223,0))-(VALUE(MID(KX220,FIND("|",KX220)+1,FIND("-",KX220,FIND("|",KX220))-FIND("|",KX220)-1))-VALUE(MID(KX220,FIND("-",KX220,FIND("|",KX220))+1,10)))))*$D$50)))))*INDEX($I$220:$I$223,MATCH(LEFT(KX220,FIND("·",KX220)-1),$C$220:$C$223,0)),0),0),0)</f>
        <v>0</v>
      </c>
      <c r="KZ220" s="108"/>
      <c r="LA220" s="75" t="str">
        <f>Idiomas!$D$369</f>
        <v>Pegar valores Cuartos</v>
      </c>
      <c r="LB220" s="76">
        <f t="shared" ref="LB220:LB223" si="6349">IFERROR(IF(COUNTIF($K$220:$K$223,LEFT(LA220,FIND("·",LA220)-1))&gt;0,IF(INDEX($L$220:$L$223,MATCH(LEFT(LA220,FIND("·",LA220)-1),$K$220:$K$223,0))=IFERROR(VALUE(MID(LA220,FIND("·",LA220)+1,1)),0),($D$24+(INDEX($M$220:$M$223,MATCH(LEFT(LA220,FIND("·",LA220)-1),$K$220:$K$223,0))=MID(LA220,FIND("|",LA220)+1,10))*$D$26+MAX(0,IF($D$50=1,$D$25*(1-(ABS(INDEX($P$220:$P$223,MATCH(LEFT(LA220,FIND("·",LA220)-1),$K$220:$K$223,0))-(VALUE(MID(LA220,FIND("|",LA220)+1,FIND("-",LA220,FIND("|",LA220))-FIND("|",LA220)-1))-VALUE(MID(LA220,FIND("-",LA220,FIND("|",LA220))+1,10)))))*$D$50),$D$25*(1-(IF(INDEX($L$220:$L$223,MATCH(LEFT(LA220,FIND("·",LA220)-1),$K$220:$K$223,0))=0,ABS(INDEX($N$220:$N$223,MATCH(LEFT(LA220,FIND("·",LA220)-1),$K$220:$K$223,0))-VALUE(MID(LA220,FIND("|",LA220)+1,FIND("-",LA220,FIND("|",LA220))-FIND("|",LA220)-1))),ABS(INDEX($P$220:$P$223,MATCH(LEFT(LA220,FIND("·",LA220)-1),$K$220:$K$223,0))-(VALUE(MID(LA220,FIND("|",LA220)+1,FIND("-",LA220,FIND("|",LA220))-FIND("|",LA220)-1))-VALUE(MID(LA220,FIND("-",LA220,FIND("|",LA220))+1,10)))))*$D$50)))))*INDEX($I$220:$I$223,MATCH(LEFT(LA220,FIND("·",LA220)-1),$K$220:$K$223,0)),0),0),0)+IFERROR(IF(COUNTIF($C$220:$C$223,LEFT(LA220,FIND("·",LA220)-1))&gt;0,IF(INDEX($D$220:$D$223,MATCH(LEFT(LA220,FIND("·",LA220)-1),$C$220:$C$223,0))=IFERROR(VALUE(MID(LA220,FIND("·",LA220)+1,1)),0),($D$24+(INDEX($E$220:$E$223,MATCH(LEFT(LA220,FIND("·",LA220)-1),$C$220:$C$223,0))=MID(LA220,FIND("|",LA220)+1,10))*$D$26+MAX(0,IF($D$50=1,$D$25*(1-(ABS(INDEX($Q$220:$Q$223,MATCH(LEFT(LA220,FIND("·",LA220)-1),$C$220:$C$223,0))-(VALUE(MID(LA220,FIND("|",LA220)+1,FIND("-",LA220,FIND("|",LA220))-FIND("|",LA220)-1))-VALUE(MID(LA220,FIND("-",LA220,FIND("|",LA220))+1,10)))))*$D$50),$D$25*(1-(IF(INDEX($D$220:$D$223,MATCH(LEFT(LA220,FIND("·",LA220)-1),$C$220:$C$223,0))=0,ABS(INDEX($A$220:$A$223,MATCH(LEFT(LA220,FIND("·",LA220)-1),$C$220:$C$223,0))-VALUE(MID(LA220,FIND("|",LA220)+1,FIND("-",LA220,FIND("|",LA220))-FIND("|",LA220)-1))),ABS(INDEX($Q$220:$Q$223,MATCH(LEFT(LA220,FIND("·",LA220)-1),$C$220:$C$223,0))-(VALUE(MID(LA220,FIND("|",LA220)+1,FIND("-",LA220,FIND("|",LA220))-FIND("|",LA220)-1))-VALUE(MID(LA220,FIND("-",LA220,FIND("|",LA220))+1,10)))))*$D$50)))))*INDEX($I$220:$I$223,MATCH(LEFT(LA220,FIND("·",LA220)-1),$C$220:$C$223,0)),0),0),0)</f>
        <v>0</v>
      </c>
      <c r="LC220" s="108"/>
      <c r="LD220" s="75" t="str">
        <f>Idiomas!$D$369</f>
        <v>Pegar valores Cuartos</v>
      </c>
      <c r="LE220" s="76">
        <f t="shared" ref="LE220:LE223" si="6350">IFERROR(IF(COUNTIF($K$220:$K$223,LEFT(LD220,FIND("·",LD220)-1))&gt;0,IF(INDEX($L$220:$L$223,MATCH(LEFT(LD220,FIND("·",LD220)-1),$K$220:$K$223,0))=IFERROR(VALUE(MID(LD220,FIND("·",LD220)+1,1)),0),($D$24+(INDEX($M$220:$M$223,MATCH(LEFT(LD220,FIND("·",LD220)-1),$K$220:$K$223,0))=MID(LD220,FIND("|",LD220)+1,10))*$D$26+MAX(0,IF($D$50=1,$D$25*(1-(ABS(INDEX($P$220:$P$223,MATCH(LEFT(LD220,FIND("·",LD220)-1),$K$220:$K$223,0))-(VALUE(MID(LD220,FIND("|",LD220)+1,FIND("-",LD220,FIND("|",LD220))-FIND("|",LD220)-1))-VALUE(MID(LD220,FIND("-",LD220,FIND("|",LD220))+1,10)))))*$D$50),$D$25*(1-(IF(INDEX($L$220:$L$223,MATCH(LEFT(LD220,FIND("·",LD220)-1),$K$220:$K$223,0))=0,ABS(INDEX($N$220:$N$223,MATCH(LEFT(LD220,FIND("·",LD220)-1),$K$220:$K$223,0))-VALUE(MID(LD220,FIND("|",LD220)+1,FIND("-",LD220,FIND("|",LD220))-FIND("|",LD220)-1))),ABS(INDEX($P$220:$P$223,MATCH(LEFT(LD220,FIND("·",LD220)-1),$K$220:$K$223,0))-(VALUE(MID(LD220,FIND("|",LD220)+1,FIND("-",LD220,FIND("|",LD220))-FIND("|",LD220)-1))-VALUE(MID(LD220,FIND("-",LD220,FIND("|",LD220))+1,10)))))*$D$50)))))*INDEX($I$220:$I$223,MATCH(LEFT(LD220,FIND("·",LD220)-1),$K$220:$K$223,0)),0),0),0)+IFERROR(IF(COUNTIF($C$220:$C$223,LEFT(LD220,FIND("·",LD220)-1))&gt;0,IF(INDEX($D$220:$D$223,MATCH(LEFT(LD220,FIND("·",LD220)-1),$C$220:$C$223,0))=IFERROR(VALUE(MID(LD220,FIND("·",LD220)+1,1)),0),($D$24+(INDEX($E$220:$E$223,MATCH(LEFT(LD220,FIND("·",LD220)-1),$C$220:$C$223,0))=MID(LD220,FIND("|",LD220)+1,10))*$D$26+MAX(0,IF($D$50=1,$D$25*(1-(ABS(INDEX($Q$220:$Q$223,MATCH(LEFT(LD220,FIND("·",LD220)-1),$C$220:$C$223,0))-(VALUE(MID(LD220,FIND("|",LD220)+1,FIND("-",LD220,FIND("|",LD220))-FIND("|",LD220)-1))-VALUE(MID(LD220,FIND("-",LD220,FIND("|",LD220))+1,10)))))*$D$50),$D$25*(1-(IF(INDEX($D$220:$D$223,MATCH(LEFT(LD220,FIND("·",LD220)-1),$C$220:$C$223,0))=0,ABS(INDEX($A$220:$A$223,MATCH(LEFT(LD220,FIND("·",LD220)-1),$C$220:$C$223,0))-VALUE(MID(LD220,FIND("|",LD220)+1,FIND("-",LD220,FIND("|",LD220))-FIND("|",LD220)-1))),ABS(INDEX($Q$220:$Q$223,MATCH(LEFT(LD220,FIND("·",LD220)-1),$C$220:$C$223,0))-(VALUE(MID(LD220,FIND("|",LD220)+1,FIND("-",LD220,FIND("|",LD220))-FIND("|",LD220)-1))-VALUE(MID(LD220,FIND("-",LD220,FIND("|",LD220))+1,10)))))*$D$50)))))*INDEX($I$220:$I$223,MATCH(LEFT(LD220,FIND("·",LD220)-1),$C$220:$C$223,0)),0),0),0)</f>
        <v>0</v>
      </c>
      <c r="LF220" s="108"/>
    </row>
    <row r="221" spans="1:318" s="784" customFormat="1">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6">
        <f t="shared" ref="F221:F223" si="6351">SUM($D$24:$D$26)*I221</f>
        <v>30</v>
      </c>
      <c r="G221" s="406">
        <f ca="1">VLOOKUP(H221,Equipos!$Q$1:$R$25,2,0)</f>
        <v>22</v>
      </c>
      <c r="H221" s="64" t="str">
        <f>Idiomas!$D$262</f>
        <v>Cuartos de final</v>
      </c>
      <c r="I221" s="45">
        <v>1</v>
      </c>
      <c r="J221" s="843"/>
      <c r="K221" s="56" t="str">
        <f>CONCATENATE(WORLDCUP!AA132,"-",WORLDCUP!AF132)</f>
        <v>W93-W94</v>
      </c>
      <c r="L221" s="53" t="str">
        <f>IF(OR(WORLDCUP!AC132="",WORLDCUP!AD132=""),"PD",IF(WORLDCUP!AC132&gt;WORLDCUP!AD132,1,IF(WORLDCUP!AC132&lt;WORLDCUP!AD132,2,0)))</f>
        <v>PD</v>
      </c>
      <c r="M221" s="55" t="str">
        <f t="shared" si="6253"/>
        <v>-</v>
      </c>
      <c r="N221" s="25">
        <f>WORLDCUP!AC132</f>
        <v>0</v>
      </c>
      <c r="O221" s="25">
        <f>WORLDCUP!AD132</f>
        <v>0</v>
      </c>
      <c r="P221" s="25">
        <f t="shared" si="6254"/>
        <v>0</v>
      </c>
      <c r="Q221" s="25">
        <f>+A221-B221</f>
        <v>0</v>
      </c>
      <c r="R221" s="108"/>
      <c r="S221" s="796" t="s">
        <v>1989</v>
      </c>
      <c r="T221" s="76">
        <f t="shared" si="6255"/>
        <v>0</v>
      </c>
      <c r="U221" s="108"/>
      <c r="V221" s="73" t="s">
        <v>2034</v>
      </c>
      <c r="W221" s="76">
        <f t="shared" si="6256"/>
        <v>0</v>
      </c>
      <c r="X221" s="108"/>
      <c r="Y221" s="796" t="s">
        <v>2077</v>
      </c>
      <c r="Z221" s="76">
        <f t="shared" si="6257"/>
        <v>0</v>
      </c>
      <c r="AA221" s="108"/>
      <c r="AB221" s="796" t="s">
        <v>2111</v>
      </c>
      <c r="AC221" s="76">
        <f t="shared" si="6258"/>
        <v>0</v>
      </c>
      <c r="AD221" s="108"/>
      <c r="AE221" s="796" t="s">
        <v>2147</v>
      </c>
      <c r="AF221" s="76">
        <f t="shared" ref="AF221:AF223" si="6352">IFERROR(IF(COUNTIF($K$220:$K$223,LEFT(AE221,FIND("·",AE221)-1))&gt;0,IF(INDEX($L$220:$L$223,MATCH(LEFT(AE221,FIND("·",AE221)-1),$K$220:$K$223,0))=IFERROR(VALUE(MID(AE221,FIND("·",AE221)+1,1)),0),($D$24+(INDEX($M$220:$M$223,MATCH(LEFT(AE221,FIND("·",AE221)-1),$K$220:$K$223,0))=MID(AE221,FIND("|",AE221)+1,10))*$D$26+MAX(0,IF($D$50=1,$D$25*(1-(ABS(INDEX($P$220:$P$223,MATCH(LEFT(AE221,FIND("·",AE221)-1),$K$220:$K$223,0))-(VALUE(MID(AE221,FIND("|",AE221)+1,FIND("-",AE221,FIND("|",AE221))-FIND("|",AE221)-1))-VALUE(MID(AE221,FIND("-",AE221,FIND("|",AE221))+1,10)))))*$D$50),$D$25*(1-(IF(INDEX($L$220:$L$223,MATCH(LEFT(AE221,FIND("·",AE221)-1),$K$220:$K$223,0))=0,ABS(INDEX($N$220:$N$223,MATCH(LEFT(AE221,FIND("·",AE221)-1),$K$220:$K$223,0))-VALUE(MID(AE221,FIND("|",AE221)+1,FIND("-",AE221,FIND("|",AE221))-FIND("|",AE221)-1))),ABS(INDEX($P$220:$P$223,MATCH(LEFT(AE221,FIND("·",AE221)-1),$K$220:$K$223,0))-(VALUE(MID(AE221,FIND("|",AE221)+1,FIND("-",AE221,FIND("|",AE221))-FIND("|",AE221)-1))-VALUE(MID(AE221,FIND("-",AE221,FIND("|",AE221))+1,10)))))*$D$50)))))*INDEX($I$220:$I$223,MATCH(LEFT(AE221,FIND("·",AE221)-1),$K$220:$K$223,0)),0),0),0)+IFERROR(IF(COUNTIF($C$220:$C$223,LEFT(AE221,FIND("·",AE221)-1))&gt;0,IF(INDEX($D$220:$D$223,MATCH(LEFT(AE221,FIND("·",AE221)-1),$C$220:$C$223,0))=IFERROR(VALUE(MID(AE221,FIND("·",AE221)+1,1)),0),($D$24+(INDEX($E$220:$E$223,MATCH(LEFT(AE221,FIND("·",AE221)-1),$C$220:$C$223,0))=MID(AE221,FIND("|",AE221)+1,10))*$D$26+MAX(0,IF($D$50=1,$D$25*(1-(ABS(INDEX($Q$220:$Q$223,MATCH(LEFT(AE221,FIND("·",AE221)-1),$C$220:$C$223,0))-(VALUE(MID(AE221,FIND("|",AE221)+1,FIND("-",AE221,FIND("|",AE221))-FIND("|",AE221)-1))-VALUE(MID(AE221,FIND("-",AE221,FIND("|",AE221))+1,10)))))*$D$50),$D$25*(1-(IF(INDEX($D$220:$D$223,MATCH(LEFT(AE221,FIND("·",AE221)-1),$C$220:$C$223,0))=0,ABS(INDEX($A$220:$A$223,MATCH(LEFT(AE221,FIND("·",AE221)-1),$C$220:$C$223,0))-VALUE(MID(AE221,FIND("|",AE221)+1,FIND("-",AE221,FIND("|",AE221))-FIND("|",AE221)-1))),ABS(INDEX($Q$220:$Q$223,MATCH(LEFT(AE221,FIND("·",AE221)-1),$C$220:$C$223,0))-(VALUE(MID(AE221,FIND("|",AE221)+1,FIND("-",AE221,FIND("|",AE221))-FIND("|",AE221)-1))-VALUE(MID(AE221,FIND("-",AE221,FIND("|",AE221))+1,10)))))*$D$50)))))*INDEX($I$220:$I$223,MATCH(LEFT(AE221,FIND("·",AE221)-1),$C$220:$C$223,0)),0),0),0)</f>
        <v>0</v>
      </c>
      <c r="AG221" s="108"/>
      <c r="AH221" s="796" t="s">
        <v>2181</v>
      </c>
      <c r="AI221" s="76">
        <f t="shared" si="6260"/>
        <v>0</v>
      </c>
      <c r="AJ221" s="108"/>
      <c r="AK221" s="806" t="s">
        <v>2219</v>
      </c>
      <c r="AL221" s="76">
        <f t="shared" si="6261"/>
        <v>0</v>
      </c>
      <c r="AM221" s="108"/>
      <c r="AN221" s="796" t="s">
        <v>2181</v>
      </c>
      <c r="AO221" s="76">
        <f t="shared" si="6262"/>
        <v>0</v>
      </c>
      <c r="AP221" s="108"/>
      <c r="AQ221" s="806" t="s">
        <v>2111</v>
      </c>
      <c r="AR221" s="76">
        <f t="shared" si="6263"/>
        <v>0</v>
      </c>
      <c r="AS221" s="108"/>
      <c r="AT221" s="796" t="s">
        <v>2181</v>
      </c>
      <c r="AU221" s="76">
        <f t="shared" si="6264"/>
        <v>0</v>
      </c>
      <c r="AV221" s="108"/>
      <c r="AW221" s="796" t="s">
        <v>2111</v>
      </c>
      <c r="AX221" s="76">
        <f t="shared" si="6265"/>
        <v>0</v>
      </c>
      <c r="AY221" s="108"/>
      <c r="AZ221" s="796" t="s">
        <v>2376</v>
      </c>
      <c r="BA221" s="76">
        <f t="shared" si="6266"/>
        <v>0</v>
      </c>
      <c r="BB221" s="108"/>
      <c r="BC221" s="796" t="s">
        <v>2181</v>
      </c>
      <c r="BD221" s="76">
        <f t="shared" si="6267"/>
        <v>0</v>
      </c>
      <c r="BE221" s="108"/>
      <c r="BF221" s="796" t="s">
        <v>2435</v>
      </c>
      <c r="BG221" s="76">
        <f t="shared" si="6268"/>
        <v>0</v>
      </c>
      <c r="BH221" s="108"/>
      <c r="BI221" s="796" t="s">
        <v>2181</v>
      </c>
      <c r="BJ221" s="76">
        <f t="shared" si="6269"/>
        <v>0</v>
      </c>
      <c r="BK221" s="108"/>
      <c r="BL221" s="796" t="s">
        <v>2111</v>
      </c>
      <c r="BM221" s="76">
        <f t="shared" si="6270"/>
        <v>0</v>
      </c>
      <c r="BN221" s="108"/>
      <c r="BO221" s="816" t="s">
        <v>2509</v>
      </c>
      <c r="BP221" s="76">
        <f t="shared" si="6271"/>
        <v>0</v>
      </c>
      <c r="BQ221" s="108"/>
      <c r="BR221" s="796" t="s">
        <v>2147</v>
      </c>
      <c r="BS221" s="76">
        <f t="shared" si="6272"/>
        <v>0</v>
      </c>
      <c r="BT221" s="108"/>
      <c r="BU221" s="796" t="s">
        <v>2111</v>
      </c>
      <c r="BV221" s="76">
        <f t="shared" si="6273"/>
        <v>0</v>
      </c>
      <c r="BW221" s="108"/>
      <c r="BX221" s="73" t="s">
        <v>2566</v>
      </c>
      <c r="BY221" s="76">
        <f t="shared" si="6274"/>
        <v>0</v>
      </c>
      <c r="BZ221" s="108"/>
      <c r="CA221" s="816" t="s">
        <v>2034</v>
      </c>
      <c r="CB221" s="76">
        <f t="shared" si="6275"/>
        <v>0</v>
      </c>
      <c r="CC221" s="108"/>
      <c r="CD221" s="825" t="s">
        <v>2077</v>
      </c>
      <c r="CE221" s="76">
        <f t="shared" si="6276"/>
        <v>0</v>
      </c>
      <c r="CF221" s="108"/>
      <c r="CG221" s="796" t="s">
        <v>2147</v>
      </c>
      <c r="CH221" s="76">
        <f t="shared" si="6277"/>
        <v>0</v>
      </c>
      <c r="CI221" s="108"/>
      <c r="CJ221" s="796" t="s">
        <v>2147</v>
      </c>
      <c r="CK221" s="76">
        <f t="shared" si="6278"/>
        <v>0</v>
      </c>
      <c r="CL221" s="108"/>
      <c r="CM221" s="796" t="s">
        <v>2662</v>
      </c>
      <c r="CN221" s="76">
        <f t="shared" si="6279"/>
        <v>0</v>
      </c>
      <c r="CO221" s="108"/>
      <c r="CP221" s="796" t="s">
        <v>2684</v>
      </c>
      <c r="CQ221" s="76">
        <f t="shared" si="6280"/>
        <v>0</v>
      </c>
      <c r="CR221" s="108"/>
      <c r="CS221" s="796" t="s">
        <v>2181</v>
      </c>
      <c r="CT221" s="76">
        <f t="shared" si="6281"/>
        <v>0</v>
      </c>
      <c r="CU221" s="108"/>
      <c r="CV221" s="796" t="s">
        <v>2736</v>
      </c>
      <c r="CW221" s="76">
        <f t="shared" si="6282"/>
        <v>0</v>
      </c>
      <c r="CX221" s="108"/>
      <c r="CY221" s="796" t="s">
        <v>2757</v>
      </c>
      <c r="CZ221" s="76">
        <f t="shared" si="6283"/>
        <v>0</v>
      </c>
      <c r="DA221" s="108"/>
      <c r="DB221" s="796" t="s">
        <v>2783</v>
      </c>
      <c r="DC221" s="76">
        <f t="shared" si="6284"/>
        <v>0</v>
      </c>
      <c r="DD221" s="108"/>
      <c r="DE221" s="796" t="s">
        <v>2181</v>
      </c>
      <c r="DF221" s="76">
        <f>IFERROR(IF(COUNTIF($K$220:$K$223,LEFT(DE221,FIND("·",DE221)-1))&gt;0,IF(INDEX($L$220:$L$223,MATCH(LEFT(DE221,FIND("·",DE221)-1),$K$220:$K$223,0))=IFERROR(VALUE(MID(DE221,FIND("·",DE221)+1,1)),0),($D$24+(INDEX($M$220:$M$223,MATCH(LEFT(DE221,FIND("·",DE221)-1),$K$220:$K$223,0))=MID(DE221,FIND("|",DE221)+1,10))*$D$26+MAX(0,IF($D$50=1,$D$25*(1-(ABS(INDEX($P$220:$P$223,MATCH(LEFT(DE221,FIND("·",DE221)-1),$K$220:$K$223,0))-(VALUE(MID(DE221,FIND("|",DE221)+1,FIND("-",DE221,FIND("|",DE221))-FIND("|",DE221)-1))-VALUE(MID(DE221,FIND("-",DE221,FIND("|",DE221))+1,10)))))*$D$50),$D$25*(1-(IF(INDEX($L$220:$L$223,MATCH(LEFT(DE221,FIND("·",DE221)-1),$K$220:$K$223,0))=0,ABS(INDEX($N$220:$N$223,MATCH(LEFT(DE221,FIND("·",DE221)-1),$K$220:$K$223,0))-VALUE(MID(DE221,FIND("|",DE221)+1,FIND("-",DE221,FIND("|",DE221))-FIND("|",DE221)-1))),ABS(INDEX($P$220:$P$223,MATCH(LEFT(DE221,FIND("·",DE221)-1),$K$220:$K$223,0))-(VALUE(MID(DE221,FIND("|",DE221)+1,FIND("-",DE221,FIND("|",DE221))-FIND("|",DE221)-1))-VALUE(MID(DE221,FIND("-",DE221,FIND("|",DE221))+1,10)))))*$D$50)))))*INDEX($I$220:$I$223,MATCH(LEFT(DE221,FIND("·",DE221)-1),$K$220:$K$223,0)),0),0),0)+IFERROR(IF(COUNTIF($C$220:$C$223,LEFT(DE221,FIND("·",DE221)-1))&gt;0,IF(INDEX($D$220:$D$223,MATCH(LEFT(DE221,FIND("·",DE221)-1),$C$220:$C$223,0))=IFERROR(VALUE(MID(DE221,FIND("·",DE221)+1,1)),0),($D$24+(INDEX($E$220:$E$223,MATCH(LEFT(DE221,FIND("·",DE221)-1),$C$220:$C$223,0))=MID(DE221,FIND("|",DE221)+1,10))*$D$26+MAX(0,IF($D$50=1,$D$25*(1-(ABS(INDEX($Q$220:$Q$223,MATCH(LEFT(DE221,FIND("·",DE221)-1),$C$220:$C$223,0))-(VALUE(MID(DE221,FIND("|",DE221)+1,FIND("-",DE221,FIND("|",DE221))-FIND("|",DE221)-1))-VALUE(MID(DE221,FIND("-",DE221,FIND("|",DE221))+1,10)))))*$D$50),$D$25*(1-(IF(INDEX($D$220:$D$223,MATCH(LEFT(DE221,FIND("·",DE221)-1),$C$220:$C$223,0))=0,ABS(INDEX($A$220:$A$223,MATCH(LEFT(DE221,FIND("·",DE221)-1),$C$220:$C$223,0))-VALUE(MID(DE221,FIND("|",DE221)+1,FIND("-",DE221,FIND("|",DE221))-FIND("|",DE221)-1))),ABS(INDEX($Q$220:$Q$223,MATCH(LEFT(DE221,FIND("·",DE221)-1),$C$220:$C$223,0))-(VALUE(MID(DE221,FIND("|",DE221)+1,FIND("-",DE221,FIND("|",DE221))-FIND("|",DE221)-1))-VALUE(MID(DE221,FIND("-",DE221,FIND("|",DE221))+1,10)))))*$D$50)))))*INDEX($I$220:$I$223,MATCH(LEFT(DE221,FIND("·",DE221)-1),$C$220:$C$223,0)),0),0),0)</f>
        <v>0</v>
      </c>
      <c r="DG221" s="108"/>
      <c r="DH221" s="796" t="s">
        <v>2862</v>
      </c>
      <c r="DI221" s="76">
        <f>IFERROR(IF(COUNTIF($K$220:$K$223,LEFT(DH221,FIND("·",DH221)-1))&gt;0,IF(INDEX($L$220:$L$223,MATCH(LEFT(DH221,FIND("·",DH221)-1),$K$220:$K$223,0))=IFERROR(VALUE(MID(DH221,FIND("·",DH221)+1,1)),0),($D$24+(INDEX($M$220:$M$223,MATCH(LEFT(DH221,FIND("·",DH221)-1),$K$220:$K$223,0))=MID(DH221,FIND("|",DH221)+1,10))*$D$26+MAX(0,IF($D$50=1,$D$25*(1-(ABS(INDEX($P$220:$P$223,MATCH(LEFT(DH221,FIND("·",DH221)-1),$K$220:$K$223,0))-(VALUE(MID(DH221,FIND("|",DH221)+1,FIND("-",DH221,FIND("|",DH221))-FIND("|",DH221)-1))-VALUE(MID(DH221,FIND("-",DH221,FIND("|",DH221))+1,10)))))*$D$50),$D$25*(1-(IF(INDEX($L$220:$L$223,MATCH(LEFT(DH221,FIND("·",DH221)-1),$K$220:$K$223,0))=0,ABS(INDEX($N$220:$N$223,MATCH(LEFT(DH221,FIND("·",DH221)-1),$K$220:$K$223,0))-VALUE(MID(DH221,FIND("|",DH221)+1,FIND("-",DH221,FIND("|",DH221))-FIND("|",DH221)-1))),ABS(INDEX($P$220:$P$223,MATCH(LEFT(DH221,FIND("·",DH221)-1),$K$220:$K$223,0))-(VALUE(MID(DH221,FIND("|",DH221)+1,FIND("-",DH221,FIND("|",DH221))-FIND("|",DH221)-1))-VALUE(MID(DH221,FIND("-",DH221,FIND("|",DH221))+1,10)))))*$D$50)))))*INDEX($I$220:$I$223,MATCH(LEFT(DH221,FIND("·",DH221)-1),$K$220:$K$223,0)),0),0),0)+IFERROR(IF(COUNTIF($C$220:$C$223,LEFT(DH221,FIND("·",DH221)-1))&gt;0,IF(INDEX($D$220:$D$223,MATCH(LEFT(DH221,FIND("·",DH221)-1),$C$220:$C$223,0))=IFERROR(VALUE(MID(DH221,FIND("·",DH221)+1,1)),0),($D$24+(INDEX($E$220:$E$223,MATCH(LEFT(DH221,FIND("·",DH221)-1),$C$220:$C$223,0))=MID(DH221,FIND("|",DH221)+1,10))*$D$26+MAX(0,IF($D$50=1,$D$25*(1-(ABS(INDEX($Q$220:$Q$223,MATCH(LEFT(DH221,FIND("·",DH221)-1),$C$220:$C$223,0))-(VALUE(MID(DH221,FIND("|",DH221)+1,FIND("-",DH221,FIND("|",DH221))-FIND("|",DH221)-1))-VALUE(MID(DH221,FIND("-",DH221,FIND("|",DH221))+1,10)))))*$D$50),$D$25*(1-(IF(INDEX($D$220:$D$223,MATCH(LEFT(DH221,FIND("·",DH221)-1),$C$220:$C$223,0))=0,ABS(INDEX($A$220:$A$223,MATCH(LEFT(DH221,FIND("·",DH221)-1),$C$220:$C$223,0))-VALUE(MID(DH221,FIND("|",DH221)+1,FIND("-",DH221,FIND("|",DH221))-FIND("|",DH221)-1))),ABS(INDEX($Q$220:$Q$223,MATCH(LEFT(DH221,FIND("·",DH221)-1),$C$220:$C$223,0))-(VALUE(MID(DH221,FIND("|",DH221)+1,FIND("-",DH221,FIND("|",DH221))-FIND("|",DH221)-1))-VALUE(MID(DH221,FIND("-",DH221,FIND("|",DH221))+1,10)))))*$D$50)))))*INDEX($I$220:$I$223,MATCH(LEFT(DH221,FIND("·",DH221)-1),$C$220:$C$223,0)),0),0),0)</f>
        <v>0</v>
      </c>
      <c r="DJ221" s="108"/>
      <c r="DK221" s="796" t="s">
        <v>2147</v>
      </c>
      <c r="DL221" s="76">
        <f>IFERROR(IF(COUNTIF($K$220:$K$223,LEFT(DK221,FIND("·",DK221)-1))&gt;0,IF(INDEX($L$220:$L$223,MATCH(LEFT(DK221,FIND("·",DK221)-1),$K$220:$K$223,0))=IFERROR(VALUE(MID(DK221,FIND("·",DK221)+1,1)),0),($D$24+(INDEX($M$220:$M$223,MATCH(LEFT(DK221,FIND("·",DK221)-1),$K$220:$K$223,0))=MID(DK221,FIND("|",DK221)+1,10))*$D$26+MAX(0,IF($D$50=1,$D$25*(1-(ABS(INDEX($P$220:$P$223,MATCH(LEFT(DK221,FIND("·",DK221)-1),$K$220:$K$223,0))-(VALUE(MID(DK221,FIND("|",DK221)+1,FIND("-",DK221,FIND("|",DK221))-FIND("|",DK221)-1))-VALUE(MID(DK221,FIND("-",DK221,FIND("|",DK221))+1,10)))))*$D$50),$D$25*(1-(IF(INDEX($L$220:$L$223,MATCH(LEFT(DK221,FIND("·",DK221)-1),$K$220:$K$223,0))=0,ABS(INDEX($N$220:$N$223,MATCH(LEFT(DK221,FIND("·",DK221)-1),$K$220:$K$223,0))-VALUE(MID(DK221,FIND("|",DK221)+1,FIND("-",DK221,FIND("|",DK221))-FIND("|",DK221)-1))),ABS(INDEX($P$220:$P$223,MATCH(LEFT(DK221,FIND("·",DK221)-1),$K$220:$K$223,0))-(VALUE(MID(DK221,FIND("|",DK221)+1,FIND("-",DK221,FIND("|",DK221))-FIND("|",DK221)-1))-VALUE(MID(DK221,FIND("-",DK221,FIND("|",DK221))+1,10)))))*$D$50)))))*INDEX($I$220:$I$223,MATCH(LEFT(DK221,FIND("·",DK221)-1),$K$220:$K$223,0)),0),0),0)+IFERROR(IF(COUNTIF($C$220:$C$223,LEFT(DK221,FIND("·",DK221)-1))&gt;0,IF(INDEX($D$220:$D$223,MATCH(LEFT(DK221,FIND("·",DK221)-1),$C$220:$C$223,0))=IFERROR(VALUE(MID(DK221,FIND("·",DK221)+1,1)),0),($D$24+(INDEX($E$220:$E$223,MATCH(LEFT(DK221,FIND("·",DK221)-1),$C$220:$C$223,0))=MID(DK221,FIND("|",DK221)+1,10))*$D$26+MAX(0,IF($D$50=1,$D$25*(1-(ABS(INDEX($Q$220:$Q$223,MATCH(LEFT(DK221,FIND("·",DK221)-1),$C$220:$C$223,0))-(VALUE(MID(DK221,FIND("|",DK221)+1,FIND("-",DK221,FIND("|",DK221))-FIND("|",DK221)-1))-VALUE(MID(DK221,FIND("-",DK221,FIND("|",DK221))+1,10)))))*$D$50),$D$25*(1-(IF(INDEX($D$220:$D$223,MATCH(LEFT(DK221,FIND("·",DK221)-1),$C$220:$C$223,0))=0,ABS(INDEX($A$220:$A$223,MATCH(LEFT(DK221,FIND("·",DK221)-1),$C$220:$C$223,0))-VALUE(MID(DK221,FIND("|",DK221)+1,FIND("-",DK221,FIND("|",DK221))-FIND("|",DK221)-1))),ABS(INDEX($Q$220:$Q$223,MATCH(LEFT(DK221,FIND("·",DK221)-1),$C$220:$C$223,0))-(VALUE(MID(DK221,FIND("|",DK221)+1,FIND("-",DK221,FIND("|",DK221))-FIND("|",DK221)-1))-VALUE(MID(DK221,FIND("-",DK221,FIND("|",DK221))+1,10)))))*$D$50)))))*INDEX($I$220:$I$223,MATCH(LEFT(DK221,FIND("·",DK221)-1),$C$220:$C$223,0)),0),0),0)</f>
        <v>0</v>
      </c>
      <c r="DM221" s="108"/>
      <c r="DN221" s="73"/>
      <c r="DO221" s="76">
        <f t="shared" si="6285"/>
        <v>0</v>
      </c>
      <c r="DP221" s="108"/>
      <c r="DQ221" s="796" t="s">
        <v>2842</v>
      </c>
      <c r="DR221" s="76">
        <f t="shared" si="6286"/>
        <v>0</v>
      </c>
      <c r="DS221" s="108"/>
      <c r="DT221" s="73" t="s">
        <v>2147</v>
      </c>
      <c r="DU221" s="76">
        <f t="shared" si="6287"/>
        <v>0</v>
      </c>
      <c r="DV221" s="108"/>
      <c r="DW221" s="73"/>
      <c r="DX221" s="76">
        <f t="shared" si="6288"/>
        <v>0</v>
      </c>
      <c r="DY221" s="108"/>
      <c r="DZ221" s="73"/>
      <c r="EA221" s="76">
        <f>IFERROR(IF(COUNTIF($K$220:$K$223,LEFT(DZ221,FIND("·",DZ221)-1))&gt;0,IF(INDEX($L$220:$L$223,MATCH(LEFT(DZ221,FIND("·",DZ221)-1),$K$220:$K$223,0))=IFERROR(VALUE(MID(DZ221,FIND("·",DZ221)+1,1)),0),($D$24+(INDEX($M$220:$M$223,MATCH(LEFT(DZ221,FIND("·",DZ221)-1),$K$220:$K$223,0))=MID(DZ221,FIND("|",DZ221)+1,10))*$D$26+MAX(0,IF($D$50=1,$D$25*(1-(ABS(INDEX($P$220:$P$223,MATCH(LEFT(DZ221,FIND("·",DZ221)-1),$K$220:$K$223,0))-(VALUE(MID(DZ221,FIND("|",DZ221)+1,FIND("-",DZ221,FIND("|",DZ221))-FIND("|",DZ221)-1))-VALUE(MID(DZ221,FIND("-",DZ221,FIND("|",DZ221))+1,10)))))*$D$50),$D$25*(1-(IF(INDEX($L$220:$L$223,MATCH(LEFT(DZ221,FIND("·",DZ221)-1),$K$220:$K$223,0))=0,ABS(INDEX($N$220:$N$223,MATCH(LEFT(DZ221,FIND("·",DZ221)-1),$K$220:$K$223,0))-VALUE(MID(DZ221,FIND("|",DZ221)+1,FIND("-",DZ221,FIND("|",DZ221))-FIND("|",DZ221)-1))),ABS(INDEX($P$220:$P$223,MATCH(LEFT(DZ221,FIND("·",DZ221)-1),$K$220:$K$223,0))-(VALUE(MID(DZ221,FIND("|",DZ221)+1,FIND("-",DZ221,FIND("|",DZ221))-FIND("|",DZ221)-1))-VALUE(MID(DZ221,FIND("-",DZ221,FIND("|",DZ221))+1,10)))))*$D$50)))))*INDEX($I$220:$I$223,MATCH(LEFT(DZ221,FIND("·",DZ221)-1),$K$220:$K$223,0)),0),0),0)+IFERROR(IF(COUNTIF($C$220:$C$223,LEFT(DZ221,FIND("·",DZ221)-1))&gt;0,IF(INDEX($D$220:$D$223,MATCH(LEFT(DZ221,FIND("·",DZ221)-1),$C$220:$C$223,0))=IFERROR(VALUE(MID(DZ221,FIND("·",DZ221)+1,1)),0),($D$24+(INDEX($E$220:$E$223,MATCH(LEFT(DZ221,FIND("·",DZ221)-1),$C$220:$C$223,0))=MID(DZ221,FIND("|",DZ221)+1,10))*$D$26+MAX(0,IF($D$50=1,$D$25*(1-(ABS(INDEX($Q$220:$Q$223,MATCH(LEFT(DZ221,FIND("·",DZ221)-1),$C$220:$C$223,0))-(VALUE(MID(DZ221,FIND("|",DZ221)+1,FIND("-",DZ221,FIND("|",DZ221))-FIND("|",DZ221)-1))-VALUE(MID(DZ221,FIND("-",DZ221,FIND("|",DZ221))+1,10)))))*$D$50),$D$25*(1-(IF(INDEX($D$220:$D$223,MATCH(LEFT(DZ221,FIND("·",DZ221)-1),$C$220:$C$223,0))=0,ABS(INDEX($A$220:$A$223,MATCH(LEFT(DZ221,FIND("·",DZ221)-1),$C$220:$C$223,0))-VALUE(MID(DZ221,FIND("|",DZ221)+1,FIND("-",DZ221,FIND("|",DZ221))-FIND("|",DZ221)-1))),ABS(INDEX($Q$220:$Q$223,MATCH(LEFT(DZ221,FIND("·",DZ221)-1),$C$220:$C$223,0))-(VALUE(MID(DZ221,FIND("|",DZ221)+1,FIND("-",DZ221,FIND("|",DZ221))-FIND("|",DZ221)-1))-VALUE(MID(DZ221,FIND("-",DZ221,FIND("|",DZ221))+1,10)))))*$D$50)))))*INDEX($I$220:$I$223,MATCH(LEFT(DZ221,FIND("·",DZ221)-1),$C$220:$C$223,0)),0),0),0)</f>
        <v>0</v>
      </c>
      <c r="EB221" s="108"/>
      <c r="EC221" s="73"/>
      <c r="ED221" s="76">
        <f t="shared" si="6289"/>
        <v>0</v>
      </c>
      <c r="EE221" s="108"/>
      <c r="EF221" s="73"/>
      <c r="EG221" s="76">
        <f t="shared" si="6290"/>
        <v>0</v>
      </c>
      <c r="EH221" s="108"/>
      <c r="EI221" s="73"/>
      <c r="EJ221" s="76">
        <f t="shared" si="6291"/>
        <v>0</v>
      </c>
      <c r="EK221" s="108"/>
      <c r="EL221" s="73"/>
      <c r="EM221" s="76">
        <f t="shared" si="6292"/>
        <v>0</v>
      </c>
      <c r="EN221" s="108"/>
      <c r="EO221" s="73"/>
      <c r="EP221" s="76">
        <f t="shared" si="6293"/>
        <v>0</v>
      </c>
      <c r="EQ221" s="108"/>
      <c r="ER221" s="73"/>
      <c r="ES221" s="76">
        <f t="shared" si="6294"/>
        <v>0</v>
      </c>
      <c r="ET221" s="108"/>
      <c r="EU221" s="73"/>
      <c r="EV221" s="76">
        <f t="shared" si="6295"/>
        <v>0</v>
      </c>
      <c r="EW221" s="108"/>
      <c r="EX221" s="73"/>
      <c r="EY221" s="76">
        <f t="shared" si="6296"/>
        <v>0</v>
      </c>
      <c r="EZ221" s="108"/>
      <c r="FA221" s="73"/>
      <c r="FB221" s="76">
        <f t="shared" si="6297"/>
        <v>0</v>
      </c>
      <c r="FC221" s="108"/>
      <c r="FD221" s="73"/>
      <c r="FE221" s="76">
        <f t="shared" si="6298"/>
        <v>0</v>
      </c>
      <c r="FF221" s="108"/>
      <c r="FG221" s="73"/>
      <c r="FH221" s="76">
        <f t="shared" si="6299"/>
        <v>0</v>
      </c>
      <c r="FI221" s="108"/>
      <c r="FJ221" s="73"/>
      <c r="FK221" s="76">
        <f t="shared" si="6300"/>
        <v>0</v>
      </c>
      <c r="FL221" s="108"/>
      <c r="FM221" s="73"/>
      <c r="FN221" s="76">
        <f t="shared" si="6301"/>
        <v>0</v>
      </c>
      <c r="FO221" s="108"/>
      <c r="FP221" s="73"/>
      <c r="FQ221" s="76">
        <f t="shared" si="6302"/>
        <v>0</v>
      </c>
      <c r="FR221" s="108"/>
      <c r="FS221" s="73"/>
      <c r="FT221" s="76">
        <f t="shared" si="6303"/>
        <v>0</v>
      </c>
      <c r="FU221" s="108"/>
      <c r="FV221" s="73"/>
      <c r="FW221" s="76">
        <f t="shared" si="6304"/>
        <v>0</v>
      </c>
      <c r="FX221" s="108"/>
      <c r="FY221" s="73"/>
      <c r="FZ221" s="76">
        <f t="shared" si="6305"/>
        <v>0</v>
      </c>
      <c r="GA221" s="108"/>
      <c r="GB221" s="73"/>
      <c r="GC221" s="76">
        <f t="shared" si="6306"/>
        <v>0</v>
      </c>
      <c r="GD221" s="108"/>
      <c r="GE221" s="73"/>
      <c r="GF221" s="76">
        <f t="shared" si="6307"/>
        <v>0</v>
      </c>
      <c r="GG221" s="108"/>
      <c r="GH221" s="73"/>
      <c r="GI221" s="76">
        <f t="shared" si="6308"/>
        <v>0</v>
      </c>
      <c r="GJ221" s="108"/>
      <c r="GK221" s="73"/>
      <c r="GL221" s="76">
        <f t="shared" si="6309"/>
        <v>0</v>
      </c>
      <c r="GM221" s="108"/>
      <c r="GN221" s="73"/>
      <c r="GO221" s="76">
        <f t="shared" si="6310"/>
        <v>0</v>
      </c>
      <c r="GP221" s="108"/>
      <c r="GQ221" s="73"/>
      <c r="GR221" s="76">
        <f t="shared" si="6311"/>
        <v>0</v>
      </c>
      <c r="GS221" s="108"/>
      <c r="GT221" s="73"/>
      <c r="GU221" s="76">
        <f t="shared" si="6312"/>
        <v>0</v>
      </c>
      <c r="GV221" s="108"/>
      <c r="GW221" s="73"/>
      <c r="GX221" s="76">
        <f t="shared" si="6313"/>
        <v>0</v>
      </c>
      <c r="GY221" s="108"/>
      <c r="GZ221" s="73"/>
      <c r="HA221" s="76">
        <f t="shared" si="6314"/>
        <v>0</v>
      </c>
      <c r="HB221" s="108"/>
      <c r="HC221" s="73"/>
      <c r="HD221" s="76">
        <f t="shared" si="6315"/>
        <v>0</v>
      </c>
      <c r="HE221" s="108"/>
      <c r="HF221" s="73"/>
      <c r="HG221" s="76">
        <f t="shared" si="6316"/>
        <v>0</v>
      </c>
      <c r="HH221" s="108"/>
      <c r="HI221" s="73"/>
      <c r="HJ221" s="76">
        <f t="shared" si="6317"/>
        <v>0</v>
      </c>
      <c r="HK221" s="108"/>
      <c r="HL221" s="73"/>
      <c r="HM221" s="76">
        <f t="shared" si="6318"/>
        <v>0</v>
      </c>
      <c r="HN221" s="108"/>
      <c r="HO221" s="73"/>
      <c r="HP221" s="76">
        <f t="shared" si="6319"/>
        <v>0</v>
      </c>
      <c r="HQ221" s="108"/>
      <c r="HR221" s="73"/>
      <c r="HS221" s="76">
        <f t="shared" si="6320"/>
        <v>0</v>
      </c>
      <c r="HT221" s="108"/>
      <c r="HU221" s="73"/>
      <c r="HV221" s="76">
        <f t="shared" si="6321"/>
        <v>0</v>
      </c>
      <c r="HW221" s="108"/>
      <c r="HX221" s="73"/>
      <c r="HY221" s="76">
        <f t="shared" si="6322"/>
        <v>0</v>
      </c>
      <c r="HZ221" s="108"/>
      <c r="IA221" s="73"/>
      <c r="IB221" s="76">
        <f t="shared" si="6323"/>
        <v>0</v>
      </c>
      <c r="IC221" s="108"/>
      <c r="ID221" s="73"/>
      <c r="IE221" s="76">
        <f t="shared" si="6324"/>
        <v>0</v>
      </c>
      <c r="IF221" s="108"/>
      <c r="IG221" s="73"/>
      <c r="IH221" s="76">
        <f t="shared" si="6325"/>
        <v>0</v>
      </c>
      <c r="II221" s="108"/>
      <c r="IJ221" s="73"/>
      <c r="IK221" s="76">
        <f t="shared" si="6326"/>
        <v>0</v>
      </c>
      <c r="IL221" s="108"/>
      <c r="IM221" s="73"/>
      <c r="IN221" s="76">
        <f t="shared" si="6327"/>
        <v>0</v>
      </c>
      <c r="IO221" s="108"/>
      <c r="IP221" s="73"/>
      <c r="IQ221" s="76">
        <f t="shared" si="6328"/>
        <v>0</v>
      </c>
      <c r="IR221" s="108"/>
      <c r="IS221" s="73"/>
      <c r="IT221" s="76">
        <f t="shared" si="6329"/>
        <v>0</v>
      </c>
      <c r="IU221" s="108"/>
      <c r="IV221" s="73"/>
      <c r="IW221" s="76">
        <f t="shared" si="6330"/>
        <v>0</v>
      </c>
      <c r="IX221" s="108"/>
      <c r="IY221" s="73"/>
      <c r="IZ221" s="76">
        <f t="shared" si="6331"/>
        <v>0</v>
      </c>
      <c r="JA221" s="108"/>
      <c r="JB221" s="73"/>
      <c r="JC221" s="76">
        <f t="shared" si="6332"/>
        <v>0</v>
      </c>
      <c r="JD221" s="108"/>
      <c r="JE221" s="73"/>
      <c r="JF221" s="76">
        <f t="shared" si="6333"/>
        <v>0</v>
      </c>
      <c r="JG221" s="108"/>
      <c r="JH221" s="73"/>
      <c r="JI221" s="76">
        <f t="shared" si="6334"/>
        <v>0</v>
      </c>
      <c r="JJ221" s="108"/>
      <c r="JK221" s="73"/>
      <c r="JL221" s="76">
        <f t="shared" si="6335"/>
        <v>0</v>
      </c>
      <c r="JM221" s="108"/>
      <c r="JN221" s="73"/>
      <c r="JO221" s="76">
        <f t="shared" si="6336"/>
        <v>0</v>
      </c>
      <c r="JP221" s="108"/>
      <c r="JQ221" s="73"/>
      <c r="JR221" s="76">
        <f t="shared" si="6337"/>
        <v>0</v>
      </c>
      <c r="JS221" s="108"/>
      <c r="JT221" s="73"/>
      <c r="JU221" s="76">
        <f t="shared" si="6338"/>
        <v>0</v>
      </c>
      <c r="JV221" s="108"/>
      <c r="JW221" s="73"/>
      <c r="JX221" s="76">
        <f t="shared" si="6339"/>
        <v>0</v>
      </c>
      <c r="JY221" s="108"/>
      <c r="JZ221" s="73"/>
      <c r="KA221" s="76">
        <f t="shared" si="6340"/>
        <v>0</v>
      </c>
      <c r="KB221" s="108"/>
      <c r="KC221" s="73"/>
      <c r="KD221" s="76">
        <f t="shared" si="6341"/>
        <v>0</v>
      </c>
      <c r="KE221" s="108"/>
      <c r="KF221" s="73"/>
      <c r="KG221" s="76">
        <f t="shared" si="6342"/>
        <v>0</v>
      </c>
      <c r="KH221" s="108"/>
      <c r="KI221" s="73"/>
      <c r="KJ221" s="76">
        <f t="shared" si="6343"/>
        <v>0</v>
      </c>
      <c r="KK221" s="108"/>
      <c r="KL221" s="73"/>
      <c r="KM221" s="76">
        <f t="shared" si="6344"/>
        <v>0</v>
      </c>
      <c r="KN221" s="108"/>
      <c r="KO221" s="73"/>
      <c r="KP221" s="76">
        <f t="shared" si="6345"/>
        <v>0</v>
      </c>
      <c r="KQ221" s="108"/>
      <c r="KR221" s="73"/>
      <c r="KS221" s="76">
        <f t="shared" si="6346"/>
        <v>0</v>
      </c>
      <c r="KT221" s="108"/>
      <c r="KU221" s="73"/>
      <c r="KV221" s="76">
        <f t="shared" si="6347"/>
        <v>0</v>
      </c>
      <c r="KW221" s="108"/>
      <c r="KX221" s="73"/>
      <c r="KY221" s="76">
        <f t="shared" si="6348"/>
        <v>0</v>
      </c>
      <c r="KZ221" s="108"/>
      <c r="LA221" s="73"/>
      <c r="LB221" s="76">
        <f t="shared" si="6349"/>
        <v>0</v>
      </c>
      <c r="LC221" s="108"/>
      <c r="LD221" s="73"/>
      <c r="LE221" s="76">
        <f t="shared" si="6350"/>
        <v>0</v>
      </c>
      <c r="LF221" s="108"/>
    </row>
    <row r="222" spans="1:318" s="784" customFormat="1">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6">
        <f t="shared" si="6351"/>
        <v>30</v>
      </c>
      <c r="G222" s="406">
        <f ca="1">VLOOKUP(H222,Equipos!$Q$1:$R$25,2,0)</f>
        <v>22</v>
      </c>
      <c r="H222" s="64" t="str">
        <f>Idiomas!$D$262</f>
        <v>Cuartos de final</v>
      </c>
      <c r="I222" s="45">
        <v>1</v>
      </c>
      <c r="J222" s="843"/>
      <c r="K222" s="56" t="str">
        <f>CONCATENATE(WORLDCUP!AA133,"-",WORLDCUP!AF133)</f>
        <v>W91-W92</v>
      </c>
      <c r="L222" s="53" t="str">
        <f>IF(OR(WORLDCUP!AC133="",WORLDCUP!AD133=""),"PD",IF(WORLDCUP!AC133&gt;WORLDCUP!AD133,1,IF(WORLDCUP!AC133&lt;WORLDCUP!AD133,2,0)))</f>
        <v>PD</v>
      </c>
      <c r="M222" s="55" t="str">
        <f t="shared" si="6253"/>
        <v>-</v>
      </c>
      <c r="N222" s="25">
        <f>WORLDCUP!AC133</f>
        <v>0</v>
      </c>
      <c r="O222" s="25">
        <f>WORLDCUP!AD133</f>
        <v>0</v>
      </c>
      <c r="P222" s="25">
        <f t="shared" si="6254"/>
        <v>0</v>
      </c>
      <c r="Q222" s="25">
        <f>+A222-B222</f>
        <v>0</v>
      </c>
      <c r="R222" s="108"/>
      <c r="S222" s="796" t="s">
        <v>1990</v>
      </c>
      <c r="T222" s="76">
        <f t="shared" si="6255"/>
        <v>0</v>
      </c>
      <c r="U222" s="108"/>
      <c r="V222" s="73" t="s">
        <v>2035</v>
      </c>
      <c r="W222" s="76">
        <f t="shared" si="6256"/>
        <v>0</v>
      </c>
      <c r="X222" s="108"/>
      <c r="Y222" s="796" t="s">
        <v>2078</v>
      </c>
      <c r="Z222" s="76">
        <f t="shared" si="6257"/>
        <v>0</v>
      </c>
      <c r="AA222" s="108"/>
      <c r="AB222" s="796" t="s">
        <v>1990</v>
      </c>
      <c r="AC222" s="76">
        <f t="shared" si="6258"/>
        <v>0</v>
      </c>
      <c r="AD222" s="108"/>
      <c r="AE222" s="796" t="s">
        <v>1990</v>
      </c>
      <c r="AF222" s="76">
        <f t="shared" si="6352"/>
        <v>0</v>
      </c>
      <c r="AG222" s="108"/>
      <c r="AH222" s="796" t="s">
        <v>2182</v>
      </c>
      <c r="AI222" s="76">
        <f t="shared" si="6260"/>
        <v>0</v>
      </c>
      <c r="AJ222" s="108"/>
      <c r="AK222" s="806" t="s">
        <v>2220</v>
      </c>
      <c r="AL222" s="76">
        <f t="shared" si="6261"/>
        <v>0</v>
      </c>
      <c r="AM222" s="108"/>
      <c r="AN222" s="796" t="s">
        <v>2244</v>
      </c>
      <c r="AO222" s="76">
        <f t="shared" si="6262"/>
        <v>0</v>
      </c>
      <c r="AP222" s="108"/>
      <c r="AQ222" s="806" t="s">
        <v>2272</v>
      </c>
      <c r="AR222" s="76">
        <f t="shared" si="6263"/>
        <v>0</v>
      </c>
      <c r="AS222" s="108"/>
      <c r="AT222" s="796" t="s">
        <v>2308</v>
      </c>
      <c r="AU222" s="76">
        <f t="shared" si="6264"/>
        <v>0</v>
      </c>
      <c r="AV222" s="108"/>
      <c r="AW222" s="796" t="s">
        <v>2327</v>
      </c>
      <c r="AX222" s="76">
        <f t="shared" si="6265"/>
        <v>0</v>
      </c>
      <c r="AY222" s="108"/>
      <c r="AZ222" s="796" t="s">
        <v>2377</v>
      </c>
      <c r="BA222" s="76">
        <f t="shared" si="6266"/>
        <v>0</v>
      </c>
      <c r="BB222" s="108"/>
      <c r="BC222" s="796" t="s">
        <v>2409</v>
      </c>
      <c r="BD222" s="76">
        <f t="shared" si="6267"/>
        <v>0</v>
      </c>
      <c r="BE222" s="108"/>
      <c r="BF222" s="796" t="s">
        <v>2436</v>
      </c>
      <c r="BG222" s="76">
        <f t="shared" si="6268"/>
        <v>0</v>
      </c>
      <c r="BH222" s="108"/>
      <c r="BI222" s="796" t="s">
        <v>2468</v>
      </c>
      <c r="BJ222" s="76">
        <f t="shared" si="6269"/>
        <v>0</v>
      </c>
      <c r="BK222" s="108"/>
      <c r="BL222" s="796" t="s">
        <v>2487</v>
      </c>
      <c r="BM222" s="76">
        <f t="shared" si="6270"/>
        <v>0</v>
      </c>
      <c r="BN222" s="108"/>
      <c r="BO222" s="816" t="s">
        <v>2510</v>
      </c>
      <c r="BP222" s="76">
        <f t="shared" si="6271"/>
        <v>0</v>
      </c>
      <c r="BQ222" s="108"/>
      <c r="BR222" s="796" t="s">
        <v>2528</v>
      </c>
      <c r="BS222" s="76">
        <f t="shared" si="6272"/>
        <v>0</v>
      </c>
      <c r="BT222" s="108"/>
      <c r="BU222" s="796" t="s">
        <v>2547</v>
      </c>
      <c r="BV222" s="76">
        <f t="shared" si="6273"/>
        <v>0</v>
      </c>
      <c r="BW222" s="108"/>
      <c r="BX222" s="73" t="s">
        <v>2327</v>
      </c>
      <c r="BY222" s="76">
        <f t="shared" si="6274"/>
        <v>0</v>
      </c>
      <c r="BZ222" s="108"/>
      <c r="CA222" s="816" t="s">
        <v>2468</v>
      </c>
      <c r="CB222" s="76">
        <f t="shared" si="6275"/>
        <v>0</v>
      </c>
      <c r="CC222" s="108"/>
      <c r="CD222" s="825" t="s">
        <v>2327</v>
      </c>
      <c r="CE222" s="76">
        <f t="shared" si="6276"/>
        <v>0</v>
      </c>
      <c r="CF222" s="108"/>
      <c r="CG222" s="796" t="s">
        <v>2621</v>
      </c>
      <c r="CH222" s="76">
        <f t="shared" si="6277"/>
        <v>0</v>
      </c>
      <c r="CI222" s="108"/>
      <c r="CJ222" s="796" t="s">
        <v>2327</v>
      </c>
      <c r="CK222" s="76">
        <f t="shared" si="6278"/>
        <v>0</v>
      </c>
      <c r="CL222" s="108"/>
      <c r="CM222" s="796" t="s">
        <v>2663</v>
      </c>
      <c r="CN222" s="76">
        <f t="shared" si="6279"/>
        <v>0</v>
      </c>
      <c r="CO222" s="108"/>
      <c r="CP222" s="796" t="s">
        <v>2685</v>
      </c>
      <c r="CQ222" s="76">
        <f t="shared" si="6280"/>
        <v>0</v>
      </c>
      <c r="CR222" s="108"/>
      <c r="CS222" s="796" t="s">
        <v>2703</v>
      </c>
      <c r="CT222" s="76">
        <f t="shared" si="6281"/>
        <v>0</v>
      </c>
      <c r="CU222" s="108"/>
      <c r="CV222" s="796" t="s">
        <v>2737</v>
      </c>
      <c r="CW222" s="76">
        <f t="shared" si="6282"/>
        <v>0</v>
      </c>
      <c r="CX222" s="108"/>
      <c r="CY222" s="796" t="s">
        <v>2758</v>
      </c>
      <c r="CZ222" s="76">
        <f t="shared" si="6283"/>
        <v>0</v>
      </c>
      <c r="DA222" s="108"/>
      <c r="DB222" s="796" t="s">
        <v>2784</v>
      </c>
      <c r="DC222" s="76">
        <f t="shared" si="6284"/>
        <v>0</v>
      </c>
      <c r="DD222" s="108"/>
      <c r="DE222" s="796" t="s">
        <v>2510</v>
      </c>
      <c r="DF222" s="76">
        <f>IFERROR(IF(COUNTIF($K$220:$K$223,LEFT(DE222,FIND("·",DE222)-1))&gt;0,IF(INDEX($L$220:$L$223,MATCH(LEFT(DE222,FIND("·",DE222)-1),$K$220:$K$223,0))=IFERROR(VALUE(MID(DE222,FIND("·",DE222)+1,1)),0),($D$24+(INDEX($M$220:$M$223,MATCH(LEFT(DE222,FIND("·",DE222)-1),$K$220:$K$223,0))=MID(DE222,FIND("|",DE222)+1,10))*$D$26+MAX(0,IF($D$50=1,$D$25*(1-(ABS(INDEX($P$220:$P$223,MATCH(LEFT(DE222,FIND("·",DE222)-1),$K$220:$K$223,0))-(VALUE(MID(DE222,FIND("|",DE222)+1,FIND("-",DE222,FIND("|",DE222))-FIND("|",DE222)-1))-VALUE(MID(DE222,FIND("-",DE222,FIND("|",DE222))+1,10)))))*$D$50),$D$25*(1-(IF(INDEX($L$220:$L$223,MATCH(LEFT(DE222,FIND("·",DE222)-1),$K$220:$K$223,0))=0,ABS(INDEX($N$220:$N$223,MATCH(LEFT(DE222,FIND("·",DE222)-1),$K$220:$K$223,0))-VALUE(MID(DE222,FIND("|",DE222)+1,FIND("-",DE222,FIND("|",DE222))-FIND("|",DE222)-1))),ABS(INDEX($P$220:$P$223,MATCH(LEFT(DE222,FIND("·",DE222)-1),$K$220:$K$223,0))-(VALUE(MID(DE222,FIND("|",DE222)+1,FIND("-",DE222,FIND("|",DE222))-FIND("|",DE222)-1))-VALUE(MID(DE222,FIND("-",DE222,FIND("|",DE222))+1,10)))))*$D$50)))))*INDEX($I$220:$I$223,MATCH(LEFT(DE222,FIND("·",DE222)-1),$K$220:$K$223,0)),0),0),0)+IFERROR(IF(COUNTIF($C$220:$C$223,LEFT(DE222,FIND("·",DE222)-1))&gt;0,IF(INDEX($D$220:$D$223,MATCH(LEFT(DE222,FIND("·",DE222)-1),$C$220:$C$223,0))=IFERROR(VALUE(MID(DE222,FIND("·",DE222)+1,1)),0),($D$24+(INDEX($E$220:$E$223,MATCH(LEFT(DE222,FIND("·",DE222)-1),$C$220:$C$223,0))=MID(DE222,FIND("|",DE222)+1,10))*$D$26+MAX(0,IF($D$50=1,$D$25*(1-(ABS(INDEX($Q$220:$Q$223,MATCH(LEFT(DE222,FIND("·",DE222)-1),$C$220:$C$223,0))-(VALUE(MID(DE222,FIND("|",DE222)+1,FIND("-",DE222,FIND("|",DE222))-FIND("|",DE222)-1))-VALUE(MID(DE222,FIND("-",DE222,FIND("|",DE222))+1,10)))))*$D$50),$D$25*(1-(IF(INDEX($D$220:$D$223,MATCH(LEFT(DE222,FIND("·",DE222)-1),$C$220:$C$223,0))=0,ABS(INDEX($A$220:$A$223,MATCH(LEFT(DE222,FIND("·",DE222)-1),$C$220:$C$223,0))-VALUE(MID(DE222,FIND("|",DE222)+1,FIND("-",DE222,FIND("|",DE222))-FIND("|",DE222)-1))),ABS(INDEX($Q$220:$Q$223,MATCH(LEFT(DE222,FIND("·",DE222)-1),$C$220:$C$223,0))-(VALUE(MID(DE222,FIND("|",DE222)+1,FIND("-",DE222,FIND("|",DE222))-FIND("|",DE222)-1))-VALUE(MID(DE222,FIND("-",DE222,FIND("|",DE222))+1,10)))))*$D$50)))))*INDEX($I$220:$I$223,MATCH(LEFT(DE222,FIND("·",DE222)-1),$C$220:$C$223,0)),0),0),0)</f>
        <v>0</v>
      </c>
      <c r="DG222" s="108"/>
      <c r="DH222" s="796" t="s">
        <v>2863</v>
      </c>
      <c r="DI222" s="76">
        <f>IFERROR(IF(COUNTIF($K$220:$K$223,LEFT(DH222,FIND("·",DH222)-1))&gt;0,IF(INDEX($L$220:$L$223,MATCH(LEFT(DH222,FIND("·",DH222)-1),$K$220:$K$223,0))=IFERROR(VALUE(MID(DH222,FIND("·",DH222)+1,1)),0),($D$24+(INDEX($M$220:$M$223,MATCH(LEFT(DH222,FIND("·",DH222)-1),$K$220:$K$223,0))=MID(DH222,FIND("|",DH222)+1,10))*$D$26+MAX(0,IF($D$50=1,$D$25*(1-(ABS(INDEX($P$220:$P$223,MATCH(LEFT(DH222,FIND("·",DH222)-1),$K$220:$K$223,0))-(VALUE(MID(DH222,FIND("|",DH222)+1,FIND("-",DH222,FIND("|",DH222))-FIND("|",DH222)-1))-VALUE(MID(DH222,FIND("-",DH222,FIND("|",DH222))+1,10)))))*$D$50),$D$25*(1-(IF(INDEX($L$220:$L$223,MATCH(LEFT(DH222,FIND("·",DH222)-1),$K$220:$K$223,0))=0,ABS(INDEX($N$220:$N$223,MATCH(LEFT(DH222,FIND("·",DH222)-1),$K$220:$K$223,0))-VALUE(MID(DH222,FIND("|",DH222)+1,FIND("-",DH222,FIND("|",DH222))-FIND("|",DH222)-1))),ABS(INDEX($P$220:$P$223,MATCH(LEFT(DH222,FIND("·",DH222)-1),$K$220:$K$223,0))-(VALUE(MID(DH222,FIND("|",DH222)+1,FIND("-",DH222,FIND("|",DH222))-FIND("|",DH222)-1))-VALUE(MID(DH222,FIND("-",DH222,FIND("|",DH222))+1,10)))))*$D$50)))))*INDEX($I$220:$I$223,MATCH(LEFT(DH222,FIND("·",DH222)-1),$K$220:$K$223,0)),0),0),0)+IFERROR(IF(COUNTIF($C$220:$C$223,LEFT(DH222,FIND("·",DH222)-1))&gt;0,IF(INDEX($D$220:$D$223,MATCH(LEFT(DH222,FIND("·",DH222)-1),$C$220:$C$223,0))=IFERROR(VALUE(MID(DH222,FIND("·",DH222)+1,1)),0),($D$24+(INDEX($E$220:$E$223,MATCH(LEFT(DH222,FIND("·",DH222)-1),$C$220:$C$223,0))=MID(DH222,FIND("|",DH222)+1,10))*$D$26+MAX(0,IF($D$50=1,$D$25*(1-(ABS(INDEX($Q$220:$Q$223,MATCH(LEFT(DH222,FIND("·",DH222)-1),$C$220:$C$223,0))-(VALUE(MID(DH222,FIND("|",DH222)+1,FIND("-",DH222,FIND("|",DH222))-FIND("|",DH222)-1))-VALUE(MID(DH222,FIND("-",DH222,FIND("|",DH222))+1,10)))))*$D$50),$D$25*(1-(IF(INDEX($D$220:$D$223,MATCH(LEFT(DH222,FIND("·",DH222)-1),$C$220:$C$223,0))=0,ABS(INDEX($A$220:$A$223,MATCH(LEFT(DH222,FIND("·",DH222)-1),$C$220:$C$223,0))-VALUE(MID(DH222,FIND("|",DH222)+1,FIND("-",DH222,FIND("|",DH222))-FIND("|",DH222)-1))),ABS(INDEX($Q$220:$Q$223,MATCH(LEFT(DH222,FIND("·",DH222)-1),$C$220:$C$223,0))-(VALUE(MID(DH222,FIND("|",DH222)+1,FIND("-",DH222,FIND("|",DH222))-FIND("|",DH222)-1))-VALUE(MID(DH222,FIND("-",DH222,FIND("|",DH222))+1,10)))))*$D$50)))))*INDEX($I$220:$I$223,MATCH(LEFT(DH222,FIND("·",DH222)-1),$C$220:$C$223,0)),0),0),0)</f>
        <v>0</v>
      </c>
      <c r="DJ222" s="108"/>
      <c r="DK222" s="796" t="s">
        <v>2327</v>
      </c>
      <c r="DL222" s="76">
        <f>IFERROR(IF(COUNTIF($K$220:$K$223,LEFT(DK222,FIND("·",DK222)-1))&gt;0,IF(INDEX($L$220:$L$223,MATCH(LEFT(DK222,FIND("·",DK222)-1),$K$220:$K$223,0))=IFERROR(VALUE(MID(DK222,FIND("·",DK222)+1,1)),0),($D$24+(INDEX($M$220:$M$223,MATCH(LEFT(DK222,FIND("·",DK222)-1),$K$220:$K$223,0))=MID(DK222,FIND("|",DK222)+1,10))*$D$26+MAX(0,IF($D$50=1,$D$25*(1-(ABS(INDEX($P$220:$P$223,MATCH(LEFT(DK222,FIND("·",DK222)-1),$K$220:$K$223,0))-(VALUE(MID(DK222,FIND("|",DK222)+1,FIND("-",DK222,FIND("|",DK222))-FIND("|",DK222)-1))-VALUE(MID(DK222,FIND("-",DK222,FIND("|",DK222))+1,10)))))*$D$50),$D$25*(1-(IF(INDEX($L$220:$L$223,MATCH(LEFT(DK222,FIND("·",DK222)-1),$K$220:$K$223,0))=0,ABS(INDEX($N$220:$N$223,MATCH(LEFT(DK222,FIND("·",DK222)-1),$K$220:$K$223,0))-VALUE(MID(DK222,FIND("|",DK222)+1,FIND("-",DK222,FIND("|",DK222))-FIND("|",DK222)-1))),ABS(INDEX($P$220:$P$223,MATCH(LEFT(DK222,FIND("·",DK222)-1),$K$220:$K$223,0))-(VALUE(MID(DK222,FIND("|",DK222)+1,FIND("-",DK222,FIND("|",DK222))-FIND("|",DK222)-1))-VALUE(MID(DK222,FIND("-",DK222,FIND("|",DK222))+1,10)))))*$D$50)))))*INDEX($I$220:$I$223,MATCH(LEFT(DK222,FIND("·",DK222)-1),$K$220:$K$223,0)),0),0),0)+IFERROR(IF(COUNTIF($C$220:$C$223,LEFT(DK222,FIND("·",DK222)-1))&gt;0,IF(INDEX($D$220:$D$223,MATCH(LEFT(DK222,FIND("·",DK222)-1),$C$220:$C$223,0))=IFERROR(VALUE(MID(DK222,FIND("·",DK222)+1,1)),0),($D$24+(INDEX($E$220:$E$223,MATCH(LEFT(DK222,FIND("·",DK222)-1),$C$220:$C$223,0))=MID(DK222,FIND("|",DK222)+1,10))*$D$26+MAX(0,IF($D$50=1,$D$25*(1-(ABS(INDEX($Q$220:$Q$223,MATCH(LEFT(DK222,FIND("·",DK222)-1),$C$220:$C$223,0))-(VALUE(MID(DK222,FIND("|",DK222)+1,FIND("-",DK222,FIND("|",DK222))-FIND("|",DK222)-1))-VALUE(MID(DK222,FIND("-",DK222,FIND("|",DK222))+1,10)))))*$D$50),$D$25*(1-(IF(INDEX($D$220:$D$223,MATCH(LEFT(DK222,FIND("·",DK222)-1),$C$220:$C$223,0))=0,ABS(INDEX($A$220:$A$223,MATCH(LEFT(DK222,FIND("·",DK222)-1),$C$220:$C$223,0))-VALUE(MID(DK222,FIND("|",DK222)+1,FIND("-",DK222,FIND("|",DK222))-FIND("|",DK222)-1))),ABS(INDEX($Q$220:$Q$223,MATCH(LEFT(DK222,FIND("·",DK222)-1),$C$220:$C$223,0))-(VALUE(MID(DK222,FIND("|",DK222)+1,FIND("-",DK222,FIND("|",DK222))-FIND("|",DK222)-1))-VALUE(MID(DK222,FIND("-",DK222,FIND("|",DK222))+1,10)))))*$D$50)))))*INDEX($I$220:$I$223,MATCH(LEFT(DK222,FIND("·",DK222)-1),$C$220:$C$223,0)),0),0),0)</f>
        <v>0</v>
      </c>
      <c r="DM222" s="108"/>
      <c r="DN222" s="73"/>
      <c r="DO222" s="76">
        <f t="shared" si="6285"/>
        <v>0</v>
      </c>
      <c r="DP222" s="108"/>
      <c r="DQ222" s="796" t="s">
        <v>1990</v>
      </c>
      <c r="DR222" s="76">
        <f t="shared" si="6286"/>
        <v>0</v>
      </c>
      <c r="DS222" s="108"/>
      <c r="DT222" s="73" t="s">
        <v>2327</v>
      </c>
      <c r="DU222" s="76">
        <f t="shared" si="6287"/>
        <v>0</v>
      </c>
      <c r="DV222" s="108"/>
      <c r="DW222" s="73"/>
      <c r="DX222" s="76">
        <f t="shared" si="6288"/>
        <v>0</v>
      </c>
      <c r="DY222" s="108"/>
      <c r="DZ222" s="73"/>
      <c r="EA222" s="76">
        <f>IFERROR(IF(COUNTIF($K$220:$K$223,LEFT(DZ222,FIND("·",DZ222)-1))&gt;0,IF(INDEX($L$220:$L$223,MATCH(LEFT(DZ222,FIND("·",DZ222)-1),$K$220:$K$223,0))=IFERROR(VALUE(MID(DZ222,FIND("·",DZ222)+1,1)),0),($D$24+(INDEX($M$220:$M$223,MATCH(LEFT(DZ222,FIND("·",DZ222)-1),$K$220:$K$223,0))=MID(DZ222,FIND("|",DZ222)+1,10))*$D$26+MAX(0,IF($D$50=1,$D$25*(1-(ABS(INDEX($P$220:$P$223,MATCH(LEFT(DZ222,FIND("·",DZ222)-1),$K$220:$K$223,0))-(VALUE(MID(DZ222,FIND("|",DZ222)+1,FIND("-",DZ222,FIND("|",DZ222))-FIND("|",DZ222)-1))-VALUE(MID(DZ222,FIND("-",DZ222,FIND("|",DZ222))+1,10)))))*$D$50),$D$25*(1-(IF(INDEX($L$220:$L$223,MATCH(LEFT(DZ222,FIND("·",DZ222)-1),$K$220:$K$223,0))=0,ABS(INDEX($N$220:$N$223,MATCH(LEFT(DZ222,FIND("·",DZ222)-1),$K$220:$K$223,0))-VALUE(MID(DZ222,FIND("|",DZ222)+1,FIND("-",DZ222,FIND("|",DZ222))-FIND("|",DZ222)-1))),ABS(INDEX($P$220:$P$223,MATCH(LEFT(DZ222,FIND("·",DZ222)-1),$K$220:$K$223,0))-(VALUE(MID(DZ222,FIND("|",DZ222)+1,FIND("-",DZ222,FIND("|",DZ222))-FIND("|",DZ222)-1))-VALUE(MID(DZ222,FIND("-",DZ222,FIND("|",DZ222))+1,10)))))*$D$50)))))*INDEX($I$220:$I$223,MATCH(LEFT(DZ222,FIND("·",DZ222)-1),$K$220:$K$223,0)),0),0),0)+IFERROR(IF(COUNTIF($C$220:$C$223,LEFT(DZ222,FIND("·",DZ222)-1))&gt;0,IF(INDEX($D$220:$D$223,MATCH(LEFT(DZ222,FIND("·",DZ222)-1),$C$220:$C$223,0))=IFERROR(VALUE(MID(DZ222,FIND("·",DZ222)+1,1)),0),($D$24+(INDEX($E$220:$E$223,MATCH(LEFT(DZ222,FIND("·",DZ222)-1),$C$220:$C$223,0))=MID(DZ222,FIND("|",DZ222)+1,10))*$D$26+MAX(0,IF($D$50=1,$D$25*(1-(ABS(INDEX($Q$220:$Q$223,MATCH(LEFT(DZ222,FIND("·",DZ222)-1),$C$220:$C$223,0))-(VALUE(MID(DZ222,FIND("|",DZ222)+1,FIND("-",DZ222,FIND("|",DZ222))-FIND("|",DZ222)-1))-VALUE(MID(DZ222,FIND("-",DZ222,FIND("|",DZ222))+1,10)))))*$D$50),$D$25*(1-(IF(INDEX($D$220:$D$223,MATCH(LEFT(DZ222,FIND("·",DZ222)-1),$C$220:$C$223,0))=0,ABS(INDEX($A$220:$A$223,MATCH(LEFT(DZ222,FIND("·",DZ222)-1),$C$220:$C$223,0))-VALUE(MID(DZ222,FIND("|",DZ222)+1,FIND("-",DZ222,FIND("|",DZ222))-FIND("|",DZ222)-1))),ABS(INDEX($Q$220:$Q$223,MATCH(LEFT(DZ222,FIND("·",DZ222)-1),$C$220:$C$223,0))-(VALUE(MID(DZ222,FIND("|",DZ222)+1,FIND("-",DZ222,FIND("|",DZ222))-FIND("|",DZ222)-1))-VALUE(MID(DZ222,FIND("-",DZ222,FIND("|",DZ222))+1,10)))))*$D$50)))))*INDEX($I$220:$I$223,MATCH(LEFT(DZ222,FIND("·",DZ222)-1),$C$220:$C$223,0)),0),0),0)</f>
        <v>0</v>
      </c>
      <c r="EB222" s="108"/>
      <c r="EC222" s="73"/>
      <c r="ED222" s="76">
        <f t="shared" si="6289"/>
        <v>0</v>
      </c>
      <c r="EE222" s="108"/>
      <c r="EF222" s="73"/>
      <c r="EG222" s="76">
        <f t="shared" si="6290"/>
        <v>0</v>
      </c>
      <c r="EH222" s="108"/>
      <c r="EI222" s="73"/>
      <c r="EJ222" s="76">
        <f t="shared" si="6291"/>
        <v>0</v>
      </c>
      <c r="EK222" s="108"/>
      <c r="EL222" s="73"/>
      <c r="EM222" s="76">
        <f t="shared" si="6292"/>
        <v>0</v>
      </c>
      <c r="EN222" s="108"/>
      <c r="EO222" s="73"/>
      <c r="EP222" s="76">
        <f t="shared" si="6293"/>
        <v>0</v>
      </c>
      <c r="EQ222" s="108"/>
      <c r="ER222" s="73"/>
      <c r="ES222" s="76">
        <f t="shared" si="6294"/>
        <v>0</v>
      </c>
      <c r="ET222" s="108"/>
      <c r="EU222" s="73"/>
      <c r="EV222" s="76">
        <f t="shared" si="6295"/>
        <v>0</v>
      </c>
      <c r="EW222" s="108"/>
      <c r="EX222" s="73"/>
      <c r="EY222" s="76">
        <f t="shared" si="6296"/>
        <v>0</v>
      </c>
      <c r="EZ222" s="108"/>
      <c r="FA222" s="73"/>
      <c r="FB222" s="76">
        <f t="shared" si="6297"/>
        <v>0</v>
      </c>
      <c r="FC222" s="108"/>
      <c r="FD222" s="73"/>
      <c r="FE222" s="76">
        <f t="shared" si="6298"/>
        <v>0</v>
      </c>
      <c r="FF222" s="108"/>
      <c r="FG222" s="73"/>
      <c r="FH222" s="76">
        <f t="shared" si="6299"/>
        <v>0</v>
      </c>
      <c r="FI222" s="108"/>
      <c r="FJ222" s="73"/>
      <c r="FK222" s="76">
        <f t="shared" si="6300"/>
        <v>0</v>
      </c>
      <c r="FL222" s="108"/>
      <c r="FM222" s="73"/>
      <c r="FN222" s="76">
        <f t="shared" si="6301"/>
        <v>0</v>
      </c>
      <c r="FO222" s="108"/>
      <c r="FP222" s="73"/>
      <c r="FQ222" s="76">
        <f t="shared" si="6302"/>
        <v>0</v>
      </c>
      <c r="FR222" s="108"/>
      <c r="FS222" s="73"/>
      <c r="FT222" s="76">
        <f t="shared" si="6303"/>
        <v>0</v>
      </c>
      <c r="FU222" s="108"/>
      <c r="FV222" s="73"/>
      <c r="FW222" s="76">
        <f t="shared" si="6304"/>
        <v>0</v>
      </c>
      <c r="FX222" s="108"/>
      <c r="FY222" s="73"/>
      <c r="FZ222" s="76">
        <f t="shared" si="6305"/>
        <v>0</v>
      </c>
      <c r="GA222" s="108"/>
      <c r="GB222" s="73"/>
      <c r="GC222" s="76">
        <f t="shared" si="6306"/>
        <v>0</v>
      </c>
      <c r="GD222" s="108"/>
      <c r="GE222" s="73"/>
      <c r="GF222" s="76">
        <f t="shared" si="6307"/>
        <v>0</v>
      </c>
      <c r="GG222" s="108"/>
      <c r="GH222" s="73"/>
      <c r="GI222" s="76">
        <f t="shared" si="6308"/>
        <v>0</v>
      </c>
      <c r="GJ222" s="108"/>
      <c r="GK222" s="73"/>
      <c r="GL222" s="76">
        <f t="shared" si="6309"/>
        <v>0</v>
      </c>
      <c r="GM222" s="108"/>
      <c r="GN222" s="73"/>
      <c r="GO222" s="76">
        <f t="shared" si="6310"/>
        <v>0</v>
      </c>
      <c r="GP222" s="108"/>
      <c r="GQ222" s="73"/>
      <c r="GR222" s="76">
        <f t="shared" si="6311"/>
        <v>0</v>
      </c>
      <c r="GS222" s="108"/>
      <c r="GT222" s="73"/>
      <c r="GU222" s="76">
        <f t="shared" si="6312"/>
        <v>0</v>
      </c>
      <c r="GV222" s="108"/>
      <c r="GW222" s="73"/>
      <c r="GX222" s="76">
        <f t="shared" si="6313"/>
        <v>0</v>
      </c>
      <c r="GY222" s="108"/>
      <c r="GZ222" s="73"/>
      <c r="HA222" s="76">
        <f t="shared" si="6314"/>
        <v>0</v>
      </c>
      <c r="HB222" s="108"/>
      <c r="HC222" s="73"/>
      <c r="HD222" s="76">
        <f t="shared" si="6315"/>
        <v>0</v>
      </c>
      <c r="HE222" s="108"/>
      <c r="HF222" s="73"/>
      <c r="HG222" s="76">
        <f t="shared" si="6316"/>
        <v>0</v>
      </c>
      <c r="HH222" s="108"/>
      <c r="HI222" s="73"/>
      <c r="HJ222" s="76">
        <f t="shared" si="6317"/>
        <v>0</v>
      </c>
      <c r="HK222" s="108"/>
      <c r="HL222" s="73"/>
      <c r="HM222" s="76">
        <f t="shared" si="6318"/>
        <v>0</v>
      </c>
      <c r="HN222" s="108"/>
      <c r="HO222" s="73"/>
      <c r="HP222" s="76">
        <f t="shared" si="6319"/>
        <v>0</v>
      </c>
      <c r="HQ222" s="108"/>
      <c r="HR222" s="73"/>
      <c r="HS222" s="76">
        <f t="shared" si="6320"/>
        <v>0</v>
      </c>
      <c r="HT222" s="108"/>
      <c r="HU222" s="73"/>
      <c r="HV222" s="76">
        <f t="shared" si="6321"/>
        <v>0</v>
      </c>
      <c r="HW222" s="108"/>
      <c r="HX222" s="73"/>
      <c r="HY222" s="76">
        <f t="shared" si="6322"/>
        <v>0</v>
      </c>
      <c r="HZ222" s="108"/>
      <c r="IA222" s="73"/>
      <c r="IB222" s="76">
        <f t="shared" si="6323"/>
        <v>0</v>
      </c>
      <c r="IC222" s="108"/>
      <c r="ID222" s="73"/>
      <c r="IE222" s="76">
        <f t="shared" si="6324"/>
        <v>0</v>
      </c>
      <c r="IF222" s="108"/>
      <c r="IG222" s="73"/>
      <c r="IH222" s="76">
        <f t="shared" si="6325"/>
        <v>0</v>
      </c>
      <c r="II222" s="108"/>
      <c r="IJ222" s="73"/>
      <c r="IK222" s="76">
        <f t="shared" si="6326"/>
        <v>0</v>
      </c>
      <c r="IL222" s="108"/>
      <c r="IM222" s="73"/>
      <c r="IN222" s="76">
        <f t="shared" si="6327"/>
        <v>0</v>
      </c>
      <c r="IO222" s="108"/>
      <c r="IP222" s="73"/>
      <c r="IQ222" s="76">
        <f t="shared" si="6328"/>
        <v>0</v>
      </c>
      <c r="IR222" s="108"/>
      <c r="IS222" s="73"/>
      <c r="IT222" s="76">
        <f t="shared" si="6329"/>
        <v>0</v>
      </c>
      <c r="IU222" s="108"/>
      <c r="IV222" s="73"/>
      <c r="IW222" s="76">
        <f t="shared" si="6330"/>
        <v>0</v>
      </c>
      <c r="IX222" s="108"/>
      <c r="IY222" s="73"/>
      <c r="IZ222" s="76">
        <f t="shared" si="6331"/>
        <v>0</v>
      </c>
      <c r="JA222" s="108"/>
      <c r="JB222" s="73"/>
      <c r="JC222" s="76">
        <f t="shared" si="6332"/>
        <v>0</v>
      </c>
      <c r="JD222" s="108"/>
      <c r="JE222" s="73"/>
      <c r="JF222" s="76">
        <f t="shared" si="6333"/>
        <v>0</v>
      </c>
      <c r="JG222" s="108"/>
      <c r="JH222" s="73"/>
      <c r="JI222" s="76">
        <f t="shared" si="6334"/>
        <v>0</v>
      </c>
      <c r="JJ222" s="108"/>
      <c r="JK222" s="73"/>
      <c r="JL222" s="76">
        <f t="shared" si="6335"/>
        <v>0</v>
      </c>
      <c r="JM222" s="108"/>
      <c r="JN222" s="73"/>
      <c r="JO222" s="76">
        <f t="shared" si="6336"/>
        <v>0</v>
      </c>
      <c r="JP222" s="108"/>
      <c r="JQ222" s="73"/>
      <c r="JR222" s="76">
        <f t="shared" si="6337"/>
        <v>0</v>
      </c>
      <c r="JS222" s="108"/>
      <c r="JT222" s="73"/>
      <c r="JU222" s="76">
        <f t="shared" si="6338"/>
        <v>0</v>
      </c>
      <c r="JV222" s="108"/>
      <c r="JW222" s="73"/>
      <c r="JX222" s="76">
        <f t="shared" si="6339"/>
        <v>0</v>
      </c>
      <c r="JY222" s="108"/>
      <c r="JZ222" s="73"/>
      <c r="KA222" s="76">
        <f t="shared" si="6340"/>
        <v>0</v>
      </c>
      <c r="KB222" s="108"/>
      <c r="KC222" s="73"/>
      <c r="KD222" s="76">
        <f t="shared" si="6341"/>
        <v>0</v>
      </c>
      <c r="KE222" s="108"/>
      <c r="KF222" s="73"/>
      <c r="KG222" s="76">
        <f t="shared" si="6342"/>
        <v>0</v>
      </c>
      <c r="KH222" s="108"/>
      <c r="KI222" s="73"/>
      <c r="KJ222" s="76">
        <f t="shared" si="6343"/>
        <v>0</v>
      </c>
      <c r="KK222" s="108"/>
      <c r="KL222" s="73"/>
      <c r="KM222" s="76">
        <f t="shared" si="6344"/>
        <v>0</v>
      </c>
      <c r="KN222" s="108"/>
      <c r="KO222" s="73"/>
      <c r="KP222" s="76">
        <f t="shared" si="6345"/>
        <v>0</v>
      </c>
      <c r="KQ222" s="108"/>
      <c r="KR222" s="73"/>
      <c r="KS222" s="76">
        <f t="shared" si="6346"/>
        <v>0</v>
      </c>
      <c r="KT222" s="108"/>
      <c r="KU222" s="73"/>
      <c r="KV222" s="76">
        <f t="shared" si="6347"/>
        <v>0</v>
      </c>
      <c r="KW222" s="108"/>
      <c r="KX222" s="73"/>
      <c r="KY222" s="76">
        <f t="shared" si="6348"/>
        <v>0</v>
      </c>
      <c r="KZ222" s="108"/>
      <c r="LA222" s="73"/>
      <c r="LB222" s="76">
        <f t="shared" si="6349"/>
        <v>0</v>
      </c>
      <c r="LC222" s="108"/>
      <c r="LD222" s="73"/>
      <c r="LE222" s="76">
        <f t="shared" si="6350"/>
        <v>0</v>
      </c>
      <c r="LF222" s="108"/>
    </row>
    <row r="223" spans="1:318" s="784" customFormat="1">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6">
        <f t="shared" si="6351"/>
        <v>30</v>
      </c>
      <c r="G223" s="406">
        <f ca="1">VLOOKUP(H223,Equipos!$Q$1:$R$25,2,0)</f>
        <v>22</v>
      </c>
      <c r="H223" s="64" t="str">
        <f>Idiomas!$D$262</f>
        <v>Cuartos de final</v>
      </c>
      <c r="I223" s="45">
        <v>1</v>
      </c>
      <c r="J223" s="843"/>
      <c r="K223" s="113" t="str">
        <f>CONCATENATE(WORLDCUP!AA134,"-",WORLDCUP!AF134)</f>
        <v>W95-W96</v>
      </c>
      <c r="L223" s="113" t="str">
        <f>IF(OR(WORLDCUP!AC134="",WORLDCUP!AD134=""),"PD",IF(WORLDCUP!AC134&gt;WORLDCUP!AD134,1,IF(WORLDCUP!AC134&lt;WORLDCUP!AD134,2,0)))</f>
        <v>PD</v>
      </c>
      <c r="M223" s="114" t="str">
        <f t="shared" si="6253"/>
        <v>-</v>
      </c>
      <c r="N223" s="25">
        <f>WORLDCUP!AC134</f>
        <v>0</v>
      </c>
      <c r="O223" s="25">
        <f>WORLDCUP!AD134</f>
        <v>0</v>
      </c>
      <c r="P223" s="25">
        <f t="shared" si="6254"/>
        <v>0</v>
      </c>
      <c r="Q223" s="25">
        <f>+A223-B223</f>
        <v>0</v>
      </c>
      <c r="R223" s="108"/>
      <c r="S223" s="796" t="s">
        <v>1991</v>
      </c>
      <c r="T223" s="80">
        <f t="shared" si="6255"/>
        <v>0</v>
      </c>
      <c r="U223" s="108"/>
      <c r="V223" s="79" t="s">
        <v>2036</v>
      </c>
      <c r="W223" s="80">
        <f t="shared" si="6256"/>
        <v>0</v>
      </c>
      <c r="X223" s="108"/>
      <c r="Y223" s="796" t="s">
        <v>2079</v>
      </c>
      <c r="Z223" s="80">
        <f t="shared" si="6257"/>
        <v>0</v>
      </c>
      <c r="AA223" s="108"/>
      <c r="AB223" s="796" t="s">
        <v>2112</v>
      </c>
      <c r="AC223" s="80">
        <f t="shared" si="6258"/>
        <v>0</v>
      </c>
      <c r="AD223" s="108"/>
      <c r="AE223" s="796" t="s">
        <v>2148</v>
      </c>
      <c r="AF223" s="80">
        <f t="shared" si="6352"/>
        <v>0</v>
      </c>
      <c r="AG223" s="108"/>
      <c r="AH223" s="796" t="s">
        <v>2183</v>
      </c>
      <c r="AI223" s="80">
        <f t="shared" si="6260"/>
        <v>0</v>
      </c>
      <c r="AJ223" s="108"/>
      <c r="AK223" s="806" t="s">
        <v>2148</v>
      </c>
      <c r="AL223" s="80">
        <f t="shared" si="6261"/>
        <v>0</v>
      </c>
      <c r="AM223" s="108"/>
      <c r="AN223" s="796" t="s">
        <v>2079</v>
      </c>
      <c r="AO223" s="80">
        <f t="shared" si="6262"/>
        <v>0</v>
      </c>
      <c r="AP223" s="108"/>
      <c r="AQ223" s="806" t="s">
        <v>2183</v>
      </c>
      <c r="AR223" s="80">
        <f t="shared" si="6263"/>
        <v>0</v>
      </c>
      <c r="AS223" s="108"/>
      <c r="AT223" s="796" t="s">
        <v>2079</v>
      </c>
      <c r="AU223" s="80">
        <f t="shared" si="6264"/>
        <v>0</v>
      </c>
      <c r="AV223" s="108"/>
      <c r="AW223" s="796" t="s">
        <v>2079</v>
      </c>
      <c r="AX223" s="80">
        <f t="shared" si="6265"/>
        <v>0</v>
      </c>
      <c r="AY223" s="108"/>
      <c r="AZ223" s="796" t="s">
        <v>2378</v>
      </c>
      <c r="BA223" s="80">
        <f t="shared" si="6266"/>
        <v>0</v>
      </c>
      <c r="BB223" s="108"/>
      <c r="BC223" s="796" t="s">
        <v>2079</v>
      </c>
      <c r="BD223" s="80">
        <f t="shared" si="6267"/>
        <v>0</v>
      </c>
      <c r="BE223" s="108"/>
      <c r="BF223" s="796" t="s">
        <v>2413</v>
      </c>
      <c r="BG223" s="80">
        <f t="shared" si="6268"/>
        <v>0</v>
      </c>
      <c r="BH223" s="108"/>
      <c r="BI223" s="796" t="s">
        <v>1991</v>
      </c>
      <c r="BJ223" s="80">
        <f t="shared" si="6269"/>
        <v>0</v>
      </c>
      <c r="BK223" s="108"/>
      <c r="BL223" s="796" t="s">
        <v>2488</v>
      </c>
      <c r="BM223" s="80">
        <f t="shared" si="6270"/>
        <v>0</v>
      </c>
      <c r="BN223" s="108"/>
      <c r="BO223" s="816" t="s">
        <v>1991</v>
      </c>
      <c r="BP223" s="80">
        <f t="shared" si="6271"/>
        <v>0</v>
      </c>
      <c r="BQ223" s="108"/>
      <c r="BR223" s="796" t="s">
        <v>2529</v>
      </c>
      <c r="BS223" s="80">
        <f t="shared" si="6272"/>
        <v>0</v>
      </c>
      <c r="BT223" s="108"/>
      <c r="BU223" s="796" t="s">
        <v>2548</v>
      </c>
      <c r="BV223" s="80">
        <f t="shared" si="6273"/>
        <v>0</v>
      </c>
      <c r="BW223" s="108"/>
      <c r="BX223" s="79" t="s">
        <v>2567</v>
      </c>
      <c r="BY223" s="80">
        <f t="shared" si="6274"/>
        <v>0</v>
      </c>
      <c r="BZ223" s="108"/>
      <c r="CA223" s="816" t="s">
        <v>2148</v>
      </c>
      <c r="CB223" s="80">
        <f t="shared" si="6275"/>
        <v>0</v>
      </c>
      <c r="CC223" s="108"/>
      <c r="CD223" s="825" t="s">
        <v>2148</v>
      </c>
      <c r="CE223" s="80">
        <f t="shared" si="6276"/>
        <v>0</v>
      </c>
      <c r="CF223" s="108"/>
      <c r="CG223" s="796" t="s">
        <v>2036</v>
      </c>
      <c r="CH223" s="80">
        <f t="shared" si="6277"/>
        <v>0</v>
      </c>
      <c r="CI223" s="108"/>
      <c r="CJ223" s="796" t="s">
        <v>2112</v>
      </c>
      <c r="CK223" s="80">
        <f t="shared" si="6278"/>
        <v>0</v>
      </c>
      <c r="CL223" s="108"/>
      <c r="CM223" s="796" t="s">
        <v>2664</v>
      </c>
      <c r="CN223" s="80">
        <f t="shared" si="6279"/>
        <v>0</v>
      </c>
      <c r="CO223" s="108"/>
      <c r="CP223" s="796" t="s">
        <v>2112</v>
      </c>
      <c r="CQ223" s="80">
        <f t="shared" si="6280"/>
        <v>0</v>
      </c>
      <c r="CR223" s="108"/>
      <c r="CS223" s="796" t="s">
        <v>2704</v>
      </c>
      <c r="CT223" s="80">
        <f t="shared" si="6281"/>
        <v>0</v>
      </c>
      <c r="CU223" s="108"/>
      <c r="CV223" s="796" t="s">
        <v>1991</v>
      </c>
      <c r="CW223" s="80">
        <f t="shared" si="6282"/>
        <v>0</v>
      </c>
      <c r="CX223" s="108"/>
      <c r="CY223" s="796" t="s">
        <v>2079</v>
      </c>
      <c r="CZ223" s="80">
        <f t="shared" si="6283"/>
        <v>0</v>
      </c>
      <c r="DA223" s="108"/>
      <c r="DB223" s="796" t="s">
        <v>2785</v>
      </c>
      <c r="DC223" s="80">
        <f t="shared" si="6284"/>
        <v>0</v>
      </c>
      <c r="DD223" s="108"/>
      <c r="DE223" s="796" t="s">
        <v>2148</v>
      </c>
      <c r="DF223" s="80">
        <f>IFERROR(IF(COUNTIF($K$220:$K$223,LEFT(DE223,FIND("·",DE223)-1))&gt;0,IF(INDEX($L$220:$L$223,MATCH(LEFT(DE223,FIND("·",DE223)-1),$K$220:$K$223,0))=IFERROR(VALUE(MID(DE223,FIND("·",DE223)+1,1)),0),($D$24+(INDEX($M$220:$M$223,MATCH(LEFT(DE223,FIND("·",DE223)-1),$K$220:$K$223,0))=MID(DE223,FIND("|",DE223)+1,10))*$D$26+MAX(0,IF($D$50=1,$D$25*(1-(ABS(INDEX($P$220:$P$223,MATCH(LEFT(DE223,FIND("·",DE223)-1),$K$220:$K$223,0))-(VALUE(MID(DE223,FIND("|",DE223)+1,FIND("-",DE223,FIND("|",DE223))-FIND("|",DE223)-1))-VALUE(MID(DE223,FIND("-",DE223,FIND("|",DE223))+1,10)))))*$D$50),$D$25*(1-(IF(INDEX($L$220:$L$223,MATCH(LEFT(DE223,FIND("·",DE223)-1),$K$220:$K$223,0))=0,ABS(INDEX($N$220:$N$223,MATCH(LEFT(DE223,FIND("·",DE223)-1),$K$220:$K$223,0))-VALUE(MID(DE223,FIND("|",DE223)+1,FIND("-",DE223,FIND("|",DE223))-FIND("|",DE223)-1))),ABS(INDEX($P$220:$P$223,MATCH(LEFT(DE223,FIND("·",DE223)-1),$K$220:$K$223,0))-(VALUE(MID(DE223,FIND("|",DE223)+1,FIND("-",DE223,FIND("|",DE223))-FIND("|",DE223)-1))-VALUE(MID(DE223,FIND("-",DE223,FIND("|",DE223))+1,10)))))*$D$50)))))*INDEX($I$220:$I$223,MATCH(LEFT(DE223,FIND("·",DE223)-1),$K$220:$K$223,0)),0),0),0)+IFERROR(IF(COUNTIF($C$220:$C$223,LEFT(DE223,FIND("·",DE223)-1))&gt;0,IF(INDEX($D$220:$D$223,MATCH(LEFT(DE223,FIND("·",DE223)-1),$C$220:$C$223,0))=IFERROR(VALUE(MID(DE223,FIND("·",DE223)+1,1)),0),($D$24+(INDEX($E$220:$E$223,MATCH(LEFT(DE223,FIND("·",DE223)-1),$C$220:$C$223,0))=MID(DE223,FIND("|",DE223)+1,10))*$D$26+MAX(0,IF($D$50=1,$D$25*(1-(ABS(INDEX($Q$220:$Q$223,MATCH(LEFT(DE223,FIND("·",DE223)-1),$C$220:$C$223,0))-(VALUE(MID(DE223,FIND("|",DE223)+1,FIND("-",DE223,FIND("|",DE223))-FIND("|",DE223)-1))-VALUE(MID(DE223,FIND("-",DE223,FIND("|",DE223))+1,10)))))*$D$50),$D$25*(1-(IF(INDEX($D$220:$D$223,MATCH(LEFT(DE223,FIND("·",DE223)-1),$C$220:$C$223,0))=0,ABS(INDEX($A$220:$A$223,MATCH(LEFT(DE223,FIND("·",DE223)-1),$C$220:$C$223,0))-VALUE(MID(DE223,FIND("|",DE223)+1,FIND("-",DE223,FIND("|",DE223))-FIND("|",DE223)-1))),ABS(INDEX($Q$220:$Q$223,MATCH(LEFT(DE223,FIND("·",DE223)-1),$C$220:$C$223,0))-(VALUE(MID(DE223,FIND("|",DE223)+1,FIND("-",DE223,FIND("|",DE223))-FIND("|",DE223)-1))-VALUE(MID(DE223,FIND("-",DE223,FIND("|",DE223))+1,10)))))*$D$50)))))*INDEX($I$220:$I$223,MATCH(LEFT(DE223,FIND("·",DE223)-1),$C$220:$C$223,0)),0),0),0)</f>
        <v>0</v>
      </c>
      <c r="DG223" s="108"/>
      <c r="DH223" s="796" t="s">
        <v>2079</v>
      </c>
      <c r="DI223" s="80">
        <f>IFERROR(IF(COUNTIF($K$220:$K$223,LEFT(DH223,FIND("·",DH223)-1))&gt;0,IF(INDEX($L$220:$L$223,MATCH(LEFT(DH223,FIND("·",DH223)-1),$K$220:$K$223,0))=IFERROR(VALUE(MID(DH223,FIND("·",DH223)+1,1)),0),($D$24+(INDEX($M$220:$M$223,MATCH(LEFT(DH223,FIND("·",DH223)-1),$K$220:$K$223,0))=MID(DH223,FIND("|",DH223)+1,10))*$D$26+MAX(0,IF($D$50=1,$D$25*(1-(ABS(INDEX($P$220:$P$223,MATCH(LEFT(DH223,FIND("·",DH223)-1),$K$220:$K$223,0))-(VALUE(MID(DH223,FIND("|",DH223)+1,FIND("-",DH223,FIND("|",DH223))-FIND("|",DH223)-1))-VALUE(MID(DH223,FIND("-",DH223,FIND("|",DH223))+1,10)))))*$D$50),$D$25*(1-(IF(INDEX($L$220:$L$223,MATCH(LEFT(DH223,FIND("·",DH223)-1),$K$220:$K$223,0))=0,ABS(INDEX($N$220:$N$223,MATCH(LEFT(DH223,FIND("·",DH223)-1),$K$220:$K$223,0))-VALUE(MID(DH223,FIND("|",DH223)+1,FIND("-",DH223,FIND("|",DH223))-FIND("|",DH223)-1))),ABS(INDEX($P$220:$P$223,MATCH(LEFT(DH223,FIND("·",DH223)-1),$K$220:$K$223,0))-(VALUE(MID(DH223,FIND("|",DH223)+1,FIND("-",DH223,FIND("|",DH223))-FIND("|",DH223)-1))-VALUE(MID(DH223,FIND("-",DH223,FIND("|",DH223))+1,10)))))*$D$50)))))*INDEX($I$220:$I$223,MATCH(LEFT(DH223,FIND("·",DH223)-1),$K$220:$K$223,0)),0),0),0)+IFERROR(IF(COUNTIF($C$220:$C$223,LEFT(DH223,FIND("·",DH223)-1))&gt;0,IF(INDEX($D$220:$D$223,MATCH(LEFT(DH223,FIND("·",DH223)-1),$C$220:$C$223,0))=IFERROR(VALUE(MID(DH223,FIND("·",DH223)+1,1)),0),($D$24+(INDEX($E$220:$E$223,MATCH(LEFT(DH223,FIND("·",DH223)-1),$C$220:$C$223,0))=MID(DH223,FIND("|",DH223)+1,10))*$D$26+MAX(0,IF($D$50=1,$D$25*(1-(ABS(INDEX($Q$220:$Q$223,MATCH(LEFT(DH223,FIND("·",DH223)-1),$C$220:$C$223,0))-(VALUE(MID(DH223,FIND("|",DH223)+1,FIND("-",DH223,FIND("|",DH223))-FIND("|",DH223)-1))-VALUE(MID(DH223,FIND("-",DH223,FIND("|",DH223))+1,10)))))*$D$50),$D$25*(1-(IF(INDEX($D$220:$D$223,MATCH(LEFT(DH223,FIND("·",DH223)-1),$C$220:$C$223,0))=0,ABS(INDEX($A$220:$A$223,MATCH(LEFT(DH223,FIND("·",DH223)-1),$C$220:$C$223,0))-VALUE(MID(DH223,FIND("|",DH223)+1,FIND("-",DH223,FIND("|",DH223))-FIND("|",DH223)-1))),ABS(INDEX($Q$220:$Q$223,MATCH(LEFT(DH223,FIND("·",DH223)-1),$C$220:$C$223,0))-(VALUE(MID(DH223,FIND("|",DH223)+1,FIND("-",DH223,FIND("|",DH223))-FIND("|",DH223)-1))-VALUE(MID(DH223,FIND("-",DH223,FIND("|",DH223))+1,10)))))*$D$50)))))*INDEX($I$220:$I$223,MATCH(LEFT(DH223,FIND("·",DH223)-1),$C$220:$C$223,0)),0),0),0)</f>
        <v>0</v>
      </c>
      <c r="DJ223" s="108"/>
      <c r="DK223" s="796" t="s">
        <v>2079</v>
      </c>
      <c r="DL223" s="80">
        <f>IFERROR(IF(COUNTIF($K$220:$K$223,LEFT(DK223,FIND("·",DK223)-1))&gt;0,IF(INDEX($L$220:$L$223,MATCH(LEFT(DK223,FIND("·",DK223)-1),$K$220:$K$223,0))=IFERROR(VALUE(MID(DK223,FIND("·",DK223)+1,1)),0),($D$24+(INDEX($M$220:$M$223,MATCH(LEFT(DK223,FIND("·",DK223)-1),$K$220:$K$223,0))=MID(DK223,FIND("|",DK223)+1,10))*$D$26+MAX(0,IF($D$50=1,$D$25*(1-(ABS(INDEX($P$220:$P$223,MATCH(LEFT(DK223,FIND("·",DK223)-1),$K$220:$K$223,0))-(VALUE(MID(DK223,FIND("|",DK223)+1,FIND("-",DK223,FIND("|",DK223))-FIND("|",DK223)-1))-VALUE(MID(DK223,FIND("-",DK223,FIND("|",DK223))+1,10)))))*$D$50),$D$25*(1-(IF(INDEX($L$220:$L$223,MATCH(LEFT(DK223,FIND("·",DK223)-1),$K$220:$K$223,0))=0,ABS(INDEX($N$220:$N$223,MATCH(LEFT(DK223,FIND("·",DK223)-1),$K$220:$K$223,0))-VALUE(MID(DK223,FIND("|",DK223)+1,FIND("-",DK223,FIND("|",DK223))-FIND("|",DK223)-1))),ABS(INDEX($P$220:$P$223,MATCH(LEFT(DK223,FIND("·",DK223)-1),$K$220:$K$223,0))-(VALUE(MID(DK223,FIND("|",DK223)+1,FIND("-",DK223,FIND("|",DK223))-FIND("|",DK223)-1))-VALUE(MID(DK223,FIND("-",DK223,FIND("|",DK223))+1,10)))))*$D$50)))))*INDEX($I$220:$I$223,MATCH(LEFT(DK223,FIND("·",DK223)-1),$K$220:$K$223,0)),0),0),0)+IFERROR(IF(COUNTIF($C$220:$C$223,LEFT(DK223,FIND("·",DK223)-1))&gt;0,IF(INDEX($D$220:$D$223,MATCH(LEFT(DK223,FIND("·",DK223)-1),$C$220:$C$223,0))=IFERROR(VALUE(MID(DK223,FIND("·",DK223)+1,1)),0),($D$24+(INDEX($E$220:$E$223,MATCH(LEFT(DK223,FIND("·",DK223)-1),$C$220:$C$223,0))=MID(DK223,FIND("|",DK223)+1,10))*$D$26+MAX(0,IF($D$50=1,$D$25*(1-(ABS(INDEX($Q$220:$Q$223,MATCH(LEFT(DK223,FIND("·",DK223)-1),$C$220:$C$223,0))-(VALUE(MID(DK223,FIND("|",DK223)+1,FIND("-",DK223,FIND("|",DK223))-FIND("|",DK223)-1))-VALUE(MID(DK223,FIND("-",DK223,FIND("|",DK223))+1,10)))))*$D$50),$D$25*(1-(IF(INDEX($D$220:$D$223,MATCH(LEFT(DK223,FIND("·",DK223)-1),$C$220:$C$223,0))=0,ABS(INDEX($A$220:$A$223,MATCH(LEFT(DK223,FIND("·",DK223)-1),$C$220:$C$223,0))-VALUE(MID(DK223,FIND("|",DK223)+1,FIND("-",DK223,FIND("|",DK223))-FIND("|",DK223)-1))),ABS(INDEX($Q$220:$Q$223,MATCH(LEFT(DK223,FIND("·",DK223)-1),$C$220:$C$223,0))-(VALUE(MID(DK223,FIND("|",DK223)+1,FIND("-",DK223,FIND("|",DK223))-FIND("|",DK223)-1))-VALUE(MID(DK223,FIND("-",DK223,FIND("|",DK223))+1,10)))))*$D$50)))))*INDEX($I$220:$I$223,MATCH(LEFT(DK223,FIND("·",DK223)-1),$C$220:$C$223,0)),0),0),0)</f>
        <v>0</v>
      </c>
      <c r="DM223" s="108"/>
      <c r="DN223" s="79"/>
      <c r="DO223" s="80">
        <f t="shared" si="6285"/>
        <v>0</v>
      </c>
      <c r="DP223" s="108"/>
      <c r="DQ223" s="796" t="s">
        <v>2112</v>
      </c>
      <c r="DR223" s="80">
        <f t="shared" si="6286"/>
        <v>0</v>
      </c>
      <c r="DS223" s="108"/>
      <c r="DT223" s="79" t="s">
        <v>2704</v>
      </c>
      <c r="DU223" s="80">
        <f t="shared" si="6287"/>
        <v>0</v>
      </c>
      <c r="DV223" s="108"/>
      <c r="DW223" s="79"/>
      <c r="DX223" s="80">
        <f t="shared" si="6288"/>
        <v>0</v>
      </c>
      <c r="DY223" s="108"/>
      <c r="DZ223" s="79"/>
      <c r="EA223" s="80">
        <f>IFERROR(IF(COUNTIF($K$220:$K$223,LEFT(DZ223,FIND("·",DZ223)-1))&gt;0,IF(INDEX($L$220:$L$223,MATCH(LEFT(DZ223,FIND("·",DZ223)-1),$K$220:$K$223,0))=IFERROR(VALUE(MID(DZ223,FIND("·",DZ223)+1,1)),0),($D$24+(INDEX($M$220:$M$223,MATCH(LEFT(DZ223,FIND("·",DZ223)-1),$K$220:$K$223,0))=MID(DZ223,FIND("|",DZ223)+1,10))*$D$26+MAX(0,IF($D$50=1,$D$25*(1-(ABS(INDEX($P$220:$P$223,MATCH(LEFT(DZ223,FIND("·",DZ223)-1),$K$220:$K$223,0))-(VALUE(MID(DZ223,FIND("|",DZ223)+1,FIND("-",DZ223,FIND("|",DZ223))-FIND("|",DZ223)-1))-VALUE(MID(DZ223,FIND("-",DZ223,FIND("|",DZ223))+1,10)))))*$D$50),$D$25*(1-(IF(INDEX($L$220:$L$223,MATCH(LEFT(DZ223,FIND("·",DZ223)-1),$K$220:$K$223,0))=0,ABS(INDEX($N$220:$N$223,MATCH(LEFT(DZ223,FIND("·",DZ223)-1),$K$220:$K$223,0))-VALUE(MID(DZ223,FIND("|",DZ223)+1,FIND("-",DZ223,FIND("|",DZ223))-FIND("|",DZ223)-1))),ABS(INDEX($P$220:$P$223,MATCH(LEFT(DZ223,FIND("·",DZ223)-1),$K$220:$K$223,0))-(VALUE(MID(DZ223,FIND("|",DZ223)+1,FIND("-",DZ223,FIND("|",DZ223))-FIND("|",DZ223)-1))-VALUE(MID(DZ223,FIND("-",DZ223,FIND("|",DZ223))+1,10)))))*$D$50)))))*INDEX($I$220:$I$223,MATCH(LEFT(DZ223,FIND("·",DZ223)-1),$K$220:$K$223,0)),0),0),0)+IFERROR(IF(COUNTIF($C$220:$C$223,LEFT(DZ223,FIND("·",DZ223)-1))&gt;0,IF(INDEX($D$220:$D$223,MATCH(LEFT(DZ223,FIND("·",DZ223)-1),$C$220:$C$223,0))=IFERROR(VALUE(MID(DZ223,FIND("·",DZ223)+1,1)),0),($D$24+(INDEX($E$220:$E$223,MATCH(LEFT(DZ223,FIND("·",DZ223)-1),$C$220:$C$223,0))=MID(DZ223,FIND("|",DZ223)+1,10))*$D$26+MAX(0,IF($D$50=1,$D$25*(1-(ABS(INDEX($Q$220:$Q$223,MATCH(LEFT(DZ223,FIND("·",DZ223)-1),$C$220:$C$223,0))-(VALUE(MID(DZ223,FIND("|",DZ223)+1,FIND("-",DZ223,FIND("|",DZ223))-FIND("|",DZ223)-1))-VALUE(MID(DZ223,FIND("-",DZ223,FIND("|",DZ223))+1,10)))))*$D$50),$D$25*(1-(IF(INDEX($D$220:$D$223,MATCH(LEFT(DZ223,FIND("·",DZ223)-1),$C$220:$C$223,0))=0,ABS(INDEX($A$220:$A$223,MATCH(LEFT(DZ223,FIND("·",DZ223)-1),$C$220:$C$223,0))-VALUE(MID(DZ223,FIND("|",DZ223)+1,FIND("-",DZ223,FIND("|",DZ223))-FIND("|",DZ223)-1))),ABS(INDEX($Q$220:$Q$223,MATCH(LEFT(DZ223,FIND("·",DZ223)-1),$C$220:$C$223,0))-(VALUE(MID(DZ223,FIND("|",DZ223)+1,FIND("-",DZ223,FIND("|",DZ223))-FIND("|",DZ223)-1))-VALUE(MID(DZ223,FIND("-",DZ223,FIND("|",DZ223))+1,10)))))*$D$50)))))*INDEX($I$220:$I$223,MATCH(LEFT(DZ223,FIND("·",DZ223)-1),$C$220:$C$223,0)),0),0),0)</f>
        <v>0</v>
      </c>
      <c r="EB223" s="108"/>
      <c r="EC223" s="79"/>
      <c r="ED223" s="80">
        <f t="shared" si="6289"/>
        <v>0</v>
      </c>
      <c r="EE223" s="108"/>
      <c r="EF223" s="79"/>
      <c r="EG223" s="80">
        <f t="shared" si="6290"/>
        <v>0</v>
      </c>
      <c r="EH223" s="108"/>
      <c r="EI223" s="79"/>
      <c r="EJ223" s="80">
        <f t="shared" si="6291"/>
        <v>0</v>
      </c>
      <c r="EK223" s="108"/>
      <c r="EL223" s="79"/>
      <c r="EM223" s="80">
        <f t="shared" si="6292"/>
        <v>0</v>
      </c>
      <c r="EN223" s="108"/>
      <c r="EO223" s="79"/>
      <c r="EP223" s="80">
        <f t="shared" si="6293"/>
        <v>0</v>
      </c>
      <c r="EQ223" s="108"/>
      <c r="ER223" s="79"/>
      <c r="ES223" s="80">
        <f t="shared" si="6294"/>
        <v>0</v>
      </c>
      <c r="ET223" s="108"/>
      <c r="EU223" s="79"/>
      <c r="EV223" s="80">
        <f t="shared" si="6295"/>
        <v>0</v>
      </c>
      <c r="EW223" s="108"/>
      <c r="EX223" s="79"/>
      <c r="EY223" s="80">
        <f t="shared" si="6296"/>
        <v>0</v>
      </c>
      <c r="EZ223" s="108"/>
      <c r="FA223" s="79"/>
      <c r="FB223" s="80">
        <f t="shared" si="6297"/>
        <v>0</v>
      </c>
      <c r="FC223" s="108"/>
      <c r="FD223" s="79"/>
      <c r="FE223" s="80">
        <f t="shared" si="6298"/>
        <v>0</v>
      </c>
      <c r="FF223" s="108"/>
      <c r="FG223" s="79"/>
      <c r="FH223" s="80">
        <f t="shared" si="6299"/>
        <v>0</v>
      </c>
      <c r="FI223" s="108"/>
      <c r="FJ223" s="79"/>
      <c r="FK223" s="80">
        <f t="shared" si="6300"/>
        <v>0</v>
      </c>
      <c r="FL223" s="108"/>
      <c r="FM223" s="79"/>
      <c r="FN223" s="80">
        <f t="shared" si="6301"/>
        <v>0</v>
      </c>
      <c r="FO223" s="108"/>
      <c r="FP223" s="79"/>
      <c r="FQ223" s="80">
        <f t="shared" si="6302"/>
        <v>0</v>
      </c>
      <c r="FR223" s="108"/>
      <c r="FS223" s="79"/>
      <c r="FT223" s="80">
        <f t="shared" si="6303"/>
        <v>0</v>
      </c>
      <c r="FU223" s="108"/>
      <c r="FV223" s="79"/>
      <c r="FW223" s="80">
        <f t="shared" si="6304"/>
        <v>0</v>
      </c>
      <c r="FX223" s="108"/>
      <c r="FY223" s="79"/>
      <c r="FZ223" s="80">
        <f t="shared" si="6305"/>
        <v>0</v>
      </c>
      <c r="GA223" s="108"/>
      <c r="GB223" s="79"/>
      <c r="GC223" s="80">
        <f t="shared" si="6306"/>
        <v>0</v>
      </c>
      <c r="GD223" s="108"/>
      <c r="GE223" s="79"/>
      <c r="GF223" s="80">
        <f t="shared" si="6307"/>
        <v>0</v>
      </c>
      <c r="GG223" s="108"/>
      <c r="GH223" s="79"/>
      <c r="GI223" s="80">
        <f t="shared" si="6308"/>
        <v>0</v>
      </c>
      <c r="GJ223" s="108"/>
      <c r="GK223" s="79"/>
      <c r="GL223" s="80">
        <f t="shared" si="6309"/>
        <v>0</v>
      </c>
      <c r="GM223" s="108"/>
      <c r="GN223" s="79"/>
      <c r="GO223" s="80">
        <f t="shared" si="6310"/>
        <v>0</v>
      </c>
      <c r="GP223" s="108"/>
      <c r="GQ223" s="79"/>
      <c r="GR223" s="80">
        <f t="shared" si="6311"/>
        <v>0</v>
      </c>
      <c r="GS223" s="108"/>
      <c r="GT223" s="79"/>
      <c r="GU223" s="80">
        <f t="shared" si="6312"/>
        <v>0</v>
      </c>
      <c r="GV223" s="108"/>
      <c r="GW223" s="79"/>
      <c r="GX223" s="80">
        <f t="shared" si="6313"/>
        <v>0</v>
      </c>
      <c r="GY223" s="108"/>
      <c r="GZ223" s="79"/>
      <c r="HA223" s="80">
        <f t="shared" si="6314"/>
        <v>0</v>
      </c>
      <c r="HB223" s="108"/>
      <c r="HC223" s="79"/>
      <c r="HD223" s="80">
        <f t="shared" si="6315"/>
        <v>0</v>
      </c>
      <c r="HE223" s="108"/>
      <c r="HF223" s="79"/>
      <c r="HG223" s="80">
        <f t="shared" si="6316"/>
        <v>0</v>
      </c>
      <c r="HH223" s="108"/>
      <c r="HI223" s="79"/>
      <c r="HJ223" s="80">
        <f t="shared" si="6317"/>
        <v>0</v>
      </c>
      <c r="HK223" s="108"/>
      <c r="HL223" s="79"/>
      <c r="HM223" s="80">
        <f t="shared" si="6318"/>
        <v>0</v>
      </c>
      <c r="HN223" s="108"/>
      <c r="HO223" s="79"/>
      <c r="HP223" s="80">
        <f t="shared" si="6319"/>
        <v>0</v>
      </c>
      <c r="HQ223" s="108"/>
      <c r="HR223" s="79"/>
      <c r="HS223" s="80">
        <f t="shared" si="6320"/>
        <v>0</v>
      </c>
      <c r="HT223" s="108"/>
      <c r="HU223" s="79"/>
      <c r="HV223" s="80">
        <f t="shared" si="6321"/>
        <v>0</v>
      </c>
      <c r="HW223" s="108"/>
      <c r="HX223" s="79"/>
      <c r="HY223" s="80">
        <f t="shared" si="6322"/>
        <v>0</v>
      </c>
      <c r="HZ223" s="108"/>
      <c r="IA223" s="79"/>
      <c r="IB223" s="80">
        <f t="shared" si="6323"/>
        <v>0</v>
      </c>
      <c r="IC223" s="108"/>
      <c r="ID223" s="79"/>
      <c r="IE223" s="80">
        <f t="shared" si="6324"/>
        <v>0</v>
      </c>
      <c r="IF223" s="108"/>
      <c r="IG223" s="79"/>
      <c r="IH223" s="80">
        <f t="shared" si="6325"/>
        <v>0</v>
      </c>
      <c r="II223" s="108"/>
      <c r="IJ223" s="79"/>
      <c r="IK223" s="80">
        <f t="shared" si="6326"/>
        <v>0</v>
      </c>
      <c r="IL223" s="108"/>
      <c r="IM223" s="79"/>
      <c r="IN223" s="80">
        <f t="shared" si="6327"/>
        <v>0</v>
      </c>
      <c r="IO223" s="108"/>
      <c r="IP223" s="79"/>
      <c r="IQ223" s="80">
        <f t="shared" si="6328"/>
        <v>0</v>
      </c>
      <c r="IR223" s="108"/>
      <c r="IS223" s="79"/>
      <c r="IT223" s="80">
        <f t="shared" si="6329"/>
        <v>0</v>
      </c>
      <c r="IU223" s="108"/>
      <c r="IV223" s="79"/>
      <c r="IW223" s="80">
        <f t="shared" si="6330"/>
        <v>0</v>
      </c>
      <c r="IX223" s="108"/>
      <c r="IY223" s="79"/>
      <c r="IZ223" s="80">
        <f t="shared" si="6331"/>
        <v>0</v>
      </c>
      <c r="JA223" s="108"/>
      <c r="JB223" s="79"/>
      <c r="JC223" s="80">
        <f t="shared" si="6332"/>
        <v>0</v>
      </c>
      <c r="JD223" s="108"/>
      <c r="JE223" s="79"/>
      <c r="JF223" s="80">
        <f t="shared" si="6333"/>
        <v>0</v>
      </c>
      <c r="JG223" s="108"/>
      <c r="JH223" s="79"/>
      <c r="JI223" s="80">
        <f t="shared" si="6334"/>
        <v>0</v>
      </c>
      <c r="JJ223" s="108"/>
      <c r="JK223" s="79"/>
      <c r="JL223" s="80">
        <f t="shared" si="6335"/>
        <v>0</v>
      </c>
      <c r="JM223" s="108"/>
      <c r="JN223" s="79"/>
      <c r="JO223" s="80">
        <f t="shared" si="6336"/>
        <v>0</v>
      </c>
      <c r="JP223" s="108"/>
      <c r="JQ223" s="79"/>
      <c r="JR223" s="80">
        <f t="shared" si="6337"/>
        <v>0</v>
      </c>
      <c r="JS223" s="108"/>
      <c r="JT223" s="79"/>
      <c r="JU223" s="80">
        <f t="shared" si="6338"/>
        <v>0</v>
      </c>
      <c r="JV223" s="108"/>
      <c r="JW223" s="79"/>
      <c r="JX223" s="80">
        <f t="shared" si="6339"/>
        <v>0</v>
      </c>
      <c r="JY223" s="108"/>
      <c r="JZ223" s="79"/>
      <c r="KA223" s="80">
        <f t="shared" si="6340"/>
        <v>0</v>
      </c>
      <c r="KB223" s="108"/>
      <c r="KC223" s="79"/>
      <c r="KD223" s="80">
        <f t="shared" si="6341"/>
        <v>0</v>
      </c>
      <c r="KE223" s="108"/>
      <c r="KF223" s="79"/>
      <c r="KG223" s="80">
        <f t="shared" si="6342"/>
        <v>0</v>
      </c>
      <c r="KH223" s="108"/>
      <c r="KI223" s="79"/>
      <c r="KJ223" s="80">
        <f t="shared" si="6343"/>
        <v>0</v>
      </c>
      <c r="KK223" s="108"/>
      <c r="KL223" s="79"/>
      <c r="KM223" s="80">
        <f t="shared" si="6344"/>
        <v>0</v>
      </c>
      <c r="KN223" s="108"/>
      <c r="KO223" s="79"/>
      <c r="KP223" s="80">
        <f t="shared" si="6345"/>
        <v>0</v>
      </c>
      <c r="KQ223" s="108"/>
      <c r="KR223" s="79"/>
      <c r="KS223" s="80">
        <f t="shared" si="6346"/>
        <v>0</v>
      </c>
      <c r="KT223" s="108"/>
      <c r="KU223" s="79"/>
      <c r="KV223" s="80">
        <f t="shared" si="6347"/>
        <v>0</v>
      </c>
      <c r="KW223" s="108"/>
      <c r="KX223" s="79"/>
      <c r="KY223" s="80">
        <f t="shared" si="6348"/>
        <v>0</v>
      </c>
      <c r="KZ223" s="108"/>
      <c r="LA223" s="79"/>
      <c r="LB223" s="80">
        <f t="shared" si="6349"/>
        <v>0</v>
      </c>
      <c r="LC223" s="108"/>
      <c r="LD223" s="79"/>
      <c r="LE223" s="80">
        <f t="shared" si="6350"/>
        <v>0</v>
      </c>
      <c r="LF223" s="108"/>
    </row>
    <row r="224" spans="1:318" s="784" customFormat="1">
      <c r="A224" s="25"/>
      <c r="B224" s="25"/>
      <c r="C224" s="25"/>
      <c r="D224" s="25"/>
      <c r="E224" s="25"/>
      <c r="F224" s="406"/>
      <c r="G224" s="406"/>
      <c r="H224" s="64"/>
      <c r="I224" s="50"/>
      <c r="J224" s="92"/>
      <c r="K224" s="432" t="str">
        <f>Idiomas!D462</f>
        <v>Partidos 1/4</v>
      </c>
      <c r="L224" s="433"/>
      <c r="M224" s="432" t="str">
        <f>"Max: "&amp;SUM($D$24:$D$26)*SUM($I$220:$I$223)</f>
        <v>Max: 120</v>
      </c>
      <c r="N224" s="25"/>
      <c r="O224" s="25"/>
      <c r="P224" s="25"/>
      <c r="Q224" s="25"/>
      <c r="R224" s="49"/>
      <c r="S224" s="797"/>
      <c r="T224" s="70">
        <f t="shared" ref="T224" si="6353">SUM(T220:T223)</f>
        <v>0</v>
      </c>
      <c r="U224" s="64"/>
      <c r="V224" s="83"/>
      <c r="W224" s="70">
        <f t="shared" ref="W224" si="6354">SUM(W220:W223)</f>
        <v>0</v>
      </c>
      <c r="X224" s="64"/>
      <c r="Y224" s="797"/>
      <c r="Z224" s="70">
        <f t="shared" ref="Z224" si="6355">SUM(Z220:Z223)</f>
        <v>0</v>
      </c>
      <c r="AA224" s="64"/>
      <c r="AB224" s="797"/>
      <c r="AC224" s="70">
        <f t="shared" ref="AC224" si="6356">SUM(AC220:AC223)</f>
        <v>0</v>
      </c>
      <c r="AD224" s="64"/>
      <c r="AE224" s="797"/>
      <c r="AF224" s="70">
        <f t="shared" ref="AF224" si="6357">SUM(AF220:AF223)</f>
        <v>0</v>
      </c>
      <c r="AG224" s="64"/>
      <c r="AH224" s="797"/>
      <c r="AI224" s="70">
        <f t="shared" ref="AI224" si="6358">SUM(AI220:AI223)</f>
        <v>0</v>
      </c>
      <c r="AJ224" s="64"/>
      <c r="AK224" s="802"/>
      <c r="AL224" s="70">
        <f t="shared" ref="AL224" si="6359">SUM(AL220:AL223)</f>
        <v>0</v>
      </c>
      <c r="AM224" s="64"/>
      <c r="AN224" s="797"/>
      <c r="AO224" s="70">
        <f t="shared" ref="AO224" si="6360">SUM(AO220:AO223)</f>
        <v>0</v>
      </c>
      <c r="AP224" s="64"/>
      <c r="AQ224" s="802"/>
      <c r="AR224" s="70">
        <f t="shared" ref="AR224" si="6361">SUM(AR220:AR223)</f>
        <v>0</v>
      </c>
      <c r="AS224" s="64"/>
      <c r="AT224" s="797"/>
      <c r="AU224" s="70">
        <f t="shared" ref="AU224" si="6362">SUM(AU220:AU223)</f>
        <v>0</v>
      </c>
      <c r="AV224" s="64"/>
      <c r="AW224" s="797"/>
      <c r="AX224" s="70">
        <f t="shared" ref="AX224" si="6363">SUM(AX220:AX223)</f>
        <v>0</v>
      </c>
      <c r="AY224" s="64"/>
      <c r="AZ224" s="797"/>
      <c r="BA224" s="70">
        <f t="shared" ref="BA224" si="6364">SUM(BA220:BA223)</f>
        <v>0</v>
      </c>
      <c r="BB224" s="64"/>
      <c r="BC224" s="797"/>
      <c r="BD224" s="70">
        <f t="shared" ref="BD224" si="6365">SUM(BD220:BD223)</f>
        <v>0</v>
      </c>
      <c r="BE224" s="64"/>
      <c r="BF224" s="797"/>
      <c r="BG224" s="70">
        <f t="shared" ref="BG224" si="6366">SUM(BG220:BG223)</f>
        <v>0</v>
      </c>
      <c r="BH224" s="64"/>
      <c r="BI224" s="797"/>
      <c r="BJ224" s="70">
        <f t="shared" ref="BJ224" si="6367">SUM(BJ220:BJ223)</f>
        <v>0</v>
      </c>
      <c r="BK224" s="64"/>
      <c r="BL224" s="797"/>
      <c r="BM224" s="70">
        <f t="shared" ref="BM224" si="6368">SUM(BM220:BM223)</f>
        <v>0</v>
      </c>
      <c r="BN224" s="64"/>
      <c r="BO224" s="812"/>
      <c r="BP224" s="70">
        <f t="shared" ref="BP224" si="6369">SUM(BP220:BP223)</f>
        <v>0</v>
      </c>
      <c r="BQ224" s="64"/>
      <c r="BR224" s="797"/>
      <c r="BS224" s="70">
        <f t="shared" ref="BS224" si="6370">SUM(BS220:BS223)</f>
        <v>0</v>
      </c>
      <c r="BT224" s="64"/>
      <c r="BU224" s="797"/>
      <c r="BV224" s="70">
        <f t="shared" ref="BV224" si="6371">SUM(BV220:BV223)</f>
        <v>0</v>
      </c>
      <c r="BW224" s="64"/>
      <c r="BX224" s="83"/>
      <c r="BY224" s="70">
        <f t="shared" ref="BY224" si="6372">SUM(BY220:BY223)</f>
        <v>0</v>
      </c>
      <c r="BZ224" s="64"/>
      <c r="CA224" s="812"/>
      <c r="CB224" s="70">
        <f t="shared" ref="CB224" si="6373">SUM(CB220:CB223)</f>
        <v>0</v>
      </c>
      <c r="CC224" s="64"/>
      <c r="CD224" s="821"/>
      <c r="CE224" s="70">
        <f t="shared" ref="CE224" si="6374">SUM(CE220:CE223)</f>
        <v>0</v>
      </c>
      <c r="CF224" s="64"/>
      <c r="CG224" s="797"/>
      <c r="CH224" s="70">
        <f t="shared" ref="CH224" si="6375">SUM(CH220:CH223)</f>
        <v>0</v>
      </c>
      <c r="CI224" s="64"/>
      <c r="CJ224" s="797"/>
      <c r="CK224" s="70">
        <f t="shared" ref="CK224" si="6376">SUM(CK220:CK223)</f>
        <v>0</v>
      </c>
      <c r="CL224" s="64"/>
      <c r="CM224" s="797"/>
      <c r="CN224" s="70">
        <f t="shared" ref="CN224" si="6377">SUM(CN220:CN223)</f>
        <v>0</v>
      </c>
      <c r="CO224" s="64"/>
      <c r="CP224" s="797"/>
      <c r="CQ224" s="70">
        <f t="shared" ref="CQ224" si="6378">SUM(CQ220:CQ223)</f>
        <v>0</v>
      </c>
      <c r="CR224" s="64"/>
      <c r="CS224" s="797"/>
      <c r="CT224" s="70">
        <f t="shared" ref="CT224" si="6379">SUM(CT220:CT223)</f>
        <v>0</v>
      </c>
      <c r="CU224" s="64"/>
      <c r="CV224" s="797"/>
      <c r="CW224" s="70">
        <f t="shared" ref="CW224" si="6380">SUM(CW220:CW223)</f>
        <v>0</v>
      </c>
      <c r="CX224" s="64"/>
      <c r="CY224" s="797"/>
      <c r="CZ224" s="70">
        <f t="shared" ref="CZ224" si="6381">SUM(CZ220:CZ223)</f>
        <v>0</v>
      </c>
      <c r="DA224" s="64"/>
      <c r="DB224" s="797"/>
      <c r="DC224" s="70">
        <f t="shared" ref="DC224" si="6382">SUM(DC220:DC223)</f>
        <v>0</v>
      </c>
      <c r="DD224" s="64"/>
      <c r="DE224" s="797"/>
      <c r="DF224" s="70">
        <f t="shared" ref="DF224" si="6383">SUM(DF220:DF223)</f>
        <v>0</v>
      </c>
      <c r="DG224" s="64"/>
      <c r="DH224" s="797"/>
      <c r="DI224" s="70">
        <f t="shared" ref="DI224" si="6384">SUM(DI220:DI223)</f>
        <v>0</v>
      </c>
      <c r="DJ224" s="64"/>
      <c r="DK224" s="797"/>
      <c r="DL224" s="70">
        <f t="shared" ref="DL224" si="6385">SUM(DL220:DL223)</f>
        <v>0</v>
      </c>
      <c r="DM224" s="64"/>
      <c r="DN224" s="83"/>
      <c r="DO224" s="70">
        <f t="shared" ref="DO224" si="6386">SUM(DO220:DO223)</f>
        <v>0</v>
      </c>
      <c r="DP224" s="64"/>
      <c r="DQ224" s="797"/>
      <c r="DR224" s="70">
        <f t="shared" ref="DR224" si="6387">SUM(DR220:DR223)</f>
        <v>0</v>
      </c>
      <c r="DS224" s="64"/>
      <c r="DT224" s="83"/>
      <c r="DU224" s="70">
        <f t="shared" ref="DU224" si="6388">SUM(DU220:DU223)</f>
        <v>0</v>
      </c>
      <c r="DV224" s="64"/>
      <c r="DW224" s="83"/>
      <c r="DX224" s="70">
        <f t="shared" ref="DX224" si="6389">SUM(DX220:DX223)</f>
        <v>0</v>
      </c>
      <c r="DY224" s="64"/>
      <c r="DZ224" s="83"/>
      <c r="EA224" s="70">
        <f t="shared" ref="EA224" si="6390">SUM(EA220:EA223)</f>
        <v>0</v>
      </c>
      <c r="EB224" s="64"/>
      <c r="EC224" s="83"/>
      <c r="ED224" s="70">
        <f t="shared" ref="ED224" si="6391">SUM(ED220:ED223)</f>
        <v>0</v>
      </c>
      <c r="EE224" s="64"/>
      <c r="EF224" s="83"/>
      <c r="EG224" s="70">
        <f t="shared" ref="EG224" si="6392">SUM(EG220:EG223)</f>
        <v>0</v>
      </c>
      <c r="EH224" s="64"/>
      <c r="EI224" s="83"/>
      <c r="EJ224" s="70">
        <f t="shared" ref="EJ224" si="6393">SUM(EJ220:EJ223)</f>
        <v>0</v>
      </c>
      <c r="EK224" s="64"/>
      <c r="EL224" s="83"/>
      <c r="EM224" s="70">
        <f t="shared" ref="EM224" si="6394">SUM(EM220:EM223)</f>
        <v>0</v>
      </c>
      <c r="EN224" s="64"/>
      <c r="EO224" s="83"/>
      <c r="EP224" s="70">
        <f t="shared" ref="EP224" si="6395">SUM(EP220:EP223)</f>
        <v>0</v>
      </c>
      <c r="EQ224" s="64"/>
      <c r="ER224" s="83"/>
      <c r="ES224" s="70">
        <f t="shared" ref="ES224" si="6396">SUM(ES220:ES223)</f>
        <v>0</v>
      </c>
      <c r="ET224" s="64"/>
      <c r="EU224" s="83"/>
      <c r="EV224" s="70">
        <f t="shared" ref="EV224" si="6397">SUM(EV220:EV223)</f>
        <v>0</v>
      </c>
      <c r="EW224" s="64"/>
      <c r="EX224" s="83"/>
      <c r="EY224" s="70">
        <f t="shared" ref="EY224" si="6398">SUM(EY220:EY223)</f>
        <v>0</v>
      </c>
      <c r="EZ224" s="64"/>
      <c r="FA224" s="83"/>
      <c r="FB224" s="70">
        <f t="shared" ref="FB224" si="6399">SUM(FB220:FB223)</f>
        <v>0</v>
      </c>
      <c r="FC224" s="64"/>
      <c r="FD224" s="83"/>
      <c r="FE224" s="70">
        <f t="shared" ref="FE224" si="6400">SUM(FE220:FE223)</f>
        <v>0</v>
      </c>
      <c r="FF224" s="64"/>
      <c r="FG224" s="83"/>
      <c r="FH224" s="70">
        <f t="shared" ref="FH224" si="6401">SUM(FH220:FH223)</f>
        <v>0</v>
      </c>
      <c r="FI224" s="64"/>
      <c r="FJ224" s="83"/>
      <c r="FK224" s="70">
        <f t="shared" ref="FK224" si="6402">SUM(FK220:FK223)</f>
        <v>0</v>
      </c>
      <c r="FL224" s="64"/>
      <c r="FM224" s="83"/>
      <c r="FN224" s="70">
        <f t="shared" ref="FN224" si="6403">SUM(FN220:FN223)</f>
        <v>0</v>
      </c>
      <c r="FO224" s="64"/>
      <c r="FP224" s="83"/>
      <c r="FQ224" s="70">
        <f t="shared" ref="FQ224" si="6404">SUM(FQ220:FQ223)</f>
        <v>0</v>
      </c>
      <c r="FR224" s="64"/>
      <c r="FS224" s="83"/>
      <c r="FT224" s="70">
        <f t="shared" ref="FT224" si="6405">SUM(FT220:FT223)</f>
        <v>0</v>
      </c>
      <c r="FU224" s="64"/>
      <c r="FV224" s="83"/>
      <c r="FW224" s="70">
        <f t="shared" ref="FW224" si="6406">SUM(FW220:FW223)</f>
        <v>0</v>
      </c>
      <c r="FX224" s="64"/>
      <c r="FY224" s="83"/>
      <c r="FZ224" s="70">
        <f t="shared" ref="FZ224" si="6407">SUM(FZ220:FZ223)</f>
        <v>0</v>
      </c>
      <c r="GA224" s="64"/>
      <c r="GB224" s="83"/>
      <c r="GC224" s="70">
        <f t="shared" ref="GC224" si="6408">SUM(GC220:GC223)</f>
        <v>0</v>
      </c>
      <c r="GD224" s="64"/>
      <c r="GE224" s="83"/>
      <c r="GF224" s="70">
        <f t="shared" ref="GF224" si="6409">SUM(GF220:GF223)</f>
        <v>0</v>
      </c>
      <c r="GG224" s="64"/>
      <c r="GH224" s="83"/>
      <c r="GI224" s="70">
        <f t="shared" ref="GI224" si="6410">SUM(GI220:GI223)</f>
        <v>0</v>
      </c>
      <c r="GJ224" s="64"/>
      <c r="GK224" s="83"/>
      <c r="GL224" s="70">
        <f t="shared" ref="GL224" si="6411">SUM(GL220:GL223)</f>
        <v>0</v>
      </c>
      <c r="GM224" s="64"/>
      <c r="GN224" s="83"/>
      <c r="GO224" s="70">
        <f t="shared" ref="GO224" si="6412">SUM(GO220:GO223)</f>
        <v>0</v>
      </c>
      <c r="GP224" s="64"/>
      <c r="GQ224" s="83"/>
      <c r="GR224" s="70">
        <f t="shared" ref="GR224" si="6413">SUM(GR220:GR223)</f>
        <v>0</v>
      </c>
      <c r="GS224" s="64"/>
      <c r="GT224" s="83"/>
      <c r="GU224" s="70">
        <f t="shared" ref="GU224" si="6414">SUM(GU220:GU223)</f>
        <v>0</v>
      </c>
      <c r="GV224" s="64"/>
      <c r="GW224" s="83"/>
      <c r="GX224" s="70">
        <f t="shared" ref="GX224" si="6415">SUM(GX220:GX223)</f>
        <v>0</v>
      </c>
      <c r="GY224" s="64"/>
      <c r="GZ224" s="83"/>
      <c r="HA224" s="70">
        <f t="shared" ref="HA224" si="6416">SUM(HA220:HA223)</f>
        <v>0</v>
      </c>
      <c r="HB224" s="64"/>
      <c r="HC224" s="83"/>
      <c r="HD224" s="70">
        <f t="shared" ref="HD224" si="6417">SUM(HD220:HD223)</f>
        <v>0</v>
      </c>
      <c r="HE224" s="64"/>
      <c r="HF224" s="83"/>
      <c r="HG224" s="70">
        <f t="shared" ref="HG224" si="6418">SUM(HG220:HG223)</f>
        <v>0</v>
      </c>
      <c r="HH224" s="64"/>
      <c r="HI224" s="83"/>
      <c r="HJ224" s="70">
        <f t="shared" ref="HJ224" si="6419">SUM(HJ220:HJ223)</f>
        <v>0</v>
      </c>
      <c r="HK224" s="64"/>
      <c r="HL224" s="83"/>
      <c r="HM224" s="70">
        <f t="shared" ref="HM224" si="6420">SUM(HM220:HM223)</f>
        <v>0</v>
      </c>
      <c r="HN224" s="64"/>
      <c r="HO224" s="83"/>
      <c r="HP224" s="70">
        <f t="shared" ref="HP224" si="6421">SUM(HP220:HP223)</f>
        <v>0</v>
      </c>
      <c r="HQ224" s="64"/>
      <c r="HR224" s="83"/>
      <c r="HS224" s="70">
        <f t="shared" ref="HS224" si="6422">SUM(HS220:HS223)</f>
        <v>0</v>
      </c>
      <c r="HT224" s="64"/>
      <c r="HU224" s="83"/>
      <c r="HV224" s="70">
        <f t="shared" ref="HV224" si="6423">SUM(HV220:HV223)</f>
        <v>0</v>
      </c>
      <c r="HW224" s="64"/>
      <c r="HX224" s="83"/>
      <c r="HY224" s="70">
        <f t="shared" ref="HY224" si="6424">SUM(HY220:HY223)</f>
        <v>0</v>
      </c>
      <c r="HZ224" s="64"/>
      <c r="IA224" s="83"/>
      <c r="IB224" s="70">
        <f t="shared" ref="IB224" si="6425">SUM(IB220:IB223)</f>
        <v>0</v>
      </c>
      <c r="IC224" s="64"/>
      <c r="ID224" s="83"/>
      <c r="IE224" s="70">
        <f t="shared" ref="IE224" si="6426">SUM(IE220:IE223)</f>
        <v>0</v>
      </c>
      <c r="IF224" s="64"/>
      <c r="IG224" s="83"/>
      <c r="IH224" s="70">
        <f t="shared" ref="IH224" si="6427">SUM(IH220:IH223)</f>
        <v>0</v>
      </c>
      <c r="II224" s="64"/>
      <c r="IJ224" s="83"/>
      <c r="IK224" s="70">
        <f t="shared" ref="IK224" si="6428">SUM(IK220:IK223)</f>
        <v>0</v>
      </c>
      <c r="IL224" s="64"/>
      <c r="IM224" s="83"/>
      <c r="IN224" s="70">
        <f t="shared" ref="IN224" si="6429">SUM(IN220:IN223)</f>
        <v>0</v>
      </c>
      <c r="IO224" s="64"/>
      <c r="IP224" s="83"/>
      <c r="IQ224" s="70">
        <f t="shared" ref="IQ224" si="6430">SUM(IQ220:IQ223)</f>
        <v>0</v>
      </c>
      <c r="IR224" s="64"/>
      <c r="IS224" s="83"/>
      <c r="IT224" s="70">
        <f t="shared" ref="IT224" si="6431">SUM(IT220:IT223)</f>
        <v>0</v>
      </c>
      <c r="IU224" s="64"/>
      <c r="IV224" s="83"/>
      <c r="IW224" s="70">
        <f t="shared" ref="IW224" si="6432">SUM(IW220:IW223)</f>
        <v>0</v>
      </c>
      <c r="IX224" s="64"/>
      <c r="IY224" s="83"/>
      <c r="IZ224" s="70">
        <f t="shared" ref="IZ224" si="6433">SUM(IZ220:IZ223)</f>
        <v>0</v>
      </c>
      <c r="JA224" s="64"/>
      <c r="JB224" s="83"/>
      <c r="JC224" s="70">
        <f t="shared" ref="JC224" si="6434">SUM(JC220:JC223)</f>
        <v>0</v>
      </c>
      <c r="JD224" s="64"/>
      <c r="JE224" s="83"/>
      <c r="JF224" s="70">
        <f t="shared" ref="JF224" si="6435">SUM(JF220:JF223)</f>
        <v>0</v>
      </c>
      <c r="JG224" s="64"/>
      <c r="JH224" s="83"/>
      <c r="JI224" s="70">
        <f t="shared" ref="JI224" si="6436">SUM(JI220:JI223)</f>
        <v>0</v>
      </c>
      <c r="JJ224" s="64"/>
      <c r="JK224" s="83"/>
      <c r="JL224" s="70">
        <f t="shared" ref="JL224" si="6437">SUM(JL220:JL223)</f>
        <v>0</v>
      </c>
      <c r="JM224" s="64"/>
      <c r="JN224" s="83"/>
      <c r="JO224" s="70">
        <f t="shared" ref="JO224" si="6438">SUM(JO220:JO223)</f>
        <v>0</v>
      </c>
      <c r="JP224" s="64"/>
      <c r="JQ224" s="83"/>
      <c r="JR224" s="70">
        <f t="shared" ref="JR224" si="6439">SUM(JR220:JR223)</f>
        <v>0</v>
      </c>
      <c r="JS224" s="64"/>
      <c r="JT224" s="83"/>
      <c r="JU224" s="70">
        <f t="shared" ref="JU224" si="6440">SUM(JU220:JU223)</f>
        <v>0</v>
      </c>
      <c r="JV224" s="64"/>
      <c r="JW224" s="83"/>
      <c r="JX224" s="70">
        <f t="shared" ref="JX224" si="6441">SUM(JX220:JX223)</f>
        <v>0</v>
      </c>
      <c r="JY224" s="64"/>
      <c r="JZ224" s="83"/>
      <c r="KA224" s="70">
        <f t="shared" ref="KA224" si="6442">SUM(KA220:KA223)</f>
        <v>0</v>
      </c>
      <c r="KB224" s="64"/>
      <c r="KC224" s="83"/>
      <c r="KD224" s="70">
        <f t="shared" ref="KD224" si="6443">SUM(KD220:KD223)</f>
        <v>0</v>
      </c>
      <c r="KE224" s="64"/>
      <c r="KF224" s="83"/>
      <c r="KG224" s="70">
        <f t="shared" ref="KG224" si="6444">SUM(KG220:KG223)</f>
        <v>0</v>
      </c>
      <c r="KH224" s="64"/>
      <c r="KI224" s="83"/>
      <c r="KJ224" s="70">
        <f t="shared" ref="KJ224" si="6445">SUM(KJ220:KJ223)</f>
        <v>0</v>
      </c>
      <c r="KK224" s="64"/>
      <c r="KL224" s="83"/>
      <c r="KM224" s="70">
        <f t="shared" ref="KM224" si="6446">SUM(KM220:KM223)</f>
        <v>0</v>
      </c>
      <c r="KN224" s="64"/>
      <c r="KO224" s="83"/>
      <c r="KP224" s="70">
        <f t="shared" ref="KP224" si="6447">SUM(KP220:KP223)</f>
        <v>0</v>
      </c>
      <c r="KQ224" s="64"/>
      <c r="KR224" s="83"/>
      <c r="KS224" s="70">
        <f t="shared" ref="KS224" si="6448">SUM(KS220:KS223)</f>
        <v>0</v>
      </c>
      <c r="KT224" s="64"/>
      <c r="KU224" s="83"/>
      <c r="KV224" s="70">
        <f t="shared" ref="KV224" si="6449">SUM(KV220:KV223)</f>
        <v>0</v>
      </c>
      <c r="KW224" s="64"/>
      <c r="KX224" s="83"/>
      <c r="KY224" s="70">
        <f t="shared" ref="KY224" si="6450">SUM(KY220:KY223)</f>
        <v>0</v>
      </c>
      <c r="KZ224" s="64"/>
      <c r="LA224" s="83"/>
      <c r="LB224" s="70">
        <f t="shared" ref="LB224" si="6451">SUM(LB220:LB223)</f>
        <v>0</v>
      </c>
      <c r="LC224" s="64"/>
      <c r="LD224" s="83"/>
      <c r="LE224" s="70">
        <f t="shared" ref="LE224" si="6452">SUM(LE220:LE223)</f>
        <v>0</v>
      </c>
      <c r="LF224" s="64"/>
    </row>
    <row r="225" spans="1:318" s="784" customFormat="1">
      <c r="A225" s="25"/>
      <c r="B225" s="25"/>
      <c r="C225" s="25"/>
      <c r="D225" s="25"/>
      <c r="E225" s="25"/>
      <c r="F225" s="406"/>
      <c r="G225" s="406"/>
      <c r="H225" s="64"/>
      <c r="I225" s="50"/>
      <c r="J225" s="92"/>
      <c r="K225" s="111" t="str">
        <f>Idiomas!D143</f>
        <v>CLASIFICADOS PARA SEMIFINALES</v>
      </c>
      <c r="L225" s="50"/>
      <c r="M225" s="70"/>
      <c r="N225" s="25"/>
      <c r="O225" s="25"/>
      <c r="P225" s="25"/>
      <c r="Q225" s="25"/>
      <c r="R225" s="49"/>
      <c r="S225" s="797"/>
      <c r="T225" s="70"/>
      <c r="U225" s="64"/>
      <c r="V225" s="83"/>
      <c r="W225" s="70"/>
      <c r="X225" s="64"/>
      <c r="Y225" s="797"/>
      <c r="Z225" s="70"/>
      <c r="AA225" s="64"/>
      <c r="AB225" s="797"/>
      <c r="AC225" s="70"/>
      <c r="AD225" s="64"/>
      <c r="AE225" s="797"/>
      <c r="AF225" s="70"/>
      <c r="AG225" s="64"/>
      <c r="AH225" s="797"/>
      <c r="AI225" s="70"/>
      <c r="AJ225" s="64"/>
      <c r="AK225" s="802"/>
      <c r="AL225" s="70"/>
      <c r="AM225" s="64"/>
      <c r="AN225" s="797"/>
      <c r="AO225" s="70"/>
      <c r="AP225" s="64"/>
      <c r="AQ225" s="802"/>
      <c r="AR225" s="70"/>
      <c r="AS225" s="64"/>
      <c r="AT225" s="797"/>
      <c r="AU225" s="70"/>
      <c r="AV225" s="64"/>
      <c r="AW225" s="797"/>
      <c r="AX225" s="70"/>
      <c r="AY225" s="64"/>
      <c r="AZ225" s="797"/>
      <c r="BA225" s="70"/>
      <c r="BB225" s="64"/>
      <c r="BC225" s="797"/>
      <c r="BD225" s="70"/>
      <c r="BE225" s="64"/>
      <c r="BF225" s="797"/>
      <c r="BG225" s="70"/>
      <c r="BH225" s="64"/>
      <c r="BI225" s="797"/>
      <c r="BJ225" s="70"/>
      <c r="BK225" s="64"/>
      <c r="BL225" s="797"/>
      <c r="BM225" s="70"/>
      <c r="BN225" s="64"/>
      <c r="BO225" s="812"/>
      <c r="BP225" s="70"/>
      <c r="BQ225" s="64"/>
      <c r="BR225" s="797"/>
      <c r="BS225" s="70"/>
      <c r="BT225" s="64"/>
      <c r="BU225" s="797"/>
      <c r="BV225" s="70"/>
      <c r="BW225" s="64"/>
      <c r="BX225" s="83"/>
      <c r="BY225" s="70"/>
      <c r="BZ225" s="64"/>
      <c r="CA225" s="812"/>
      <c r="CB225" s="70"/>
      <c r="CC225" s="64"/>
      <c r="CD225" s="821"/>
      <c r="CE225" s="70"/>
      <c r="CF225" s="64"/>
      <c r="CG225" s="797"/>
      <c r="CH225" s="70"/>
      <c r="CI225" s="64"/>
      <c r="CJ225" s="797"/>
      <c r="CK225" s="70"/>
      <c r="CL225" s="64"/>
      <c r="CM225" s="797"/>
      <c r="CN225" s="70"/>
      <c r="CO225" s="64"/>
      <c r="CP225" s="797"/>
      <c r="CQ225" s="70"/>
      <c r="CR225" s="64"/>
      <c r="CS225" s="797"/>
      <c r="CT225" s="70"/>
      <c r="CU225" s="64"/>
      <c r="CV225" s="797"/>
      <c r="CW225" s="70"/>
      <c r="CX225" s="64"/>
      <c r="CY225" s="797"/>
      <c r="CZ225" s="70"/>
      <c r="DA225" s="64"/>
      <c r="DB225" s="797"/>
      <c r="DC225" s="70"/>
      <c r="DD225" s="64"/>
      <c r="DE225" s="797"/>
      <c r="DF225" s="70"/>
      <c r="DG225" s="64"/>
      <c r="DH225" s="797"/>
      <c r="DI225" s="70"/>
      <c r="DJ225" s="64"/>
      <c r="DK225" s="797"/>
      <c r="DL225" s="70"/>
      <c r="DM225" s="64"/>
      <c r="DN225" s="83"/>
      <c r="DO225" s="70"/>
      <c r="DP225" s="64"/>
      <c r="DQ225" s="797"/>
      <c r="DR225" s="70"/>
      <c r="DS225" s="64"/>
      <c r="DT225" s="83"/>
      <c r="DU225" s="70"/>
      <c r="DV225" s="64"/>
      <c r="DW225" s="83"/>
      <c r="DX225" s="70"/>
      <c r="DY225" s="64"/>
      <c r="DZ225" s="83"/>
      <c r="EA225" s="70"/>
      <c r="EB225" s="64"/>
      <c r="EC225" s="83"/>
      <c r="ED225" s="70"/>
      <c r="EE225" s="64"/>
      <c r="EF225" s="83"/>
      <c r="EG225" s="70"/>
      <c r="EH225" s="64"/>
      <c r="EI225" s="83"/>
      <c r="EJ225" s="70"/>
      <c r="EK225" s="64"/>
      <c r="EL225" s="83"/>
      <c r="EM225" s="70"/>
      <c r="EN225" s="64"/>
      <c r="EO225" s="83"/>
      <c r="EP225" s="70"/>
      <c r="EQ225" s="64"/>
      <c r="ER225" s="83"/>
      <c r="ES225" s="70"/>
      <c r="ET225" s="64"/>
      <c r="EU225" s="83"/>
      <c r="EV225" s="70"/>
      <c r="EW225" s="64"/>
      <c r="EX225" s="83"/>
      <c r="EY225" s="70"/>
      <c r="EZ225" s="64"/>
      <c r="FA225" s="83"/>
      <c r="FB225" s="70"/>
      <c r="FC225" s="64"/>
      <c r="FD225" s="83"/>
      <c r="FE225" s="70"/>
      <c r="FF225" s="64"/>
      <c r="FG225" s="83"/>
      <c r="FH225" s="70"/>
      <c r="FI225" s="64"/>
      <c r="FJ225" s="83"/>
      <c r="FK225" s="70"/>
      <c r="FL225" s="64"/>
      <c r="FM225" s="83"/>
      <c r="FN225" s="70"/>
      <c r="FO225" s="64"/>
      <c r="FP225" s="83"/>
      <c r="FQ225" s="70"/>
      <c r="FR225" s="64"/>
      <c r="FS225" s="83"/>
      <c r="FT225" s="70"/>
      <c r="FU225" s="64"/>
      <c r="FV225" s="83"/>
      <c r="FW225" s="70"/>
      <c r="FX225" s="64"/>
      <c r="FY225" s="83"/>
      <c r="FZ225" s="70"/>
      <c r="GA225" s="64"/>
      <c r="GB225" s="83"/>
      <c r="GC225" s="70"/>
      <c r="GD225" s="64"/>
      <c r="GE225" s="83"/>
      <c r="GF225" s="70"/>
      <c r="GG225" s="64"/>
      <c r="GH225" s="83"/>
      <c r="GI225" s="70"/>
      <c r="GJ225" s="64"/>
      <c r="GK225" s="83"/>
      <c r="GL225" s="70"/>
      <c r="GM225" s="64"/>
      <c r="GN225" s="83"/>
      <c r="GO225" s="70"/>
      <c r="GP225" s="64"/>
      <c r="GQ225" s="83"/>
      <c r="GR225" s="70"/>
      <c r="GS225" s="64"/>
      <c r="GT225" s="83"/>
      <c r="GU225" s="70"/>
      <c r="GV225" s="64"/>
      <c r="GW225" s="83"/>
      <c r="GX225" s="70"/>
      <c r="GY225" s="64"/>
      <c r="GZ225" s="83"/>
      <c r="HA225" s="70"/>
      <c r="HB225" s="64"/>
      <c r="HC225" s="83"/>
      <c r="HD225" s="70"/>
      <c r="HE225" s="64"/>
      <c r="HF225" s="83"/>
      <c r="HG225" s="70"/>
      <c r="HH225" s="64"/>
      <c r="HI225" s="83"/>
      <c r="HJ225" s="70"/>
      <c r="HK225" s="64"/>
      <c r="HL225" s="83"/>
      <c r="HM225" s="70"/>
      <c r="HN225" s="64"/>
      <c r="HO225" s="83"/>
      <c r="HP225" s="70"/>
      <c r="HQ225" s="64"/>
      <c r="HR225" s="83"/>
      <c r="HS225" s="70"/>
      <c r="HT225" s="64"/>
      <c r="HU225" s="83"/>
      <c r="HV225" s="70"/>
      <c r="HW225" s="64"/>
      <c r="HX225" s="83"/>
      <c r="HY225" s="70"/>
      <c r="HZ225" s="64"/>
      <c r="IA225" s="83"/>
      <c r="IB225" s="70"/>
      <c r="IC225" s="64"/>
      <c r="ID225" s="83"/>
      <c r="IE225" s="70"/>
      <c r="IF225" s="64"/>
      <c r="IG225" s="83"/>
      <c r="IH225" s="70"/>
      <c r="II225" s="64"/>
      <c r="IJ225" s="83"/>
      <c r="IK225" s="70"/>
      <c r="IL225" s="64"/>
      <c r="IM225" s="83"/>
      <c r="IN225" s="70"/>
      <c r="IO225" s="64"/>
      <c r="IP225" s="83"/>
      <c r="IQ225" s="70"/>
      <c r="IR225" s="64"/>
      <c r="IS225" s="83"/>
      <c r="IT225" s="70"/>
      <c r="IU225" s="64"/>
      <c r="IV225" s="83"/>
      <c r="IW225" s="70"/>
      <c r="IX225" s="64"/>
      <c r="IY225" s="83"/>
      <c r="IZ225" s="70"/>
      <c r="JA225" s="64"/>
      <c r="JB225" s="83"/>
      <c r="JC225" s="70"/>
      <c r="JD225" s="64"/>
      <c r="JE225" s="83"/>
      <c r="JF225" s="70"/>
      <c r="JG225" s="64"/>
      <c r="JH225" s="83"/>
      <c r="JI225" s="70"/>
      <c r="JJ225" s="64"/>
      <c r="JK225" s="83"/>
      <c r="JL225" s="70"/>
      <c r="JM225" s="64"/>
      <c r="JN225" s="83"/>
      <c r="JO225" s="70"/>
      <c r="JP225" s="64"/>
      <c r="JQ225" s="83"/>
      <c r="JR225" s="70"/>
      <c r="JS225" s="64"/>
      <c r="JT225" s="83"/>
      <c r="JU225" s="70"/>
      <c r="JV225" s="64"/>
      <c r="JW225" s="83"/>
      <c r="JX225" s="70"/>
      <c r="JY225" s="64"/>
      <c r="JZ225" s="83"/>
      <c r="KA225" s="70"/>
      <c r="KB225" s="64"/>
      <c r="KC225" s="83"/>
      <c r="KD225" s="70"/>
      <c r="KE225" s="64"/>
      <c r="KF225" s="83"/>
      <c r="KG225" s="70"/>
      <c r="KH225" s="64"/>
      <c r="KI225" s="83"/>
      <c r="KJ225" s="70"/>
      <c r="KK225" s="64"/>
      <c r="KL225" s="83"/>
      <c r="KM225" s="70"/>
      <c r="KN225" s="64"/>
      <c r="KO225" s="83"/>
      <c r="KP225" s="70"/>
      <c r="KQ225" s="64"/>
      <c r="KR225" s="83"/>
      <c r="KS225" s="70"/>
      <c r="KT225" s="64"/>
      <c r="KU225" s="83"/>
      <c r="KV225" s="70"/>
      <c r="KW225" s="64"/>
      <c r="KX225" s="83"/>
      <c r="KY225" s="70"/>
      <c r="KZ225" s="64"/>
      <c r="LA225" s="83"/>
      <c r="LB225" s="70"/>
      <c r="LC225" s="64"/>
      <c r="LD225" s="83"/>
      <c r="LE225" s="70"/>
      <c r="LF225" s="64"/>
    </row>
    <row r="226" spans="1:318" s="784" customFormat="1">
      <c r="A226" s="25"/>
      <c r="B226" s="25"/>
      <c r="C226" s="25"/>
      <c r="D226" s="25"/>
      <c r="E226" s="25"/>
      <c r="F226" s="406">
        <f>$D$27</f>
        <v>50</v>
      </c>
      <c r="G226" s="406">
        <f ca="1">VLOOKUP(H226,Equipos!$Q$1:$R$25,2,0)</f>
        <v>22</v>
      </c>
      <c r="H226" s="64" t="str">
        <f>Idiomas!$D$262</f>
        <v>Cuartos de final</v>
      </c>
      <c r="I226" s="50"/>
      <c r="J226" s="843" t="s">
        <v>35</v>
      </c>
      <c r="K226" s="53" t="str">
        <f>Idiomas!$D$201&amp;"-"&amp;ROWS($L$226:L226)</f>
        <v>Semifinalista-1</v>
      </c>
      <c r="L226" s="53"/>
      <c r="M226" s="55" t="str">
        <f>WORLDCUP!AA138</f>
        <v>W97</v>
      </c>
      <c r="N226" s="25"/>
      <c r="O226" s="25"/>
      <c r="P226" s="25"/>
      <c r="Q226" s="25"/>
      <c r="R226" s="108"/>
      <c r="S226" s="796" t="s">
        <v>74</v>
      </c>
      <c r="T226" s="76">
        <f t="shared" ref="T226:T229" si="6453">COUNTIF($M$226:$M$229,S226)*$D$27</f>
        <v>0</v>
      </c>
      <c r="U226" s="63"/>
      <c r="V226" s="75" t="s">
        <v>111</v>
      </c>
      <c r="W226" s="76">
        <f t="shared" ref="W226:W229" si="6454">COUNTIF($M$226:$M$229,V226)*$D$27</f>
        <v>0</v>
      </c>
      <c r="X226" s="63"/>
      <c r="Y226" s="796" t="s">
        <v>74</v>
      </c>
      <c r="Z226" s="76">
        <f t="shared" ref="Z226:Z229" si="6455">COUNTIF($M$226:$M$229,Y226)*$D$27</f>
        <v>0</v>
      </c>
      <c r="AA226" s="63"/>
      <c r="AB226" s="796" t="s">
        <v>111</v>
      </c>
      <c r="AC226" s="76">
        <f t="shared" ref="AC226:AC229" si="6456">COUNTIF($M$226:$M$229,AB226)*$D$27</f>
        <v>0</v>
      </c>
      <c r="AD226" s="63"/>
      <c r="AE226" s="796" t="s">
        <v>111</v>
      </c>
      <c r="AF226" s="76">
        <f t="shared" ref="AF226" si="6457">COUNTIF($M$226:$M$229,AE226)*$D$27</f>
        <v>0</v>
      </c>
      <c r="AG226" s="63"/>
      <c r="AH226" s="796" t="s">
        <v>135</v>
      </c>
      <c r="AI226" s="76">
        <f t="shared" ref="AI226:AI229" si="6458">COUNTIF($M$226:$M$229,AH226)*$D$27</f>
        <v>0</v>
      </c>
      <c r="AJ226" s="63"/>
      <c r="AK226" s="806" t="s">
        <v>74</v>
      </c>
      <c r="AL226" s="76">
        <f t="shared" ref="AL226:AL229" si="6459">COUNTIF($M$226:$M$229,AK226)*$D$27</f>
        <v>0</v>
      </c>
      <c r="AM226" s="63"/>
      <c r="AN226" s="796" t="s">
        <v>77</v>
      </c>
      <c r="AO226" s="76">
        <f t="shared" ref="AO226:AO229" si="6460">COUNTIF($M$226:$M$229,AN226)*$D$27</f>
        <v>0</v>
      </c>
      <c r="AP226" s="63"/>
      <c r="AQ226" s="806" t="s">
        <v>74</v>
      </c>
      <c r="AR226" s="76">
        <f t="shared" ref="AR226:AR229" si="6461">COUNTIF($M$226:$M$229,AQ226)*$D$27</f>
        <v>0</v>
      </c>
      <c r="AS226" s="63"/>
      <c r="AT226" s="796" t="s">
        <v>1261</v>
      </c>
      <c r="AU226" s="76">
        <f t="shared" ref="AU226:AU229" si="6462">COUNTIF($M$226:$M$229,AT226)*$D$27</f>
        <v>0</v>
      </c>
      <c r="AV226" s="63"/>
      <c r="AW226" s="796" t="s">
        <v>111</v>
      </c>
      <c r="AX226" s="76">
        <f t="shared" ref="AX226:AX229" si="6463">COUNTIF($M$226:$M$229,AW226)*$D$27</f>
        <v>0</v>
      </c>
      <c r="AY226" s="63"/>
      <c r="AZ226" s="796" t="s">
        <v>1726</v>
      </c>
      <c r="BA226" s="76">
        <f t="shared" ref="BA226:BA229" si="6464">COUNTIF($M$226:$M$229,AZ226)*$D$27</f>
        <v>0</v>
      </c>
      <c r="BB226" s="63"/>
      <c r="BC226" s="796" t="s">
        <v>74</v>
      </c>
      <c r="BD226" s="76">
        <f t="shared" ref="BD226:BD229" si="6465">COUNTIF($M$226:$M$229,BC226)*$D$27</f>
        <v>0</v>
      </c>
      <c r="BE226" s="63"/>
      <c r="BF226" s="796" t="s">
        <v>135</v>
      </c>
      <c r="BG226" s="76">
        <f t="shared" ref="BG226:BG229" si="6466">COUNTIF($M$226:$M$229,BF226)*$D$27</f>
        <v>0</v>
      </c>
      <c r="BH226" s="63"/>
      <c r="BI226" s="796" t="s">
        <v>74</v>
      </c>
      <c r="BJ226" s="76">
        <f t="shared" ref="BJ226:BJ229" si="6467">COUNTIF($M$226:$M$229,BI226)*$D$27</f>
        <v>0</v>
      </c>
      <c r="BK226" s="63"/>
      <c r="BL226" s="796" t="s">
        <v>111</v>
      </c>
      <c r="BM226" s="76">
        <f t="shared" ref="BM226:BM229" si="6468">COUNTIF($M$226:$M$229,BL226)*$D$27</f>
        <v>0</v>
      </c>
      <c r="BN226" s="63"/>
      <c r="BO226" s="816" t="s">
        <v>74</v>
      </c>
      <c r="BP226" s="76">
        <f t="shared" ref="BP226:BP229" si="6469">COUNTIF($M$226:$M$229,BO226)*$D$27</f>
        <v>0</v>
      </c>
      <c r="BQ226" s="63"/>
      <c r="BR226" s="796" t="s">
        <v>111</v>
      </c>
      <c r="BS226" s="76">
        <f t="shared" ref="BS226:BS229" si="6470">COUNTIF($M$226:$M$229,BR226)*$D$27</f>
        <v>0</v>
      </c>
      <c r="BT226" s="63"/>
      <c r="BU226" s="796" t="s">
        <v>1263</v>
      </c>
      <c r="BV226" s="76">
        <f t="shared" ref="BV226:BV229" si="6471">COUNTIF($M$226:$M$229,BU226)*$D$27</f>
        <v>0</v>
      </c>
      <c r="BW226" s="63"/>
      <c r="BX226" s="75" t="s">
        <v>74</v>
      </c>
      <c r="BY226" s="76">
        <f t="shared" ref="BY226:BY229" si="6472">COUNTIF($M$226:$M$229,BX226)*$D$27</f>
        <v>0</v>
      </c>
      <c r="BZ226" s="63"/>
      <c r="CA226" s="816" t="s">
        <v>74</v>
      </c>
      <c r="CB226" s="76">
        <f t="shared" ref="CB226:CB229" si="6473">COUNTIF($M$226:$M$229,CA226)*$D$27</f>
        <v>0</v>
      </c>
      <c r="CC226" s="63"/>
      <c r="CD226" s="825" t="s">
        <v>111</v>
      </c>
      <c r="CE226" s="76">
        <f t="shared" ref="CE226:CE229" si="6474">COUNTIF($M$226:$M$229,CD226)*$D$27</f>
        <v>0</v>
      </c>
      <c r="CF226" s="63"/>
      <c r="CG226" s="796" t="s">
        <v>77</v>
      </c>
      <c r="CH226" s="76">
        <f t="shared" ref="CH226:CH229" si="6475">COUNTIF($M$226:$M$229,CG226)*$D$27</f>
        <v>0</v>
      </c>
      <c r="CI226" s="63"/>
      <c r="CJ226" s="796" t="s">
        <v>74</v>
      </c>
      <c r="CK226" s="76">
        <f t="shared" ref="CK226:CK229" si="6476">COUNTIF($M$226:$M$229,CJ226)*$D$27</f>
        <v>0</v>
      </c>
      <c r="CL226" s="63"/>
      <c r="CM226" s="796" t="s">
        <v>74</v>
      </c>
      <c r="CN226" s="76">
        <f t="shared" ref="CN226:CN229" si="6477">COUNTIF($M$226:$M$229,CM226)*$D$27</f>
        <v>0</v>
      </c>
      <c r="CO226" s="63"/>
      <c r="CP226" s="796" t="s">
        <v>74</v>
      </c>
      <c r="CQ226" s="76">
        <f t="shared" ref="CQ226:CQ229" si="6478">COUNTIF($M$226:$M$229,CP226)*$D$27</f>
        <v>0</v>
      </c>
      <c r="CR226" s="63"/>
      <c r="CS226" s="796" t="s">
        <v>74</v>
      </c>
      <c r="CT226" s="76">
        <f t="shared" ref="CT226:CT229" si="6479">COUNTIF($M$226:$M$229,CS226)*$D$27</f>
        <v>0</v>
      </c>
      <c r="CU226" s="63"/>
      <c r="CV226" s="796" t="s">
        <v>74</v>
      </c>
      <c r="CW226" s="76">
        <f t="shared" ref="CW226:CW229" si="6480">COUNTIF($M$226:$M$229,CV226)*$D$27</f>
        <v>0</v>
      </c>
      <c r="CX226" s="63"/>
      <c r="CY226" s="796" t="s">
        <v>74</v>
      </c>
      <c r="CZ226" s="76">
        <f t="shared" ref="CZ226:CZ229" si="6481">COUNTIF($M$226:$M$229,CY226)*$D$27</f>
        <v>0</v>
      </c>
      <c r="DA226" s="63"/>
      <c r="DB226" s="796" t="s">
        <v>74</v>
      </c>
      <c r="DC226" s="76">
        <f t="shared" ref="DC226:DC229" si="6482">COUNTIF($M$226:$M$229,DB226)*$D$27</f>
        <v>0</v>
      </c>
      <c r="DD226" s="63"/>
      <c r="DE226" s="796" t="s">
        <v>74</v>
      </c>
      <c r="DF226" s="76">
        <f>COUNTIF($M$226:$M$229,DE226)*$D$27</f>
        <v>0</v>
      </c>
      <c r="DG226" s="63"/>
      <c r="DH226" s="796" t="s">
        <v>74</v>
      </c>
      <c r="DI226" s="76">
        <f>COUNTIF($M$226:$M$229,DH226)*$D$27</f>
        <v>0</v>
      </c>
      <c r="DJ226" s="63"/>
      <c r="DK226" s="796" t="s">
        <v>74</v>
      </c>
      <c r="DL226" s="76">
        <f>COUNTIF($M$226:$M$229,DK226)*$D$27</f>
        <v>0</v>
      </c>
      <c r="DM226" s="63"/>
      <c r="DN226" s="75"/>
      <c r="DO226" s="76">
        <f t="shared" ref="DO226:DO229" si="6483">COUNTIF($M$226:$M$229,DN226)*$D$27</f>
        <v>0</v>
      </c>
      <c r="DP226" s="63"/>
      <c r="DQ226" s="796" t="s">
        <v>111</v>
      </c>
      <c r="DR226" s="76">
        <f t="shared" ref="DR226:DR229" si="6484">COUNTIF($M$226:$M$229,DQ226)*$D$27</f>
        <v>0</v>
      </c>
      <c r="DS226" s="63"/>
      <c r="DT226" s="75" t="s">
        <v>74</v>
      </c>
      <c r="DU226" s="76">
        <f t="shared" ref="DU226:DU229" si="6485">COUNTIF($M$226:$M$229,DT226)*$D$27</f>
        <v>0</v>
      </c>
      <c r="DV226" s="63"/>
      <c r="DW226" s="75"/>
      <c r="DX226" s="76">
        <f t="shared" ref="DX226:DX229" si="6486">COUNTIF($M$226:$M$229,DW226)*$D$27</f>
        <v>0</v>
      </c>
      <c r="DY226" s="63"/>
      <c r="DZ226" s="75"/>
      <c r="EA226" s="76">
        <f>COUNTIF($M$226:$M$229,DZ226)*$D$27</f>
        <v>0</v>
      </c>
      <c r="EB226" s="63"/>
      <c r="EC226" s="75"/>
      <c r="ED226" s="76">
        <f t="shared" ref="ED226:ED229" si="6487">COUNTIF($M$226:$M$229,EC226)*$D$27</f>
        <v>0</v>
      </c>
      <c r="EE226" s="63"/>
      <c r="EF226" s="75"/>
      <c r="EG226" s="76">
        <f t="shared" ref="EG226:EG229" si="6488">COUNTIF($M$226:$M$229,EF226)*$D$27</f>
        <v>0</v>
      </c>
      <c r="EH226" s="63"/>
      <c r="EI226" s="75"/>
      <c r="EJ226" s="76">
        <f t="shared" ref="EJ226:EJ229" si="6489">COUNTIF($M$226:$M$229,EI226)*$D$27</f>
        <v>0</v>
      </c>
      <c r="EK226" s="63"/>
      <c r="EL226" s="75"/>
      <c r="EM226" s="76">
        <f t="shared" ref="EM226:EM229" si="6490">COUNTIF($M$226:$M$229,EL226)*$D$27</f>
        <v>0</v>
      </c>
      <c r="EN226" s="63"/>
      <c r="EO226" s="75"/>
      <c r="EP226" s="76">
        <f t="shared" ref="EP226:EP229" si="6491">COUNTIF($M$226:$M$229,EO226)*$D$27</f>
        <v>0</v>
      </c>
      <c r="EQ226" s="63"/>
      <c r="ER226" s="75"/>
      <c r="ES226" s="76">
        <f t="shared" ref="ES226:ES229" si="6492">COUNTIF($M$226:$M$229,ER226)*$D$27</f>
        <v>0</v>
      </c>
      <c r="ET226" s="63"/>
      <c r="EU226" s="75"/>
      <c r="EV226" s="76">
        <f t="shared" ref="EV226:EV229" si="6493">COUNTIF($M$226:$M$229,EU226)*$D$27</f>
        <v>0</v>
      </c>
      <c r="EW226" s="63"/>
      <c r="EX226" s="75"/>
      <c r="EY226" s="76">
        <f t="shared" ref="EY226:EY229" si="6494">COUNTIF($M$226:$M$229,EX226)*$D$27</f>
        <v>0</v>
      </c>
      <c r="EZ226" s="63"/>
      <c r="FA226" s="75"/>
      <c r="FB226" s="76">
        <f t="shared" ref="FB226:FB229" si="6495">COUNTIF($M$226:$M$229,FA226)*$D$27</f>
        <v>0</v>
      </c>
      <c r="FC226" s="63"/>
      <c r="FD226" s="75"/>
      <c r="FE226" s="76">
        <f t="shared" ref="FE226:FE229" si="6496">COUNTIF($M$226:$M$229,FD226)*$D$27</f>
        <v>0</v>
      </c>
      <c r="FF226" s="63"/>
      <c r="FG226" s="75"/>
      <c r="FH226" s="76">
        <f t="shared" ref="FH226:FH229" si="6497">COUNTIF($M$226:$M$229,FG226)*$D$27</f>
        <v>0</v>
      </c>
      <c r="FI226" s="63"/>
      <c r="FJ226" s="75"/>
      <c r="FK226" s="76">
        <f t="shared" ref="FK226:FK229" si="6498">COUNTIF($M$226:$M$229,FJ226)*$D$27</f>
        <v>0</v>
      </c>
      <c r="FL226" s="63"/>
      <c r="FM226" s="75"/>
      <c r="FN226" s="76">
        <f t="shared" ref="FN226:FN229" si="6499">COUNTIF($M$226:$M$229,FM226)*$D$27</f>
        <v>0</v>
      </c>
      <c r="FO226" s="63"/>
      <c r="FP226" s="75"/>
      <c r="FQ226" s="76">
        <f t="shared" ref="FQ226:FQ229" si="6500">COUNTIF($M$226:$M$229,FP226)*$D$27</f>
        <v>0</v>
      </c>
      <c r="FR226" s="63"/>
      <c r="FS226" s="75"/>
      <c r="FT226" s="76">
        <f t="shared" ref="FT226:FT229" si="6501">COUNTIF($M$226:$M$229,FS226)*$D$27</f>
        <v>0</v>
      </c>
      <c r="FU226" s="63"/>
      <c r="FV226" s="75"/>
      <c r="FW226" s="76">
        <f t="shared" ref="FW226:FW229" si="6502">COUNTIF($M$226:$M$229,FV226)*$D$27</f>
        <v>0</v>
      </c>
      <c r="FX226" s="63"/>
      <c r="FY226" s="75"/>
      <c r="FZ226" s="76">
        <f t="shared" ref="FZ226:FZ229" si="6503">COUNTIF($M$226:$M$229,FY226)*$D$27</f>
        <v>0</v>
      </c>
      <c r="GA226" s="63"/>
      <c r="GB226" s="75"/>
      <c r="GC226" s="76">
        <f t="shared" ref="GC226:GC229" si="6504">COUNTIF($M$226:$M$229,GB226)*$D$27</f>
        <v>0</v>
      </c>
      <c r="GD226" s="63"/>
      <c r="GE226" s="75"/>
      <c r="GF226" s="76">
        <f t="shared" ref="GF226:GF229" si="6505">COUNTIF($M$226:$M$229,GE226)*$D$27</f>
        <v>0</v>
      </c>
      <c r="GG226" s="63"/>
      <c r="GH226" s="75"/>
      <c r="GI226" s="76">
        <f t="shared" ref="GI226:GI229" si="6506">COUNTIF($M$226:$M$229,GH226)*$D$27</f>
        <v>0</v>
      </c>
      <c r="GJ226" s="63"/>
      <c r="GK226" s="75"/>
      <c r="GL226" s="76">
        <f t="shared" ref="GL226:GL229" si="6507">COUNTIF($M$226:$M$229,GK226)*$D$27</f>
        <v>0</v>
      </c>
      <c r="GM226" s="63"/>
      <c r="GN226" s="75"/>
      <c r="GO226" s="76">
        <f t="shared" ref="GO226:GO229" si="6508">COUNTIF($M$226:$M$229,GN226)*$D$27</f>
        <v>0</v>
      </c>
      <c r="GP226" s="63"/>
      <c r="GQ226" s="75"/>
      <c r="GR226" s="76">
        <f t="shared" ref="GR226:GR229" si="6509">COUNTIF($M$226:$M$229,GQ226)*$D$27</f>
        <v>0</v>
      </c>
      <c r="GS226" s="63"/>
      <c r="GT226" s="75"/>
      <c r="GU226" s="76">
        <f t="shared" ref="GU226:GU229" si="6510">COUNTIF($M$226:$M$229,GT226)*$D$27</f>
        <v>0</v>
      </c>
      <c r="GV226" s="63"/>
      <c r="GW226" s="75"/>
      <c r="GX226" s="76">
        <f t="shared" ref="GX226:GX229" si="6511">COUNTIF($M$226:$M$229,GW226)*$D$27</f>
        <v>0</v>
      </c>
      <c r="GY226" s="63"/>
      <c r="GZ226" s="75"/>
      <c r="HA226" s="76">
        <f t="shared" ref="HA226:HA229" si="6512">COUNTIF($M$226:$M$229,GZ226)*$D$27</f>
        <v>0</v>
      </c>
      <c r="HB226" s="63"/>
      <c r="HC226" s="75"/>
      <c r="HD226" s="76">
        <f t="shared" ref="HD226:HD229" si="6513">COUNTIF($M$226:$M$229,HC226)*$D$27</f>
        <v>0</v>
      </c>
      <c r="HE226" s="63"/>
      <c r="HF226" s="75"/>
      <c r="HG226" s="76">
        <f t="shared" ref="HG226:HG229" si="6514">COUNTIF($M$226:$M$229,HF226)*$D$27</f>
        <v>0</v>
      </c>
      <c r="HH226" s="63"/>
      <c r="HI226" s="75"/>
      <c r="HJ226" s="76">
        <f t="shared" ref="HJ226:HJ229" si="6515">COUNTIF($M$226:$M$229,HI226)*$D$27</f>
        <v>0</v>
      </c>
      <c r="HK226" s="63"/>
      <c r="HL226" s="75"/>
      <c r="HM226" s="76">
        <f t="shared" ref="HM226:HM229" si="6516">COUNTIF($M$226:$M$229,HL226)*$D$27</f>
        <v>0</v>
      </c>
      <c r="HN226" s="63"/>
      <c r="HO226" s="75"/>
      <c r="HP226" s="76">
        <f t="shared" ref="HP226:HP229" si="6517">COUNTIF($M$226:$M$229,HO226)*$D$27</f>
        <v>0</v>
      </c>
      <c r="HQ226" s="63"/>
      <c r="HR226" s="75"/>
      <c r="HS226" s="76">
        <f t="shared" ref="HS226:HS229" si="6518">COUNTIF($M$226:$M$229,HR226)*$D$27</f>
        <v>0</v>
      </c>
      <c r="HT226" s="63"/>
      <c r="HU226" s="75"/>
      <c r="HV226" s="76">
        <f t="shared" ref="HV226:HV229" si="6519">COUNTIF($M$226:$M$229,HU226)*$D$27</f>
        <v>0</v>
      </c>
      <c r="HW226" s="63"/>
      <c r="HX226" s="75"/>
      <c r="HY226" s="76">
        <f t="shared" ref="HY226:HY229" si="6520">COUNTIF($M$226:$M$229,HX226)*$D$27</f>
        <v>0</v>
      </c>
      <c r="HZ226" s="63"/>
      <c r="IA226" s="75"/>
      <c r="IB226" s="76">
        <f t="shared" ref="IB226:IB229" si="6521">COUNTIF($M$226:$M$229,IA226)*$D$27</f>
        <v>0</v>
      </c>
      <c r="IC226" s="63"/>
      <c r="ID226" s="75"/>
      <c r="IE226" s="76">
        <f t="shared" ref="IE226:IE229" si="6522">COUNTIF($M$226:$M$229,ID226)*$D$27</f>
        <v>0</v>
      </c>
      <c r="IF226" s="63"/>
      <c r="IG226" s="75"/>
      <c r="IH226" s="76">
        <f t="shared" ref="IH226:IH229" si="6523">COUNTIF($M$226:$M$229,IG226)*$D$27</f>
        <v>0</v>
      </c>
      <c r="II226" s="63"/>
      <c r="IJ226" s="75"/>
      <c r="IK226" s="76">
        <f t="shared" ref="IK226:IK229" si="6524">COUNTIF($M$226:$M$229,IJ226)*$D$27</f>
        <v>0</v>
      </c>
      <c r="IL226" s="63"/>
      <c r="IM226" s="75"/>
      <c r="IN226" s="76">
        <f t="shared" ref="IN226:IN229" si="6525">COUNTIF($M$226:$M$229,IM226)*$D$27</f>
        <v>0</v>
      </c>
      <c r="IO226" s="63"/>
      <c r="IP226" s="75"/>
      <c r="IQ226" s="76">
        <f t="shared" ref="IQ226:IQ229" si="6526">COUNTIF($M$226:$M$229,IP226)*$D$27</f>
        <v>0</v>
      </c>
      <c r="IR226" s="63"/>
      <c r="IS226" s="75"/>
      <c r="IT226" s="76">
        <f t="shared" ref="IT226:IT229" si="6527">COUNTIF($M$226:$M$229,IS226)*$D$27</f>
        <v>0</v>
      </c>
      <c r="IU226" s="63"/>
      <c r="IV226" s="75"/>
      <c r="IW226" s="76">
        <f t="shared" ref="IW226:IW229" si="6528">COUNTIF($M$226:$M$229,IV226)*$D$27</f>
        <v>0</v>
      </c>
      <c r="IX226" s="63"/>
      <c r="IY226" s="75"/>
      <c r="IZ226" s="76">
        <f t="shared" ref="IZ226:IZ229" si="6529">COUNTIF($M$226:$M$229,IY226)*$D$27</f>
        <v>0</v>
      </c>
      <c r="JA226" s="63"/>
      <c r="JB226" s="75"/>
      <c r="JC226" s="76">
        <f t="shared" ref="JC226:JC229" si="6530">COUNTIF($M$226:$M$229,JB226)*$D$27</f>
        <v>0</v>
      </c>
      <c r="JD226" s="63"/>
      <c r="JE226" s="75"/>
      <c r="JF226" s="76">
        <f t="shared" ref="JF226:JF229" si="6531">COUNTIF($M$226:$M$229,JE226)*$D$27</f>
        <v>0</v>
      </c>
      <c r="JG226" s="63"/>
      <c r="JH226" s="75"/>
      <c r="JI226" s="76">
        <f t="shared" ref="JI226:JI229" si="6532">COUNTIF($M$226:$M$229,JH226)*$D$27</f>
        <v>0</v>
      </c>
      <c r="JJ226" s="63"/>
      <c r="JK226" s="75"/>
      <c r="JL226" s="76">
        <f t="shared" ref="JL226:JL229" si="6533">COUNTIF($M$226:$M$229,JK226)*$D$27</f>
        <v>0</v>
      </c>
      <c r="JM226" s="63"/>
      <c r="JN226" s="75"/>
      <c r="JO226" s="76">
        <f t="shared" ref="JO226:JO229" si="6534">COUNTIF($M$226:$M$229,JN226)*$D$27</f>
        <v>0</v>
      </c>
      <c r="JP226" s="63"/>
      <c r="JQ226" s="75"/>
      <c r="JR226" s="76">
        <f t="shared" ref="JR226:JR229" si="6535">COUNTIF($M$226:$M$229,JQ226)*$D$27</f>
        <v>0</v>
      </c>
      <c r="JS226" s="63"/>
      <c r="JT226" s="75"/>
      <c r="JU226" s="76">
        <f t="shared" ref="JU226:JU229" si="6536">COUNTIF($M$226:$M$229,JT226)*$D$27</f>
        <v>0</v>
      </c>
      <c r="JV226" s="63"/>
      <c r="JW226" s="75"/>
      <c r="JX226" s="76">
        <f t="shared" ref="JX226:JX229" si="6537">COUNTIF($M$226:$M$229,JW226)*$D$27</f>
        <v>0</v>
      </c>
      <c r="JY226" s="63"/>
      <c r="JZ226" s="75"/>
      <c r="KA226" s="76">
        <f t="shared" ref="KA226:KA229" si="6538">COUNTIF($M$226:$M$229,JZ226)*$D$27</f>
        <v>0</v>
      </c>
      <c r="KB226" s="63"/>
      <c r="KC226" s="75"/>
      <c r="KD226" s="76">
        <f t="shared" ref="KD226:KD229" si="6539">COUNTIF($M$226:$M$229,KC226)*$D$27</f>
        <v>0</v>
      </c>
      <c r="KE226" s="63"/>
      <c r="KF226" s="75"/>
      <c r="KG226" s="76">
        <f t="shared" ref="KG226:KG229" si="6540">COUNTIF($M$226:$M$229,KF226)*$D$27</f>
        <v>0</v>
      </c>
      <c r="KH226" s="63"/>
      <c r="KI226" s="75"/>
      <c r="KJ226" s="76">
        <f t="shared" ref="KJ226:KJ229" si="6541">COUNTIF($M$226:$M$229,KI226)*$D$27</f>
        <v>0</v>
      </c>
      <c r="KK226" s="63"/>
      <c r="KL226" s="75"/>
      <c r="KM226" s="76">
        <f t="shared" ref="KM226:KM229" si="6542">COUNTIF($M$226:$M$229,KL226)*$D$27</f>
        <v>0</v>
      </c>
      <c r="KN226" s="63"/>
      <c r="KO226" s="75"/>
      <c r="KP226" s="76">
        <f t="shared" ref="KP226:KP229" si="6543">COUNTIF($M$226:$M$229,KO226)*$D$27</f>
        <v>0</v>
      </c>
      <c r="KQ226" s="63"/>
      <c r="KR226" s="75"/>
      <c r="KS226" s="76">
        <f t="shared" ref="KS226:KS229" si="6544">COUNTIF($M$226:$M$229,KR226)*$D$27</f>
        <v>0</v>
      </c>
      <c r="KT226" s="63"/>
      <c r="KU226" s="75"/>
      <c r="KV226" s="76">
        <f t="shared" ref="KV226:KV229" si="6545">COUNTIF($M$226:$M$229,KU226)*$D$27</f>
        <v>0</v>
      </c>
      <c r="KW226" s="63"/>
      <c r="KX226" s="75"/>
      <c r="KY226" s="76">
        <f t="shared" ref="KY226:KY229" si="6546">COUNTIF($M$226:$M$229,KX226)*$D$27</f>
        <v>0</v>
      </c>
      <c r="KZ226" s="63"/>
      <c r="LA226" s="75"/>
      <c r="LB226" s="76">
        <f t="shared" ref="LB226:LB229" si="6547">COUNTIF($M$226:$M$229,LA226)*$D$27</f>
        <v>0</v>
      </c>
      <c r="LC226" s="63"/>
      <c r="LD226" s="75"/>
      <c r="LE226" s="76">
        <f t="shared" ref="LE226:LE229" si="6548">COUNTIF($M$226:$M$229,LD226)*$D$27</f>
        <v>0</v>
      </c>
      <c r="LF226" s="63"/>
    </row>
    <row r="227" spans="1:318" s="784" customFormat="1">
      <c r="A227" s="25"/>
      <c r="B227" s="25"/>
      <c r="C227" s="25"/>
      <c r="D227" s="25"/>
      <c r="E227" s="25"/>
      <c r="F227" s="406">
        <f t="shared" ref="F227:F229" si="6549">$D$27</f>
        <v>50</v>
      </c>
      <c r="G227" s="406">
        <f ca="1">VLOOKUP(H227,Equipos!$Q$1:$R$25,2,0)</f>
        <v>22</v>
      </c>
      <c r="H227" s="64" t="str">
        <f>Idiomas!$D$262</f>
        <v>Cuartos de final</v>
      </c>
      <c r="I227" s="50"/>
      <c r="J227" s="843"/>
      <c r="K227" s="56" t="str">
        <f>Idiomas!$D$201&amp;"-"&amp;ROWS($L$226:L227)</f>
        <v>Semifinalista-2</v>
      </c>
      <c r="L227" s="53"/>
      <c r="M227" s="55" t="str">
        <f>WORLDCUP!AA139</f>
        <v>W99</v>
      </c>
      <c r="N227" s="25"/>
      <c r="O227" s="25"/>
      <c r="P227" s="25"/>
      <c r="Q227" s="25"/>
      <c r="R227" s="108"/>
      <c r="S227" s="796" t="s">
        <v>76</v>
      </c>
      <c r="T227" s="72">
        <f t="shared" si="6453"/>
        <v>0</v>
      </c>
      <c r="U227" s="63"/>
      <c r="V227" s="73" t="s">
        <v>135</v>
      </c>
      <c r="W227" s="72">
        <f t="shared" si="6454"/>
        <v>0</v>
      </c>
      <c r="X227" s="63"/>
      <c r="Y227" s="796" t="s">
        <v>1321</v>
      </c>
      <c r="Z227" s="72">
        <f t="shared" si="6455"/>
        <v>0</v>
      </c>
      <c r="AA227" s="63"/>
      <c r="AB227" s="796" t="s">
        <v>76</v>
      </c>
      <c r="AC227" s="72">
        <f t="shared" si="6456"/>
        <v>0</v>
      </c>
      <c r="AD227" s="63"/>
      <c r="AE227" s="796" t="s">
        <v>76</v>
      </c>
      <c r="AF227" s="72">
        <f t="shared" ref="AF227" si="6550">COUNTIF($M$226:$M$229,AE227)*$D$27</f>
        <v>0</v>
      </c>
      <c r="AG227" s="63"/>
      <c r="AH227" s="796" t="s">
        <v>74</v>
      </c>
      <c r="AI227" s="72">
        <f t="shared" si="6458"/>
        <v>0</v>
      </c>
      <c r="AJ227" s="63"/>
      <c r="AK227" s="806" t="s">
        <v>1258</v>
      </c>
      <c r="AL227" s="72">
        <f t="shared" si="6459"/>
        <v>0</v>
      </c>
      <c r="AM227" s="63"/>
      <c r="AN227" s="796" t="s">
        <v>1321</v>
      </c>
      <c r="AO227" s="72">
        <f t="shared" si="6460"/>
        <v>0</v>
      </c>
      <c r="AP227" s="63"/>
      <c r="AQ227" s="806" t="s">
        <v>1258</v>
      </c>
      <c r="AR227" s="72">
        <f t="shared" si="6461"/>
        <v>0</v>
      </c>
      <c r="AS227" s="63"/>
      <c r="AT227" s="796" t="s">
        <v>74</v>
      </c>
      <c r="AU227" s="72">
        <f t="shared" si="6462"/>
        <v>0</v>
      </c>
      <c r="AV227" s="63"/>
      <c r="AW227" s="796" t="s">
        <v>1258</v>
      </c>
      <c r="AX227" s="72">
        <f t="shared" si="6463"/>
        <v>0</v>
      </c>
      <c r="AY227" s="63"/>
      <c r="AZ227" s="796" t="s">
        <v>1728</v>
      </c>
      <c r="BA227" s="72">
        <f t="shared" si="6464"/>
        <v>0</v>
      </c>
      <c r="BB227" s="63"/>
      <c r="BC227" s="796" t="s">
        <v>1258</v>
      </c>
      <c r="BD227" s="72">
        <f t="shared" si="6465"/>
        <v>0</v>
      </c>
      <c r="BE227" s="63"/>
      <c r="BF227" s="796" t="s">
        <v>1258</v>
      </c>
      <c r="BG227" s="72">
        <f t="shared" si="6466"/>
        <v>0</v>
      </c>
      <c r="BH227" s="63"/>
      <c r="BI227" s="796" t="s">
        <v>76</v>
      </c>
      <c r="BJ227" s="72">
        <f t="shared" si="6467"/>
        <v>0</v>
      </c>
      <c r="BK227" s="63"/>
      <c r="BL227" s="796" t="s">
        <v>74</v>
      </c>
      <c r="BM227" s="72">
        <f t="shared" si="6468"/>
        <v>0</v>
      </c>
      <c r="BN227" s="63"/>
      <c r="BO227" s="816" t="s">
        <v>1258</v>
      </c>
      <c r="BP227" s="72">
        <f t="shared" si="6469"/>
        <v>0</v>
      </c>
      <c r="BQ227" s="63"/>
      <c r="BR227" s="796" t="s">
        <v>1258</v>
      </c>
      <c r="BS227" s="72">
        <f t="shared" si="6470"/>
        <v>0</v>
      </c>
      <c r="BT227" s="63"/>
      <c r="BU227" s="796" t="s">
        <v>111</v>
      </c>
      <c r="BV227" s="72">
        <f t="shared" si="6471"/>
        <v>0</v>
      </c>
      <c r="BW227" s="63"/>
      <c r="BX227" s="73" t="s">
        <v>1258</v>
      </c>
      <c r="BY227" s="72">
        <f t="shared" si="6472"/>
        <v>0</v>
      </c>
      <c r="BZ227" s="63"/>
      <c r="CA227" s="816" t="s">
        <v>76</v>
      </c>
      <c r="CB227" s="72">
        <f t="shared" si="6473"/>
        <v>0</v>
      </c>
      <c r="CC227" s="63"/>
      <c r="CD227" s="825" t="s">
        <v>1258</v>
      </c>
      <c r="CE227" s="72">
        <f t="shared" si="6474"/>
        <v>0</v>
      </c>
      <c r="CF227" s="63"/>
      <c r="CG227" s="796" t="s">
        <v>74</v>
      </c>
      <c r="CH227" s="72">
        <f t="shared" si="6475"/>
        <v>0</v>
      </c>
      <c r="CI227" s="63"/>
      <c r="CJ227" s="796" t="s">
        <v>1258</v>
      </c>
      <c r="CK227" s="72">
        <f t="shared" si="6476"/>
        <v>0</v>
      </c>
      <c r="CL227" s="63"/>
      <c r="CM227" s="796" t="s">
        <v>1321</v>
      </c>
      <c r="CN227" s="72">
        <f t="shared" si="6477"/>
        <v>0</v>
      </c>
      <c r="CO227" s="63"/>
      <c r="CP227" s="796" t="s">
        <v>1258</v>
      </c>
      <c r="CQ227" s="72">
        <f t="shared" si="6478"/>
        <v>0</v>
      </c>
      <c r="CR227" s="63"/>
      <c r="CS227" s="796" t="s">
        <v>76</v>
      </c>
      <c r="CT227" s="72">
        <f t="shared" si="6479"/>
        <v>0</v>
      </c>
      <c r="CU227" s="63"/>
      <c r="CV227" s="796" t="s">
        <v>77</v>
      </c>
      <c r="CW227" s="72">
        <f t="shared" si="6480"/>
        <v>0</v>
      </c>
      <c r="CX227" s="63"/>
      <c r="CY227" s="796" t="s">
        <v>1258</v>
      </c>
      <c r="CZ227" s="72">
        <f t="shared" si="6481"/>
        <v>0</v>
      </c>
      <c r="DA227" s="63"/>
      <c r="DB227" s="796" t="s">
        <v>1261</v>
      </c>
      <c r="DC227" s="72">
        <f t="shared" si="6482"/>
        <v>0</v>
      </c>
      <c r="DD227" s="63"/>
      <c r="DE227" s="796" t="s">
        <v>1258</v>
      </c>
      <c r="DF227" s="72">
        <f>COUNTIF($M$226:$M$229,DE227)*$D$27</f>
        <v>0</v>
      </c>
      <c r="DG227" s="63"/>
      <c r="DH227" s="796" t="s">
        <v>76</v>
      </c>
      <c r="DI227" s="72">
        <f>COUNTIF($M$226:$M$229,DH227)*$D$27</f>
        <v>0</v>
      </c>
      <c r="DJ227" s="63"/>
      <c r="DK227" s="796" t="s">
        <v>1258</v>
      </c>
      <c r="DL227" s="72">
        <f>COUNTIF($M$226:$M$229,DK227)*$D$27</f>
        <v>0</v>
      </c>
      <c r="DM227" s="63"/>
      <c r="DN227" s="73"/>
      <c r="DO227" s="72">
        <f t="shared" si="6483"/>
        <v>0</v>
      </c>
      <c r="DP227" s="63"/>
      <c r="DQ227" s="796" t="s">
        <v>76</v>
      </c>
      <c r="DR227" s="72">
        <f t="shared" si="6484"/>
        <v>0</v>
      </c>
      <c r="DS227" s="63"/>
      <c r="DT227" s="73" t="s">
        <v>1258</v>
      </c>
      <c r="DU227" s="72">
        <f t="shared" si="6485"/>
        <v>0</v>
      </c>
      <c r="DV227" s="63"/>
      <c r="DW227" s="73"/>
      <c r="DX227" s="72">
        <f t="shared" si="6486"/>
        <v>0</v>
      </c>
      <c r="DY227" s="63"/>
      <c r="DZ227" s="73"/>
      <c r="EA227" s="72">
        <f>COUNTIF($M$226:$M$229,DZ227)*$D$27</f>
        <v>0</v>
      </c>
      <c r="EB227" s="63"/>
      <c r="EC227" s="73"/>
      <c r="ED227" s="72">
        <f t="shared" si="6487"/>
        <v>0</v>
      </c>
      <c r="EE227" s="63"/>
      <c r="EF227" s="73"/>
      <c r="EG227" s="72">
        <f t="shared" si="6488"/>
        <v>0</v>
      </c>
      <c r="EH227" s="63"/>
      <c r="EI227" s="73"/>
      <c r="EJ227" s="72">
        <f t="shared" si="6489"/>
        <v>0</v>
      </c>
      <c r="EK227" s="63"/>
      <c r="EL227" s="73"/>
      <c r="EM227" s="72">
        <f t="shared" si="6490"/>
        <v>0</v>
      </c>
      <c r="EN227" s="63"/>
      <c r="EO227" s="73"/>
      <c r="EP227" s="72">
        <f t="shared" si="6491"/>
        <v>0</v>
      </c>
      <c r="EQ227" s="63"/>
      <c r="ER227" s="73"/>
      <c r="ES227" s="72">
        <f t="shared" si="6492"/>
        <v>0</v>
      </c>
      <c r="ET227" s="63"/>
      <c r="EU227" s="73"/>
      <c r="EV227" s="72">
        <f t="shared" si="6493"/>
        <v>0</v>
      </c>
      <c r="EW227" s="63"/>
      <c r="EX227" s="73"/>
      <c r="EY227" s="72">
        <f t="shared" si="6494"/>
        <v>0</v>
      </c>
      <c r="EZ227" s="63"/>
      <c r="FA227" s="73"/>
      <c r="FB227" s="72">
        <f t="shared" si="6495"/>
        <v>0</v>
      </c>
      <c r="FC227" s="63"/>
      <c r="FD227" s="73"/>
      <c r="FE227" s="72">
        <f t="shared" si="6496"/>
        <v>0</v>
      </c>
      <c r="FF227" s="63"/>
      <c r="FG227" s="73"/>
      <c r="FH227" s="72">
        <f t="shared" si="6497"/>
        <v>0</v>
      </c>
      <c r="FI227" s="63"/>
      <c r="FJ227" s="73"/>
      <c r="FK227" s="72">
        <f t="shared" si="6498"/>
        <v>0</v>
      </c>
      <c r="FL227" s="63"/>
      <c r="FM227" s="73"/>
      <c r="FN227" s="72">
        <f t="shared" si="6499"/>
        <v>0</v>
      </c>
      <c r="FO227" s="63"/>
      <c r="FP227" s="73"/>
      <c r="FQ227" s="72">
        <f t="shared" si="6500"/>
        <v>0</v>
      </c>
      <c r="FR227" s="63"/>
      <c r="FS227" s="73"/>
      <c r="FT227" s="72">
        <f t="shared" si="6501"/>
        <v>0</v>
      </c>
      <c r="FU227" s="63"/>
      <c r="FV227" s="73"/>
      <c r="FW227" s="72">
        <f t="shared" si="6502"/>
        <v>0</v>
      </c>
      <c r="FX227" s="63"/>
      <c r="FY227" s="73"/>
      <c r="FZ227" s="72">
        <f t="shared" si="6503"/>
        <v>0</v>
      </c>
      <c r="GA227" s="63"/>
      <c r="GB227" s="73"/>
      <c r="GC227" s="72">
        <f t="shared" si="6504"/>
        <v>0</v>
      </c>
      <c r="GD227" s="63"/>
      <c r="GE227" s="73"/>
      <c r="GF227" s="72">
        <f t="shared" si="6505"/>
        <v>0</v>
      </c>
      <c r="GG227" s="63"/>
      <c r="GH227" s="73"/>
      <c r="GI227" s="72">
        <f t="shared" si="6506"/>
        <v>0</v>
      </c>
      <c r="GJ227" s="63"/>
      <c r="GK227" s="73"/>
      <c r="GL227" s="72">
        <f t="shared" si="6507"/>
        <v>0</v>
      </c>
      <c r="GM227" s="63"/>
      <c r="GN227" s="73"/>
      <c r="GO227" s="72">
        <f t="shared" si="6508"/>
        <v>0</v>
      </c>
      <c r="GP227" s="63"/>
      <c r="GQ227" s="73"/>
      <c r="GR227" s="72">
        <f t="shared" si="6509"/>
        <v>0</v>
      </c>
      <c r="GS227" s="63"/>
      <c r="GT227" s="73"/>
      <c r="GU227" s="72">
        <f t="shared" si="6510"/>
        <v>0</v>
      </c>
      <c r="GV227" s="63"/>
      <c r="GW227" s="73"/>
      <c r="GX227" s="72">
        <f t="shared" si="6511"/>
        <v>0</v>
      </c>
      <c r="GY227" s="63"/>
      <c r="GZ227" s="73"/>
      <c r="HA227" s="72">
        <f t="shared" si="6512"/>
        <v>0</v>
      </c>
      <c r="HB227" s="63"/>
      <c r="HC227" s="73"/>
      <c r="HD227" s="72">
        <f t="shared" si="6513"/>
        <v>0</v>
      </c>
      <c r="HE227" s="63"/>
      <c r="HF227" s="73"/>
      <c r="HG227" s="72">
        <f t="shared" si="6514"/>
        <v>0</v>
      </c>
      <c r="HH227" s="63"/>
      <c r="HI227" s="73"/>
      <c r="HJ227" s="72">
        <f t="shared" si="6515"/>
        <v>0</v>
      </c>
      <c r="HK227" s="63"/>
      <c r="HL227" s="73"/>
      <c r="HM227" s="72">
        <f t="shared" si="6516"/>
        <v>0</v>
      </c>
      <c r="HN227" s="63"/>
      <c r="HO227" s="73"/>
      <c r="HP227" s="72">
        <f t="shared" si="6517"/>
        <v>0</v>
      </c>
      <c r="HQ227" s="63"/>
      <c r="HR227" s="73"/>
      <c r="HS227" s="72">
        <f t="shared" si="6518"/>
        <v>0</v>
      </c>
      <c r="HT227" s="63"/>
      <c r="HU227" s="73"/>
      <c r="HV227" s="72">
        <f t="shared" si="6519"/>
        <v>0</v>
      </c>
      <c r="HW227" s="63"/>
      <c r="HX227" s="73"/>
      <c r="HY227" s="72">
        <f t="shared" si="6520"/>
        <v>0</v>
      </c>
      <c r="HZ227" s="63"/>
      <c r="IA227" s="73"/>
      <c r="IB227" s="72">
        <f t="shared" si="6521"/>
        <v>0</v>
      </c>
      <c r="IC227" s="63"/>
      <c r="ID227" s="73"/>
      <c r="IE227" s="72">
        <f t="shared" si="6522"/>
        <v>0</v>
      </c>
      <c r="IF227" s="63"/>
      <c r="IG227" s="73"/>
      <c r="IH227" s="72">
        <f t="shared" si="6523"/>
        <v>0</v>
      </c>
      <c r="II227" s="63"/>
      <c r="IJ227" s="73"/>
      <c r="IK227" s="72">
        <f t="shared" si="6524"/>
        <v>0</v>
      </c>
      <c r="IL227" s="63"/>
      <c r="IM227" s="73"/>
      <c r="IN227" s="72">
        <f t="shared" si="6525"/>
        <v>0</v>
      </c>
      <c r="IO227" s="63"/>
      <c r="IP227" s="73"/>
      <c r="IQ227" s="72">
        <f t="shared" si="6526"/>
        <v>0</v>
      </c>
      <c r="IR227" s="63"/>
      <c r="IS227" s="73"/>
      <c r="IT227" s="72">
        <f t="shared" si="6527"/>
        <v>0</v>
      </c>
      <c r="IU227" s="63"/>
      <c r="IV227" s="73"/>
      <c r="IW227" s="72">
        <f t="shared" si="6528"/>
        <v>0</v>
      </c>
      <c r="IX227" s="63"/>
      <c r="IY227" s="73"/>
      <c r="IZ227" s="72">
        <f t="shared" si="6529"/>
        <v>0</v>
      </c>
      <c r="JA227" s="63"/>
      <c r="JB227" s="73"/>
      <c r="JC227" s="72">
        <f t="shared" si="6530"/>
        <v>0</v>
      </c>
      <c r="JD227" s="63"/>
      <c r="JE227" s="73"/>
      <c r="JF227" s="72">
        <f t="shared" si="6531"/>
        <v>0</v>
      </c>
      <c r="JG227" s="63"/>
      <c r="JH227" s="73"/>
      <c r="JI227" s="72">
        <f t="shared" si="6532"/>
        <v>0</v>
      </c>
      <c r="JJ227" s="63"/>
      <c r="JK227" s="73"/>
      <c r="JL227" s="72">
        <f t="shared" si="6533"/>
        <v>0</v>
      </c>
      <c r="JM227" s="63"/>
      <c r="JN227" s="73"/>
      <c r="JO227" s="72">
        <f t="shared" si="6534"/>
        <v>0</v>
      </c>
      <c r="JP227" s="63"/>
      <c r="JQ227" s="73"/>
      <c r="JR227" s="72">
        <f t="shared" si="6535"/>
        <v>0</v>
      </c>
      <c r="JS227" s="63"/>
      <c r="JT227" s="73"/>
      <c r="JU227" s="72">
        <f t="shared" si="6536"/>
        <v>0</v>
      </c>
      <c r="JV227" s="63"/>
      <c r="JW227" s="73"/>
      <c r="JX227" s="72">
        <f t="shared" si="6537"/>
        <v>0</v>
      </c>
      <c r="JY227" s="63"/>
      <c r="JZ227" s="73"/>
      <c r="KA227" s="72">
        <f t="shared" si="6538"/>
        <v>0</v>
      </c>
      <c r="KB227" s="63"/>
      <c r="KC227" s="73"/>
      <c r="KD227" s="72">
        <f t="shared" si="6539"/>
        <v>0</v>
      </c>
      <c r="KE227" s="63"/>
      <c r="KF227" s="73"/>
      <c r="KG227" s="72">
        <f t="shared" si="6540"/>
        <v>0</v>
      </c>
      <c r="KH227" s="63"/>
      <c r="KI227" s="73"/>
      <c r="KJ227" s="72">
        <f t="shared" si="6541"/>
        <v>0</v>
      </c>
      <c r="KK227" s="63"/>
      <c r="KL227" s="73"/>
      <c r="KM227" s="72">
        <f t="shared" si="6542"/>
        <v>0</v>
      </c>
      <c r="KN227" s="63"/>
      <c r="KO227" s="73"/>
      <c r="KP227" s="72">
        <f t="shared" si="6543"/>
        <v>0</v>
      </c>
      <c r="KQ227" s="63"/>
      <c r="KR227" s="73"/>
      <c r="KS227" s="72">
        <f t="shared" si="6544"/>
        <v>0</v>
      </c>
      <c r="KT227" s="63"/>
      <c r="KU227" s="73"/>
      <c r="KV227" s="72">
        <f t="shared" si="6545"/>
        <v>0</v>
      </c>
      <c r="KW227" s="63"/>
      <c r="KX227" s="73"/>
      <c r="KY227" s="72">
        <f t="shared" si="6546"/>
        <v>0</v>
      </c>
      <c r="KZ227" s="63"/>
      <c r="LA227" s="73"/>
      <c r="LB227" s="72">
        <f t="shared" si="6547"/>
        <v>0</v>
      </c>
      <c r="LC227" s="63"/>
      <c r="LD227" s="73"/>
      <c r="LE227" s="72">
        <f t="shared" si="6548"/>
        <v>0</v>
      </c>
      <c r="LF227" s="63"/>
    </row>
    <row r="228" spans="1:318" s="784" customFormat="1">
      <c r="A228" s="25"/>
      <c r="B228" s="25"/>
      <c r="C228" s="25"/>
      <c r="D228" s="25"/>
      <c r="E228" s="25"/>
      <c r="F228" s="406">
        <f t="shared" si="6549"/>
        <v>50</v>
      </c>
      <c r="G228" s="406">
        <f ca="1">VLOOKUP(H228,Equipos!$Q$1:$R$25,2,0)</f>
        <v>22</v>
      </c>
      <c r="H228" s="64" t="str">
        <f>Idiomas!$D$262</f>
        <v>Cuartos de final</v>
      </c>
      <c r="I228" s="50"/>
      <c r="J228" s="843"/>
      <c r="K228" s="56" t="str">
        <f>Idiomas!$D$201&amp;"-"&amp;ROWS($L$226:L228)</f>
        <v>Semifinalista-3</v>
      </c>
      <c r="L228" s="53"/>
      <c r="M228" s="55" t="str">
        <f>WORLDCUP!AF138</f>
        <v>W98</v>
      </c>
      <c r="N228" s="25"/>
      <c r="O228" s="25"/>
      <c r="P228" s="25"/>
      <c r="Q228" s="25"/>
      <c r="R228" s="108"/>
      <c r="S228" s="796" t="s">
        <v>38</v>
      </c>
      <c r="T228" s="72">
        <f t="shared" si="6453"/>
        <v>0</v>
      </c>
      <c r="U228" s="63"/>
      <c r="V228" s="73" t="s">
        <v>38</v>
      </c>
      <c r="W228" s="72">
        <f t="shared" si="6454"/>
        <v>0</v>
      </c>
      <c r="X228" s="63"/>
      <c r="Y228" s="796" t="s">
        <v>110</v>
      </c>
      <c r="Z228" s="72">
        <f t="shared" si="6455"/>
        <v>0</v>
      </c>
      <c r="AA228" s="63"/>
      <c r="AB228" s="796" t="s">
        <v>38</v>
      </c>
      <c r="AC228" s="72">
        <f t="shared" si="6456"/>
        <v>0</v>
      </c>
      <c r="AD228" s="63"/>
      <c r="AE228" s="796" t="s">
        <v>38</v>
      </c>
      <c r="AF228" s="72">
        <f t="shared" ref="AF228" si="6551">COUNTIF($M$226:$M$229,AE228)*$D$27</f>
        <v>0</v>
      </c>
      <c r="AG228" s="63"/>
      <c r="AH228" s="796" t="s">
        <v>38</v>
      </c>
      <c r="AI228" s="72">
        <f t="shared" si="6458"/>
        <v>0</v>
      </c>
      <c r="AJ228" s="63"/>
      <c r="AK228" s="806" t="s">
        <v>38</v>
      </c>
      <c r="AL228" s="72">
        <f t="shared" si="6459"/>
        <v>0</v>
      </c>
      <c r="AM228" s="63"/>
      <c r="AN228" s="796" t="s">
        <v>38</v>
      </c>
      <c r="AO228" s="72">
        <f t="shared" si="6460"/>
        <v>0</v>
      </c>
      <c r="AP228" s="63"/>
      <c r="AQ228" s="806" t="s">
        <v>38</v>
      </c>
      <c r="AR228" s="72">
        <f t="shared" si="6461"/>
        <v>0</v>
      </c>
      <c r="AS228" s="63"/>
      <c r="AT228" s="796" t="s">
        <v>38</v>
      </c>
      <c r="AU228" s="72">
        <f t="shared" si="6462"/>
        <v>0</v>
      </c>
      <c r="AV228" s="63"/>
      <c r="AW228" s="796" t="s">
        <v>38</v>
      </c>
      <c r="AX228" s="72">
        <f t="shared" si="6463"/>
        <v>0</v>
      </c>
      <c r="AY228" s="63"/>
      <c r="AZ228" s="796" t="s">
        <v>1839</v>
      </c>
      <c r="BA228" s="72">
        <f t="shared" si="6464"/>
        <v>0</v>
      </c>
      <c r="BB228" s="63"/>
      <c r="BC228" s="796" t="s">
        <v>38</v>
      </c>
      <c r="BD228" s="72">
        <f t="shared" si="6465"/>
        <v>0</v>
      </c>
      <c r="BE228" s="63"/>
      <c r="BF228" s="796" t="s">
        <v>76</v>
      </c>
      <c r="BG228" s="72">
        <f t="shared" si="6466"/>
        <v>0</v>
      </c>
      <c r="BH228" s="63"/>
      <c r="BI228" s="796" t="s">
        <v>38</v>
      </c>
      <c r="BJ228" s="72">
        <f t="shared" si="6467"/>
        <v>0</v>
      </c>
      <c r="BK228" s="63"/>
      <c r="BL228" s="796" t="s">
        <v>38</v>
      </c>
      <c r="BM228" s="72">
        <f t="shared" si="6468"/>
        <v>0</v>
      </c>
      <c r="BN228" s="63"/>
      <c r="BO228" s="816" t="s">
        <v>38</v>
      </c>
      <c r="BP228" s="72">
        <f t="shared" si="6469"/>
        <v>0</v>
      </c>
      <c r="BQ228" s="63"/>
      <c r="BR228" s="796" t="s">
        <v>38</v>
      </c>
      <c r="BS228" s="72">
        <f t="shared" si="6470"/>
        <v>0</v>
      </c>
      <c r="BT228" s="63"/>
      <c r="BU228" s="796" t="s">
        <v>38</v>
      </c>
      <c r="BV228" s="72">
        <f t="shared" si="6471"/>
        <v>0</v>
      </c>
      <c r="BW228" s="63"/>
      <c r="BX228" s="73" t="s">
        <v>38</v>
      </c>
      <c r="BY228" s="72">
        <f t="shared" si="6472"/>
        <v>0</v>
      </c>
      <c r="BZ228" s="63"/>
      <c r="CA228" s="816" t="s">
        <v>38</v>
      </c>
      <c r="CB228" s="72">
        <f t="shared" si="6473"/>
        <v>0</v>
      </c>
      <c r="CC228" s="63"/>
      <c r="CD228" s="825" t="s">
        <v>38</v>
      </c>
      <c r="CE228" s="72">
        <f t="shared" si="6474"/>
        <v>0</v>
      </c>
      <c r="CF228" s="63"/>
      <c r="CG228" s="796" t="s">
        <v>38</v>
      </c>
      <c r="CH228" s="72">
        <f t="shared" si="6475"/>
        <v>0</v>
      </c>
      <c r="CI228" s="63"/>
      <c r="CJ228" s="796" t="s">
        <v>38</v>
      </c>
      <c r="CK228" s="72">
        <f t="shared" si="6476"/>
        <v>0</v>
      </c>
      <c r="CL228" s="63"/>
      <c r="CM228" s="796" t="s">
        <v>79</v>
      </c>
      <c r="CN228" s="72">
        <f t="shared" si="6477"/>
        <v>0</v>
      </c>
      <c r="CO228" s="63"/>
      <c r="CP228" s="796" t="s">
        <v>1318</v>
      </c>
      <c r="CQ228" s="72">
        <f t="shared" si="6478"/>
        <v>0</v>
      </c>
      <c r="CR228" s="63"/>
      <c r="CS228" s="796" t="s">
        <v>38</v>
      </c>
      <c r="CT228" s="72">
        <f t="shared" si="6479"/>
        <v>0</v>
      </c>
      <c r="CU228" s="63"/>
      <c r="CV228" s="796" t="s">
        <v>38</v>
      </c>
      <c r="CW228" s="72">
        <f t="shared" si="6480"/>
        <v>0</v>
      </c>
      <c r="CX228" s="63"/>
      <c r="CY228" s="796" t="s">
        <v>110</v>
      </c>
      <c r="CZ228" s="72">
        <f t="shared" si="6481"/>
        <v>0</v>
      </c>
      <c r="DA228" s="63"/>
      <c r="DB228" s="796" t="s">
        <v>79</v>
      </c>
      <c r="DC228" s="72">
        <f t="shared" si="6482"/>
        <v>0</v>
      </c>
      <c r="DD228" s="63"/>
      <c r="DE228" s="796" t="s">
        <v>38</v>
      </c>
      <c r="DF228" s="72">
        <f>COUNTIF($M$226:$M$229,DE228)*$D$27</f>
        <v>0</v>
      </c>
      <c r="DG228" s="63"/>
      <c r="DH228" s="796" t="s">
        <v>38</v>
      </c>
      <c r="DI228" s="72">
        <f>COUNTIF($M$226:$M$229,DH228)*$D$27</f>
        <v>0</v>
      </c>
      <c r="DJ228" s="63"/>
      <c r="DK228" s="796" t="s">
        <v>38</v>
      </c>
      <c r="DL228" s="72">
        <f>COUNTIF($M$226:$M$229,DK228)*$D$27</f>
        <v>0</v>
      </c>
      <c r="DM228" s="63"/>
      <c r="DN228" s="73"/>
      <c r="DO228" s="72">
        <f t="shared" si="6483"/>
        <v>0</v>
      </c>
      <c r="DP228" s="63"/>
      <c r="DQ228" s="796" t="s">
        <v>38</v>
      </c>
      <c r="DR228" s="72">
        <f t="shared" si="6484"/>
        <v>0</v>
      </c>
      <c r="DS228" s="63"/>
      <c r="DT228" s="73" t="s">
        <v>38</v>
      </c>
      <c r="DU228" s="72">
        <f t="shared" si="6485"/>
        <v>0</v>
      </c>
      <c r="DV228" s="63"/>
      <c r="DW228" s="73"/>
      <c r="DX228" s="72">
        <f t="shared" si="6486"/>
        <v>0</v>
      </c>
      <c r="DY228" s="63"/>
      <c r="DZ228" s="73"/>
      <c r="EA228" s="72">
        <f>COUNTIF($M$226:$M$229,DZ228)*$D$27</f>
        <v>0</v>
      </c>
      <c r="EB228" s="63"/>
      <c r="EC228" s="73"/>
      <c r="ED228" s="72">
        <f t="shared" si="6487"/>
        <v>0</v>
      </c>
      <c r="EE228" s="63"/>
      <c r="EF228" s="73"/>
      <c r="EG228" s="72">
        <f t="shared" si="6488"/>
        <v>0</v>
      </c>
      <c r="EH228" s="63"/>
      <c r="EI228" s="73"/>
      <c r="EJ228" s="72">
        <f t="shared" si="6489"/>
        <v>0</v>
      </c>
      <c r="EK228" s="63"/>
      <c r="EL228" s="73"/>
      <c r="EM228" s="72">
        <f t="shared" si="6490"/>
        <v>0</v>
      </c>
      <c r="EN228" s="63"/>
      <c r="EO228" s="73"/>
      <c r="EP228" s="72">
        <f t="shared" si="6491"/>
        <v>0</v>
      </c>
      <c r="EQ228" s="63"/>
      <c r="ER228" s="73"/>
      <c r="ES228" s="72">
        <f t="shared" si="6492"/>
        <v>0</v>
      </c>
      <c r="ET228" s="63"/>
      <c r="EU228" s="73"/>
      <c r="EV228" s="72">
        <f t="shared" si="6493"/>
        <v>0</v>
      </c>
      <c r="EW228" s="63"/>
      <c r="EX228" s="73"/>
      <c r="EY228" s="72">
        <f t="shared" si="6494"/>
        <v>0</v>
      </c>
      <c r="EZ228" s="63"/>
      <c r="FA228" s="73"/>
      <c r="FB228" s="72">
        <f t="shared" si="6495"/>
        <v>0</v>
      </c>
      <c r="FC228" s="63"/>
      <c r="FD228" s="73"/>
      <c r="FE228" s="72">
        <f t="shared" si="6496"/>
        <v>0</v>
      </c>
      <c r="FF228" s="63"/>
      <c r="FG228" s="73"/>
      <c r="FH228" s="72">
        <f t="shared" si="6497"/>
        <v>0</v>
      </c>
      <c r="FI228" s="63"/>
      <c r="FJ228" s="73"/>
      <c r="FK228" s="72">
        <f t="shared" si="6498"/>
        <v>0</v>
      </c>
      <c r="FL228" s="63"/>
      <c r="FM228" s="73"/>
      <c r="FN228" s="72">
        <f t="shared" si="6499"/>
        <v>0</v>
      </c>
      <c r="FO228" s="63"/>
      <c r="FP228" s="73"/>
      <c r="FQ228" s="72">
        <f t="shared" si="6500"/>
        <v>0</v>
      </c>
      <c r="FR228" s="63"/>
      <c r="FS228" s="73"/>
      <c r="FT228" s="72">
        <f t="shared" si="6501"/>
        <v>0</v>
      </c>
      <c r="FU228" s="63"/>
      <c r="FV228" s="73"/>
      <c r="FW228" s="72">
        <f t="shared" si="6502"/>
        <v>0</v>
      </c>
      <c r="FX228" s="63"/>
      <c r="FY228" s="73"/>
      <c r="FZ228" s="72">
        <f t="shared" si="6503"/>
        <v>0</v>
      </c>
      <c r="GA228" s="63"/>
      <c r="GB228" s="73"/>
      <c r="GC228" s="72">
        <f t="shared" si="6504"/>
        <v>0</v>
      </c>
      <c r="GD228" s="63"/>
      <c r="GE228" s="73"/>
      <c r="GF228" s="72">
        <f t="shared" si="6505"/>
        <v>0</v>
      </c>
      <c r="GG228" s="63"/>
      <c r="GH228" s="73"/>
      <c r="GI228" s="72">
        <f t="shared" si="6506"/>
        <v>0</v>
      </c>
      <c r="GJ228" s="63"/>
      <c r="GK228" s="73"/>
      <c r="GL228" s="72">
        <f t="shared" si="6507"/>
        <v>0</v>
      </c>
      <c r="GM228" s="63"/>
      <c r="GN228" s="73"/>
      <c r="GO228" s="72">
        <f t="shared" si="6508"/>
        <v>0</v>
      </c>
      <c r="GP228" s="63"/>
      <c r="GQ228" s="73"/>
      <c r="GR228" s="72">
        <f t="shared" si="6509"/>
        <v>0</v>
      </c>
      <c r="GS228" s="63"/>
      <c r="GT228" s="73"/>
      <c r="GU228" s="72">
        <f t="shared" si="6510"/>
        <v>0</v>
      </c>
      <c r="GV228" s="63"/>
      <c r="GW228" s="73"/>
      <c r="GX228" s="72">
        <f t="shared" si="6511"/>
        <v>0</v>
      </c>
      <c r="GY228" s="63"/>
      <c r="GZ228" s="73"/>
      <c r="HA228" s="72">
        <f t="shared" si="6512"/>
        <v>0</v>
      </c>
      <c r="HB228" s="63"/>
      <c r="HC228" s="73"/>
      <c r="HD228" s="72">
        <f t="shared" si="6513"/>
        <v>0</v>
      </c>
      <c r="HE228" s="63"/>
      <c r="HF228" s="73"/>
      <c r="HG228" s="72">
        <f t="shared" si="6514"/>
        <v>0</v>
      </c>
      <c r="HH228" s="63"/>
      <c r="HI228" s="73"/>
      <c r="HJ228" s="72">
        <f t="shared" si="6515"/>
        <v>0</v>
      </c>
      <c r="HK228" s="63"/>
      <c r="HL228" s="73"/>
      <c r="HM228" s="72">
        <f t="shared" si="6516"/>
        <v>0</v>
      </c>
      <c r="HN228" s="63"/>
      <c r="HO228" s="73"/>
      <c r="HP228" s="72">
        <f t="shared" si="6517"/>
        <v>0</v>
      </c>
      <c r="HQ228" s="63"/>
      <c r="HR228" s="73"/>
      <c r="HS228" s="72">
        <f t="shared" si="6518"/>
        <v>0</v>
      </c>
      <c r="HT228" s="63"/>
      <c r="HU228" s="73"/>
      <c r="HV228" s="72">
        <f t="shared" si="6519"/>
        <v>0</v>
      </c>
      <c r="HW228" s="63"/>
      <c r="HX228" s="73"/>
      <c r="HY228" s="72">
        <f t="shared" si="6520"/>
        <v>0</v>
      </c>
      <c r="HZ228" s="63"/>
      <c r="IA228" s="73"/>
      <c r="IB228" s="72">
        <f t="shared" si="6521"/>
        <v>0</v>
      </c>
      <c r="IC228" s="63"/>
      <c r="ID228" s="73"/>
      <c r="IE228" s="72">
        <f t="shared" si="6522"/>
        <v>0</v>
      </c>
      <c r="IF228" s="63"/>
      <c r="IG228" s="73"/>
      <c r="IH228" s="72">
        <f t="shared" si="6523"/>
        <v>0</v>
      </c>
      <c r="II228" s="63"/>
      <c r="IJ228" s="73"/>
      <c r="IK228" s="72">
        <f t="shared" si="6524"/>
        <v>0</v>
      </c>
      <c r="IL228" s="63"/>
      <c r="IM228" s="73"/>
      <c r="IN228" s="72">
        <f t="shared" si="6525"/>
        <v>0</v>
      </c>
      <c r="IO228" s="63"/>
      <c r="IP228" s="73"/>
      <c r="IQ228" s="72">
        <f t="shared" si="6526"/>
        <v>0</v>
      </c>
      <c r="IR228" s="63"/>
      <c r="IS228" s="73"/>
      <c r="IT228" s="72">
        <f t="shared" si="6527"/>
        <v>0</v>
      </c>
      <c r="IU228" s="63"/>
      <c r="IV228" s="73"/>
      <c r="IW228" s="72">
        <f t="shared" si="6528"/>
        <v>0</v>
      </c>
      <c r="IX228" s="63"/>
      <c r="IY228" s="73"/>
      <c r="IZ228" s="72">
        <f t="shared" si="6529"/>
        <v>0</v>
      </c>
      <c r="JA228" s="63"/>
      <c r="JB228" s="73"/>
      <c r="JC228" s="72">
        <f t="shared" si="6530"/>
        <v>0</v>
      </c>
      <c r="JD228" s="63"/>
      <c r="JE228" s="73"/>
      <c r="JF228" s="72">
        <f t="shared" si="6531"/>
        <v>0</v>
      </c>
      <c r="JG228" s="63"/>
      <c r="JH228" s="73"/>
      <c r="JI228" s="72">
        <f t="shared" si="6532"/>
        <v>0</v>
      </c>
      <c r="JJ228" s="63"/>
      <c r="JK228" s="73"/>
      <c r="JL228" s="72">
        <f t="shared" si="6533"/>
        <v>0</v>
      </c>
      <c r="JM228" s="63"/>
      <c r="JN228" s="73"/>
      <c r="JO228" s="72">
        <f t="shared" si="6534"/>
        <v>0</v>
      </c>
      <c r="JP228" s="63"/>
      <c r="JQ228" s="73"/>
      <c r="JR228" s="72">
        <f t="shared" si="6535"/>
        <v>0</v>
      </c>
      <c r="JS228" s="63"/>
      <c r="JT228" s="73"/>
      <c r="JU228" s="72">
        <f t="shared" si="6536"/>
        <v>0</v>
      </c>
      <c r="JV228" s="63"/>
      <c r="JW228" s="73"/>
      <c r="JX228" s="72">
        <f t="shared" si="6537"/>
        <v>0</v>
      </c>
      <c r="JY228" s="63"/>
      <c r="JZ228" s="73"/>
      <c r="KA228" s="72">
        <f t="shared" si="6538"/>
        <v>0</v>
      </c>
      <c r="KB228" s="63"/>
      <c r="KC228" s="73"/>
      <c r="KD228" s="72">
        <f t="shared" si="6539"/>
        <v>0</v>
      </c>
      <c r="KE228" s="63"/>
      <c r="KF228" s="73"/>
      <c r="KG228" s="72">
        <f t="shared" si="6540"/>
        <v>0</v>
      </c>
      <c r="KH228" s="63"/>
      <c r="KI228" s="73"/>
      <c r="KJ228" s="72">
        <f t="shared" si="6541"/>
        <v>0</v>
      </c>
      <c r="KK228" s="63"/>
      <c r="KL228" s="73"/>
      <c r="KM228" s="72">
        <f t="shared" si="6542"/>
        <v>0</v>
      </c>
      <c r="KN228" s="63"/>
      <c r="KO228" s="73"/>
      <c r="KP228" s="72">
        <f t="shared" si="6543"/>
        <v>0</v>
      </c>
      <c r="KQ228" s="63"/>
      <c r="KR228" s="73"/>
      <c r="KS228" s="72">
        <f t="shared" si="6544"/>
        <v>0</v>
      </c>
      <c r="KT228" s="63"/>
      <c r="KU228" s="73"/>
      <c r="KV228" s="72">
        <f t="shared" si="6545"/>
        <v>0</v>
      </c>
      <c r="KW228" s="63"/>
      <c r="KX228" s="73"/>
      <c r="KY228" s="72">
        <f t="shared" si="6546"/>
        <v>0</v>
      </c>
      <c r="KZ228" s="63"/>
      <c r="LA228" s="73"/>
      <c r="LB228" s="72">
        <f t="shared" si="6547"/>
        <v>0</v>
      </c>
      <c r="LC228" s="63"/>
      <c r="LD228" s="73"/>
      <c r="LE228" s="72">
        <f t="shared" si="6548"/>
        <v>0</v>
      </c>
      <c r="LF228" s="63"/>
    </row>
    <row r="229" spans="1:318" s="784" customFormat="1">
      <c r="A229" s="25"/>
      <c r="B229" s="25"/>
      <c r="C229" s="25"/>
      <c r="D229" s="25"/>
      <c r="E229" s="25"/>
      <c r="F229" s="406">
        <f t="shared" si="6549"/>
        <v>50</v>
      </c>
      <c r="G229" s="406">
        <f ca="1">VLOOKUP(H229,Equipos!$Q$1:$R$25,2,0)</f>
        <v>22</v>
      </c>
      <c r="H229" s="64" t="str">
        <f>Idiomas!$D$262</f>
        <v>Cuartos de final</v>
      </c>
      <c r="I229" s="50"/>
      <c r="J229" s="843"/>
      <c r="K229" s="56" t="str">
        <f>Idiomas!$D$201&amp;"-"&amp;ROWS($L$226:L229)</f>
        <v>Semifinalista-4</v>
      </c>
      <c r="L229" s="53"/>
      <c r="M229" s="55" t="str">
        <f>WORLDCUP!AF139</f>
        <v>W100</v>
      </c>
      <c r="N229" s="25"/>
      <c r="O229" s="25"/>
      <c r="P229" s="25"/>
      <c r="Q229" s="25"/>
      <c r="R229" s="108"/>
      <c r="S229" s="796" t="s">
        <v>79</v>
      </c>
      <c r="T229" s="80">
        <f t="shared" si="6453"/>
        <v>0</v>
      </c>
      <c r="U229" s="63"/>
      <c r="V229" s="79" t="s">
        <v>79</v>
      </c>
      <c r="W229" s="80">
        <f t="shared" si="6454"/>
        <v>0</v>
      </c>
      <c r="X229" s="63"/>
      <c r="Y229" s="796" t="s">
        <v>1256</v>
      </c>
      <c r="Z229" s="80">
        <f t="shared" si="6455"/>
        <v>0</v>
      </c>
      <c r="AA229" s="63"/>
      <c r="AB229" s="796" t="s">
        <v>1256</v>
      </c>
      <c r="AC229" s="80">
        <f t="shared" si="6456"/>
        <v>0</v>
      </c>
      <c r="AD229" s="63"/>
      <c r="AE229" s="796" t="s">
        <v>79</v>
      </c>
      <c r="AF229" s="80">
        <f t="shared" ref="AF229" si="6552">COUNTIF($M$226:$M$229,AE229)*$D$27</f>
        <v>0</v>
      </c>
      <c r="AG229" s="63"/>
      <c r="AH229" s="796" t="s">
        <v>79</v>
      </c>
      <c r="AI229" s="80">
        <f t="shared" si="6458"/>
        <v>0</v>
      </c>
      <c r="AJ229" s="63"/>
      <c r="AK229" s="806" t="s">
        <v>79</v>
      </c>
      <c r="AL229" s="80">
        <f t="shared" si="6459"/>
        <v>0</v>
      </c>
      <c r="AM229" s="63"/>
      <c r="AN229" s="796" t="s">
        <v>79</v>
      </c>
      <c r="AO229" s="80">
        <f t="shared" si="6460"/>
        <v>0</v>
      </c>
      <c r="AP229" s="63"/>
      <c r="AQ229" s="806" t="s">
        <v>79</v>
      </c>
      <c r="AR229" s="80">
        <f t="shared" si="6461"/>
        <v>0</v>
      </c>
      <c r="AS229" s="63"/>
      <c r="AT229" s="796" t="s">
        <v>79</v>
      </c>
      <c r="AU229" s="80">
        <f t="shared" si="6462"/>
        <v>0</v>
      </c>
      <c r="AV229" s="63"/>
      <c r="AW229" s="796" t="s">
        <v>1256</v>
      </c>
      <c r="AX229" s="80">
        <f t="shared" si="6463"/>
        <v>0</v>
      </c>
      <c r="AY229" s="63"/>
      <c r="AZ229" s="796" t="s">
        <v>1552</v>
      </c>
      <c r="BA229" s="80">
        <f t="shared" si="6464"/>
        <v>0</v>
      </c>
      <c r="BB229" s="63"/>
      <c r="BC229" s="796" t="s">
        <v>79</v>
      </c>
      <c r="BD229" s="80">
        <f t="shared" si="6465"/>
        <v>0</v>
      </c>
      <c r="BE229" s="63"/>
      <c r="BF229" s="796" t="s">
        <v>79</v>
      </c>
      <c r="BG229" s="80">
        <f t="shared" si="6466"/>
        <v>0</v>
      </c>
      <c r="BH229" s="63"/>
      <c r="BI229" s="796" t="s">
        <v>79</v>
      </c>
      <c r="BJ229" s="80">
        <f t="shared" si="6467"/>
        <v>0</v>
      </c>
      <c r="BK229" s="63"/>
      <c r="BL229" s="796" t="s">
        <v>79</v>
      </c>
      <c r="BM229" s="80">
        <f t="shared" si="6468"/>
        <v>0</v>
      </c>
      <c r="BN229" s="63"/>
      <c r="BO229" s="816" t="s">
        <v>79</v>
      </c>
      <c r="BP229" s="80">
        <f t="shared" si="6469"/>
        <v>0</v>
      </c>
      <c r="BQ229" s="63"/>
      <c r="BR229" s="796" t="s">
        <v>79</v>
      </c>
      <c r="BS229" s="80">
        <f t="shared" si="6470"/>
        <v>0</v>
      </c>
      <c r="BT229" s="63"/>
      <c r="BU229" s="796" t="s">
        <v>1256</v>
      </c>
      <c r="BV229" s="80">
        <f t="shared" si="6471"/>
        <v>0</v>
      </c>
      <c r="BW229" s="63"/>
      <c r="BX229" s="79" t="s">
        <v>1256</v>
      </c>
      <c r="BY229" s="80">
        <f t="shared" si="6472"/>
        <v>0</v>
      </c>
      <c r="BZ229" s="63"/>
      <c r="CA229" s="816" t="s">
        <v>79</v>
      </c>
      <c r="CB229" s="80">
        <f t="shared" si="6473"/>
        <v>0</v>
      </c>
      <c r="CC229" s="63"/>
      <c r="CD229" s="825" t="s">
        <v>79</v>
      </c>
      <c r="CE229" s="80">
        <f t="shared" si="6474"/>
        <v>0</v>
      </c>
      <c r="CF229" s="63"/>
      <c r="CG229" s="796" t="s">
        <v>79</v>
      </c>
      <c r="CH229" s="80">
        <f t="shared" si="6475"/>
        <v>0</v>
      </c>
      <c r="CI229" s="63"/>
      <c r="CJ229" s="796" t="s">
        <v>1256</v>
      </c>
      <c r="CK229" s="80">
        <f t="shared" si="6476"/>
        <v>0</v>
      </c>
      <c r="CL229" s="63"/>
      <c r="CM229" s="796" t="s">
        <v>1318</v>
      </c>
      <c r="CN229" s="80">
        <f t="shared" si="6477"/>
        <v>0</v>
      </c>
      <c r="CO229" s="63"/>
      <c r="CP229" s="796" t="s">
        <v>1256</v>
      </c>
      <c r="CQ229" s="80">
        <f t="shared" si="6478"/>
        <v>0</v>
      </c>
      <c r="CR229" s="63"/>
      <c r="CS229" s="796" t="s">
        <v>1256</v>
      </c>
      <c r="CT229" s="80">
        <f t="shared" si="6479"/>
        <v>0</v>
      </c>
      <c r="CU229" s="63"/>
      <c r="CV229" s="796" t="s">
        <v>79</v>
      </c>
      <c r="CW229" s="80">
        <f t="shared" si="6480"/>
        <v>0</v>
      </c>
      <c r="CX229" s="63"/>
      <c r="CY229" s="796" t="s">
        <v>79</v>
      </c>
      <c r="CZ229" s="80">
        <f t="shared" si="6481"/>
        <v>0</v>
      </c>
      <c r="DA229" s="63"/>
      <c r="DB229" s="796" t="s">
        <v>1256</v>
      </c>
      <c r="DC229" s="80">
        <f t="shared" si="6482"/>
        <v>0</v>
      </c>
      <c r="DD229" s="63"/>
      <c r="DE229" s="796" t="s">
        <v>79</v>
      </c>
      <c r="DF229" s="80">
        <f>COUNTIF($M$226:$M$229,DE229)*$D$27</f>
        <v>0</v>
      </c>
      <c r="DG229" s="63"/>
      <c r="DH229" s="796" t="s">
        <v>79</v>
      </c>
      <c r="DI229" s="80">
        <f>COUNTIF($M$226:$M$229,DH229)*$D$27</f>
        <v>0</v>
      </c>
      <c r="DJ229" s="63"/>
      <c r="DK229" s="796" t="s">
        <v>1256</v>
      </c>
      <c r="DL229" s="80">
        <f>COUNTIF($M$226:$M$229,DK229)*$D$27</f>
        <v>0</v>
      </c>
      <c r="DM229" s="63"/>
      <c r="DN229" s="79"/>
      <c r="DO229" s="80">
        <f t="shared" si="6483"/>
        <v>0</v>
      </c>
      <c r="DP229" s="63"/>
      <c r="DQ229" s="796" t="s">
        <v>1256</v>
      </c>
      <c r="DR229" s="80">
        <f t="shared" si="6484"/>
        <v>0</v>
      </c>
      <c r="DS229" s="63"/>
      <c r="DT229" s="79" t="s">
        <v>1256</v>
      </c>
      <c r="DU229" s="80">
        <f t="shared" si="6485"/>
        <v>0</v>
      </c>
      <c r="DV229" s="63"/>
      <c r="DW229" s="79"/>
      <c r="DX229" s="80">
        <f t="shared" si="6486"/>
        <v>0</v>
      </c>
      <c r="DY229" s="63"/>
      <c r="DZ229" s="79"/>
      <c r="EA229" s="80">
        <f>COUNTIF($M$226:$M$229,DZ229)*$D$27</f>
        <v>0</v>
      </c>
      <c r="EB229" s="63"/>
      <c r="EC229" s="79"/>
      <c r="ED229" s="80">
        <f t="shared" si="6487"/>
        <v>0</v>
      </c>
      <c r="EE229" s="63"/>
      <c r="EF229" s="79"/>
      <c r="EG229" s="80">
        <f t="shared" si="6488"/>
        <v>0</v>
      </c>
      <c r="EH229" s="63"/>
      <c r="EI229" s="79"/>
      <c r="EJ229" s="80">
        <f t="shared" si="6489"/>
        <v>0</v>
      </c>
      <c r="EK229" s="63"/>
      <c r="EL229" s="79"/>
      <c r="EM229" s="80">
        <f t="shared" si="6490"/>
        <v>0</v>
      </c>
      <c r="EN229" s="63"/>
      <c r="EO229" s="79"/>
      <c r="EP229" s="80">
        <f t="shared" si="6491"/>
        <v>0</v>
      </c>
      <c r="EQ229" s="63"/>
      <c r="ER229" s="79"/>
      <c r="ES229" s="80">
        <f t="shared" si="6492"/>
        <v>0</v>
      </c>
      <c r="ET229" s="63"/>
      <c r="EU229" s="79"/>
      <c r="EV229" s="80">
        <f t="shared" si="6493"/>
        <v>0</v>
      </c>
      <c r="EW229" s="63"/>
      <c r="EX229" s="79"/>
      <c r="EY229" s="80">
        <f t="shared" si="6494"/>
        <v>0</v>
      </c>
      <c r="EZ229" s="63"/>
      <c r="FA229" s="79"/>
      <c r="FB229" s="80">
        <f t="shared" si="6495"/>
        <v>0</v>
      </c>
      <c r="FC229" s="63"/>
      <c r="FD229" s="79"/>
      <c r="FE229" s="80">
        <f t="shared" si="6496"/>
        <v>0</v>
      </c>
      <c r="FF229" s="63"/>
      <c r="FG229" s="79"/>
      <c r="FH229" s="80">
        <f t="shared" si="6497"/>
        <v>0</v>
      </c>
      <c r="FI229" s="63"/>
      <c r="FJ229" s="79"/>
      <c r="FK229" s="80">
        <f t="shared" si="6498"/>
        <v>0</v>
      </c>
      <c r="FL229" s="63"/>
      <c r="FM229" s="79"/>
      <c r="FN229" s="80">
        <f t="shared" si="6499"/>
        <v>0</v>
      </c>
      <c r="FO229" s="63"/>
      <c r="FP229" s="79"/>
      <c r="FQ229" s="80">
        <f t="shared" si="6500"/>
        <v>0</v>
      </c>
      <c r="FR229" s="63"/>
      <c r="FS229" s="79"/>
      <c r="FT229" s="80">
        <f t="shared" si="6501"/>
        <v>0</v>
      </c>
      <c r="FU229" s="63"/>
      <c r="FV229" s="79"/>
      <c r="FW229" s="80">
        <f t="shared" si="6502"/>
        <v>0</v>
      </c>
      <c r="FX229" s="63"/>
      <c r="FY229" s="79"/>
      <c r="FZ229" s="80">
        <f t="shared" si="6503"/>
        <v>0</v>
      </c>
      <c r="GA229" s="63"/>
      <c r="GB229" s="79"/>
      <c r="GC229" s="80">
        <f t="shared" si="6504"/>
        <v>0</v>
      </c>
      <c r="GD229" s="63"/>
      <c r="GE229" s="79"/>
      <c r="GF229" s="80">
        <f t="shared" si="6505"/>
        <v>0</v>
      </c>
      <c r="GG229" s="63"/>
      <c r="GH229" s="79"/>
      <c r="GI229" s="80">
        <f t="shared" si="6506"/>
        <v>0</v>
      </c>
      <c r="GJ229" s="63"/>
      <c r="GK229" s="79"/>
      <c r="GL229" s="80">
        <f t="shared" si="6507"/>
        <v>0</v>
      </c>
      <c r="GM229" s="63"/>
      <c r="GN229" s="79"/>
      <c r="GO229" s="80">
        <f t="shared" si="6508"/>
        <v>0</v>
      </c>
      <c r="GP229" s="63"/>
      <c r="GQ229" s="79"/>
      <c r="GR229" s="80">
        <f t="shared" si="6509"/>
        <v>0</v>
      </c>
      <c r="GS229" s="63"/>
      <c r="GT229" s="79"/>
      <c r="GU229" s="80">
        <f t="shared" si="6510"/>
        <v>0</v>
      </c>
      <c r="GV229" s="63"/>
      <c r="GW229" s="79"/>
      <c r="GX229" s="80">
        <f t="shared" si="6511"/>
        <v>0</v>
      </c>
      <c r="GY229" s="63"/>
      <c r="GZ229" s="79"/>
      <c r="HA229" s="80">
        <f t="shared" si="6512"/>
        <v>0</v>
      </c>
      <c r="HB229" s="63"/>
      <c r="HC229" s="79"/>
      <c r="HD229" s="80">
        <f t="shared" si="6513"/>
        <v>0</v>
      </c>
      <c r="HE229" s="63"/>
      <c r="HF229" s="79"/>
      <c r="HG229" s="80">
        <f t="shared" si="6514"/>
        <v>0</v>
      </c>
      <c r="HH229" s="63"/>
      <c r="HI229" s="79"/>
      <c r="HJ229" s="80">
        <f t="shared" si="6515"/>
        <v>0</v>
      </c>
      <c r="HK229" s="63"/>
      <c r="HL229" s="79"/>
      <c r="HM229" s="80">
        <f t="shared" si="6516"/>
        <v>0</v>
      </c>
      <c r="HN229" s="63"/>
      <c r="HO229" s="79"/>
      <c r="HP229" s="80">
        <f t="shared" si="6517"/>
        <v>0</v>
      </c>
      <c r="HQ229" s="63"/>
      <c r="HR229" s="79"/>
      <c r="HS229" s="80">
        <f t="shared" si="6518"/>
        <v>0</v>
      </c>
      <c r="HT229" s="63"/>
      <c r="HU229" s="79"/>
      <c r="HV229" s="80">
        <f t="shared" si="6519"/>
        <v>0</v>
      </c>
      <c r="HW229" s="63"/>
      <c r="HX229" s="79"/>
      <c r="HY229" s="80">
        <f t="shared" si="6520"/>
        <v>0</v>
      </c>
      <c r="HZ229" s="63"/>
      <c r="IA229" s="79"/>
      <c r="IB229" s="80">
        <f t="shared" si="6521"/>
        <v>0</v>
      </c>
      <c r="IC229" s="63"/>
      <c r="ID229" s="79"/>
      <c r="IE229" s="80">
        <f t="shared" si="6522"/>
        <v>0</v>
      </c>
      <c r="IF229" s="63"/>
      <c r="IG229" s="79"/>
      <c r="IH229" s="80">
        <f t="shared" si="6523"/>
        <v>0</v>
      </c>
      <c r="II229" s="63"/>
      <c r="IJ229" s="79"/>
      <c r="IK229" s="80">
        <f t="shared" si="6524"/>
        <v>0</v>
      </c>
      <c r="IL229" s="63"/>
      <c r="IM229" s="79"/>
      <c r="IN229" s="80">
        <f t="shared" si="6525"/>
        <v>0</v>
      </c>
      <c r="IO229" s="63"/>
      <c r="IP229" s="79"/>
      <c r="IQ229" s="80">
        <f t="shared" si="6526"/>
        <v>0</v>
      </c>
      <c r="IR229" s="63"/>
      <c r="IS229" s="79"/>
      <c r="IT229" s="80">
        <f t="shared" si="6527"/>
        <v>0</v>
      </c>
      <c r="IU229" s="63"/>
      <c r="IV229" s="79"/>
      <c r="IW229" s="80">
        <f t="shared" si="6528"/>
        <v>0</v>
      </c>
      <c r="IX229" s="63"/>
      <c r="IY229" s="79"/>
      <c r="IZ229" s="80">
        <f t="shared" si="6529"/>
        <v>0</v>
      </c>
      <c r="JA229" s="63"/>
      <c r="JB229" s="79"/>
      <c r="JC229" s="80">
        <f t="shared" si="6530"/>
        <v>0</v>
      </c>
      <c r="JD229" s="63"/>
      <c r="JE229" s="79"/>
      <c r="JF229" s="80">
        <f t="shared" si="6531"/>
        <v>0</v>
      </c>
      <c r="JG229" s="63"/>
      <c r="JH229" s="79"/>
      <c r="JI229" s="80">
        <f t="shared" si="6532"/>
        <v>0</v>
      </c>
      <c r="JJ229" s="63"/>
      <c r="JK229" s="79"/>
      <c r="JL229" s="80">
        <f t="shared" si="6533"/>
        <v>0</v>
      </c>
      <c r="JM229" s="63"/>
      <c r="JN229" s="79"/>
      <c r="JO229" s="80">
        <f t="shared" si="6534"/>
        <v>0</v>
      </c>
      <c r="JP229" s="63"/>
      <c r="JQ229" s="79"/>
      <c r="JR229" s="80">
        <f t="shared" si="6535"/>
        <v>0</v>
      </c>
      <c r="JS229" s="63"/>
      <c r="JT229" s="79"/>
      <c r="JU229" s="80">
        <f t="shared" si="6536"/>
        <v>0</v>
      </c>
      <c r="JV229" s="63"/>
      <c r="JW229" s="79"/>
      <c r="JX229" s="80">
        <f t="shared" si="6537"/>
        <v>0</v>
      </c>
      <c r="JY229" s="63"/>
      <c r="JZ229" s="79"/>
      <c r="KA229" s="80">
        <f t="shared" si="6538"/>
        <v>0</v>
      </c>
      <c r="KB229" s="63"/>
      <c r="KC229" s="79"/>
      <c r="KD229" s="80">
        <f t="shared" si="6539"/>
        <v>0</v>
      </c>
      <c r="KE229" s="63"/>
      <c r="KF229" s="79"/>
      <c r="KG229" s="80">
        <f t="shared" si="6540"/>
        <v>0</v>
      </c>
      <c r="KH229" s="63"/>
      <c r="KI229" s="79"/>
      <c r="KJ229" s="80">
        <f t="shared" si="6541"/>
        <v>0</v>
      </c>
      <c r="KK229" s="63"/>
      <c r="KL229" s="79"/>
      <c r="KM229" s="80">
        <f t="shared" si="6542"/>
        <v>0</v>
      </c>
      <c r="KN229" s="63"/>
      <c r="KO229" s="79"/>
      <c r="KP229" s="80">
        <f t="shared" si="6543"/>
        <v>0</v>
      </c>
      <c r="KQ229" s="63"/>
      <c r="KR229" s="79"/>
      <c r="KS229" s="80">
        <f t="shared" si="6544"/>
        <v>0</v>
      </c>
      <c r="KT229" s="63"/>
      <c r="KU229" s="79"/>
      <c r="KV229" s="80">
        <f t="shared" si="6545"/>
        <v>0</v>
      </c>
      <c r="KW229" s="63"/>
      <c r="KX229" s="79"/>
      <c r="KY229" s="80">
        <f t="shared" si="6546"/>
        <v>0</v>
      </c>
      <c r="KZ229" s="63"/>
      <c r="LA229" s="79"/>
      <c r="LB229" s="80">
        <f t="shared" si="6547"/>
        <v>0</v>
      </c>
      <c r="LC229" s="63"/>
      <c r="LD229" s="79"/>
      <c r="LE229" s="80">
        <f t="shared" si="6548"/>
        <v>0</v>
      </c>
      <c r="LF229" s="63"/>
    </row>
    <row r="230" spans="1:318" s="784" customFormat="1">
      <c r="A230" s="25"/>
      <c r="B230" s="25"/>
      <c r="C230" s="25"/>
      <c r="D230" s="25"/>
      <c r="E230" s="25"/>
      <c r="F230" s="406"/>
      <c r="G230" s="406"/>
      <c r="H230" s="64"/>
      <c r="I230" s="50"/>
      <c r="J230" s="92"/>
      <c r="K230" s="432" t="str">
        <f>Idiomas!D463</f>
        <v>Equipos 1/2</v>
      </c>
      <c r="L230" s="433"/>
      <c r="M230" s="432" t="str">
        <f>"Max: "&amp;$D$27*COUNT(T226:T229)</f>
        <v>Max: 200</v>
      </c>
      <c r="N230" s="25"/>
      <c r="O230" s="25"/>
      <c r="P230" s="25"/>
      <c r="Q230" s="25"/>
      <c r="R230" s="49"/>
      <c r="S230" s="797"/>
      <c r="T230" s="70">
        <f t="shared" ref="T230" si="6553">SUM(T226:T229)</f>
        <v>0</v>
      </c>
      <c r="U230" s="64"/>
      <c r="V230" s="83"/>
      <c r="W230" s="70">
        <f t="shared" ref="W230" si="6554">SUM(W226:W229)</f>
        <v>0</v>
      </c>
      <c r="X230" s="64"/>
      <c r="Y230" s="797"/>
      <c r="Z230" s="70">
        <f t="shared" ref="Z230" si="6555">SUM(Z226:Z229)</f>
        <v>0</v>
      </c>
      <c r="AA230" s="64"/>
      <c r="AB230" s="797"/>
      <c r="AC230" s="70">
        <f t="shared" ref="AC230" si="6556">SUM(AC226:AC229)</f>
        <v>0</v>
      </c>
      <c r="AD230" s="64"/>
      <c r="AE230" s="797"/>
      <c r="AF230" s="70">
        <f t="shared" ref="AF230" si="6557">SUM(AF226:AF229)</f>
        <v>0</v>
      </c>
      <c r="AG230" s="64"/>
      <c r="AH230" s="797"/>
      <c r="AI230" s="70">
        <f t="shared" ref="AI230" si="6558">SUM(AI226:AI229)</f>
        <v>0</v>
      </c>
      <c r="AJ230" s="64"/>
      <c r="AK230" s="802"/>
      <c r="AL230" s="70">
        <f t="shared" ref="AL230" si="6559">SUM(AL226:AL229)</f>
        <v>0</v>
      </c>
      <c r="AM230" s="64"/>
      <c r="AN230" s="797"/>
      <c r="AO230" s="70">
        <f t="shared" ref="AO230" si="6560">SUM(AO226:AO229)</f>
        <v>0</v>
      </c>
      <c r="AP230" s="64"/>
      <c r="AQ230" s="802"/>
      <c r="AR230" s="70">
        <f t="shared" ref="AR230" si="6561">SUM(AR226:AR229)</f>
        <v>0</v>
      </c>
      <c r="AS230" s="64"/>
      <c r="AT230" s="797"/>
      <c r="AU230" s="70">
        <f t="shared" ref="AU230" si="6562">SUM(AU226:AU229)</f>
        <v>0</v>
      </c>
      <c r="AV230" s="64"/>
      <c r="AW230" s="797"/>
      <c r="AX230" s="70">
        <f t="shared" ref="AX230" si="6563">SUM(AX226:AX229)</f>
        <v>0</v>
      </c>
      <c r="AY230" s="64"/>
      <c r="AZ230" s="797"/>
      <c r="BA230" s="70">
        <f t="shared" ref="BA230" si="6564">SUM(BA226:BA229)</f>
        <v>0</v>
      </c>
      <c r="BB230" s="64"/>
      <c r="BC230" s="797"/>
      <c r="BD230" s="70">
        <f t="shared" ref="BD230" si="6565">SUM(BD226:BD229)</f>
        <v>0</v>
      </c>
      <c r="BE230" s="64"/>
      <c r="BF230" s="797"/>
      <c r="BG230" s="70">
        <f t="shared" ref="BG230" si="6566">SUM(BG226:BG229)</f>
        <v>0</v>
      </c>
      <c r="BH230" s="64"/>
      <c r="BI230" s="797"/>
      <c r="BJ230" s="70">
        <f t="shared" ref="BJ230" si="6567">SUM(BJ226:BJ229)</f>
        <v>0</v>
      </c>
      <c r="BK230" s="64"/>
      <c r="BL230" s="797"/>
      <c r="BM230" s="70">
        <f t="shared" ref="BM230" si="6568">SUM(BM226:BM229)</f>
        <v>0</v>
      </c>
      <c r="BN230" s="64"/>
      <c r="BO230" s="812"/>
      <c r="BP230" s="70">
        <f t="shared" ref="BP230" si="6569">SUM(BP226:BP229)</f>
        <v>0</v>
      </c>
      <c r="BQ230" s="64"/>
      <c r="BR230" s="797"/>
      <c r="BS230" s="70">
        <f t="shared" ref="BS230" si="6570">SUM(BS226:BS229)</f>
        <v>0</v>
      </c>
      <c r="BT230" s="64"/>
      <c r="BU230" s="797"/>
      <c r="BV230" s="70">
        <f t="shared" ref="BV230" si="6571">SUM(BV226:BV229)</f>
        <v>0</v>
      </c>
      <c r="BW230" s="64"/>
      <c r="BX230" s="83"/>
      <c r="BY230" s="70">
        <f t="shared" ref="BY230" si="6572">SUM(BY226:BY229)</f>
        <v>0</v>
      </c>
      <c r="BZ230" s="64"/>
      <c r="CA230" s="812"/>
      <c r="CB230" s="70">
        <f t="shared" ref="CB230" si="6573">SUM(CB226:CB229)</f>
        <v>0</v>
      </c>
      <c r="CC230" s="64"/>
      <c r="CD230" s="821"/>
      <c r="CE230" s="70">
        <f t="shared" ref="CE230" si="6574">SUM(CE226:CE229)</f>
        <v>0</v>
      </c>
      <c r="CF230" s="64"/>
      <c r="CG230" s="797"/>
      <c r="CH230" s="70">
        <f t="shared" ref="CH230" si="6575">SUM(CH226:CH229)</f>
        <v>0</v>
      </c>
      <c r="CI230" s="64"/>
      <c r="CJ230" s="797"/>
      <c r="CK230" s="70">
        <f t="shared" ref="CK230" si="6576">SUM(CK226:CK229)</f>
        <v>0</v>
      </c>
      <c r="CL230" s="64"/>
      <c r="CM230" s="797"/>
      <c r="CN230" s="70">
        <f t="shared" ref="CN230" si="6577">SUM(CN226:CN229)</f>
        <v>0</v>
      </c>
      <c r="CO230" s="64"/>
      <c r="CP230" s="797"/>
      <c r="CQ230" s="70">
        <f t="shared" ref="CQ230" si="6578">SUM(CQ226:CQ229)</f>
        <v>0</v>
      </c>
      <c r="CR230" s="64"/>
      <c r="CS230" s="797"/>
      <c r="CT230" s="70">
        <f t="shared" ref="CT230" si="6579">SUM(CT226:CT229)</f>
        <v>0</v>
      </c>
      <c r="CU230" s="64"/>
      <c r="CV230" s="797"/>
      <c r="CW230" s="70">
        <f t="shared" ref="CW230" si="6580">SUM(CW226:CW229)</f>
        <v>0</v>
      </c>
      <c r="CX230" s="64"/>
      <c r="CY230" s="797"/>
      <c r="CZ230" s="70">
        <f t="shared" ref="CZ230" si="6581">SUM(CZ226:CZ229)</f>
        <v>0</v>
      </c>
      <c r="DA230" s="64"/>
      <c r="DB230" s="797"/>
      <c r="DC230" s="70">
        <f t="shared" ref="DC230" si="6582">SUM(DC226:DC229)</f>
        <v>0</v>
      </c>
      <c r="DD230" s="64"/>
      <c r="DE230" s="797"/>
      <c r="DF230" s="70">
        <f t="shared" ref="DF230" si="6583">SUM(DF226:DF229)</f>
        <v>0</v>
      </c>
      <c r="DG230" s="64"/>
      <c r="DH230" s="797"/>
      <c r="DI230" s="70">
        <f t="shared" ref="DI230" si="6584">SUM(DI226:DI229)</f>
        <v>0</v>
      </c>
      <c r="DJ230" s="64"/>
      <c r="DK230" s="797"/>
      <c r="DL230" s="70">
        <f t="shared" ref="DL230" si="6585">SUM(DL226:DL229)</f>
        <v>0</v>
      </c>
      <c r="DM230" s="64"/>
      <c r="DN230" s="83"/>
      <c r="DO230" s="70">
        <f t="shared" ref="DO230" si="6586">SUM(DO226:DO229)</f>
        <v>0</v>
      </c>
      <c r="DP230" s="64"/>
      <c r="DQ230" s="797"/>
      <c r="DR230" s="70">
        <f t="shared" ref="DR230" si="6587">SUM(DR226:DR229)</f>
        <v>0</v>
      </c>
      <c r="DS230" s="64"/>
      <c r="DT230" s="83"/>
      <c r="DU230" s="70">
        <f t="shared" ref="DU230" si="6588">SUM(DU226:DU229)</f>
        <v>0</v>
      </c>
      <c r="DV230" s="64"/>
      <c r="DW230" s="83"/>
      <c r="DX230" s="70">
        <f t="shared" ref="DX230" si="6589">SUM(DX226:DX229)</f>
        <v>0</v>
      </c>
      <c r="DY230" s="64"/>
      <c r="DZ230" s="83"/>
      <c r="EA230" s="70">
        <f t="shared" ref="EA230" si="6590">SUM(EA226:EA229)</f>
        <v>0</v>
      </c>
      <c r="EB230" s="64"/>
      <c r="EC230" s="83"/>
      <c r="ED230" s="70">
        <f t="shared" ref="ED230" si="6591">SUM(ED226:ED229)</f>
        <v>0</v>
      </c>
      <c r="EE230" s="64"/>
      <c r="EF230" s="83"/>
      <c r="EG230" s="70">
        <f t="shared" ref="EG230" si="6592">SUM(EG226:EG229)</f>
        <v>0</v>
      </c>
      <c r="EH230" s="64"/>
      <c r="EI230" s="83"/>
      <c r="EJ230" s="70">
        <f t="shared" ref="EJ230" si="6593">SUM(EJ226:EJ229)</f>
        <v>0</v>
      </c>
      <c r="EK230" s="64"/>
      <c r="EL230" s="83"/>
      <c r="EM230" s="70">
        <f t="shared" ref="EM230" si="6594">SUM(EM226:EM229)</f>
        <v>0</v>
      </c>
      <c r="EN230" s="64"/>
      <c r="EO230" s="83"/>
      <c r="EP230" s="70">
        <f t="shared" ref="EP230" si="6595">SUM(EP226:EP229)</f>
        <v>0</v>
      </c>
      <c r="EQ230" s="64"/>
      <c r="ER230" s="83"/>
      <c r="ES230" s="70">
        <f t="shared" ref="ES230" si="6596">SUM(ES226:ES229)</f>
        <v>0</v>
      </c>
      <c r="ET230" s="64"/>
      <c r="EU230" s="83"/>
      <c r="EV230" s="70">
        <f t="shared" ref="EV230" si="6597">SUM(EV226:EV229)</f>
        <v>0</v>
      </c>
      <c r="EW230" s="64"/>
      <c r="EX230" s="83"/>
      <c r="EY230" s="70">
        <f t="shared" ref="EY230" si="6598">SUM(EY226:EY229)</f>
        <v>0</v>
      </c>
      <c r="EZ230" s="64"/>
      <c r="FA230" s="83"/>
      <c r="FB230" s="70">
        <f t="shared" ref="FB230" si="6599">SUM(FB226:FB229)</f>
        <v>0</v>
      </c>
      <c r="FC230" s="64"/>
      <c r="FD230" s="83"/>
      <c r="FE230" s="70">
        <f t="shared" ref="FE230" si="6600">SUM(FE226:FE229)</f>
        <v>0</v>
      </c>
      <c r="FF230" s="64"/>
      <c r="FG230" s="83"/>
      <c r="FH230" s="70">
        <f t="shared" ref="FH230" si="6601">SUM(FH226:FH229)</f>
        <v>0</v>
      </c>
      <c r="FI230" s="64"/>
      <c r="FJ230" s="83"/>
      <c r="FK230" s="70">
        <f t="shared" ref="FK230" si="6602">SUM(FK226:FK229)</f>
        <v>0</v>
      </c>
      <c r="FL230" s="64"/>
      <c r="FM230" s="83"/>
      <c r="FN230" s="70">
        <f t="shared" ref="FN230" si="6603">SUM(FN226:FN229)</f>
        <v>0</v>
      </c>
      <c r="FO230" s="64"/>
      <c r="FP230" s="83"/>
      <c r="FQ230" s="70">
        <f t="shared" ref="FQ230" si="6604">SUM(FQ226:FQ229)</f>
        <v>0</v>
      </c>
      <c r="FR230" s="64"/>
      <c r="FS230" s="83"/>
      <c r="FT230" s="70">
        <f t="shared" ref="FT230" si="6605">SUM(FT226:FT229)</f>
        <v>0</v>
      </c>
      <c r="FU230" s="64"/>
      <c r="FV230" s="83"/>
      <c r="FW230" s="70">
        <f t="shared" ref="FW230" si="6606">SUM(FW226:FW229)</f>
        <v>0</v>
      </c>
      <c r="FX230" s="64"/>
      <c r="FY230" s="83"/>
      <c r="FZ230" s="70">
        <f t="shared" ref="FZ230" si="6607">SUM(FZ226:FZ229)</f>
        <v>0</v>
      </c>
      <c r="GA230" s="64"/>
      <c r="GB230" s="83"/>
      <c r="GC230" s="70">
        <f t="shared" ref="GC230" si="6608">SUM(GC226:GC229)</f>
        <v>0</v>
      </c>
      <c r="GD230" s="64"/>
      <c r="GE230" s="83"/>
      <c r="GF230" s="70">
        <f t="shared" ref="GF230" si="6609">SUM(GF226:GF229)</f>
        <v>0</v>
      </c>
      <c r="GG230" s="64"/>
      <c r="GH230" s="83"/>
      <c r="GI230" s="70">
        <f t="shared" ref="GI230" si="6610">SUM(GI226:GI229)</f>
        <v>0</v>
      </c>
      <c r="GJ230" s="64"/>
      <c r="GK230" s="83"/>
      <c r="GL230" s="70">
        <f t="shared" ref="GL230" si="6611">SUM(GL226:GL229)</f>
        <v>0</v>
      </c>
      <c r="GM230" s="64"/>
      <c r="GN230" s="83"/>
      <c r="GO230" s="70">
        <f t="shared" ref="GO230" si="6612">SUM(GO226:GO229)</f>
        <v>0</v>
      </c>
      <c r="GP230" s="64"/>
      <c r="GQ230" s="83"/>
      <c r="GR230" s="70">
        <f t="shared" ref="GR230" si="6613">SUM(GR226:GR229)</f>
        <v>0</v>
      </c>
      <c r="GS230" s="64"/>
      <c r="GT230" s="83"/>
      <c r="GU230" s="70">
        <f t="shared" ref="GU230" si="6614">SUM(GU226:GU229)</f>
        <v>0</v>
      </c>
      <c r="GV230" s="64"/>
      <c r="GW230" s="83"/>
      <c r="GX230" s="70">
        <f t="shared" ref="GX230" si="6615">SUM(GX226:GX229)</f>
        <v>0</v>
      </c>
      <c r="GY230" s="64"/>
      <c r="GZ230" s="83"/>
      <c r="HA230" s="70">
        <f t="shared" ref="HA230" si="6616">SUM(HA226:HA229)</f>
        <v>0</v>
      </c>
      <c r="HB230" s="64"/>
      <c r="HC230" s="83"/>
      <c r="HD230" s="70">
        <f t="shared" ref="HD230" si="6617">SUM(HD226:HD229)</f>
        <v>0</v>
      </c>
      <c r="HE230" s="64"/>
      <c r="HF230" s="83"/>
      <c r="HG230" s="70">
        <f t="shared" ref="HG230" si="6618">SUM(HG226:HG229)</f>
        <v>0</v>
      </c>
      <c r="HH230" s="64"/>
      <c r="HI230" s="83"/>
      <c r="HJ230" s="70">
        <f t="shared" ref="HJ230" si="6619">SUM(HJ226:HJ229)</f>
        <v>0</v>
      </c>
      <c r="HK230" s="64"/>
      <c r="HL230" s="83"/>
      <c r="HM230" s="70">
        <f t="shared" ref="HM230" si="6620">SUM(HM226:HM229)</f>
        <v>0</v>
      </c>
      <c r="HN230" s="64"/>
      <c r="HO230" s="83"/>
      <c r="HP230" s="70">
        <f t="shared" ref="HP230" si="6621">SUM(HP226:HP229)</f>
        <v>0</v>
      </c>
      <c r="HQ230" s="64"/>
      <c r="HR230" s="83"/>
      <c r="HS230" s="70">
        <f t="shared" ref="HS230" si="6622">SUM(HS226:HS229)</f>
        <v>0</v>
      </c>
      <c r="HT230" s="64"/>
      <c r="HU230" s="83"/>
      <c r="HV230" s="70">
        <f t="shared" ref="HV230" si="6623">SUM(HV226:HV229)</f>
        <v>0</v>
      </c>
      <c r="HW230" s="64"/>
      <c r="HX230" s="83"/>
      <c r="HY230" s="70">
        <f t="shared" ref="HY230" si="6624">SUM(HY226:HY229)</f>
        <v>0</v>
      </c>
      <c r="HZ230" s="64"/>
      <c r="IA230" s="83"/>
      <c r="IB230" s="70">
        <f t="shared" ref="IB230" si="6625">SUM(IB226:IB229)</f>
        <v>0</v>
      </c>
      <c r="IC230" s="64"/>
      <c r="ID230" s="83"/>
      <c r="IE230" s="70">
        <f t="shared" ref="IE230" si="6626">SUM(IE226:IE229)</f>
        <v>0</v>
      </c>
      <c r="IF230" s="64"/>
      <c r="IG230" s="83"/>
      <c r="IH230" s="70">
        <f t="shared" ref="IH230" si="6627">SUM(IH226:IH229)</f>
        <v>0</v>
      </c>
      <c r="II230" s="64"/>
      <c r="IJ230" s="83"/>
      <c r="IK230" s="70">
        <f t="shared" ref="IK230" si="6628">SUM(IK226:IK229)</f>
        <v>0</v>
      </c>
      <c r="IL230" s="64"/>
      <c r="IM230" s="83"/>
      <c r="IN230" s="70">
        <f t="shared" ref="IN230" si="6629">SUM(IN226:IN229)</f>
        <v>0</v>
      </c>
      <c r="IO230" s="64"/>
      <c r="IP230" s="83"/>
      <c r="IQ230" s="70">
        <f t="shared" ref="IQ230" si="6630">SUM(IQ226:IQ229)</f>
        <v>0</v>
      </c>
      <c r="IR230" s="64"/>
      <c r="IS230" s="83"/>
      <c r="IT230" s="70">
        <f t="shared" ref="IT230" si="6631">SUM(IT226:IT229)</f>
        <v>0</v>
      </c>
      <c r="IU230" s="64"/>
      <c r="IV230" s="83"/>
      <c r="IW230" s="70">
        <f t="shared" ref="IW230" si="6632">SUM(IW226:IW229)</f>
        <v>0</v>
      </c>
      <c r="IX230" s="64"/>
      <c r="IY230" s="83"/>
      <c r="IZ230" s="70">
        <f t="shared" ref="IZ230" si="6633">SUM(IZ226:IZ229)</f>
        <v>0</v>
      </c>
      <c r="JA230" s="64"/>
      <c r="JB230" s="83"/>
      <c r="JC230" s="70">
        <f t="shared" ref="JC230" si="6634">SUM(JC226:JC229)</f>
        <v>0</v>
      </c>
      <c r="JD230" s="64"/>
      <c r="JE230" s="83"/>
      <c r="JF230" s="70">
        <f t="shared" ref="JF230" si="6635">SUM(JF226:JF229)</f>
        <v>0</v>
      </c>
      <c r="JG230" s="64"/>
      <c r="JH230" s="83"/>
      <c r="JI230" s="70">
        <f t="shared" ref="JI230" si="6636">SUM(JI226:JI229)</f>
        <v>0</v>
      </c>
      <c r="JJ230" s="64"/>
      <c r="JK230" s="83"/>
      <c r="JL230" s="70">
        <f t="shared" ref="JL230" si="6637">SUM(JL226:JL229)</f>
        <v>0</v>
      </c>
      <c r="JM230" s="64"/>
      <c r="JN230" s="83"/>
      <c r="JO230" s="70">
        <f t="shared" ref="JO230" si="6638">SUM(JO226:JO229)</f>
        <v>0</v>
      </c>
      <c r="JP230" s="64"/>
      <c r="JQ230" s="83"/>
      <c r="JR230" s="70">
        <f t="shared" ref="JR230" si="6639">SUM(JR226:JR229)</f>
        <v>0</v>
      </c>
      <c r="JS230" s="64"/>
      <c r="JT230" s="83"/>
      <c r="JU230" s="70">
        <f t="shared" ref="JU230" si="6640">SUM(JU226:JU229)</f>
        <v>0</v>
      </c>
      <c r="JV230" s="64"/>
      <c r="JW230" s="83"/>
      <c r="JX230" s="70">
        <f t="shared" ref="JX230" si="6641">SUM(JX226:JX229)</f>
        <v>0</v>
      </c>
      <c r="JY230" s="64"/>
      <c r="JZ230" s="83"/>
      <c r="KA230" s="70">
        <f t="shared" ref="KA230" si="6642">SUM(KA226:KA229)</f>
        <v>0</v>
      </c>
      <c r="KB230" s="64"/>
      <c r="KC230" s="83"/>
      <c r="KD230" s="70">
        <f t="shared" ref="KD230" si="6643">SUM(KD226:KD229)</f>
        <v>0</v>
      </c>
      <c r="KE230" s="64"/>
      <c r="KF230" s="83"/>
      <c r="KG230" s="70">
        <f t="shared" ref="KG230" si="6644">SUM(KG226:KG229)</f>
        <v>0</v>
      </c>
      <c r="KH230" s="64"/>
      <c r="KI230" s="83"/>
      <c r="KJ230" s="70">
        <f t="shared" ref="KJ230" si="6645">SUM(KJ226:KJ229)</f>
        <v>0</v>
      </c>
      <c r="KK230" s="64"/>
      <c r="KL230" s="83"/>
      <c r="KM230" s="70">
        <f t="shared" ref="KM230" si="6646">SUM(KM226:KM229)</f>
        <v>0</v>
      </c>
      <c r="KN230" s="64"/>
      <c r="KO230" s="83"/>
      <c r="KP230" s="70">
        <f t="shared" ref="KP230" si="6647">SUM(KP226:KP229)</f>
        <v>0</v>
      </c>
      <c r="KQ230" s="64"/>
      <c r="KR230" s="83"/>
      <c r="KS230" s="70">
        <f t="shared" ref="KS230" si="6648">SUM(KS226:KS229)</f>
        <v>0</v>
      </c>
      <c r="KT230" s="64"/>
      <c r="KU230" s="83"/>
      <c r="KV230" s="70">
        <f t="shared" ref="KV230" si="6649">SUM(KV226:KV229)</f>
        <v>0</v>
      </c>
      <c r="KW230" s="64"/>
      <c r="KX230" s="83"/>
      <c r="KY230" s="70">
        <f t="shared" ref="KY230" si="6650">SUM(KY226:KY229)</f>
        <v>0</v>
      </c>
      <c r="KZ230" s="64"/>
      <c r="LA230" s="83"/>
      <c r="LB230" s="70">
        <f t="shared" ref="LB230" si="6651">SUM(LB226:LB229)</f>
        <v>0</v>
      </c>
      <c r="LC230" s="64"/>
      <c r="LD230" s="83"/>
      <c r="LE230" s="70">
        <f t="shared" ref="LE230" si="6652">SUM(LE226:LE229)</f>
        <v>0</v>
      </c>
      <c r="LF230" s="64"/>
    </row>
    <row r="231" spans="1:318" s="784" customFormat="1">
      <c r="A231" s="25"/>
      <c r="B231" s="25"/>
      <c r="C231" s="25"/>
      <c r="D231" s="25"/>
      <c r="E231" s="25"/>
      <c r="F231" s="406"/>
      <c r="G231" s="406"/>
      <c r="H231" s="64"/>
      <c r="I231" s="52" t="s">
        <v>1578</v>
      </c>
      <c r="J231" s="92"/>
      <c r="K231" s="111" t="str">
        <f>Idiomas!D144</f>
        <v>ENFRENTAMIENTOS SEMIFINALES</v>
      </c>
      <c r="L231" s="50"/>
      <c r="M231" s="70"/>
      <c r="N231" s="25"/>
      <c r="O231" s="25"/>
      <c r="P231" s="25"/>
      <c r="Q231" s="25"/>
      <c r="R231" s="49"/>
      <c r="S231" s="797"/>
      <c r="T231" s="70"/>
      <c r="U231" s="64"/>
      <c r="V231" s="83"/>
      <c r="W231" s="70"/>
      <c r="X231" s="64"/>
      <c r="Y231" s="797"/>
      <c r="Z231" s="70"/>
      <c r="AA231" s="64"/>
      <c r="AB231" s="797"/>
      <c r="AC231" s="109"/>
      <c r="AD231" s="109"/>
      <c r="AE231" s="797"/>
      <c r="AF231" s="70"/>
      <c r="AG231" s="64"/>
      <c r="AH231" s="797"/>
      <c r="AI231" s="70"/>
      <c r="AJ231" s="64"/>
      <c r="AK231" s="802"/>
      <c r="AL231" s="70"/>
      <c r="AM231" s="64"/>
      <c r="AN231" s="797"/>
      <c r="AO231" s="70"/>
      <c r="AP231" s="64"/>
      <c r="AQ231" s="802"/>
      <c r="AR231" s="109"/>
      <c r="AS231" s="109"/>
      <c r="AT231" s="797"/>
      <c r="AU231" s="70"/>
      <c r="AV231" s="64"/>
      <c r="AW231" s="797"/>
      <c r="AX231" s="70"/>
      <c r="AY231" s="64"/>
      <c r="AZ231" s="797"/>
      <c r="BA231" s="70"/>
      <c r="BB231" s="64"/>
      <c r="BC231" s="797"/>
      <c r="BD231" s="70"/>
      <c r="BE231" s="64"/>
      <c r="BF231" s="797"/>
      <c r="BG231" s="109"/>
      <c r="BH231" s="109"/>
      <c r="BI231" s="797"/>
      <c r="BJ231" s="70"/>
      <c r="BK231" s="64"/>
      <c r="BL231" s="797"/>
      <c r="BM231" s="70"/>
      <c r="BN231" s="64"/>
      <c r="BO231" s="812"/>
      <c r="BP231" s="70"/>
      <c r="BQ231" s="64"/>
      <c r="BR231" s="797"/>
      <c r="BS231" s="70"/>
      <c r="BT231" s="64"/>
      <c r="BU231" s="797"/>
      <c r="BV231" s="109"/>
      <c r="BW231" s="109"/>
      <c r="BX231" s="83"/>
      <c r="BY231" s="70"/>
      <c r="BZ231" s="64"/>
      <c r="CA231" s="812"/>
      <c r="CB231" s="70"/>
      <c r="CC231" s="64"/>
      <c r="CD231" s="821"/>
      <c r="CE231" s="70"/>
      <c r="CF231" s="64"/>
      <c r="CG231" s="797"/>
      <c r="CH231" s="70"/>
      <c r="CI231" s="64"/>
      <c r="CJ231" s="797"/>
      <c r="CK231" s="109"/>
      <c r="CL231" s="109"/>
      <c r="CM231" s="797"/>
      <c r="CN231" s="70"/>
      <c r="CO231" s="64"/>
      <c r="CP231" s="797"/>
      <c r="CQ231" s="70"/>
      <c r="CR231" s="64"/>
      <c r="CS231" s="797"/>
      <c r="CT231" s="70"/>
      <c r="CU231" s="64"/>
      <c r="CV231" s="797"/>
      <c r="CW231" s="70"/>
      <c r="CX231" s="64"/>
      <c r="CY231" s="797"/>
      <c r="CZ231" s="109"/>
      <c r="DA231" s="109"/>
      <c r="DB231" s="797"/>
      <c r="DC231" s="70"/>
      <c r="DD231" s="64"/>
      <c r="DE231" s="797"/>
      <c r="DF231" s="70"/>
      <c r="DG231" s="64"/>
      <c r="DH231" s="797"/>
      <c r="DI231" s="70"/>
      <c r="DJ231" s="64"/>
      <c r="DK231" s="797"/>
      <c r="DL231" s="70"/>
      <c r="DM231" s="64"/>
      <c r="DN231" s="83"/>
      <c r="DO231" s="109"/>
      <c r="DP231" s="109"/>
      <c r="DQ231" s="797"/>
      <c r="DR231" s="70"/>
      <c r="DS231" s="64"/>
      <c r="DT231" s="83"/>
      <c r="DU231" s="70"/>
      <c r="DV231" s="64"/>
      <c r="DW231" s="83"/>
      <c r="DX231" s="70"/>
      <c r="DY231" s="64"/>
      <c r="DZ231" s="83"/>
      <c r="EA231" s="70"/>
      <c r="EB231" s="64"/>
      <c r="EC231" s="750"/>
      <c r="ED231" s="109"/>
      <c r="EE231" s="109"/>
      <c r="EF231" s="83"/>
      <c r="EG231" s="70"/>
      <c r="EH231" s="64"/>
      <c r="EI231" s="83"/>
      <c r="EJ231" s="70"/>
      <c r="EK231" s="64"/>
      <c r="EL231" s="83"/>
      <c r="EM231" s="70"/>
      <c r="EN231" s="64"/>
      <c r="EO231" s="83"/>
      <c r="EP231" s="70"/>
      <c r="EQ231" s="64"/>
      <c r="ER231" s="750"/>
      <c r="ES231" s="109"/>
      <c r="ET231" s="109"/>
      <c r="EU231" s="83"/>
      <c r="EV231" s="70"/>
      <c r="EW231" s="64"/>
      <c r="EX231" s="83"/>
      <c r="EY231" s="70"/>
      <c r="EZ231" s="64"/>
      <c r="FA231" s="83"/>
      <c r="FB231" s="70"/>
      <c r="FC231" s="64"/>
      <c r="FD231" s="83"/>
      <c r="FE231" s="70"/>
      <c r="FF231" s="64"/>
      <c r="FG231" s="750"/>
      <c r="FH231" s="109"/>
      <c r="FI231" s="109"/>
      <c r="FJ231" s="83"/>
      <c r="FK231" s="70"/>
      <c r="FL231" s="64"/>
      <c r="FM231" s="83"/>
      <c r="FN231" s="70"/>
      <c r="FO231" s="64"/>
      <c r="FP231" s="83"/>
      <c r="FQ231" s="70"/>
      <c r="FR231" s="64"/>
      <c r="FS231" s="83"/>
      <c r="FT231" s="70"/>
      <c r="FU231" s="64"/>
      <c r="FV231" s="750"/>
      <c r="FW231" s="109"/>
      <c r="FX231" s="109"/>
      <c r="FY231" s="83"/>
      <c r="FZ231" s="70"/>
      <c r="GA231" s="64"/>
      <c r="GB231" s="83"/>
      <c r="GC231" s="70"/>
      <c r="GD231" s="64"/>
      <c r="GE231" s="83"/>
      <c r="GF231" s="70"/>
      <c r="GG231" s="64"/>
      <c r="GH231" s="83"/>
      <c r="GI231" s="70"/>
      <c r="GJ231" s="64"/>
      <c r="GK231" s="750"/>
      <c r="GL231" s="109"/>
      <c r="GM231" s="109"/>
      <c r="GN231" s="83"/>
      <c r="GO231" s="70"/>
      <c r="GP231" s="64"/>
      <c r="GQ231" s="83"/>
      <c r="GR231" s="70"/>
      <c r="GS231" s="64"/>
      <c r="GT231" s="83"/>
      <c r="GU231" s="70"/>
      <c r="GV231" s="64"/>
      <c r="GW231" s="83"/>
      <c r="GX231" s="70"/>
      <c r="GY231" s="64"/>
      <c r="GZ231" s="750"/>
      <c r="HA231" s="109"/>
      <c r="HB231" s="109"/>
      <c r="HC231" s="83"/>
      <c r="HD231" s="70"/>
      <c r="HE231" s="64"/>
      <c r="HF231" s="83"/>
      <c r="HG231" s="70"/>
      <c r="HH231" s="64"/>
      <c r="HI231" s="83"/>
      <c r="HJ231" s="70"/>
      <c r="HK231" s="64"/>
      <c r="HL231" s="83"/>
      <c r="HM231" s="70"/>
      <c r="HN231" s="64"/>
      <c r="HO231" s="750"/>
      <c r="HP231" s="109"/>
      <c r="HQ231" s="109"/>
      <c r="HR231" s="83"/>
      <c r="HS231" s="70"/>
      <c r="HT231" s="64"/>
      <c r="HU231" s="83"/>
      <c r="HV231" s="70"/>
      <c r="HW231" s="64"/>
      <c r="HX231" s="83"/>
      <c r="HY231" s="70"/>
      <c r="HZ231" s="64"/>
      <c r="IA231" s="83"/>
      <c r="IB231" s="70"/>
      <c r="IC231" s="64"/>
      <c r="ID231" s="750"/>
      <c r="IE231" s="109"/>
      <c r="IF231" s="109"/>
      <c r="IG231" s="83"/>
      <c r="IH231" s="70"/>
      <c r="II231" s="64"/>
      <c r="IJ231" s="83"/>
      <c r="IK231" s="70"/>
      <c r="IL231" s="64"/>
      <c r="IM231" s="83"/>
      <c r="IN231" s="70"/>
      <c r="IO231" s="64"/>
      <c r="IP231" s="83"/>
      <c r="IQ231" s="70"/>
      <c r="IR231" s="64"/>
      <c r="IS231" s="750"/>
      <c r="IT231" s="109"/>
      <c r="IU231" s="109"/>
      <c r="IV231" s="83"/>
      <c r="IW231" s="70"/>
      <c r="IX231" s="64"/>
      <c r="IY231" s="83"/>
      <c r="IZ231" s="70"/>
      <c r="JA231" s="64"/>
      <c r="JB231" s="83"/>
      <c r="JC231" s="70"/>
      <c r="JD231" s="64"/>
      <c r="JE231" s="83"/>
      <c r="JF231" s="70"/>
      <c r="JG231" s="64"/>
      <c r="JH231" s="750"/>
      <c r="JI231" s="109"/>
      <c r="JJ231" s="109"/>
      <c r="JK231" s="83"/>
      <c r="JL231" s="70"/>
      <c r="JM231" s="64"/>
      <c r="JN231" s="83"/>
      <c r="JO231" s="70"/>
      <c r="JP231" s="64"/>
      <c r="JQ231" s="83"/>
      <c r="JR231" s="70"/>
      <c r="JS231" s="64"/>
      <c r="JT231" s="83"/>
      <c r="JU231" s="70"/>
      <c r="JV231" s="64"/>
      <c r="JW231" s="750"/>
      <c r="JX231" s="109"/>
      <c r="JY231" s="109"/>
      <c r="JZ231" s="83"/>
      <c r="KA231" s="70"/>
      <c r="KB231" s="64"/>
      <c r="KC231" s="83"/>
      <c r="KD231" s="70"/>
      <c r="KE231" s="64"/>
      <c r="KF231" s="83"/>
      <c r="KG231" s="70"/>
      <c r="KH231" s="64"/>
      <c r="KI231" s="83"/>
      <c r="KJ231" s="70"/>
      <c r="KK231" s="64"/>
      <c r="KL231" s="750"/>
      <c r="KM231" s="109"/>
      <c r="KN231" s="109"/>
      <c r="KO231" s="83"/>
      <c r="KP231" s="70"/>
      <c r="KQ231" s="64"/>
      <c r="KR231" s="83"/>
      <c r="KS231" s="70"/>
      <c r="KT231" s="64"/>
      <c r="KU231" s="83"/>
      <c r="KV231" s="70"/>
      <c r="KW231" s="64"/>
      <c r="KX231" s="83"/>
      <c r="KY231" s="70"/>
      <c r="KZ231" s="64"/>
      <c r="LA231" s="750"/>
      <c r="LB231" s="109"/>
      <c r="LC231" s="109"/>
      <c r="LD231" s="83"/>
      <c r="LE231" s="70"/>
      <c r="LF231" s="64"/>
    </row>
    <row r="232" spans="1:318" s="784" customFormat="1">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6">
        <f>SUM($D$28:$D$30)*I232</f>
        <v>30</v>
      </c>
      <c r="G232" s="406">
        <f ca="1">VLOOKUP(H232,Equipos!$Q$1:$R$25,2,0)</f>
        <v>23</v>
      </c>
      <c r="H232" s="64" t="str">
        <f>Idiomas!$D$263</f>
        <v>Semifinales</v>
      </c>
      <c r="I232" s="45">
        <v>1</v>
      </c>
      <c r="J232" s="844" t="s">
        <v>35</v>
      </c>
      <c r="K232" s="53" t="str">
        <f>CONCATENATE(WORLDCUP!AA138,"-",WORLDCUP!AF138)</f>
        <v>W97-W98</v>
      </c>
      <c r="L232" s="53" t="str">
        <f>IF(OR(WORLDCUP!AC138="",WORLDCUP!AD138=""),"PD",IF(WORLDCUP!AC138&gt;WORLDCUP!AD138,1,IF(WORLDCUP!AC138&lt;WORLDCUP!AD138,2,0)))</f>
        <v>PD</v>
      </c>
      <c r="M232" s="55" t="str">
        <f t="shared" ref="M232:M233" si="6653">IF(L232="PD","-",N232&amp;"-"&amp;O232)</f>
        <v>-</v>
      </c>
      <c r="N232" s="25">
        <f>WORLDCUP!AC138</f>
        <v>0</v>
      </c>
      <c r="O232" s="25">
        <f>WORLDCUP!AD138</f>
        <v>0</v>
      </c>
      <c r="P232" s="25">
        <f>+N232-O232</f>
        <v>0</v>
      </c>
      <c r="Q232" s="25">
        <f>+A232-B232</f>
        <v>0</v>
      </c>
      <c r="R232" s="108"/>
      <c r="S232" s="798" t="s">
        <v>1992</v>
      </c>
      <c r="T232" s="76">
        <f t="shared" ref="T232:T233" si="6654">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08"/>
      <c r="V232" s="75" t="s">
        <v>2037</v>
      </c>
      <c r="W232" s="76">
        <f t="shared" ref="W232:W233" si="6655">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08"/>
      <c r="Y232" s="798" t="s">
        <v>2080</v>
      </c>
      <c r="Z232" s="76">
        <f t="shared" ref="Z232:Z233" si="6656">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08"/>
      <c r="AB232" s="798" t="s">
        <v>2113</v>
      </c>
      <c r="AC232" s="76">
        <f t="shared" ref="AC232:AC233" si="6657">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08"/>
      <c r="AE232" s="798" t="s">
        <v>2149</v>
      </c>
      <c r="AF232" s="76">
        <f t="shared" ref="AF232" si="6658">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08"/>
      <c r="AH232" s="798" t="s">
        <v>2184</v>
      </c>
      <c r="AI232" s="76">
        <f t="shared" ref="AI232:AI233" si="6659">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08"/>
      <c r="AK232" s="806" t="s">
        <v>2221</v>
      </c>
      <c r="AL232" s="76">
        <f t="shared" ref="AL232:AL233" si="6660">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08"/>
      <c r="AN232" s="798" t="s">
        <v>2245</v>
      </c>
      <c r="AO232" s="76">
        <f t="shared" ref="AO232:AO233" si="6661">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08"/>
      <c r="AQ232" s="806" t="s">
        <v>2273</v>
      </c>
      <c r="AR232" s="76">
        <f t="shared" ref="AR232:AR233" si="6662">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08"/>
      <c r="AT232" s="798" t="s">
        <v>2309</v>
      </c>
      <c r="AU232" s="76">
        <f t="shared" ref="AU232:AU233" si="6663">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08"/>
      <c r="AW232" s="798" t="s">
        <v>2328</v>
      </c>
      <c r="AX232" s="76">
        <f t="shared" ref="AX232:AX233" si="6664">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08"/>
      <c r="AZ232" s="798" t="s">
        <v>2379</v>
      </c>
      <c r="BA232" s="76">
        <f t="shared" ref="BA232:BA233" si="6665">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08"/>
      <c r="BC232" s="798" t="s">
        <v>2410</v>
      </c>
      <c r="BD232" s="76">
        <f t="shared" ref="BD232:BD233" si="6666">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08"/>
      <c r="BF232" s="798" t="s">
        <v>2437</v>
      </c>
      <c r="BG232" s="76">
        <f t="shared" ref="BG232:BG233" si="6667">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08"/>
      <c r="BI232" s="798" t="s">
        <v>2469</v>
      </c>
      <c r="BJ232" s="76">
        <f t="shared" ref="BJ232:BJ233" si="6668">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08"/>
      <c r="BL232" s="798" t="s">
        <v>2489</v>
      </c>
      <c r="BM232" s="76">
        <f t="shared" ref="BM232:BM233" si="6669">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08"/>
      <c r="BO232" s="816" t="s">
        <v>2273</v>
      </c>
      <c r="BP232" s="76">
        <f t="shared" ref="BP232:BP233" si="6670">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08"/>
      <c r="BR232" s="798" t="s">
        <v>2149</v>
      </c>
      <c r="BS232" s="76">
        <f t="shared" ref="BS232:BS233" si="6671">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08"/>
      <c r="BU232" s="798" t="s">
        <v>2549</v>
      </c>
      <c r="BV232" s="76">
        <f t="shared" ref="BV232:BV233" si="6672">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08"/>
      <c r="BX232" s="75" t="s">
        <v>2469</v>
      </c>
      <c r="BY232" s="76">
        <f t="shared" ref="BY232:BY233" si="6673">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08"/>
      <c r="CA232" s="816" t="s">
        <v>2587</v>
      </c>
      <c r="CB232" s="76">
        <f t="shared" ref="CB232:CB233" si="6674">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08"/>
      <c r="CD232" s="825" t="s">
        <v>2149</v>
      </c>
      <c r="CE232" s="76">
        <f t="shared" ref="CE232:CE233" si="6675">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08"/>
      <c r="CG232" s="798" t="s">
        <v>2622</v>
      </c>
      <c r="CH232" s="76">
        <f t="shared" ref="CH232:CH233" si="6676">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08"/>
      <c r="CJ232" s="798" t="s">
        <v>1992</v>
      </c>
      <c r="CK232" s="76">
        <f t="shared" ref="CK232:CK233" si="6677">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08"/>
      <c r="CM232" s="798" t="s">
        <v>2185</v>
      </c>
      <c r="CN232" s="76">
        <f t="shared" ref="CN232:CN233" si="6678">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08"/>
      <c r="CP232" s="798" t="s">
        <v>2686</v>
      </c>
      <c r="CQ232" s="76">
        <f t="shared" ref="CQ232:CQ233" si="6679">IFERROR(IF(COUNTIF($K$232:$K$233,LEFT(CP232,FIND("·",CP232)-1))&gt;0,IF(INDEX($L$232:$L$233,MATCH(LEFT(CP232,FIND("·",CP232)-1),$K$232:$K$233,0))=IFERROR(VALUE(MID(CP232,FIND("·",CP232)+1,1)),0),($D$28+(INDEX($M$232:$M$233,MATCH(LEFT(CP232,FIND("·",CP232)-1),$K$232:$K$233,0))=MID(CP232,FIND("|",CP232)+1,10))*$D$30+MAX(0,IF($D$50=1,$D$29*(1-(ABS(INDEX($P$232:$P$233,MATCH(LEFT(CP232,FIND("·",CP232)-1),$K$232:$K$233,0))-(VALUE(MID(CP232,FIND("|",CP232)+1,FIND("-",CP232,FIND("|",CP232))-FIND("|",CP232)-1))-VALUE(MID(CP232,FIND("-",CP232,FIND("|",CP232))+1,10)))))*$D$50),$D$29*(1-(IF(INDEX($L$232:$L$233,MATCH(LEFT(CP232,FIND("·",CP232)-1),$K$232:$K$233,0))=0,ABS(INDEX($N$232:$N$233,MATCH(LEFT(CP232,FIND("·",CP232)-1),$K$232:$K$233,0))-VALUE(MID(CP232,FIND("|",CP232)+1,FIND("-",CP232,FIND("|",CP232))-FIND("|",CP232)-1))),ABS(INDEX($P$232:$P$233,MATCH(LEFT(CP232,FIND("·",CP232)-1),$K$232:$K$233,0))-(VALUE(MID(CP232,FIND("|",CP232)+1,FIND("-",CP232,FIND("|",CP232))-FIND("|",CP232)-1))-VALUE(MID(CP232,FIND("-",CP232,FIND("|",CP232))+1,10)))))*$D$50)))))*INDEX($I$232:$I$233,MATCH(LEFT(CP232,FIND("·",CP232)-1),$K$232:$K$233,0)),0),0),0)+IFERROR(IF(COUNTIF($C$232:$C$233,LEFT(CP232,FIND("·",CP232)-1))&gt;0,IF(INDEX($D$232:$D$233,MATCH(LEFT(CP232,FIND("·",CP232)-1),$C$232:$C$233,0))=IFERROR(VALUE(MID(CP232,FIND("·",CP232)+1,1)),0),($D$28+(INDEX($E$232:$E$233,MATCH(LEFT(CP232,FIND("·",CP232)-1),$C$232:$C$233,0))=MID(CP232,FIND("|",CP232)+1,10))*$D$30+MAX(0,IF($D$50=1,$D$29*(1-(ABS(INDEX($Q$232:$Q$233,MATCH(LEFT(CP232,FIND("·",CP232)-1),$C$232:$C$233,0))-(VALUE(MID(CP232,FIND("|",CP232)+1,FIND("-",CP232,FIND("|",CP232))-FIND("|",CP232)-1))-VALUE(MID(CP232,FIND("-",CP232,FIND("|",CP232))+1,10)))))*$D$50),$D$29*(1-(IF(INDEX($D$232:$D$233,MATCH(LEFT(CP232,FIND("·",CP232)-1),$C$232:$C$233,0))=0,ABS(INDEX($A$232:$A$233,MATCH(LEFT(CP232,FIND("·",CP232)-1),$C$232:$C$233,0))-VALUE(MID(CP232,FIND("|",CP232)+1,FIND("-",CP232,FIND("|",CP232))-FIND("|",CP232)-1))),ABS(INDEX($Q$232:$Q$233,MATCH(LEFT(CP232,FIND("·",CP232)-1),$C$232:$C$233,0))-(VALUE(MID(CP232,FIND("|",CP232)+1,FIND("-",CP232,FIND("|",CP232))-FIND("|",CP232)-1))-VALUE(MID(CP232,FIND("-",CP232,FIND("|",CP232))+1,10)))))*$D$50)))))*INDEX($I$232:$I$233,MATCH(LEFT(CP232,FIND("·",CP232)-1),$C$232:$C$233,0)),0),0),0)</f>
        <v>0</v>
      </c>
      <c r="CR232" s="108"/>
      <c r="CS232" s="798" t="s">
        <v>2469</v>
      </c>
      <c r="CT232" s="76">
        <f t="shared" ref="CT232:CT233" si="6680">IFERROR(IF(COUNTIF($K$232:$K$233,LEFT(CS232,FIND("·",CS232)-1))&gt;0,IF(INDEX($L$232:$L$233,MATCH(LEFT(CS232,FIND("·",CS232)-1),$K$232:$K$233,0))=IFERROR(VALUE(MID(CS232,FIND("·",CS232)+1,1)),0),($D$28+(INDEX($M$232:$M$233,MATCH(LEFT(CS232,FIND("·",CS232)-1),$K$232:$K$233,0))=MID(CS232,FIND("|",CS232)+1,10))*$D$30+MAX(0,IF($D$50=1,$D$29*(1-(ABS(INDEX($P$232:$P$233,MATCH(LEFT(CS232,FIND("·",CS232)-1),$K$232:$K$233,0))-(VALUE(MID(CS232,FIND("|",CS232)+1,FIND("-",CS232,FIND("|",CS232))-FIND("|",CS232)-1))-VALUE(MID(CS232,FIND("-",CS232,FIND("|",CS232))+1,10)))))*$D$50),$D$29*(1-(IF(INDEX($L$232:$L$233,MATCH(LEFT(CS232,FIND("·",CS232)-1),$K$232:$K$233,0))=0,ABS(INDEX($N$232:$N$233,MATCH(LEFT(CS232,FIND("·",CS232)-1),$K$232:$K$233,0))-VALUE(MID(CS232,FIND("|",CS232)+1,FIND("-",CS232,FIND("|",CS232))-FIND("|",CS232)-1))),ABS(INDEX($P$232:$P$233,MATCH(LEFT(CS232,FIND("·",CS232)-1),$K$232:$K$233,0))-(VALUE(MID(CS232,FIND("|",CS232)+1,FIND("-",CS232,FIND("|",CS232))-FIND("|",CS232)-1))-VALUE(MID(CS232,FIND("-",CS232,FIND("|",CS232))+1,10)))))*$D$50)))))*INDEX($I$232:$I$233,MATCH(LEFT(CS232,FIND("·",CS232)-1),$K$232:$K$233,0)),0),0),0)+IFERROR(IF(COUNTIF($C$232:$C$233,LEFT(CS232,FIND("·",CS232)-1))&gt;0,IF(INDEX($D$232:$D$233,MATCH(LEFT(CS232,FIND("·",CS232)-1),$C$232:$C$233,0))=IFERROR(VALUE(MID(CS232,FIND("·",CS232)+1,1)),0),($D$28+(INDEX($E$232:$E$233,MATCH(LEFT(CS232,FIND("·",CS232)-1),$C$232:$C$233,0))=MID(CS232,FIND("|",CS232)+1,10))*$D$30+MAX(0,IF($D$50=1,$D$29*(1-(ABS(INDEX($Q$232:$Q$233,MATCH(LEFT(CS232,FIND("·",CS232)-1),$C$232:$C$233,0))-(VALUE(MID(CS232,FIND("|",CS232)+1,FIND("-",CS232,FIND("|",CS232))-FIND("|",CS232)-1))-VALUE(MID(CS232,FIND("-",CS232,FIND("|",CS232))+1,10)))))*$D$50),$D$29*(1-(IF(INDEX($D$232:$D$233,MATCH(LEFT(CS232,FIND("·",CS232)-1),$C$232:$C$233,0))=0,ABS(INDEX($A$232:$A$233,MATCH(LEFT(CS232,FIND("·",CS232)-1),$C$232:$C$233,0))-VALUE(MID(CS232,FIND("|",CS232)+1,FIND("-",CS232,FIND("|",CS232))-FIND("|",CS232)-1))),ABS(INDEX($Q$232:$Q$233,MATCH(LEFT(CS232,FIND("·",CS232)-1),$C$232:$C$233,0))-(VALUE(MID(CS232,FIND("|",CS232)+1,FIND("-",CS232,FIND("|",CS232))-FIND("|",CS232)-1))-VALUE(MID(CS232,FIND("-",CS232,FIND("|",CS232))+1,10)))))*$D$50)))))*INDEX($I$232:$I$233,MATCH(LEFT(CS232,FIND("·",CS232)-1),$C$232:$C$233,0)),0),0),0)</f>
        <v>0</v>
      </c>
      <c r="CU232" s="108"/>
      <c r="CV232" s="798" t="s">
        <v>2738</v>
      </c>
      <c r="CW232" s="76">
        <f t="shared" ref="CW232:CW233" si="6681">IFERROR(IF(COUNTIF($K$232:$K$233,LEFT(CV232,FIND("·",CV232)-1))&gt;0,IF(INDEX($L$232:$L$233,MATCH(LEFT(CV232,FIND("·",CV232)-1),$K$232:$K$233,0))=IFERROR(VALUE(MID(CV232,FIND("·",CV232)+1,1)),0),($D$28+(INDEX($M$232:$M$233,MATCH(LEFT(CV232,FIND("·",CV232)-1),$K$232:$K$233,0))=MID(CV232,FIND("|",CV232)+1,10))*$D$30+MAX(0,IF($D$50=1,$D$29*(1-(ABS(INDEX($P$232:$P$233,MATCH(LEFT(CV232,FIND("·",CV232)-1),$K$232:$K$233,0))-(VALUE(MID(CV232,FIND("|",CV232)+1,FIND("-",CV232,FIND("|",CV232))-FIND("|",CV232)-1))-VALUE(MID(CV232,FIND("-",CV232,FIND("|",CV232))+1,10)))))*$D$50),$D$29*(1-(IF(INDEX($L$232:$L$233,MATCH(LEFT(CV232,FIND("·",CV232)-1),$K$232:$K$233,0))=0,ABS(INDEX($N$232:$N$233,MATCH(LEFT(CV232,FIND("·",CV232)-1),$K$232:$K$233,0))-VALUE(MID(CV232,FIND("|",CV232)+1,FIND("-",CV232,FIND("|",CV232))-FIND("|",CV232)-1))),ABS(INDEX($P$232:$P$233,MATCH(LEFT(CV232,FIND("·",CV232)-1),$K$232:$K$233,0))-(VALUE(MID(CV232,FIND("|",CV232)+1,FIND("-",CV232,FIND("|",CV232))-FIND("|",CV232)-1))-VALUE(MID(CV232,FIND("-",CV232,FIND("|",CV232))+1,10)))))*$D$50)))))*INDEX($I$232:$I$233,MATCH(LEFT(CV232,FIND("·",CV232)-1),$K$232:$K$233,0)),0),0),0)+IFERROR(IF(COUNTIF($C$232:$C$233,LEFT(CV232,FIND("·",CV232)-1))&gt;0,IF(INDEX($D$232:$D$233,MATCH(LEFT(CV232,FIND("·",CV232)-1),$C$232:$C$233,0))=IFERROR(VALUE(MID(CV232,FIND("·",CV232)+1,1)),0),($D$28+(INDEX($E$232:$E$233,MATCH(LEFT(CV232,FIND("·",CV232)-1),$C$232:$C$233,0))=MID(CV232,FIND("|",CV232)+1,10))*$D$30+MAX(0,IF($D$50=1,$D$29*(1-(ABS(INDEX($Q$232:$Q$233,MATCH(LEFT(CV232,FIND("·",CV232)-1),$C$232:$C$233,0))-(VALUE(MID(CV232,FIND("|",CV232)+1,FIND("-",CV232,FIND("|",CV232))-FIND("|",CV232)-1))-VALUE(MID(CV232,FIND("-",CV232,FIND("|",CV232))+1,10)))))*$D$50),$D$29*(1-(IF(INDEX($D$232:$D$233,MATCH(LEFT(CV232,FIND("·",CV232)-1),$C$232:$C$233,0))=0,ABS(INDEX($A$232:$A$233,MATCH(LEFT(CV232,FIND("·",CV232)-1),$C$232:$C$233,0))-VALUE(MID(CV232,FIND("|",CV232)+1,FIND("-",CV232,FIND("|",CV232))-FIND("|",CV232)-1))),ABS(INDEX($Q$232:$Q$233,MATCH(LEFT(CV232,FIND("·",CV232)-1),$C$232:$C$233,0))-(VALUE(MID(CV232,FIND("|",CV232)+1,FIND("-",CV232,FIND("|",CV232))-FIND("|",CV232)-1))-VALUE(MID(CV232,FIND("-",CV232,FIND("|",CV232))+1,10)))))*$D$50)))))*INDEX($I$232:$I$233,MATCH(LEFT(CV232,FIND("·",CV232)-1),$C$232:$C$233,0)),0),0),0)</f>
        <v>0</v>
      </c>
      <c r="CX232" s="108"/>
      <c r="CY232" s="798" t="s">
        <v>2759</v>
      </c>
      <c r="CZ232" s="76">
        <f t="shared" ref="CZ232:CZ233" si="6682">IFERROR(IF(COUNTIF($K$232:$K$233,LEFT(CY232,FIND("·",CY232)-1))&gt;0,IF(INDEX($L$232:$L$233,MATCH(LEFT(CY232,FIND("·",CY232)-1),$K$232:$K$233,0))=IFERROR(VALUE(MID(CY232,FIND("·",CY232)+1,1)),0),($D$28+(INDEX($M$232:$M$233,MATCH(LEFT(CY232,FIND("·",CY232)-1),$K$232:$K$233,0))=MID(CY232,FIND("|",CY232)+1,10))*$D$30+MAX(0,IF($D$50=1,$D$29*(1-(ABS(INDEX($P$232:$P$233,MATCH(LEFT(CY232,FIND("·",CY232)-1),$K$232:$K$233,0))-(VALUE(MID(CY232,FIND("|",CY232)+1,FIND("-",CY232,FIND("|",CY232))-FIND("|",CY232)-1))-VALUE(MID(CY232,FIND("-",CY232,FIND("|",CY232))+1,10)))))*$D$50),$D$29*(1-(IF(INDEX($L$232:$L$233,MATCH(LEFT(CY232,FIND("·",CY232)-1),$K$232:$K$233,0))=0,ABS(INDEX($N$232:$N$233,MATCH(LEFT(CY232,FIND("·",CY232)-1),$K$232:$K$233,0))-VALUE(MID(CY232,FIND("|",CY232)+1,FIND("-",CY232,FIND("|",CY232))-FIND("|",CY232)-1))),ABS(INDEX($P$232:$P$233,MATCH(LEFT(CY232,FIND("·",CY232)-1),$K$232:$K$233,0))-(VALUE(MID(CY232,FIND("|",CY232)+1,FIND("-",CY232,FIND("|",CY232))-FIND("|",CY232)-1))-VALUE(MID(CY232,FIND("-",CY232,FIND("|",CY232))+1,10)))))*$D$50)))))*INDEX($I$232:$I$233,MATCH(LEFT(CY232,FIND("·",CY232)-1),$K$232:$K$233,0)),0),0),0)+IFERROR(IF(COUNTIF($C$232:$C$233,LEFT(CY232,FIND("·",CY232)-1))&gt;0,IF(INDEX($D$232:$D$233,MATCH(LEFT(CY232,FIND("·",CY232)-1),$C$232:$C$233,0))=IFERROR(VALUE(MID(CY232,FIND("·",CY232)+1,1)),0),($D$28+(INDEX($E$232:$E$233,MATCH(LEFT(CY232,FIND("·",CY232)-1),$C$232:$C$233,0))=MID(CY232,FIND("|",CY232)+1,10))*$D$30+MAX(0,IF($D$50=1,$D$29*(1-(ABS(INDEX($Q$232:$Q$233,MATCH(LEFT(CY232,FIND("·",CY232)-1),$C$232:$C$233,0))-(VALUE(MID(CY232,FIND("|",CY232)+1,FIND("-",CY232,FIND("|",CY232))-FIND("|",CY232)-1))-VALUE(MID(CY232,FIND("-",CY232,FIND("|",CY232))+1,10)))))*$D$50),$D$29*(1-(IF(INDEX($D$232:$D$233,MATCH(LEFT(CY232,FIND("·",CY232)-1),$C$232:$C$233,0))=0,ABS(INDEX($A$232:$A$233,MATCH(LEFT(CY232,FIND("·",CY232)-1),$C$232:$C$233,0))-VALUE(MID(CY232,FIND("|",CY232)+1,FIND("-",CY232,FIND("|",CY232))-FIND("|",CY232)-1))),ABS(INDEX($Q$232:$Q$233,MATCH(LEFT(CY232,FIND("·",CY232)-1),$C$232:$C$233,0))-(VALUE(MID(CY232,FIND("|",CY232)+1,FIND("-",CY232,FIND("|",CY232))-FIND("|",CY232)-1))-VALUE(MID(CY232,FIND("-",CY232,FIND("|",CY232))+1,10)))))*$D$50)))))*INDEX($I$232:$I$233,MATCH(LEFT(CY232,FIND("·",CY232)-1),$C$232:$C$233,0)),0),0),0)</f>
        <v>0</v>
      </c>
      <c r="DA232" s="108"/>
      <c r="DB232" s="798" t="s">
        <v>2490</v>
      </c>
      <c r="DC232" s="76">
        <f t="shared" ref="DC232:DC233" si="6683">IFERROR(IF(COUNTIF($K$232:$K$233,LEFT(DB232,FIND("·",DB232)-1))&gt;0,IF(INDEX($L$232:$L$233,MATCH(LEFT(DB232,FIND("·",DB232)-1),$K$232:$K$233,0))=IFERROR(VALUE(MID(DB232,FIND("·",DB232)+1,1)),0),($D$28+(INDEX($M$232:$M$233,MATCH(LEFT(DB232,FIND("·",DB232)-1),$K$232:$K$233,0))=MID(DB232,FIND("|",DB232)+1,10))*$D$30+MAX(0,IF($D$50=1,$D$29*(1-(ABS(INDEX($P$232:$P$233,MATCH(LEFT(DB232,FIND("·",DB232)-1),$K$232:$K$233,0))-(VALUE(MID(DB232,FIND("|",DB232)+1,FIND("-",DB232,FIND("|",DB232))-FIND("|",DB232)-1))-VALUE(MID(DB232,FIND("-",DB232,FIND("|",DB232))+1,10)))))*$D$50),$D$29*(1-(IF(INDEX($L$232:$L$233,MATCH(LEFT(DB232,FIND("·",DB232)-1),$K$232:$K$233,0))=0,ABS(INDEX($N$232:$N$233,MATCH(LEFT(DB232,FIND("·",DB232)-1),$K$232:$K$233,0))-VALUE(MID(DB232,FIND("|",DB232)+1,FIND("-",DB232,FIND("|",DB232))-FIND("|",DB232)-1))),ABS(INDEX($P$232:$P$233,MATCH(LEFT(DB232,FIND("·",DB232)-1),$K$232:$K$233,0))-(VALUE(MID(DB232,FIND("|",DB232)+1,FIND("-",DB232,FIND("|",DB232))-FIND("|",DB232)-1))-VALUE(MID(DB232,FIND("-",DB232,FIND("|",DB232))+1,10)))))*$D$50)))))*INDEX($I$232:$I$233,MATCH(LEFT(DB232,FIND("·",DB232)-1),$K$232:$K$233,0)),0),0),0)+IFERROR(IF(COUNTIF($C$232:$C$233,LEFT(DB232,FIND("·",DB232)-1))&gt;0,IF(INDEX($D$232:$D$233,MATCH(LEFT(DB232,FIND("·",DB232)-1),$C$232:$C$233,0))=IFERROR(VALUE(MID(DB232,FIND("·",DB232)+1,1)),0),($D$28+(INDEX($E$232:$E$233,MATCH(LEFT(DB232,FIND("·",DB232)-1),$C$232:$C$233,0))=MID(DB232,FIND("|",DB232)+1,10))*$D$30+MAX(0,IF($D$50=1,$D$29*(1-(ABS(INDEX($Q$232:$Q$233,MATCH(LEFT(DB232,FIND("·",DB232)-1),$C$232:$C$233,0))-(VALUE(MID(DB232,FIND("|",DB232)+1,FIND("-",DB232,FIND("|",DB232))-FIND("|",DB232)-1))-VALUE(MID(DB232,FIND("-",DB232,FIND("|",DB232))+1,10)))))*$D$50),$D$29*(1-(IF(INDEX($D$232:$D$233,MATCH(LEFT(DB232,FIND("·",DB232)-1),$C$232:$C$233,0))=0,ABS(INDEX($A$232:$A$233,MATCH(LEFT(DB232,FIND("·",DB232)-1),$C$232:$C$233,0))-VALUE(MID(DB232,FIND("|",DB232)+1,FIND("-",DB232,FIND("|",DB232))-FIND("|",DB232)-1))),ABS(INDEX($Q$232:$Q$233,MATCH(LEFT(DB232,FIND("·",DB232)-1),$C$232:$C$233,0))-(VALUE(MID(DB232,FIND("|",DB232)+1,FIND("-",DB232,FIND("|",DB232))-FIND("|",DB232)-1))-VALUE(MID(DB232,FIND("-",DB232,FIND("|",DB232))+1,10)))))*$D$50)))))*INDEX($I$232:$I$233,MATCH(LEFT(DB232,FIND("·",DB232)-1),$C$232:$C$233,0)),0),0),0)</f>
        <v>0</v>
      </c>
      <c r="DD232" s="108"/>
      <c r="DE232" s="798" t="s">
        <v>2469</v>
      </c>
      <c r="DF232" s="76">
        <f>IFERROR(IF(COUNTIF($K$232:$K$233,LEFT(DE232,FIND("·",DE232)-1))&gt;0,IF(INDEX($L$232:$L$233,MATCH(LEFT(DE232,FIND("·",DE232)-1),$K$232:$K$233,0))=IFERROR(VALUE(MID(DE232,FIND("·",DE232)+1,1)),0),($D$28+(INDEX($M$232:$M$233,MATCH(LEFT(DE232,FIND("·",DE232)-1),$K$232:$K$233,0))=MID(DE232,FIND("|",DE232)+1,10))*$D$30+MAX(0,IF($D$50=1,$D$29*(1-(ABS(INDEX($P$232:$P$233,MATCH(LEFT(DE232,FIND("·",DE232)-1),$K$232:$K$233,0))-(VALUE(MID(DE232,FIND("|",DE232)+1,FIND("-",DE232,FIND("|",DE232))-FIND("|",DE232)-1))-VALUE(MID(DE232,FIND("-",DE232,FIND("|",DE232))+1,10)))))*$D$50),$D$29*(1-(IF(INDEX($L$232:$L$233,MATCH(LEFT(DE232,FIND("·",DE232)-1),$K$232:$K$233,0))=0,ABS(INDEX($N$232:$N$233,MATCH(LEFT(DE232,FIND("·",DE232)-1),$K$232:$K$233,0))-VALUE(MID(DE232,FIND("|",DE232)+1,FIND("-",DE232,FIND("|",DE232))-FIND("|",DE232)-1))),ABS(INDEX($P$232:$P$233,MATCH(LEFT(DE232,FIND("·",DE232)-1),$K$232:$K$233,0))-(VALUE(MID(DE232,FIND("|",DE232)+1,FIND("-",DE232,FIND("|",DE232))-FIND("|",DE232)-1))-VALUE(MID(DE232,FIND("-",DE232,FIND("|",DE232))+1,10)))))*$D$50)))))*INDEX($I$232:$I$233,MATCH(LEFT(DE232,FIND("·",DE232)-1),$K$232:$K$233,0)),0),0),0)+IFERROR(IF(COUNTIF($C$232:$C$233,LEFT(DE232,FIND("·",DE232)-1))&gt;0,IF(INDEX($D$232:$D$233,MATCH(LEFT(DE232,FIND("·",DE232)-1),$C$232:$C$233,0))=IFERROR(VALUE(MID(DE232,FIND("·",DE232)+1,1)),0),($D$28+(INDEX($E$232:$E$233,MATCH(LEFT(DE232,FIND("·",DE232)-1),$C$232:$C$233,0))=MID(DE232,FIND("|",DE232)+1,10))*$D$30+MAX(0,IF($D$50=1,$D$29*(1-(ABS(INDEX($Q$232:$Q$233,MATCH(LEFT(DE232,FIND("·",DE232)-1),$C$232:$C$233,0))-(VALUE(MID(DE232,FIND("|",DE232)+1,FIND("-",DE232,FIND("|",DE232))-FIND("|",DE232)-1))-VALUE(MID(DE232,FIND("-",DE232,FIND("|",DE232))+1,10)))))*$D$50),$D$29*(1-(IF(INDEX($D$232:$D$233,MATCH(LEFT(DE232,FIND("·",DE232)-1),$C$232:$C$233,0))=0,ABS(INDEX($A$232:$A$233,MATCH(LEFT(DE232,FIND("·",DE232)-1),$C$232:$C$233,0))-VALUE(MID(DE232,FIND("|",DE232)+1,FIND("-",DE232,FIND("|",DE232))-FIND("|",DE232)-1))),ABS(INDEX($Q$232:$Q$233,MATCH(LEFT(DE232,FIND("·",DE232)-1),$C$232:$C$233,0))-(VALUE(MID(DE232,FIND("|",DE232)+1,FIND("-",DE232,FIND("|",DE232))-FIND("|",DE232)-1))-VALUE(MID(DE232,FIND("-",DE232,FIND("|",DE232))+1,10)))))*$D$50)))))*INDEX($I$232:$I$233,MATCH(LEFT(DE232,FIND("·",DE232)-1),$C$232:$C$233,0)),0),0),0)</f>
        <v>0</v>
      </c>
      <c r="DG232" s="108"/>
      <c r="DH232" s="798" t="s">
        <v>2738</v>
      </c>
      <c r="DI232" s="76">
        <f>IFERROR(IF(COUNTIF($K$232:$K$233,LEFT(DH232,FIND("·",DH232)-1))&gt;0,IF(INDEX($L$232:$L$233,MATCH(LEFT(DH232,FIND("·",DH232)-1),$K$232:$K$233,0))=IFERROR(VALUE(MID(DH232,FIND("·",DH232)+1,1)),0),($D$28+(INDEX($M$232:$M$233,MATCH(LEFT(DH232,FIND("·",DH232)-1),$K$232:$K$233,0))=MID(DH232,FIND("|",DH232)+1,10))*$D$30+MAX(0,IF($D$50=1,$D$29*(1-(ABS(INDEX($P$232:$P$233,MATCH(LEFT(DH232,FIND("·",DH232)-1),$K$232:$K$233,0))-(VALUE(MID(DH232,FIND("|",DH232)+1,FIND("-",DH232,FIND("|",DH232))-FIND("|",DH232)-1))-VALUE(MID(DH232,FIND("-",DH232,FIND("|",DH232))+1,10)))))*$D$50),$D$29*(1-(IF(INDEX($L$232:$L$233,MATCH(LEFT(DH232,FIND("·",DH232)-1),$K$232:$K$233,0))=0,ABS(INDEX($N$232:$N$233,MATCH(LEFT(DH232,FIND("·",DH232)-1),$K$232:$K$233,0))-VALUE(MID(DH232,FIND("|",DH232)+1,FIND("-",DH232,FIND("|",DH232))-FIND("|",DH232)-1))),ABS(INDEX($P$232:$P$233,MATCH(LEFT(DH232,FIND("·",DH232)-1),$K$232:$K$233,0))-(VALUE(MID(DH232,FIND("|",DH232)+1,FIND("-",DH232,FIND("|",DH232))-FIND("|",DH232)-1))-VALUE(MID(DH232,FIND("-",DH232,FIND("|",DH232))+1,10)))))*$D$50)))))*INDEX($I$232:$I$233,MATCH(LEFT(DH232,FIND("·",DH232)-1),$K$232:$K$233,0)),0),0),0)+IFERROR(IF(COUNTIF($C$232:$C$233,LEFT(DH232,FIND("·",DH232)-1))&gt;0,IF(INDEX($D$232:$D$233,MATCH(LEFT(DH232,FIND("·",DH232)-1),$C$232:$C$233,0))=IFERROR(VALUE(MID(DH232,FIND("·",DH232)+1,1)),0),($D$28+(INDEX($E$232:$E$233,MATCH(LEFT(DH232,FIND("·",DH232)-1),$C$232:$C$233,0))=MID(DH232,FIND("|",DH232)+1,10))*$D$30+MAX(0,IF($D$50=1,$D$29*(1-(ABS(INDEX($Q$232:$Q$233,MATCH(LEFT(DH232,FIND("·",DH232)-1),$C$232:$C$233,0))-(VALUE(MID(DH232,FIND("|",DH232)+1,FIND("-",DH232,FIND("|",DH232))-FIND("|",DH232)-1))-VALUE(MID(DH232,FIND("-",DH232,FIND("|",DH232))+1,10)))))*$D$50),$D$29*(1-(IF(INDEX($D$232:$D$233,MATCH(LEFT(DH232,FIND("·",DH232)-1),$C$232:$C$233,0))=0,ABS(INDEX($A$232:$A$233,MATCH(LEFT(DH232,FIND("·",DH232)-1),$C$232:$C$233,0))-VALUE(MID(DH232,FIND("|",DH232)+1,FIND("-",DH232,FIND("|",DH232))-FIND("|",DH232)-1))),ABS(INDEX($Q$232:$Q$233,MATCH(LEFT(DH232,FIND("·",DH232)-1),$C$232:$C$233,0))-(VALUE(MID(DH232,FIND("|",DH232)+1,FIND("-",DH232,FIND("|",DH232))-FIND("|",DH232)-1))-VALUE(MID(DH232,FIND("-",DH232,FIND("|",DH232))+1,10)))))*$D$50)))))*INDEX($I$232:$I$233,MATCH(LEFT(DH232,FIND("·",DH232)-1),$C$232:$C$233,0)),0),0),0)</f>
        <v>0</v>
      </c>
      <c r="DJ232" s="108"/>
      <c r="DK232" s="798" t="s">
        <v>2469</v>
      </c>
      <c r="DL232" s="76">
        <f>IFERROR(IF(COUNTIF($K$232:$K$233,LEFT(DK232,FIND("·",DK232)-1))&gt;0,IF(INDEX($L$232:$L$233,MATCH(LEFT(DK232,FIND("·",DK232)-1),$K$232:$K$233,0))=IFERROR(VALUE(MID(DK232,FIND("·",DK232)+1,1)),0),($D$28+(INDEX($M$232:$M$233,MATCH(LEFT(DK232,FIND("·",DK232)-1),$K$232:$K$233,0))=MID(DK232,FIND("|",DK232)+1,10))*$D$30+MAX(0,IF($D$50=1,$D$29*(1-(ABS(INDEX($P$232:$P$233,MATCH(LEFT(DK232,FIND("·",DK232)-1),$K$232:$K$233,0))-(VALUE(MID(DK232,FIND("|",DK232)+1,FIND("-",DK232,FIND("|",DK232))-FIND("|",DK232)-1))-VALUE(MID(DK232,FIND("-",DK232,FIND("|",DK232))+1,10)))))*$D$50),$D$29*(1-(IF(INDEX($L$232:$L$233,MATCH(LEFT(DK232,FIND("·",DK232)-1),$K$232:$K$233,0))=0,ABS(INDEX($N$232:$N$233,MATCH(LEFT(DK232,FIND("·",DK232)-1),$K$232:$K$233,0))-VALUE(MID(DK232,FIND("|",DK232)+1,FIND("-",DK232,FIND("|",DK232))-FIND("|",DK232)-1))),ABS(INDEX($P$232:$P$233,MATCH(LEFT(DK232,FIND("·",DK232)-1),$K$232:$K$233,0))-(VALUE(MID(DK232,FIND("|",DK232)+1,FIND("-",DK232,FIND("|",DK232))-FIND("|",DK232)-1))-VALUE(MID(DK232,FIND("-",DK232,FIND("|",DK232))+1,10)))))*$D$50)))))*INDEX($I$232:$I$233,MATCH(LEFT(DK232,FIND("·",DK232)-1),$K$232:$K$233,0)),0),0),0)+IFERROR(IF(COUNTIF($C$232:$C$233,LEFT(DK232,FIND("·",DK232)-1))&gt;0,IF(INDEX($D$232:$D$233,MATCH(LEFT(DK232,FIND("·",DK232)-1),$C$232:$C$233,0))=IFERROR(VALUE(MID(DK232,FIND("·",DK232)+1,1)),0),($D$28+(INDEX($E$232:$E$233,MATCH(LEFT(DK232,FIND("·",DK232)-1),$C$232:$C$233,0))=MID(DK232,FIND("|",DK232)+1,10))*$D$30+MAX(0,IF($D$50=1,$D$29*(1-(ABS(INDEX($Q$232:$Q$233,MATCH(LEFT(DK232,FIND("·",DK232)-1),$C$232:$C$233,0))-(VALUE(MID(DK232,FIND("|",DK232)+1,FIND("-",DK232,FIND("|",DK232))-FIND("|",DK232)-1))-VALUE(MID(DK232,FIND("-",DK232,FIND("|",DK232))+1,10)))))*$D$50),$D$29*(1-(IF(INDEX($D$232:$D$233,MATCH(LEFT(DK232,FIND("·",DK232)-1),$C$232:$C$233,0))=0,ABS(INDEX($A$232:$A$233,MATCH(LEFT(DK232,FIND("·",DK232)-1),$C$232:$C$233,0))-VALUE(MID(DK232,FIND("|",DK232)+1,FIND("-",DK232,FIND("|",DK232))-FIND("|",DK232)-1))),ABS(INDEX($Q$232:$Q$233,MATCH(LEFT(DK232,FIND("·",DK232)-1),$C$232:$C$233,0))-(VALUE(MID(DK232,FIND("|",DK232)+1,FIND("-",DK232,FIND("|",DK232))-FIND("|",DK232)-1))-VALUE(MID(DK232,FIND("-",DK232,FIND("|",DK232))+1,10)))))*$D$50)))))*INDEX($I$232:$I$233,MATCH(LEFT(DK232,FIND("·",DK232)-1),$C$232:$C$233,0)),0),0),0)</f>
        <v>0</v>
      </c>
      <c r="DM232" s="108"/>
      <c r="DN232" s="75" t="str">
        <f>Idiomas!$D$370</f>
        <v>Pegar valores Semifinales</v>
      </c>
      <c r="DO232" s="76">
        <f t="shared" ref="DO232:DO233" si="6684">IFERROR(IF(COUNTIF($K$232:$K$233,LEFT(DN232,FIND("·",DN232)-1))&gt;0,IF(INDEX($L$232:$L$233,MATCH(LEFT(DN232,FIND("·",DN232)-1),$K$232:$K$233,0))=IFERROR(VALUE(MID(DN232,FIND("·",DN232)+1,1)),0),($D$28+(INDEX($M$232:$M$233,MATCH(LEFT(DN232,FIND("·",DN232)-1),$K$232:$K$233,0))=MID(DN232,FIND("|",DN232)+1,10))*$D$30+MAX(0,IF($D$50=1,$D$29*(1-(ABS(INDEX($P$232:$P$233,MATCH(LEFT(DN232,FIND("·",DN232)-1),$K$232:$K$233,0))-(VALUE(MID(DN232,FIND("|",DN232)+1,FIND("-",DN232,FIND("|",DN232))-FIND("|",DN232)-1))-VALUE(MID(DN232,FIND("-",DN232,FIND("|",DN232))+1,10)))))*$D$50),$D$29*(1-(IF(INDEX($L$232:$L$233,MATCH(LEFT(DN232,FIND("·",DN232)-1),$K$232:$K$233,0))=0,ABS(INDEX($N$232:$N$233,MATCH(LEFT(DN232,FIND("·",DN232)-1),$K$232:$K$233,0))-VALUE(MID(DN232,FIND("|",DN232)+1,FIND("-",DN232,FIND("|",DN232))-FIND("|",DN232)-1))),ABS(INDEX($P$232:$P$233,MATCH(LEFT(DN232,FIND("·",DN232)-1),$K$232:$K$233,0))-(VALUE(MID(DN232,FIND("|",DN232)+1,FIND("-",DN232,FIND("|",DN232))-FIND("|",DN232)-1))-VALUE(MID(DN232,FIND("-",DN232,FIND("|",DN232))+1,10)))))*$D$50)))))*INDEX($I$232:$I$233,MATCH(LEFT(DN232,FIND("·",DN232)-1),$K$232:$K$233,0)),0),0),0)+IFERROR(IF(COUNTIF($C$232:$C$233,LEFT(DN232,FIND("·",DN232)-1))&gt;0,IF(INDEX($D$232:$D$233,MATCH(LEFT(DN232,FIND("·",DN232)-1),$C$232:$C$233,0))=IFERROR(VALUE(MID(DN232,FIND("·",DN232)+1,1)),0),($D$28+(INDEX($E$232:$E$233,MATCH(LEFT(DN232,FIND("·",DN232)-1),$C$232:$C$233,0))=MID(DN232,FIND("|",DN232)+1,10))*$D$30+MAX(0,IF($D$50=1,$D$29*(1-(ABS(INDEX($Q$232:$Q$233,MATCH(LEFT(DN232,FIND("·",DN232)-1),$C$232:$C$233,0))-(VALUE(MID(DN232,FIND("|",DN232)+1,FIND("-",DN232,FIND("|",DN232))-FIND("|",DN232)-1))-VALUE(MID(DN232,FIND("-",DN232,FIND("|",DN232))+1,10)))))*$D$50),$D$29*(1-(IF(INDEX($D$232:$D$233,MATCH(LEFT(DN232,FIND("·",DN232)-1),$C$232:$C$233,0))=0,ABS(INDEX($A$232:$A$233,MATCH(LEFT(DN232,FIND("·",DN232)-1),$C$232:$C$233,0))-VALUE(MID(DN232,FIND("|",DN232)+1,FIND("-",DN232,FIND("|",DN232))-FIND("|",DN232)-1))),ABS(INDEX($Q$232:$Q$233,MATCH(LEFT(DN232,FIND("·",DN232)-1),$C$232:$C$233,0))-(VALUE(MID(DN232,FIND("|",DN232)+1,FIND("-",DN232,FIND("|",DN232))-FIND("|",DN232)-1))-VALUE(MID(DN232,FIND("-",DN232,FIND("|",DN232))+1,10)))))*$D$50)))))*INDEX($I$232:$I$233,MATCH(LEFT(DN232,FIND("·",DN232)-1),$C$232:$C$233,0)),0),0),0)</f>
        <v>0</v>
      </c>
      <c r="DP232" s="108"/>
      <c r="DQ232" s="798" t="s">
        <v>2843</v>
      </c>
      <c r="DR232" s="76">
        <f t="shared" ref="DR232:DR233" si="6685">IFERROR(IF(COUNTIF($K$232:$K$233,LEFT(DQ232,FIND("·",DQ232)-1))&gt;0,IF(INDEX($L$232:$L$233,MATCH(LEFT(DQ232,FIND("·",DQ232)-1),$K$232:$K$233,0))=IFERROR(VALUE(MID(DQ232,FIND("·",DQ232)+1,1)),0),($D$28+(INDEX($M$232:$M$233,MATCH(LEFT(DQ232,FIND("·",DQ232)-1),$K$232:$K$233,0))=MID(DQ232,FIND("|",DQ232)+1,10))*$D$30+MAX(0,IF($D$50=1,$D$29*(1-(ABS(INDEX($P$232:$P$233,MATCH(LEFT(DQ232,FIND("·",DQ232)-1),$K$232:$K$233,0))-(VALUE(MID(DQ232,FIND("|",DQ232)+1,FIND("-",DQ232,FIND("|",DQ232))-FIND("|",DQ232)-1))-VALUE(MID(DQ232,FIND("-",DQ232,FIND("|",DQ232))+1,10)))))*$D$50),$D$29*(1-(IF(INDEX($L$232:$L$233,MATCH(LEFT(DQ232,FIND("·",DQ232)-1),$K$232:$K$233,0))=0,ABS(INDEX($N$232:$N$233,MATCH(LEFT(DQ232,FIND("·",DQ232)-1),$K$232:$K$233,0))-VALUE(MID(DQ232,FIND("|",DQ232)+1,FIND("-",DQ232,FIND("|",DQ232))-FIND("|",DQ232)-1))),ABS(INDEX($P$232:$P$233,MATCH(LEFT(DQ232,FIND("·",DQ232)-1),$K$232:$K$233,0))-(VALUE(MID(DQ232,FIND("|",DQ232)+1,FIND("-",DQ232,FIND("|",DQ232))-FIND("|",DQ232)-1))-VALUE(MID(DQ232,FIND("-",DQ232,FIND("|",DQ232))+1,10)))))*$D$50)))))*INDEX($I$232:$I$233,MATCH(LEFT(DQ232,FIND("·",DQ232)-1),$K$232:$K$233,0)),0),0),0)+IFERROR(IF(COUNTIF($C$232:$C$233,LEFT(DQ232,FIND("·",DQ232)-1))&gt;0,IF(INDEX($D$232:$D$233,MATCH(LEFT(DQ232,FIND("·",DQ232)-1),$C$232:$C$233,0))=IFERROR(VALUE(MID(DQ232,FIND("·",DQ232)+1,1)),0),($D$28+(INDEX($E$232:$E$233,MATCH(LEFT(DQ232,FIND("·",DQ232)-1),$C$232:$C$233,0))=MID(DQ232,FIND("|",DQ232)+1,10))*$D$30+MAX(0,IF($D$50=1,$D$29*(1-(ABS(INDEX($Q$232:$Q$233,MATCH(LEFT(DQ232,FIND("·",DQ232)-1),$C$232:$C$233,0))-(VALUE(MID(DQ232,FIND("|",DQ232)+1,FIND("-",DQ232,FIND("|",DQ232))-FIND("|",DQ232)-1))-VALUE(MID(DQ232,FIND("-",DQ232,FIND("|",DQ232))+1,10)))))*$D$50),$D$29*(1-(IF(INDEX($D$232:$D$233,MATCH(LEFT(DQ232,FIND("·",DQ232)-1),$C$232:$C$233,0))=0,ABS(INDEX($A$232:$A$233,MATCH(LEFT(DQ232,FIND("·",DQ232)-1),$C$232:$C$233,0))-VALUE(MID(DQ232,FIND("|",DQ232)+1,FIND("-",DQ232,FIND("|",DQ232))-FIND("|",DQ232)-1))),ABS(INDEX($Q$232:$Q$233,MATCH(LEFT(DQ232,FIND("·",DQ232)-1),$C$232:$C$233,0))-(VALUE(MID(DQ232,FIND("|",DQ232)+1,FIND("-",DQ232,FIND("|",DQ232))-FIND("|",DQ232)-1))-VALUE(MID(DQ232,FIND("-",DQ232,FIND("|",DQ232))+1,10)))))*$D$50)))))*INDEX($I$232:$I$233,MATCH(LEFT(DQ232,FIND("·",DQ232)-1),$C$232:$C$233,0)),0),0),0)</f>
        <v>0</v>
      </c>
      <c r="DS232" s="108"/>
      <c r="DT232" s="75" t="s">
        <v>2738</v>
      </c>
      <c r="DU232" s="76">
        <f t="shared" ref="DU232:DU233" si="6686">IFERROR(IF(COUNTIF($K$232:$K$233,LEFT(DT232,FIND("·",DT232)-1))&gt;0,IF(INDEX($L$232:$L$233,MATCH(LEFT(DT232,FIND("·",DT232)-1),$K$232:$K$233,0))=IFERROR(VALUE(MID(DT232,FIND("·",DT232)+1,1)),0),($D$28+(INDEX($M$232:$M$233,MATCH(LEFT(DT232,FIND("·",DT232)-1),$K$232:$K$233,0))=MID(DT232,FIND("|",DT232)+1,10))*$D$30+MAX(0,IF($D$50=1,$D$29*(1-(ABS(INDEX($P$232:$P$233,MATCH(LEFT(DT232,FIND("·",DT232)-1),$K$232:$K$233,0))-(VALUE(MID(DT232,FIND("|",DT232)+1,FIND("-",DT232,FIND("|",DT232))-FIND("|",DT232)-1))-VALUE(MID(DT232,FIND("-",DT232,FIND("|",DT232))+1,10)))))*$D$50),$D$29*(1-(IF(INDEX($L$232:$L$233,MATCH(LEFT(DT232,FIND("·",DT232)-1),$K$232:$K$233,0))=0,ABS(INDEX($N$232:$N$233,MATCH(LEFT(DT232,FIND("·",DT232)-1),$K$232:$K$233,0))-VALUE(MID(DT232,FIND("|",DT232)+1,FIND("-",DT232,FIND("|",DT232))-FIND("|",DT232)-1))),ABS(INDEX($P$232:$P$233,MATCH(LEFT(DT232,FIND("·",DT232)-1),$K$232:$K$233,0))-(VALUE(MID(DT232,FIND("|",DT232)+1,FIND("-",DT232,FIND("|",DT232))-FIND("|",DT232)-1))-VALUE(MID(DT232,FIND("-",DT232,FIND("|",DT232))+1,10)))))*$D$50)))))*INDEX($I$232:$I$233,MATCH(LEFT(DT232,FIND("·",DT232)-1),$K$232:$K$233,0)),0),0),0)+IFERROR(IF(COUNTIF($C$232:$C$233,LEFT(DT232,FIND("·",DT232)-1))&gt;0,IF(INDEX($D$232:$D$233,MATCH(LEFT(DT232,FIND("·",DT232)-1),$C$232:$C$233,0))=IFERROR(VALUE(MID(DT232,FIND("·",DT232)+1,1)),0),($D$28+(INDEX($E$232:$E$233,MATCH(LEFT(DT232,FIND("·",DT232)-1),$C$232:$C$233,0))=MID(DT232,FIND("|",DT232)+1,10))*$D$30+MAX(0,IF($D$50=1,$D$29*(1-(ABS(INDEX($Q$232:$Q$233,MATCH(LEFT(DT232,FIND("·",DT232)-1),$C$232:$C$233,0))-(VALUE(MID(DT232,FIND("|",DT232)+1,FIND("-",DT232,FIND("|",DT232))-FIND("|",DT232)-1))-VALUE(MID(DT232,FIND("-",DT232,FIND("|",DT232))+1,10)))))*$D$50),$D$29*(1-(IF(INDEX($D$232:$D$233,MATCH(LEFT(DT232,FIND("·",DT232)-1),$C$232:$C$233,0))=0,ABS(INDEX($A$232:$A$233,MATCH(LEFT(DT232,FIND("·",DT232)-1),$C$232:$C$233,0))-VALUE(MID(DT232,FIND("|",DT232)+1,FIND("-",DT232,FIND("|",DT232))-FIND("|",DT232)-1))),ABS(INDEX($Q$232:$Q$233,MATCH(LEFT(DT232,FIND("·",DT232)-1),$C$232:$C$233,0))-(VALUE(MID(DT232,FIND("|",DT232)+1,FIND("-",DT232,FIND("|",DT232))-FIND("|",DT232)-1))-VALUE(MID(DT232,FIND("-",DT232,FIND("|",DT232))+1,10)))))*$D$50)))))*INDEX($I$232:$I$233,MATCH(LEFT(DT232,FIND("·",DT232)-1),$C$232:$C$233,0)),0),0),0)</f>
        <v>0</v>
      </c>
      <c r="DV232" s="108"/>
      <c r="DW232" s="75" t="str">
        <f>Idiomas!$D$370</f>
        <v>Pegar valores Semifinales</v>
      </c>
      <c r="DX232" s="76">
        <f t="shared" ref="DX232:DX233" si="6687">IFERROR(IF(COUNTIF($K$232:$K$233,LEFT(DW232,FIND("·",DW232)-1))&gt;0,IF(INDEX($L$232:$L$233,MATCH(LEFT(DW232,FIND("·",DW232)-1),$K$232:$K$233,0))=IFERROR(VALUE(MID(DW232,FIND("·",DW232)+1,1)),0),($D$28+(INDEX($M$232:$M$233,MATCH(LEFT(DW232,FIND("·",DW232)-1),$K$232:$K$233,0))=MID(DW232,FIND("|",DW232)+1,10))*$D$30+MAX(0,IF($D$50=1,$D$29*(1-(ABS(INDEX($P$232:$P$233,MATCH(LEFT(DW232,FIND("·",DW232)-1),$K$232:$K$233,0))-(VALUE(MID(DW232,FIND("|",DW232)+1,FIND("-",DW232,FIND("|",DW232))-FIND("|",DW232)-1))-VALUE(MID(DW232,FIND("-",DW232,FIND("|",DW232))+1,10)))))*$D$50),$D$29*(1-(IF(INDEX($L$232:$L$233,MATCH(LEFT(DW232,FIND("·",DW232)-1),$K$232:$K$233,0))=0,ABS(INDEX($N$232:$N$233,MATCH(LEFT(DW232,FIND("·",DW232)-1),$K$232:$K$233,0))-VALUE(MID(DW232,FIND("|",DW232)+1,FIND("-",DW232,FIND("|",DW232))-FIND("|",DW232)-1))),ABS(INDEX($P$232:$P$233,MATCH(LEFT(DW232,FIND("·",DW232)-1),$K$232:$K$233,0))-(VALUE(MID(DW232,FIND("|",DW232)+1,FIND("-",DW232,FIND("|",DW232))-FIND("|",DW232)-1))-VALUE(MID(DW232,FIND("-",DW232,FIND("|",DW232))+1,10)))))*$D$50)))))*INDEX($I$232:$I$233,MATCH(LEFT(DW232,FIND("·",DW232)-1),$K$232:$K$233,0)),0),0),0)+IFERROR(IF(COUNTIF($C$232:$C$233,LEFT(DW232,FIND("·",DW232)-1))&gt;0,IF(INDEX($D$232:$D$233,MATCH(LEFT(DW232,FIND("·",DW232)-1),$C$232:$C$233,0))=IFERROR(VALUE(MID(DW232,FIND("·",DW232)+1,1)),0),($D$28+(INDEX($E$232:$E$233,MATCH(LEFT(DW232,FIND("·",DW232)-1),$C$232:$C$233,0))=MID(DW232,FIND("|",DW232)+1,10))*$D$30+MAX(0,IF($D$50=1,$D$29*(1-(ABS(INDEX($Q$232:$Q$233,MATCH(LEFT(DW232,FIND("·",DW232)-1),$C$232:$C$233,0))-(VALUE(MID(DW232,FIND("|",DW232)+1,FIND("-",DW232,FIND("|",DW232))-FIND("|",DW232)-1))-VALUE(MID(DW232,FIND("-",DW232,FIND("|",DW232))+1,10)))))*$D$50),$D$29*(1-(IF(INDEX($D$232:$D$233,MATCH(LEFT(DW232,FIND("·",DW232)-1),$C$232:$C$233,0))=0,ABS(INDEX($A$232:$A$233,MATCH(LEFT(DW232,FIND("·",DW232)-1),$C$232:$C$233,0))-VALUE(MID(DW232,FIND("|",DW232)+1,FIND("-",DW232,FIND("|",DW232))-FIND("|",DW232)-1))),ABS(INDEX($Q$232:$Q$233,MATCH(LEFT(DW232,FIND("·",DW232)-1),$C$232:$C$233,0))-(VALUE(MID(DW232,FIND("|",DW232)+1,FIND("-",DW232,FIND("|",DW232))-FIND("|",DW232)-1))-VALUE(MID(DW232,FIND("-",DW232,FIND("|",DW232))+1,10)))))*$D$50)))))*INDEX($I$232:$I$233,MATCH(LEFT(DW232,FIND("·",DW232)-1),$C$232:$C$233,0)),0),0),0)</f>
        <v>0</v>
      </c>
      <c r="DY232" s="108"/>
      <c r="DZ232" s="75" t="str">
        <f>Idiomas!$D$370</f>
        <v>Pegar valores Semifinales</v>
      </c>
      <c r="EA232" s="76">
        <f>IFERROR(IF(COUNTIF($K$232:$K$233,LEFT(DZ232,FIND("·",DZ232)-1))&gt;0,IF(INDEX($L$232:$L$233,MATCH(LEFT(DZ232,FIND("·",DZ232)-1),$K$232:$K$233,0))=IFERROR(VALUE(MID(DZ232,FIND("·",DZ232)+1,1)),0),($D$28+(INDEX($M$232:$M$233,MATCH(LEFT(DZ232,FIND("·",DZ232)-1),$K$232:$K$233,0))=MID(DZ232,FIND("|",DZ232)+1,10))*$D$30+MAX(0,IF($D$50=1,$D$29*(1-(ABS(INDEX($P$232:$P$233,MATCH(LEFT(DZ232,FIND("·",DZ232)-1),$K$232:$K$233,0))-(VALUE(MID(DZ232,FIND("|",DZ232)+1,FIND("-",DZ232,FIND("|",DZ232))-FIND("|",DZ232)-1))-VALUE(MID(DZ232,FIND("-",DZ232,FIND("|",DZ232))+1,10)))))*$D$50),$D$29*(1-(IF(INDEX($L$232:$L$233,MATCH(LEFT(DZ232,FIND("·",DZ232)-1),$K$232:$K$233,0))=0,ABS(INDEX($N$232:$N$233,MATCH(LEFT(DZ232,FIND("·",DZ232)-1),$K$232:$K$233,0))-VALUE(MID(DZ232,FIND("|",DZ232)+1,FIND("-",DZ232,FIND("|",DZ232))-FIND("|",DZ232)-1))),ABS(INDEX($P$232:$P$233,MATCH(LEFT(DZ232,FIND("·",DZ232)-1),$K$232:$K$233,0))-(VALUE(MID(DZ232,FIND("|",DZ232)+1,FIND("-",DZ232,FIND("|",DZ232))-FIND("|",DZ232)-1))-VALUE(MID(DZ232,FIND("-",DZ232,FIND("|",DZ232))+1,10)))))*$D$50)))))*INDEX($I$232:$I$233,MATCH(LEFT(DZ232,FIND("·",DZ232)-1),$K$232:$K$233,0)),0),0),0)+IFERROR(IF(COUNTIF($C$232:$C$233,LEFT(DZ232,FIND("·",DZ232)-1))&gt;0,IF(INDEX($D$232:$D$233,MATCH(LEFT(DZ232,FIND("·",DZ232)-1),$C$232:$C$233,0))=IFERROR(VALUE(MID(DZ232,FIND("·",DZ232)+1,1)),0),($D$28+(INDEX($E$232:$E$233,MATCH(LEFT(DZ232,FIND("·",DZ232)-1),$C$232:$C$233,0))=MID(DZ232,FIND("|",DZ232)+1,10))*$D$30+MAX(0,IF($D$50=1,$D$29*(1-(ABS(INDEX($Q$232:$Q$233,MATCH(LEFT(DZ232,FIND("·",DZ232)-1),$C$232:$C$233,0))-(VALUE(MID(DZ232,FIND("|",DZ232)+1,FIND("-",DZ232,FIND("|",DZ232))-FIND("|",DZ232)-1))-VALUE(MID(DZ232,FIND("-",DZ232,FIND("|",DZ232))+1,10)))))*$D$50),$D$29*(1-(IF(INDEX($D$232:$D$233,MATCH(LEFT(DZ232,FIND("·",DZ232)-1),$C$232:$C$233,0))=0,ABS(INDEX($A$232:$A$233,MATCH(LEFT(DZ232,FIND("·",DZ232)-1),$C$232:$C$233,0))-VALUE(MID(DZ232,FIND("|",DZ232)+1,FIND("-",DZ232,FIND("|",DZ232))-FIND("|",DZ232)-1))),ABS(INDEX($Q$232:$Q$233,MATCH(LEFT(DZ232,FIND("·",DZ232)-1),$C$232:$C$233,0))-(VALUE(MID(DZ232,FIND("|",DZ232)+1,FIND("-",DZ232,FIND("|",DZ232))-FIND("|",DZ232)-1))-VALUE(MID(DZ232,FIND("-",DZ232,FIND("|",DZ232))+1,10)))))*$D$50)))))*INDEX($I$232:$I$233,MATCH(LEFT(DZ232,FIND("·",DZ232)-1),$C$232:$C$233,0)),0),0),0)</f>
        <v>0</v>
      </c>
      <c r="EB232" s="108"/>
      <c r="EC232" s="75" t="str">
        <f>Idiomas!$D$370</f>
        <v>Pegar valores Semifinales</v>
      </c>
      <c r="ED232" s="76">
        <f t="shared" ref="ED232:ED233" si="6688">IFERROR(IF(COUNTIF($K$232:$K$233,LEFT(EC232,FIND("·",EC232)-1))&gt;0,IF(INDEX($L$232:$L$233,MATCH(LEFT(EC232,FIND("·",EC232)-1),$K$232:$K$233,0))=IFERROR(VALUE(MID(EC232,FIND("·",EC232)+1,1)),0),($D$28+(INDEX($M$232:$M$233,MATCH(LEFT(EC232,FIND("·",EC232)-1),$K$232:$K$233,0))=MID(EC232,FIND("|",EC232)+1,10))*$D$30+MAX(0,IF($D$50=1,$D$29*(1-(ABS(INDEX($P$232:$P$233,MATCH(LEFT(EC232,FIND("·",EC232)-1),$K$232:$K$233,0))-(VALUE(MID(EC232,FIND("|",EC232)+1,FIND("-",EC232,FIND("|",EC232))-FIND("|",EC232)-1))-VALUE(MID(EC232,FIND("-",EC232,FIND("|",EC232))+1,10)))))*$D$50),$D$29*(1-(IF(INDEX($L$232:$L$233,MATCH(LEFT(EC232,FIND("·",EC232)-1),$K$232:$K$233,0))=0,ABS(INDEX($N$232:$N$233,MATCH(LEFT(EC232,FIND("·",EC232)-1),$K$232:$K$233,0))-VALUE(MID(EC232,FIND("|",EC232)+1,FIND("-",EC232,FIND("|",EC232))-FIND("|",EC232)-1))),ABS(INDEX($P$232:$P$233,MATCH(LEFT(EC232,FIND("·",EC232)-1),$K$232:$K$233,0))-(VALUE(MID(EC232,FIND("|",EC232)+1,FIND("-",EC232,FIND("|",EC232))-FIND("|",EC232)-1))-VALUE(MID(EC232,FIND("-",EC232,FIND("|",EC232))+1,10)))))*$D$50)))))*INDEX($I$232:$I$233,MATCH(LEFT(EC232,FIND("·",EC232)-1),$K$232:$K$233,0)),0),0),0)+IFERROR(IF(COUNTIF($C$232:$C$233,LEFT(EC232,FIND("·",EC232)-1))&gt;0,IF(INDEX($D$232:$D$233,MATCH(LEFT(EC232,FIND("·",EC232)-1),$C$232:$C$233,0))=IFERROR(VALUE(MID(EC232,FIND("·",EC232)+1,1)),0),($D$28+(INDEX($E$232:$E$233,MATCH(LEFT(EC232,FIND("·",EC232)-1),$C$232:$C$233,0))=MID(EC232,FIND("|",EC232)+1,10))*$D$30+MAX(0,IF($D$50=1,$D$29*(1-(ABS(INDEX($Q$232:$Q$233,MATCH(LEFT(EC232,FIND("·",EC232)-1),$C$232:$C$233,0))-(VALUE(MID(EC232,FIND("|",EC232)+1,FIND("-",EC232,FIND("|",EC232))-FIND("|",EC232)-1))-VALUE(MID(EC232,FIND("-",EC232,FIND("|",EC232))+1,10)))))*$D$50),$D$29*(1-(IF(INDEX($D$232:$D$233,MATCH(LEFT(EC232,FIND("·",EC232)-1),$C$232:$C$233,0))=0,ABS(INDEX($A$232:$A$233,MATCH(LEFT(EC232,FIND("·",EC232)-1),$C$232:$C$233,0))-VALUE(MID(EC232,FIND("|",EC232)+1,FIND("-",EC232,FIND("|",EC232))-FIND("|",EC232)-1))),ABS(INDEX($Q$232:$Q$233,MATCH(LEFT(EC232,FIND("·",EC232)-1),$C$232:$C$233,0))-(VALUE(MID(EC232,FIND("|",EC232)+1,FIND("-",EC232,FIND("|",EC232))-FIND("|",EC232)-1))-VALUE(MID(EC232,FIND("-",EC232,FIND("|",EC232))+1,10)))))*$D$50)))))*INDEX($I$232:$I$233,MATCH(LEFT(EC232,FIND("·",EC232)-1),$C$232:$C$233,0)),0),0),0)</f>
        <v>0</v>
      </c>
      <c r="EE232" s="108"/>
      <c r="EF232" s="75" t="str">
        <f>Idiomas!$D$370</f>
        <v>Pegar valores Semifinales</v>
      </c>
      <c r="EG232" s="76">
        <f t="shared" ref="EG232:EG233" si="6689">IFERROR(IF(COUNTIF($K$232:$K$233,LEFT(EF232,FIND("·",EF232)-1))&gt;0,IF(INDEX($L$232:$L$233,MATCH(LEFT(EF232,FIND("·",EF232)-1),$K$232:$K$233,0))=IFERROR(VALUE(MID(EF232,FIND("·",EF232)+1,1)),0),($D$28+(INDEX($M$232:$M$233,MATCH(LEFT(EF232,FIND("·",EF232)-1),$K$232:$K$233,0))=MID(EF232,FIND("|",EF232)+1,10))*$D$30+MAX(0,IF($D$50=1,$D$29*(1-(ABS(INDEX($P$232:$P$233,MATCH(LEFT(EF232,FIND("·",EF232)-1),$K$232:$K$233,0))-(VALUE(MID(EF232,FIND("|",EF232)+1,FIND("-",EF232,FIND("|",EF232))-FIND("|",EF232)-1))-VALUE(MID(EF232,FIND("-",EF232,FIND("|",EF232))+1,10)))))*$D$50),$D$29*(1-(IF(INDEX($L$232:$L$233,MATCH(LEFT(EF232,FIND("·",EF232)-1),$K$232:$K$233,0))=0,ABS(INDEX($N$232:$N$233,MATCH(LEFT(EF232,FIND("·",EF232)-1),$K$232:$K$233,0))-VALUE(MID(EF232,FIND("|",EF232)+1,FIND("-",EF232,FIND("|",EF232))-FIND("|",EF232)-1))),ABS(INDEX($P$232:$P$233,MATCH(LEFT(EF232,FIND("·",EF232)-1),$K$232:$K$233,0))-(VALUE(MID(EF232,FIND("|",EF232)+1,FIND("-",EF232,FIND("|",EF232))-FIND("|",EF232)-1))-VALUE(MID(EF232,FIND("-",EF232,FIND("|",EF232))+1,10)))))*$D$50)))))*INDEX($I$232:$I$233,MATCH(LEFT(EF232,FIND("·",EF232)-1),$K$232:$K$233,0)),0),0),0)+IFERROR(IF(COUNTIF($C$232:$C$233,LEFT(EF232,FIND("·",EF232)-1))&gt;0,IF(INDEX($D$232:$D$233,MATCH(LEFT(EF232,FIND("·",EF232)-1),$C$232:$C$233,0))=IFERROR(VALUE(MID(EF232,FIND("·",EF232)+1,1)),0),($D$28+(INDEX($E$232:$E$233,MATCH(LEFT(EF232,FIND("·",EF232)-1),$C$232:$C$233,0))=MID(EF232,FIND("|",EF232)+1,10))*$D$30+MAX(0,IF($D$50=1,$D$29*(1-(ABS(INDEX($Q$232:$Q$233,MATCH(LEFT(EF232,FIND("·",EF232)-1),$C$232:$C$233,0))-(VALUE(MID(EF232,FIND("|",EF232)+1,FIND("-",EF232,FIND("|",EF232))-FIND("|",EF232)-1))-VALUE(MID(EF232,FIND("-",EF232,FIND("|",EF232))+1,10)))))*$D$50),$D$29*(1-(IF(INDEX($D$232:$D$233,MATCH(LEFT(EF232,FIND("·",EF232)-1),$C$232:$C$233,0))=0,ABS(INDEX($A$232:$A$233,MATCH(LEFT(EF232,FIND("·",EF232)-1),$C$232:$C$233,0))-VALUE(MID(EF232,FIND("|",EF232)+1,FIND("-",EF232,FIND("|",EF232))-FIND("|",EF232)-1))),ABS(INDEX($Q$232:$Q$233,MATCH(LEFT(EF232,FIND("·",EF232)-1),$C$232:$C$233,0))-(VALUE(MID(EF232,FIND("|",EF232)+1,FIND("-",EF232,FIND("|",EF232))-FIND("|",EF232)-1))-VALUE(MID(EF232,FIND("-",EF232,FIND("|",EF232))+1,10)))))*$D$50)))))*INDEX($I$232:$I$233,MATCH(LEFT(EF232,FIND("·",EF232)-1),$C$232:$C$233,0)),0),0),0)</f>
        <v>0</v>
      </c>
      <c r="EH232" s="108"/>
      <c r="EI232" s="75" t="str">
        <f>Idiomas!$D$370</f>
        <v>Pegar valores Semifinales</v>
      </c>
      <c r="EJ232" s="76">
        <f t="shared" ref="EJ232:EJ233" si="6690">IFERROR(IF(COUNTIF($K$232:$K$233,LEFT(EI232,FIND("·",EI232)-1))&gt;0,IF(INDEX($L$232:$L$233,MATCH(LEFT(EI232,FIND("·",EI232)-1),$K$232:$K$233,0))=IFERROR(VALUE(MID(EI232,FIND("·",EI232)+1,1)),0),($D$28+(INDEX($M$232:$M$233,MATCH(LEFT(EI232,FIND("·",EI232)-1),$K$232:$K$233,0))=MID(EI232,FIND("|",EI232)+1,10))*$D$30+MAX(0,IF($D$50=1,$D$29*(1-(ABS(INDEX($P$232:$P$233,MATCH(LEFT(EI232,FIND("·",EI232)-1),$K$232:$K$233,0))-(VALUE(MID(EI232,FIND("|",EI232)+1,FIND("-",EI232,FIND("|",EI232))-FIND("|",EI232)-1))-VALUE(MID(EI232,FIND("-",EI232,FIND("|",EI232))+1,10)))))*$D$50),$D$29*(1-(IF(INDEX($L$232:$L$233,MATCH(LEFT(EI232,FIND("·",EI232)-1),$K$232:$K$233,0))=0,ABS(INDEX($N$232:$N$233,MATCH(LEFT(EI232,FIND("·",EI232)-1),$K$232:$K$233,0))-VALUE(MID(EI232,FIND("|",EI232)+1,FIND("-",EI232,FIND("|",EI232))-FIND("|",EI232)-1))),ABS(INDEX($P$232:$P$233,MATCH(LEFT(EI232,FIND("·",EI232)-1),$K$232:$K$233,0))-(VALUE(MID(EI232,FIND("|",EI232)+1,FIND("-",EI232,FIND("|",EI232))-FIND("|",EI232)-1))-VALUE(MID(EI232,FIND("-",EI232,FIND("|",EI232))+1,10)))))*$D$50)))))*INDEX($I$232:$I$233,MATCH(LEFT(EI232,FIND("·",EI232)-1),$K$232:$K$233,0)),0),0),0)+IFERROR(IF(COUNTIF($C$232:$C$233,LEFT(EI232,FIND("·",EI232)-1))&gt;0,IF(INDEX($D$232:$D$233,MATCH(LEFT(EI232,FIND("·",EI232)-1),$C$232:$C$233,0))=IFERROR(VALUE(MID(EI232,FIND("·",EI232)+1,1)),0),($D$28+(INDEX($E$232:$E$233,MATCH(LEFT(EI232,FIND("·",EI232)-1),$C$232:$C$233,0))=MID(EI232,FIND("|",EI232)+1,10))*$D$30+MAX(0,IF($D$50=1,$D$29*(1-(ABS(INDEX($Q$232:$Q$233,MATCH(LEFT(EI232,FIND("·",EI232)-1),$C$232:$C$233,0))-(VALUE(MID(EI232,FIND("|",EI232)+1,FIND("-",EI232,FIND("|",EI232))-FIND("|",EI232)-1))-VALUE(MID(EI232,FIND("-",EI232,FIND("|",EI232))+1,10)))))*$D$50),$D$29*(1-(IF(INDEX($D$232:$D$233,MATCH(LEFT(EI232,FIND("·",EI232)-1),$C$232:$C$233,0))=0,ABS(INDEX($A$232:$A$233,MATCH(LEFT(EI232,FIND("·",EI232)-1),$C$232:$C$233,0))-VALUE(MID(EI232,FIND("|",EI232)+1,FIND("-",EI232,FIND("|",EI232))-FIND("|",EI232)-1))),ABS(INDEX($Q$232:$Q$233,MATCH(LEFT(EI232,FIND("·",EI232)-1),$C$232:$C$233,0))-(VALUE(MID(EI232,FIND("|",EI232)+1,FIND("-",EI232,FIND("|",EI232))-FIND("|",EI232)-1))-VALUE(MID(EI232,FIND("-",EI232,FIND("|",EI232))+1,10)))))*$D$50)))))*INDEX($I$232:$I$233,MATCH(LEFT(EI232,FIND("·",EI232)-1),$C$232:$C$233,0)),0),0),0)</f>
        <v>0</v>
      </c>
      <c r="EK232" s="108"/>
      <c r="EL232" s="75" t="str">
        <f>Idiomas!$D$370</f>
        <v>Pegar valores Semifinales</v>
      </c>
      <c r="EM232" s="76">
        <f t="shared" ref="EM232:EM233" si="6691">IFERROR(IF(COUNTIF($K$232:$K$233,LEFT(EL232,FIND("·",EL232)-1))&gt;0,IF(INDEX($L$232:$L$233,MATCH(LEFT(EL232,FIND("·",EL232)-1),$K$232:$K$233,0))=IFERROR(VALUE(MID(EL232,FIND("·",EL232)+1,1)),0),($D$28+(INDEX($M$232:$M$233,MATCH(LEFT(EL232,FIND("·",EL232)-1),$K$232:$K$233,0))=MID(EL232,FIND("|",EL232)+1,10))*$D$30+MAX(0,IF($D$50=1,$D$29*(1-(ABS(INDEX($P$232:$P$233,MATCH(LEFT(EL232,FIND("·",EL232)-1),$K$232:$K$233,0))-(VALUE(MID(EL232,FIND("|",EL232)+1,FIND("-",EL232,FIND("|",EL232))-FIND("|",EL232)-1))-VALUE(MID(EL232,FIND("-",EL232,FIND("|",EL232))+1,10)))))*$D$50),$D$29*(1-(IF(INDEX($L$232:$L$233,MATCH(LEFT(EL232,FIND("·",EL232)-1),$K$232:$K$233,0))=0,ABS(INDEX($N$232:$N$233,MATCH(LEFT(EL232,FIND("·",EL232)-1),$K$232:$K$233,0))-VALUE(MID(EL232,FIND("|",EL232)+1,FIND("-",EL232,FIND("|",EL232))-FIND("|",EL232)-1))),ABS(INDEX($P$232:$P$233,MATCH(LEFT(EL232,FIND("·",EL232)-1),$K$232:$K$233,0))-(VALUE(MID(EL232,FIND("|",EL232)+1,FIND("-",EL232,FIND("|",EL232))-FIND("|",EL232)-1))-VALUE(MID(EL232,FIND("-",EL232,FIND("|",EL232))+1,10)))))*$D$50)))))*INDEX($I$232:$I$233,MATCH(LEFT(EL232,FIND("·",EL232)-1),$K$232:$K$233,0)),0),0),0)+IFERROR(IF(COUNTIF($C$232:$C$233,LEFT(EL232,FIND("·",EL232)-1))&gt;0,IF(INDEX($D$232:$D$233,MATCH(LEFT(EL232,FIND("·",EL232)-1),$C$232:$C$233,0))=IFERROR(VALUE(MID(EL232,FIND("·",EL232)+1,1)),0),($D$28+(INDEX($E$232:$E$233,MATCH(LEFT(EL232,FIND("·",EL232)-1),$C$232:$C$233,0))=MID(EL232,FIND("|",EL232)+1,10))*$D$30+MAX(0,IF($D$50=1,$D$29*(1-(ABS(INDEX($Q$232:$Q$233,MATCH(LEFT(EL232,FIND("·",EL232)-1),$C$232:$C$233,0))-(VALUE(MID(EL232,FIND("|",EL232)+1,FIND("-",EL232,FIND("|",EL232))-FIND("|",EL232)-1))-VALUE(MID(EL232,FIND("-",EL232,FIND("|",EL232))+1,10)))))*$D$50),$D$29*(1-(IF(INDEX($D$232:$D$233,MATCH(LEFT(EL232,FIND("·",EL232)-1),$C$232:$C$233,0))=0,ABS(INDEX($A$232:$A$233,MATCH(LEFT(EL232,FIND("·",EL232)-1),$C$232:$C$233,0))-VALUE(MID(EL232,FIND("|",EL232)+1,FIND("-",EL232,FIND("|",EL232))-FIND("|",EL232)-1))),ABS(INDEX($Q$232:$Q$233,MATCH(LEFT(EL232,FIND("·",EL232)-1),$C$232:$C$233,0))-(VALUE(MID(EL232,FIND("|",EL232)+1,FIND("-",EL232,FIND("|",EL232))-FIND("|",EL232)-1))-VALUE(MID(EL232,FIND("-",EL232,FIND("|",EL232))+1,10)))))*$D$50)))))*INDEX($I$232:$I$233,MATCH(LEFT(EL232,FIND("·",EL232)-1),$C$232:$C$233,0)),0),0),0)</f>
        <v>0</v>
      </c>
      <c r="EN232" s="108"/>
      <c r="EO232" s="75" t="str">
        <f>Idiomas!$D$370</f>
        <v>Pegar valores Semifinales</v>
      </c>
      <c r="EP232" s="76">
        <f t="shared" ref="EP232:EP233" si="6692">IFERROR(IF(COUNTIF($K$232:$K$233,LEFT(EO232,FIND("·",EO232)-1))&gt;0,IF(INDEX($L$232:$L$233,MATCH(LEFT(EO232,FIND("·",EO232)-1),$K$232:$K$233,0))=IFERROR(VALUE(MID(EO232,FIND("·",EO232)+1,1)),0),($D$28+(INDEX($M$232:$M$233,MATCH(LEFT(EO232,FIND("·",EO232)-1),$K$232:$K$233,0))=MID(EO232,FIND("|",EO232)+1,10))*$D$30+MAX(0,IF($D$50=1,$D$29*(1-(ABS(INDEX($P$232:$P$233,MATCH(LEFT(EO232,FIND("·",EO232)-1),$K$232:$K$233,0))-(VALUE(MID(EO232,FIND("|",EO232)+1,FIND("-",EO232,FIND("|",EO232))-FIND("|",EO232)-1))-VALUE(MID(EO232,FIND("-",EO232,FIND("|",EO232))+1,10)))))*$D$50),$D$29*(1-(IF(INDEX($L$232:$L$233,MATCH(LEFT(EO232,FIND("·",EO232)-1),$K$232:$K$233,0))=0,ABS(INDEX($N$232:$N$233,MATCH(LEFT(EO232,FIND("·",EO232)-1),$K$232:$K$233,0))-VALUE(MID(EO232,FIND("|",EO232)+1,FIND("-",EO232,FIND("|",EO232))-FIND("|",EO232)-1))),ABS(INDEX($P$232:$P$233,MATCH(LEFT(EO232,FIND("·",EO232)-1),$K$232:$K$233,0))-(VALUE(MID(EO232,FIND("|",EO232)+1,FIND("-",EO232,FIND("|",EO232))-FIND("|",EO232)-1))-VALUE(MID(EO232,FIND("-",EO232,FIND("|",EO232))+1,10)))))*$D$50)))))*INDEX($I$232:$I$233,MATCH(LEFT(EO232,FIND("·",EO232)-1),$K$232:$K$233,0)),0),0),0)+IFERROR(IF(COUNTIF($C$232:$C$233,LEFT(EO232,FIND("·",EO232)-1))&gt;0,IF(INDEX($D$232:$D$233,MATCH(LEFT(EO232,FIND("·",EO232)-1),$C$232:$C$233,0))=IFERROR(VALUE(MID(EO232,FIND("·",EO232)+1,1)),0),($D$28+(INDEX($E$232:$E$233,MATCH(LEFT(EO232,FIND("·",EO232)-1),$C$232:$C$233,0))=MID(EO232,FIND("|",EO232)+1,10))*$D$30+MAX(0,IF($D$50=1,$D$29*(1-(ABS(INDEX($Q$232:$Q$233,MATCH(LEFT(EO232,FIND("·",EO232)-1),$C$232:$C$233,0))-(VALUE(MID(EO232,FIND("|",EO232)+1,FIND("-",EO232,FIND("|",EO232))-FIND("|",EO232)-1))-VALUE(MID(EO232,FIND("-",EO232,FIND("|",EO232))+1,10)))))*$D$50),$D$29*(1-(IF(INDEX($D$232:$D$233,MATCH(LEFT(EO232,FIND("·",EO232)-1),$C$232:$C$233,0))=0,ABS(INDEX($A$232:$A$233,MATCH(LEFT(EO232,FIND("·",EO232)-1),$C$232:$C$233,0))-VALUE(MID(EO232,FIND("|",EO232)+1,FIND("-",EO232,FIND("|",EO232))-FIND("|",EO232)-1))),ABS(INDEX($Q$232:$Q$233,MATCH(LEFT(EO232,FIND("·",EO232)-1),$C$232:$C$233,0))-(VALUE(MID(EO232,FIND("|",EO232)+1,FIND("-",EO232,FIND("|",EO232))-FIND("|",EO232)-1))-VALUE(MID(EO232,FIND("-",EO232,FIND("|",EO232))+1,10)))))*$D$50)))))*INDEX($I$232:$I$233,MATCH(LEFT(EO232,FIND("·",EO232)-1),$C$232:$C$233,0)),0),0),0)</f>
        <v>0</v>
      </c>
      <c r="EQ232" s="108"/>
      <c r="ER232" s="75" t="str">
        <f>Idiomas!$D$370</f>
        <v>Pegar valores Semifinales</v>
      </c>
      <c r="ES232" s="76">
        <f t="shared" ref="ES232:ES233" si="6693">IFERROR(IF(COUNTIF($K$232:$K$233,LEFT(ER232,FIND("·",ER232)-1))&gt;0,IF(INDEX($L$232:$L$233,MATCH(LEFT(ER232,FIND("·",ER232)-1),$K$232:$K$233,0))=IFERROR(VALUE(MID(ER232,FIND("·",ER232)+1,1)),0),($D$28+(INDEX($M$232:$M$233,MATCH(LEFT(ER232,FIND("·",ER232)-1),$K$232:$K$233,0))=MID(ER232,FIND("|",ER232)+1,10))*$D$30+MAX(0,IF($D$50=1,$D$29*(1-(ABS(INDEX($P$232:$P$233,MATCH(LEFT(ER232,FIND("·",ER232)-1),$K$232:$K$233,0))-(VALUE(MID(ER232,FIND("|",ER232)+1,FIND("-",ER232,FIND("|",ER232))-FIND("|",ER232)-1))-VALUE(MID(ER232,FIND("-",ER232,FIND("|",ER232))+1,10)))))*$D$50),$D$29*(1-(IF(INDEX($L$232:$L$233,MATCH(LEFT(ER232,FIND("·",ER232)-1),$K$232:$K$233,0))=0,ABS(INDEX($N$232:$N$233,MATCH(LEFT(ER232,FIND("·",ER232)-1),$K$232:$K$233,0))-VALUE(MID(ER232,FIND("|",ER232)+1,FIND("-",ER232,FIND("|",ER232))-FIND("|",ER232)-1))),ABS(INDEX($P$232:$P$233,MATCH(LEFT(ER232,FIND("·",ER232)-1),$K$232:$K$233,0))-(VALUE(MID(ER232,FIND("|",ER232)+1,FIND("-",ER232,FIND("|",ER232))-FIND("|",ER232)-1))-VALUE(MID(ER232,FIND("-",ER232,FIND("|",ER232))+1,10)))))*$D$50)))))*INDEX($I$232:$I$233,MATCH(LEFT(ER232,FIND("·",ER232)-1),$K$232:$K$233,0)),0),0),0)+IFERROR(IF(COUNTIF($C$232:$C$233,LEFT(ER232,FIND("·",ER232)-1))&gt;0,IF(INDEX($D$232:$D$233,MATCH(LEFT(ER232,FIND("·",ER232)-1),$C$232:$C$233,0))=IFERROR(VALUE(MID(ER232,FIND("·",ER232)+1,1)),0),($D$28+(INDEX($E$232:$E$233,MATCH(LEFT(ER232,FIND("·",ER232)-1),$C$232:$C$233,0))=MID(ER232,FIND("|",ER232)+1,10))*$D$30+MAX(0,IF($D$50=1,$D$29*(1-(ABS(INDEX($Q$232:$Q$233,MATCH(LEFT(ER232,FIND("·",ER232)-1),$C$232:$C$233,0))-(VALUE(MID(ER232,FIND("|",ER232)+1,FIND("-",ER232,FIND("|",ER232))-FIND("|",ER232)-1))-VALUE(MID(ER232,FIND("-",ER232,FIND("|",ER232))+1,10)))))*$D$50),$D$29*(1-(IF(INDEX($D$232:$D$233,MATCH(LEFT(ER232,FIND("·",ER232)-1),$C$232:$C$233,0))=0,ABS(INDEX($A$232:$A$233,MATCH(LEFT(ER232,FIND("·",ER232)-1),$C$232:$C$233,0))-VALUE(MID(ER232,FIND("|",ER232)+1,FIND("-",ER232,FIND("|",ER232))-FIND("|",ER232)-1))),ABS(INDEX($Q$232:$Q$233,MATCH(LEFT(ER232,FIND("·",ER232)-1),$C$232:$C$233,0))-(VALUE(MID(ER232,FIND("|",ER232)+1,FIND("-",ER232,FIND("|",ER232))-FIND("|",ER232)-1))-VALUE(MID(ER232,FIND("-",ER232,FIND("|",ER232))+1,10)))))*$D$50)))))*INDEX($I$232:$I$233,MATCH(LEFT(ER232,FIND("·",ER232)-1),$C$232:$C$233,0)),0),0),0)</f>
        <v>0</v>
      </c>
      <c r="ET232" s="108"/>
      <c r="EU232" s="75" t="str">
        <f>Idiomas!$D$370</f>
        <v>Pegar valores Semifinales</v>
      </c>
      <c r="EV232" s="76">
        <f t="shared" ref="EV232:EV233" si="6694">IFERROR(IF(COUNTIF($K$232:$K$233,LEFT(EU232,FIND("·",EU232)-1))&gt;0,IF(INDEX($L$232:$L$233,MATCH(LEFT(EU232,FIND("·",EU232)-1),$K$232:$K$233,0))=IFERROR(VALUE(MID(EU232,FIND("·",EU232)+1,1)),0),($D$28+(INDEX($M$232:$M$233,MATCH(LEFT(EU232,FIND("·",EU232)-1),$K$232:$K$233,0))=MID(EU232,FIND("|",EU232)+1,10))*$D$30+MAX(0,IF($D$50=1,$D$29*(1-(ABS(INDEX($P$232:$P$233,MATCH(LEFT(EU232,FIND("·",EU232)-1),$K$232:$K$233,0))-(VALUE(MID(EU232,FIND("|",EU232)+1,FIND("-",EU232,FIND("|",EU232))-FIND("|",EU232)-1))-VALUE(MID(EU232,FIND("-",EU232,FIND("|",EU232))+1,10)))))*$D$50),$D$29*(1-(IF(INDEX($L$232:$L$233,MATCH(LEFT(EU232,FIND("·",EU232)-1),$K$232:$K$233,0))=0,ABS(INDEX($N$232:$N$233,MATCH(LEFT(EU232,FIND("·",EU232)-1),$K$232:$K$233,0))-VALUE(MID(EU232,FIND("|",EU232)+1,FIND("-",EU232,FIND("|",EU232))-FIND("|",EU232)-1))),ABS(INDEX($P$232:$P$233,MATCH(LEFT(EU232,FIND("·",EU232)-1),$K$232:$K$233,0))-(VALUE(MID(EU232,FIND("|",EU232)+1,FIND("-",EU232,FIND("|",EU232))-FIND("|",EU232)-1))-VALUE(MID(EU232,FIND("-",EU232,FIND("|",EU232))+1,10)))))*$D$50)))))*INDEX($I$232:$I$233,MATCH(LEFT(EU232,FIND("·",EU232)-1),$K$232:$K$233,0)),0),0),0)+IFERROR(IF(COUNTIF($C$232:$C$233,LEFT(EU232,FIND("·",EU232)-1))&gt;0,IF(INDEX($D$232:$D$233,MATCH(LEFT(EU232,FIND("·",EU232)-1),$C$232:$C$233,0))=IFERROR(VALUE(MID(EU232,FIND("·",EU232)+1,1)),0),($D$28+(INDEX($E$232:$E$233,MATCH(LEFT(EU232,FIND("·",EU232)-1),$C$232:$C$233,0))=MID(EU232,FIND("|",EU232)+1,10))*$D$30+MAX(0,IF($D$50=1,$D$29*(1-(ABS(INDEX($Q$232:$Q$233,MATCH(LEFT(EU232,FIND("·",EU232)-1),$C$232:$C$233,0))-(VALUE(MID(EU232,FIND("|",EU232)+1,FIND("-",EU232,FIND("|",EU232))-FIND("|",EU232)-1))-VALUE(MID(EU232,FIND("-",EU232,FIND("|",EU232))+1,10)))))*$D$50),$D$29*(1-(IF(INDEX($D$232:$D$233,MATCH(LEFT(EU232,FIND("·",EU232)-1),$C$232:$C$233,0))=0,ABS(INDEX($A$232:$A$233,MATCH(LEFT(EU232,FIND("·",EU232)-1),$C$232:$C$233,0))-VALUE(MID(EU232,FIND("|",EU232)+1,FIND("-",EU232,FIND("|",EU232))-FIND("|",EU232)-1))),ABS(INDEX($Q$232:$Q$233,MATCH(LEFT(EU232,FIND("·",EU232)-1),$C$232:$C$233,0))-(VALUE(MID(EU232,FIND("|",EU232)+1,FIND("-",EU232,FIND("|",EU232))-FIND("|",EU232)-1))-VALUE(MID(EU232,FIND("-",EU232,FIND("|",EU232))+1,10)))))*$D$50)))))*INDEX($I$232:$I$233,MATCH(LEFT(EU232,FIND("·",EU232)-1),$C$232:$C$233,0)),0),0),0)</f>
        <v>0</v>
      </c>
      <c r="EW232" s="108"/>
      <c r="EX232" s="75" t="str">
        <f>Idiomas!$D$370</f>
        <v>Pegar valores Semifinales</v>
      </c>
      <c r="EY232" s="76">
        <f t="shared" ref="EY232:EY233" si="6695">IFERROR(IF(COUNTIF($K$232:$K$233,LEFT(EX232,FIND("·",EX232)-1))&gt;0,IF(INDEX($L$232:$L$233,MATCH(LEFT(EX232,FIND("·",EX232)-1),$K$232:$K$233,0))=IFERROR(VALUE(MID(EX232,FIND("·",EX232)+1,1)),0),($D$28+(INDEX($M$232:$M$233,MATCH(LEFT(EX232,FIND("·",EX232)-1),$K$232:$K$233,0))=MID(EX232,FIND("|",EX232)+1,10))*$D$30+MAX(0,IF($D$50=1,$D$29*(1-(ABS(INDEX($P$232:$P$233,MATCH(LEFT(EX232,FIND("·",EX232)-1),$K$232:$K$233,0))-(VALUE(MID(EX232,FIND("|",EX232)+1,FIND("-",EX232,FIND("|",EX232))-FIND("|",EX232)-1))-VALUE(MID(EX232,FIND("-",EX232,FIND("|",EX232))+1,10)))))*$D$50),$D$29*(1-(IF(INDEX($L$232:$L$233,MATCH(LEFT(EX232,FIND("·",EX232)-1),$K$232:$K$233,0))=0,ABS(INDEX($N$232:$N$233,MATCH(LEFT(EX232,FIND("·",EX232)-1),$K$232:$K$233,0))-VALUE(MID(EX232,FIND("|",EX232)+1,FIND("-",EX232,FIND("|",EX232))-FIND("|",EX232)-1))),ABS(INDEX($P$232:$P$233,MATCH(LEFT(EX232,FIND("·",EX232)-1),$K$232:$K$233,0))-(VALUE(MID(EX232,FIND("|",EX232)+1,FIND("-",EX232,FIND("|",EX232))-FIND("|",EX232)-1))-VALUE(MID(EX232,FIND("-",EX232,FIND("|",EX232))+1,10)))))*$D$50)))))*INDEX($I$232:$I$233,MATCH(LEFT(EX232,FIND("·",EX232)-1),$K$232:$K$233,0)),0),0),0)+IFERROR(IF(COUNTIF($C$232:$C$233,LEFT(EX232,FIND("·",EX232)-1))&gt;0,IF(INDEX($D$232:$D$233,MATCH(LEFT(EX232,FIND("·",EX232)-1),$C$232:$C$233,0))=IFERROR(VALUE(MID(EX232,FIND("·",EX232)+1,1)),0),($D$28+(INDEX($E$232:$E$233,MATCH(LEFT(EX232,FIND("·",EX232)-1),$C$232:$C$233,0))=MID(EX232,FIND("|",EX232)+1,10))*$D$30+MAX(0,IF($D$50=1,$D$29*(1-(ABS(INDEX($Q$232:$Q$233,MATCH(LEFT(EX232,FIND("·",EX232)-1),$C$232:$C$233,0))-(VALUE(MID(EX232,FIND("|",EX232)+1,FIND("-",EX232,FIND("|",EX232))-FIND("|",EX232)-1))-VALUE(MID(EX232,FIND("-",EX232,FIND("|",EX232))+1,10)))))*$D$50),$D$29*(1-(IF(INDEX($D$232:$D$233,MATCH(LEFT(EX232,FIND("·",EX232)-1),$C$232:$C$233,0))=0,ABS(INDEX($A$232:$A$233,MATCH(LEFT(EX232,FIND("·",EX232)-1),$C$232:$C$233,0))-VALUE(MID(EX232,FIND("|",EX232)+1,FIND("-",EX232,FIND("|",EX232))-FIND("|",EX232)-1))),ABS(INDEX($Q$232:$Q$233,MATCH(LEFT(EX232,FIND("·",EX232)-1),$C$232:$C$233,0))-(VALUE(MID(EX232,FIND("|",EX232)+1,FIND("-",EX232,FIND("|",EX232))-FIND("|",EX232)-1))-VALUE(MID(EX232,FIND("-",EX232,FIND("|",EX232))+1,10)))))*$D$50)))))*INDEX($I$232:$I$233,MATCH(LEFT(EX232,FIND("·",EX232)-1),$C$232:$C$233,0)),0),0),0)</f>
        <v>0</v>
      </c>
      <c r="EZ232" s="108"/>
      <c r="FA232" s="75" t="str">
        <f>Idiomas!$D$370</f>
        <v>Pegar valores Semifinales</v>
      </c>
      <c r="FB232" s="76">
        <f t="shared" ref="FB232:FB233" si="6696">IFERROR(IF(COUNTIF($K$232:$K$233,LEFT(FA232,FIND("·",FA232)-1))&gt;0,IF(INDEX($L$232:$L$233,MATCH(LEFT(FA232,FIND("·",FA232)-1),$K$232:$K$233,0))=IFERROR(VALUE(MID(FA232,FIND("·",FA232)+1,1)),0),($D$28+(INDEX($M$232:$M$233,MATCH(LEFT(FA232,FIND("·",FA232)-1),$K$232:$K$233,0))=MID(FA232,FIND("|",FA232)+1,10))*$D$30+MAX(0,IF($D$50=1,$D$29*(1-(ABS(INDEX($P$232:$P$233,MATCH(LEFT(FA232,FIND("·",FA232)-1),$K$232:$K$233,0))-(VALUE(MID(FA232,FIND("|",FA232)+1,FIND("-",FA232,FIND("|",FA232))-FIND("|",FA232)-1))-VALUE(MID(FA232,FIND("-",FA232,FIND("|",FA232))+1,10)))))*$D$50),$D$29*(1-(IF(INDEX($L$232:$L$233,MATCH(LEFT(FA232,FIND("·",FA232)-1),$K$232:$K$233,0))=0,ABS(INDEX($N$232:$N$233,MATCH(LEFT(FA232,FIND("·",FA232)-1),$K$232:$K$233,0))-VALUE(MID(FA232,FIND("|",FA232)+1,FIND("-",FA232,FIND("|",FA232))-FIND("|",FA232)-1))),ABS(INDEX($P$232:$P$233,MATCH(LEFT(FA232,FIND("·",FA232)-1),$K$232:$K$233,0))-(VALUE(MID(FA232,FIND("|",FA232)+1,FIND("-",FA232,FIND("|",FA232))-FIND("|",FA232)-1))-VALUE(MID(FA232,FIND("-",FA232,FIND("|",FA232))+1,10)))))*$D$50)))))*INDEX($I$232:$I$233,MATCH(LEFT(FA232,FIND("·",FA232)-1),$K$232:$K$233,0)),0),0),0)+IFERROR(IF(COUNTIF($C$232:$C$233,LEFT(FA232,FIND("·",FA232)-1))&gt;0,IF(INDEX($D$232:$D$233,MATCH(LEFT(FA232,FIND("·",FA232)-1),$C$232:$C$233,0))=IFERROR(VALUE(MID(FA232,FIND("·",FA232)+1,1)),0),($D$28+(INDEX($E$232:$E$233,MATCH(LEFT(FA232,FIND("·",FA232)-1),$C$232:$C$233,0))=MID(FA232,FIND("|",FA232)+1,10))*$D$30+MAX(0,IF($D$50=1,$D$29*(1-(ABS(INDEX($Q$232:$Q$233,MATCH(LEFT(FA232,FIND("·",FA232)-1),$C$232:$C$233,0))-(VALUE(MID(FA232,FIND("|",FA232)+1,FIND("-",FA232,FIND("|",FA232))-FIND("|",FA232)-1))-VALUE(MID(FA232,FIND("-",FA232,FIND("|",FA232))+1,10)))))*$D$50),$D$29*(1-(IF(INDEX($D$232:$D$233,MATCH(LEFT(FA232,FIND("·",FA232)-1),$C$232:$C$233,0))=0,ABS(INDEX($A$232:$A$233,MATCH(LEFT(FA232,FIND("·",FA232)-1),$C$232:$C$233,0))-VALUE(MID(FA232,FIND("|",FA232)+1,FIND("-",FA232,FIND("|",FA232))-FIND("|",FA232)-1))),ABS(INDEX($Q$232:$Q$233,MATCH(LEFT(FA232,FIND("·",FA232)-1),$C$232:$C$233,0))-(VALUE(MID(FA232,FIND("|",FA232)+1,FIND("-",FA232,FIND("|",FA232))-FIND("|",FA232)-1))-VALUE(MID(FA232,FIND("-",FA232,FIND("|",FA232))+1,10)))))*$D$50)))))*INDEX($I$232:$I$233,MATCH(LEFT(FA232,FIND("·",FA232)-1),$C$232:$C$233,0)),0),0),0)</f>
        <v>0</v>
      </c>
      <c r="FC232" s="108"/>
      <c r="FD232" s="75" t="str">
        <f>Idiomas!$D$370</f>
        <v>Pegar valores Semifinales</v>
      </c>
      <c r="FE232" s="76">
        <f t="shared" ref="FE232:FE233" si="6697">IFERROR(IF(COUNTIF($K$232:$K$233,LEFT(FD232,FIND("·",FD232)-1))&gt;0,IF(INDEX($L$232:$L$233,MATCH(LEFT(FD232,FIND("·",FD232)-1),$K$232:$K$233,0))=IFERROR(VALUE(MID(FD232,FIND("·",FD232)+1,1)),0),($D$28+(INDEX($M$232:$M$233,MATCH(LEFT(FD232,FIND("·",FD232)-1),$K$232:$K$233,0))=MID(FD232,FIND("|",FD232)+1,10))*$D$30+MAX(0,IF($D$50=1,$D$29*(1-(ABS(INDEX($P$232:$P$233,MATCH(LEFT(FD232,FIND("·",FD232)-1),$K$232:$K$233,0))-(VALUE(MID(FD232,FIND("|",FD232)+1,FIND("-",FD232,FIND("|",FD232))-FIND("|",FD232)-1))-VALUE(MID(FD232,FIND("-",FD232,FIND("|",FD232))+1,10)))))*$D$50),$D$29*(1-(IF(INDEX($L$232:$L$233,MATCH(LEFT(FD232,FIND("·",FD232)-1),$K$232:$K$233,0))=0,ABS(INDEX($N$232:$N$233,MATCH(LEFT(FD232,FIND("·",FD232)-1),$K$232:$K$233,0))-VALUE(MID(FD232,FIND("|",FD232)+1,FIND("-",FD232,FIND("|",FD232))-FIND("|",FD232)-1))),ABS(INDEX($P$232:$P$233,MATCH(LEFT(FD232,FIND("·",FD232)-1),$K$232:$K$233,0))-(VALUE(MID(FD232,FIND("|",FD232)+1,FIND("-",FD232,FIND("|",FD232))-FIND("|",FD232)-1))-VALUE(MID(FD232,FIND("-",FD232,FIND("|",FD232))+1,10)))))*$D$50)))))*INDEX($I$232:$I$233,MATCH(LEFT(FD232,FIND("·",FD232)-1),$K$232:$K$233,0)),0),0),0)+IFERROR(IF(COUNTIF($C$232:$C$233,LEFT(FD232,FIND("·",FD232)-1))&gt;0,IF(INDEX($D$232:$D$233,MATCH(LEFT(FD232,FIND("·",FD232)-1),$C$232:$C$233,0))=IFERROR(VALUE(MID(FD232,FIND("·",FD232)+1,1)),0),($D$28+(INDEX($E$232:$E$233,MATCH(LEFT(FD232,FIND("·",FD232)-1),$C$232:$C$233,0))=MID(FD232,FIND("|",FD232)+1,10))*$D$30+MAX(0,IF($D$50=1,$D$29*(1-(ABS(INDEX($Q$232:$Q$233,MATCH(LEFT(FD232,FIND("·",FD232)-1),$C$232:$C$233,0))-(VALUE(MID(FD232,FIND("|",FD232)+1,FIND("-",FD232,FIND("|",FD232))-FIND("|",FD232)-1))-VALUE(MID(FD232,FIND("-",FD232,FIND("|",FD232))+1,10)))))*$D$50),$D$29*(1-(IF(INDEX($D$232:$D$233,MATCH(LEFT(FD232,FIND("·",FD232)-1),$C$232:$C$233,0))=0,ABS(INDEX($A$232:$A$233,MATCH(LEFT(FD232,FIND("·",FD232)-1),$C$232:$C$233,0))-VALUE(MID(FD232,FIND("|",FD232)+1,FIND("-",FD232,FIND("|",FD232))-FIND("|",FD232)-1))),ABS(INDEX($Q$232:$Q$233,MATCH(LEFT(FD232,FIND("·",FD232)-1),$C$232:$C$233,0))-(VALUE(MID(FD232,FIND("|",FD232)+1,FIND("-",FD232,FIND("|",FD232))-FIND("|",FD232)-1))-VALUE(MID(FD232,FIND("-",FD232,FIND("|",FD232))+1,10)))))*$D$50)))))*INDEX($I$232:$I$233,MATCH(LEFT(FD232,FIND("·",FD232)-1),$C$232:$C$233,0)),0),0),0)</f>
        <v>0</v>
      </c>
      <c r="FF232" s="108"/>
      <c r="FG232" s="75" t="str">
        <f>Idiomas!$D$370</f>
        <v>Pegar valores Semifinales</v>
      </c>
      <c r="FH232" s="76">
        <f t="shared" ref="FH232:FH233" si="6698">IFERROR(IF(COUNTIF($K$232:$K$233,LEFT(FG232,FIND("·",FG232)-1))&gt;0,IF(INDEX($L$232:$L$233,MATCH(LEFT(FG232,FIND("·",FG232)-1),$K$232:$K$233,0))=IFERROR(VALUE(MID(FG232,FIND("·",FG232)+1,1)),0),($D$28+(INDEX($M$232:$M$233,MATCH(LEFT(FG232,FIND("·",FG232)-1),$K$232:$K$233,0))=MID(FG232,FIND("|",FG232)+1,10))*$D$30+MAX(0,IF($D$50=1,$D$29*(1-(ABS(INDEX($P$232:$P$233,MATCH(LEFT(FG232,FIND("·",FG232)-1),$K$232:$K$233,0))-(VALUE(MID(FG232,FIND("|",FG232)+1,FIND("-",FG232,FIND("|",FG232))-FIND("|",FG232)-1))-VALUE(MID(FG232,FIND("-",FG232,FIND("|",FG232))+1,10)))))*$D$50),$D$29*(1-(IF(INDEX($L$232:$L$233,MATCH(LEFT(FG232,FIND("·",FG232)-1),$K$232:$K$233,0))=0,ABS(INDEX($N$232:$N$233,MATCH(LEFT(FG232,FIND("·",FG232)-1),$K$232:$K$233,0))-VALUE(MID(FG232,FIND("|",FG232)+1,FIND("-",FG232,FIND("|",FG232))-FIND("|",FG232)-1))),ABS(INDEX($P$232:$P$233,MATCH(LEFT(FG232,FIND("·",FG232)-1),$K$232:$K$233,0))-(VALUE(MID(FG232,FIND("|",FG232)+1,FIND("-",FG232,FIND("|",FG232))-FIND("|",FG232)-1))-VALUE(MID(FG232,FIND("-",FG232,FIND("|",FG232))+1,10)))))*$D$50)))))*INDEX($I$232:$I$233,MATCH(LEFT(FG232,FIND("·",FG232)-1),$K$232:$K$233,0)),0),0),0)+IFERROR(IF(COUNTIF($C$232:$C$233,LEFT(FG232,FIND("·",FG232)-1))&gt;0,IF(INDEX($D$232:$D$233,MATCH(LEFT(FG232,FIND("·",FG232)-1),$C$232:$C$233,0))=IFERROR(VALUE(MID(FG232,FIND("·",FG232)+1,1)),0),($D$28+(INDEX($E$232:$E$233,MATCH(LEFT(FG232,FIND("·",FG232)-1),$C$232:$C$233,0))=MID(FG232,FIND("|",FG232)+1,10))*$D$30+MAX(0,IF($D$50=1,$D$29*(1-(ABS(INDEX($Q$232:$Q$233,MATCH(LEFT(FG232,FIND("·",FG232)-1),$C$232:$C$233,0))-(VALUE(MID(FG232,FIND("|",FG232)+1,FIND("-",FG232,FIND("|",FG232))-FIND("|",FG232)-1))-VALUE(MID(FG232,FIND("-",FG232,FIND("|",FG232))+1,10)))))*$D$50),$D$29*(1-(IF(INDEX($D$232:$D$233,MATCH(LEFT(FG232,FIND("·",FG232)-1),$C$232:$C$233,0))=0,ABS(INDEX($A$232:$A$233,MATCH(LEFT(FG232,FIND("·",FG232)-1),$C$232:$C$233,0))-VALUE(MID(FG232,FIND("|",FG232)+1,FIND("-",FG232,FIND("|",FG232))-FIND("|",FG232)-1))),ABS(INDEX($Q$232:$Q$233,MATCH(LEFT(FG232,FIND("·",FG232)-1),$C$232:$C$233,0))-(VALUE(MID(FG232,FIND("|",FG232)+1,FIND("-",FG232,FIND("|",FG232))-FIND("|",FG232)-1))-VALUE(MID(FG232,FIND("-",FG232,FIND("|",FG232))+1,10)))))*$D$50)))))*INDEX($I$232:$I$233,MATCH(LEFT(FG232,FIND("·",FG232)-1),$C$232:$C$233,0)),0),0),0)</f>
        <v>0</v>
      </c>
      <c r="FI232" s="108"/>
      <c r="FJ232" s="75" t="str">
        <f>Idiomas!$D$370</f>
        <v>Pegar valores Semifinales</v>
      </c>
      <c r="FK232" s="76">
        <f t="shared" ref="FK232:FK233" si="6699">IFERROR(IF(COUNTIF($K$232:$K$233,LEFT(FJ232,FIND("·",FJ232)-1))&gt;0,IF(INDEX($L$232:$L$233,MATCH(LEFT(FJ232,FIND("·",FJ232)-1),$K$232:$K$233,0))=IFERROR(VALUE(MID(FJ232,FIND("·",FJ232)+1,1)),0),($D$28+(INDEX($M$232:$M$233,MATCH(LEFT(FJ232,FIND("·",FJ232)-1),$K$232:$K$233,0))=MID(FJ232,FIND("|",FJ232)+1,10))*$D$30+MAX(0,IF($D$50=1,$D$29*(1-(ABS(INDEX($P$232:$P$233,MATCH(LEFT(FJ232,FIND("·",FJ232)-1),$K$232:$K$233,0))-(VALUE(MID(FJ232,FIND("|",FJ232)+1,FIND("-",FJ232,FIND("|",FJ232))-FIND("|",FJ232)-1))-VALUE(MID(FJ232,FIND("-",FJ232,FIND("|",FJ232))+1,10)))))*$D$50),$D$29*(1-(IF(INDEX($L$232:$L$233,MATCH(LEFT(FJ232,FIND("·",FJ232)-1),$K$232:$K$233,0))=0,ABS(INDEX($N$232:$N$233,MATCH(LEFT(FJ232,FIND("·",FJ232)-1),$K$232:$K$233,0))-VALUE(MID(FJ232,FIND("|",FJ232)+1,FIND("-",FJ232,FIND("|",FJ232))-FIND("|",FJ232)-1))),ABS(INDEX($P$232:$P$233,MATCH(LEFT(FJ232,FIND("·",FJ232)-1),$K$232:$K$233,0))-(VALUE(MID(FJ232,FIND("|",FJ232)+1,FIND("-",FJ232,FIND("|",FJ232))-FIND("|",FJ232)-1))-VALUE(MID(FJ232,FIND("-",FJ232,FIND("|",FJ232))+1,10)))))*$D$50)))))*INDEX($I$232:$I$233,MATCH(LEFT(FJ232,FIND("·",FJ232)-1),$K$232:$K$233,0)),0),0),0)+IFERROR(IF(COUNTIF($C$232:$C$233,LEFT(FJ232,FIND("·",FJ232)-1))&gt;0,IF(INDEX($D$232:$D$233,MATCH(LEFT(FJ232,FIND("·",FJ232)-1),$C$232:$C$233,0))=IFERROR(VALUE(MID(FJ232,FIND("·",FJ232)+1,1)),0),($D$28+(INDEX($E$232:$E$233,MATCH(LEFT(FJ232,FIND("·",FJ232)-1),$C$232:$C$233,0))=MID(FJ232,FIND("|",FJ232)+1,10))*$D$30+MAX(0,IF($D$50=1,$D$29*(1-(ABS(INDEX($Q$232:$Q$233,MATCH(LEFT(FJ232,FIND("·",FJ232)-1),$C$232:$C$233,0))-(VALUE(MID(FJ232,FIND("|",FJ232)+1,FIND("-",FJ232,FIND("|",FJ232))-FIND("|",FJ232)-1))-VALUE(MID(FJ232,FIND("-",FJ232,FIND("|",FJ232))+1,10)))))*$D$50),$D$29*(1-(IF(INDEX($D$232:$D$233,MATCH(LEFT(FJ232,FIND("·",FJ232)-1),$C$232:$C$233,0))=0,ABS(INDEX($A$232:$A$233,MATCH(LEFT(FJ232,FIND("·",FJ232)-1),$C$232:$C$233,0))-VALUE(MID(FJ232,FIND("|",FJ232)+1,FIND("-",FJ232,FIND("|",FJ232))-FIND("|",FJ232)-1))),ABS(INDEX($Q$232:$Q$233,MATCH(LEFT(FJ232,FIND("·",FJ232)-1),$C$232:$C$233,0))-(VALUE(MID(FJ232,FIND("|",FJ232)+1,FIND("-",FJ232,FIND("|",FJ232))-FIND("|",FJ232)-1))-VALUE(MID(FJ232,FIND("-",FJ232,FIND("|",FJ232))+1,10)))))*$D$50)))))*INDEX($I$232:$I$233,MATCH(LEFT(FJ232,FIND("·",FJ232)-1),$C$232:$C$233,0)),0),0),0)</f>
        <v>0</v>
      </c>
      <c r="FL232" s="108"/>
      <c r="FM232" s="75" t="str">
        <f>Idiomas!$D$370</f>
        <v>Pegar valores Semifinales</v>
      </c>
      <c r="FN232" s="76">
        <f t="shared" ref="FN232:FN233" si="6700">IFERROR(IF(COUNTIF($K$232:$K$233,LEFT(FM232,FIND("·",FM232)-1))&gt;0,IF(INDEX($L$232:$L$233,MATCH(LEFT(FM232,FIND("·",FM232)-1),$K$232:$K$233,0))=IFERROR(VALUE(MID(FM232,FIND("·",FM232)+1,1)),0),($D$28+(INDEX($M$232:$M$233,MATCH(LEFT(FM232,FIND("·",FM232)-1),$K$232:$K$233,0))=MID(FM232,FIND("|",FM232)+1,10))*$D$30+MAX(0,IF($D$50=1,$D$29*(1-(ABS(INDEX($P$232:$P$233,MATCH(LEFT(FM232,FIND("·",FM232)-1),$K$232:$K$233,0))-(VALUE(MID(FM232,FIND("|",FM232)+1,FIND("-",FM232,FIND("|",FM232))-FIND("|",FM232)-1))-VALUE(MID(FM232,FIND("-",FM232,FIND("|",FM232))+1,10)))))*$D$50),$D$29*(1-(IF(INDEX($L$232:$L$233,MATCH(LEFT(FM232,FIND("·",FM232)-1),$K$232:$K$233,0))=0,ABS(INDEX($N$232:$N$233,MATCH(LEFT(FM232,FIND("·",FM232)-1),$K$232:$K$233,0))-VALUE(MID(FM232,FIND("|",FM232)+1,FIND("-",FM232,FIND("|",FM232))-FIND("|",FM232)-1))),ABS(INDEX($P$232:$P$233,MATCH(LEFT(FM232,FIND("·",FM232)-1),$K$232:$K$233,0))-(VALUE(MID(FM232,FIND("|",FM232)+1,FIND("-",FM232,FIND("|",FM232))-FIND("|",FM232)-1))-VALUE(MID(FM232,FIND("-",FM232,FIND("|",FM232))+1,10)))))*$D$50)))))*INDEX($I$232:$I$233,MATCH(LEFT(FM232,FIND("·",FM232)-1),$K$232:$K$233,0)),0),0),0)+IFERROR(IF(COUNTIF($C$232:$C$233,LEFT(FM232,FIND("·",FM232)-1))&gt;0,IF(INDEX($D$232:$D$233,MATCH(LEFT(FM232,FIND("·",FM232)-1),$C$232:$C$233,0))=IFERROR(VALUE(MID(FM232,FIND("·",FM232)+1,1)),0),($D$28+(INDEX($E$232:$E$233,MATCH(LEFT(FM232,FIND("·",FM232)-1),$C$232:$C$233,0))=MID(FM232,FIND("|",FM232)+1,10))*$D$30+MAX(0,IF($D$50=1,$D$29*(1-(ABS(INDEX($Q$232:$Q$233,MATCH(LEFT(FM232,FIND("·",FM232)-1),$C$232:$C$233,0))-(VALUE(MID(FM232,FIND("|",FM232)+1,FIND("-",FM232,FIND("|",FM232))-FIND("|",FM232)-1))-VALUE(MID(FM232,FIND("-",FM232,FIND("|",FM232))+1,10)))))*$D$50),$D$29*(1-(IF(INDEX($D$232:$D$233,MATCH(LEFT(FM232,FIND("·",FM232)-1),$C$232:$C$233,0))=0,ABS(INDEX($A$232:$A$233,MATCH(LEFT(FM232,FIND("·",FM232)-1),$C$232:$C$233,0))-VALUE(MID(FM232,FIND("|",FM232)+1,FIND("-",FM232,FIND("|",FM232))-FIND("|",FM232)-1))),ABS(INDEX($Q$232:$Q$233,MATCH(LEFT(FM232,FIND("·",FM232)-1),$C$232:$C$233,0))-(VALUE(MID(FM232,FIND("|",FM232)+1,FIND("-",FM232,FIND("|",FM232))-FIND("|",FM232)-1))-VALUE(MID(FM232,FIND("-",FM232,FIND("|",FM232))+1,10)))))*$D$50)))))*INDEX($I$232:$I$233,MATCH(LEFT(FM232,FIND("·",FM232)-1),$C$232:$C$233,0)),0),0),0)</f>
        <v>0</v>
      </c>
      <c r="FO232" s="108"/>
      <c r="FP232" s="75" t="str">
        <f>Idiomas!$D$370</f>
        <v>Pegar valores Semifinales</v>
      </c>
      <c r="FQ232" s="76">
        <f t="shared" ref="FQ232:FQ233" si="6701">IFERROR(IF(COUNTIF($K$232:$K$233,LEFT(FP232,FIND("·",FP232)-1))&gt;0,IF(INDEX($L$232:$L$233,MATCH(LEFT(FP232,FIND("·",FP232)-1),$K$232:$K$233,0))=IFERROR(VALUE(MID(FP232,FIND("·",FP232)+1,1)),0),($D$28+(INDEX($M$232:$M$233,MATCH(LEFT(FP232,FIND("·",FP232)-1),$K$232:$K$233,0))=MID(FP232,FIND("|",FP232)+1,10))*$D$30+MAX(0,IF($D$50=1,$D$29*(1-(ABS(INDEX($P$232:$P$233,MATCH(LEFT(FP232,FIND("·",FP232)-1),$K$232:$K$233,0))-(VALUE(MID(FP232,FIND("|",FP232)+1,FIND("-",FP232,FIND("|",FP232))-FIND("|",FP232)-1))-VALUE(MID(FP232,FIND("-",FP232,FIND("|",FP232))+1,10)))))*$D$50),$D$29*(1-(IF(INDEX($L$232:$L$233,MATCH(LEFT(FP232,FIND("·",FP232)-1),$K$232:$K$233,0))=0,ABS(INDEX($N$232:$N$233,MATCH(LEFT(FP232,FIND("·",FP232)-1),$K$232:$K$233,0))-VALUE(MID(FP232,FIND("|",FP232)+1,FIND("-",FP232,FIND("|",FP232))-FIND("|",FP232)-1))),ABS(INDEX($P$232:$P$233,MATCH(LEFT(FP232,FIND("·",FP232)-1),$K$232:$K$233,0))-(VALUE(MID(FP232,FIND("|",FP232)+1,FIND("-",FP232,FIND("|",FP232))-FIND("|",FP232)-1))-VALUE(MID(FP232,FIND("-",FP232,FIND("|",FP232))+1,10)))))*$D$50)))))*INDEX($I$232:$I$233,MATCH(LEFT(FP232,FIND("·",FP232)-1),$K$232:$K$233,0)),0),0),0)+IFERROR(IF(COUNTIF($C$232:$C$233,LEFT(FP232,FIND("·",FP232)-1))&gt;0,IF(INDEX($D$232:$D$233,MATCH(LEFT(FP232,FIND("·",FP232)-1),$C$232:$C$233,0))=IFERROR(VALUE(MID(FP232,FIND("·",FP232)+1,1)),0),($D$28+(INDEX($E$232:$E$233,MATCH(LEFT(FP232,FIND("·",FP232)-1),$C$232:$C$233,0))=MID(FP232,FIND("|",FP232)+1,10))*$D$30+MAX(0,IF($D$50=1,$D$29*(1-(ABS(INDEX($Q$232:$Q$233,MATCH(LEFT(FP232,FIND("·",FP232)-1),$C$232:$C$233,0))-(VALUE(MID(FP232,FIND("|",FP232)+1,FIND("-",FP232,FIND("|",FP232))-FIND("|",FP232)-1))-VALUE(MID(FP232,FIND("-",FP232,FIND("|",FP232))+1,10)))))*$D$50),$D$29*(1-(IF(INDEX($D$232:$D$233,MATCH(LEFT(FP232,FIND("·",FP232)-1),$C$232:$C$233,0))=0,ABS(INDEX($A$232:$A$233,MATCH(LEFT(FP232,FIND("·",FP232)-1),$C$232:$C$233,0))-VALUE(MID(FP232,FIND("|",FP232)+1,FIND("-",FP232,FIND("|",FP232))-FIND("|",FP232)-1))),ABS(INDEX($Q$232:$Q$233,MATCH(LEFT(FP232,FIND("·",FP232)-1),$C$232:$C$233,0))-(VALUE(MID(FP232,FIND("|",FP232)+1,FIND("-",FP232,FIND("|",FP232))-FIND("|",FP232)-1))-VALUE(MID(FP232,FIND("-",FP232,FIND("|",FP232))+1,10)))))*$D$50)))))*INDEX($I$232:$I$233,MATCH(LEFT(FP232,FIND("·",FP232)-1),$C$232:$C$233,0)),0),0),0)</f>
        <v>0</v>
      </c>
      <c r="FR232" s="108"/>
      <c r="FS232" s="75" t="str">
        <f>Idiomas!$D$370</f>
        <v>Pegar valores Semifinales</v>
      </c>
      <c r="FT232" s="76">
        <f t="shared" ref="FT232:FT233" si="6702">IFERROR(IF(COUNTIF($K$232:$K$233,LEFT(FS232,FIND("·",FS232)-1))&gt;0,IF(INDEX($L$232:$L$233,MATCH(LEFT(FS232,FIND("·",FS232)-1),$K$232:$K$233,0))=IFERROR(VALUE(MID(FS232,FIND("·",FS232)+1,1)),0),($D$28+(INDEX($M$232:$M$233,MATCH(LEFT(FS232,FIND("·",FS232)-1),$K$232:$K$233,0))=MID(FS232,FIND("|",FS232)+1,10))*$D$30+MAX(0,IF($D$50=1,$D$29*(1-(ABS(INDEX($P$232:$P$233,MATCH(LEFT(FS232,FIND("·",FS232)-1),$K$232:$K$233,0))-(VALUE(MID(FS232,FIND("|",FS232)+1,FIND("-",FS232,FIND("|",FS232))-FIND("|",FS232)-1))-VALUE(MID(FS232,FIND("-",FS232,FIND("|",FS232))+1,10)))))*$D$50),$D$29*(1-(IF(INDEX($L$232:$L$233,MATCH(LEFT(FS232,FIND("·",FS232)-1),$K$232:$K$233,0))=0,ABS(INDEX($N$232:$N$233,MATCH(LEFT(FS232,FIND("·",FS232)-1),$K$232:$K$233,0))-VALUE(MID(FS232,FIND("|",FS232)+1,FIND("-",FS232,FIND("|",FS232))-FIND("|",FS232)-1))),ABS(INDEX($P$232:$P$233,MATCH(LEFT(FS232,FIND("·",FS232)-1),$K$232:$K$233,0))-(VALUE(MID(FS232,FIND("|",FS232)+1,FIND("-",FS232,FIND("|",FS232))-FIND("|",FS232)-1))-VALUE(MID(FS232,FIND("-",FS232,FIND("|",FS232))+1,10)))))*$D$50)))))*INDEX($I$232:$I$233,MATCH(LEFT(FS232,FIND("·",FS232)-1),$K$232:$K$233,0)),0),0),0)+IFERROR(IF(COUNTIF($C$232:$C$233,LEFT(FS232,FIND("·",FS232)-1))&gt;0,IF(INDEX($D$232:$D$233,MATCH(LEFT(FS232,FIND("·",FS232)-1),$C$232:$C$233,0))=IFERROR(VALUE(MID(FS232,FIND("·",FS232)+1,1)),0),($D$28+(INDEX($E$232:$E$233,MATCH(LEFT(FS232,FIND("·",FS232)-1),$C$232:$C$233,0))=MID(FS232,FIND("|",FS232)+1,10))*$D$30+MAX(0,IF($D$50=1,$D$29*(1-(ABS(INDEX($Q$232:$Q$233,MATCH(LEFT(FS232,FIND("·",FS232)-1),$C$232:$C$233,0))-(VALUE(MID(FS232,FIND("|",FS232)+1,FIND("-",FS232,FIND("|",FS232))-FIND("|",FS232)-1))-VALUE(MID(FS232,FIND("-",FS232,FIND("|",FS232))+1,10)))))*$D$50),$D$29*(1-(IF(INDEX($D$232:$D$233,MATCH(LEFT(FS232,FIND("·",FS232)-1),$C$232:$C$233,0))=0,ABS(INDEX($A$232:$A$233,MATCH(LEFT(FS232,FIND("·",FS232)-1),$C$232:$C$233,0))-VALUE(MID(FS232,FIND("|",FS232)+1,FIND("-",FS232,FIND("|",FS232))-FIND("|",FS232)-1))),ABS(INDEX($Q$232:$Q$233,MATCH(LEFT(FS232,FIND("·",FS232)-1),$C$232:$C$233,0))-(VALUE(MID(FS232,FIND("|",FS232)+1,FIND("-",FS232,FIND("|",FS232))-FIND("|",FS232)-1))-VALUE(MID(FS232,FIND("-",FS232,FIND("|",FS232))+1,10)))))*$D$50)))))*INDEX($I$232:$I$233,MATCH(LEFT(FS232,FIND("·",FS232)-1),$C$232:$C$233,0)),0),0),0)</f>
        <v>0</v>
      </c>
      <c r="FU232" s="108"/>
      <c r="FV232" s="75" t="str">
        <f>Idiomas!$D$370</f>
        <v>Pegar valores Semifinales</v>
      </c>
      <c r="FW232" s="76">
        <f t="shared" ref="FW232:FW233" si="6703">IFERROR(IF(COUNTIF($K$232:$K$233,LEFT(FV232,FIND("·",FV232)-1))&gt;0,IF(INDEX($L$232:$L$233,MATCH(LEFT(FV232,FIND("·",FV232)-1),$K$232:$K$233,0))=IFERROR(VALUE(MID(FV232,FIND("·",FV232)+1,1)),0),($D$28+(INDEX($M$232:$M$233,MATCH(LEFT(FV232,FIND("·",FV232)-1),$K$232:$K$233,0))=MID(FV232,FIND("|",FV232)+1,10))*$D$30+MAX(0,IF($D$50=1,$D$29*(1-(ABS(INDEX($P$232:$P$233,MATCH(LEFT(FV232,FIND("·",FV232)-1),$K$232:$K$233,0))-(VALUE(MID(FV232,FIND("|",FV232)+1,FIND("-",FV232,FIND("|",FV232))-FIND("|",FV232)-1))-VALUE(MID(FV232,FIND("-",FV232,FIND("|",FV232))+1,10)))))*$D$50),$D$29*(1-(IF(INDEX($L$232:$L$233,MATCH(LEFT(FV232,FIND("·",FV232)-1),$K$232:$K$233,0))=0,ABS(INDEX($N$232:$N$233,MATCH(LEFT(FV232,FIND("·",FV232)-1),$K$232:$K$233,0))-VALUE(MID(FV232,FIND("|",FV232)+1,FIND("-",FV232,FIND("|",FV232))-FIND("|",FV232)-1))),ABS(INDEX($P$232:$P$233,MATCH(LEFT(FV232,FIND("·",FV232)-1),$K$232:$K$233,0))-(VALUE(MID(FV232,FIND("|",FV232)+1,FIND("-",FV232,FIND("|",FV232))-FIND("|",FV232)-1))-VALUE(MID(FV232,FIND("-",FV232,FIND("|",FV232))+1,10)))))*$D$50)))))*INDEX($I$232:$I$233,MATCH(LEFT(FV232,FIND("·",FV232)-1),$K$232:$K$233,0)),0),0),0)+IFERROR(IF(COUNTIF($C$232:$C$233,LEFT(FV232,FIND("·",FV232)-1))&gt;0,IF(INDEX($D$232:$D$233,MATCH(LEFT(FV232,FIND("·",FV232)-1),$C$232:$C$233,0))=IFERROR(VALUE(MID(FV232,FIND("·",FV232)+1,1)),0),($D$28+(INDEX($E$232:$E$233,MATCH(LEFT(FV232,FIND("·",FV232)-1),$C$232:$C$233,0))=MID(FV232,FIND("|",FV232)+1,10))*$D$30+MAX(0,IF($D$50=1,$D$29*(1-(ABS(INDEX($Q$232:$Q$233,MATCH(LEFT(FV232,FIND("·",FV232)-1),$C$232:$C$233,0))-(VALUE(MID(FV232,FIND("|",FV232)+1,FIND("-",FV232,FIND("|",FV232))-FIND("|",FV232)-1))-VALUE(MID(FV232,FIND("-",FV232,FIND("|",FV232))+1,10)))))*$D$50),$D$29*(1-(IF(INDEX($D$232:$D$233,MATCH(LEFT(FV232,FIND("·",FV232)-1),$C$232:$C$233,0))=0,ABS(INDEX($A$232:$A$233,MATCH(LEFT(FV232,FIND("·",FV232)-1),$C$232:$C$233,0))-VALUE(MID(FV232,FIND("|",FV232)+1,FIND("-",FV232,FIND("|",FV232))-FIND("|",FV232)-1))),ABS(INDEX($Q$232:$Q$233,MATCH(LEFT(FV232,FIND("·",FV232)-1),$C$232:$C$233,0))-(VALUE(MID(FV232,FIND("|",FV232)+1,FIND("-",FV232,FIND("|",FV232))-FIND("|",FV232)-1))-VALUE(MID(FV232,FIND("-",FV232,FIND("|",FV232))+1,10)))))*$D$50)))))*INDEX($I$232:$I$233,MATCH(LEFT(FV232,FIND("·",FV232)-1),$C$232:$C$233,0)),0),0),0)</f>
        <v>0</v>
      </c>
      <c r="FX232" s="108"/>
      <c r="FY232" s="75" t="str">
        <f>Idiomas!$D$370</f>
        <v>Pegar valores Semifinales</v>
      </c>
      <c r="FZ232" s="76">
        <f t="shared" ref="FZ232:FZ233" si="6704">IFERROR(IF(COUNTIF($K$232:$K$233,LEFT(FY232,FIND("·",FY232)-1))&gt;0,IF(INDEX($L$232:$L$233,MATCH(LEFT(FY232,FIND("·",FY232)-1),$K$232:$K$233,0))=IFERROR(VALUE(MID(FY232,FIND("·",FY232)+1,1)),0),($D$28+(INDEX($M$232:$M$233,MATCH(LEFT(FY232,FIND("·",FY232)-1),$K$232:$K$233,0))=MID(FY232,FIND("|",FY232)+1,10))*$D$30+MAX(0,IF($D$50=1,$D$29*(1-(ABS(INDEX($P$232:$P$233,MATCH(LEFT(FY232,FIND("·",FY232)-1),$K$232:$K$233,0))-(VALUE(MID(FY232,FIND("|",FY232)+1,FIND("-",FY232,FIND("|",FY232))-FIND("|",FY232)-1))-VALUE(MID(FY232,FIND("-",FY232,FIND("|",FY232))+1,10)))))*$D$50),$D$29*(1-(IF(INDEX($L$232:$L$233,MATCH(LEFT(FY232,FIND("·",FY232)-1),$K$232:$K$233,0))=0,ABS(INDEX($N$232:$N$233,MATCH(LEFT(FY232,FIND("·",FY232)-1),$K$232:$K$233,0))-VALUE(MID(FY232,FIND("|",FY232)+1,FIND("-",FY232,FIND("|",FY232))-FIND("|",FY232)-1))),ABS(INDEX($P$232:$P$233,MATCH(LEFT(FY232,FIND("·",FY232)-1),$K$232:$K$233,0))-(VALUE(MID(FY232,FIND("|",FY232)+1,FIND("-",FY232,FIND("|",FY232))-FIND("|",FY232)-1))-VALUE(MID(FY232,FIND("-",FY232,FIND("|",FY232))+1,10)))))*$D$50)))))*INDEX($I$232:$I$233,MATCH(LEFT(FY232,FIND("·",FY232)-1),$K$232:$K$233,0)),0),0),0)+IFERROR(IF(COUNTIF($C$232:$C$233,LEFT(FY232,FIND("·",FY232)-1))&gt;0,IF(INDEX($D$232:$D$233,MATCH(LEFT(FY232,FIND("·",FY232)-1),$C$232:$C$233,0))=IFERROR(VALUE(MID(FY232,FIND("·",FY232)+1,1)),0),($D$28+(INDEX($E$232:$E$233,MATCH(LEFT(FY232,FIND("·",FY232)-1),$C$232:$C$233,0))=MID(FY232,FIND("|",FY232)+1,10))*$D$30+MAX(0,IF($D$50=1,$D$29*(1-(ABS(INDEX($Q$232:$Q$233,MATCH(LEFT(FY232,FIND("·",FY232)-1),$C$232:$C$233,0))-(VALUE(MID(FY232,FIND("|",FY232)+1,FIND("-",FY232,FIND("|",FY232))-FIND("|",FY232)-1))-VALUE(MID(FY232,FIND("-",FY232,FIND("|",FY232))+1,10)))))*$D$50),$D$29*(1-(IF(INDEX($D$232:$D$233,MATCH(LEFT(FY232,FIND("·",FY232)-1),$C$232:$C$233,0))=0,ABS(INDEX($A$232:$A$233,MATCH(LEFT(FY232,FIND("·",FY232)-1),$C$232:$C$233,0))-VALUE(MID(FY232,FIND("|",FY232)+1,FIND("-",FY232,FIND("|",FY232))-FIND("|",FY232)-1))),ABS(INDEX($Q$232:$Q$233,MATCH(LEFT(FY232,FIND("·",FY232)-1),$C$232:$C$233,0))-(VALUE(MID(FY232,FIND("|",FY232)+1,FIND("-",FY232,FIND("|",FY232))-FIND("|",FY232)-1))-VALUE(MID(FY232,FIND("-",FY232,FIND("|",FY232))+1,10)))))*$D$50)))))*INDEX($I$232:$I$233,MATCH(LEFT(FY232,FIND("·",FY232)-1),$C$232:$C$233,0)),0),0),0)</f>
        <v>0</v>
      </c>
      <c r="GA232" s="108"/>
      <c r="GB232" s="75" t="str">
        <f>Idiomas!$D$370</f>
        <v>Pegar valores Semifinales</v>
      </c>
      <c r="GC232" s="76">
        <f t="shared" ref="GC232:GC233" si="6705">IFERROR(IF(COUNTIF($K$232:$K$233,LEFT(GB232,FIND("·",GB232)-1))&gt;0,IF(INDEX($L$232:$L$233,MATCH(LEFT(GB232,FIND("·",GB232)-1),$K$232:$K$233,0))=IFERROR(VALUE(MID(GB232,FIND("·",GB232)+1,1)),0),($D$28+(INDEX($M$232:$M$233,MATCH(LEFT(GB232,FIND("·",GB232)-1),$K$232:$K$233,0))=MID(GB232,FIND("|",GB232)+1,10))*$D$30+MAX(0,IF($D$50=1,$D$29*(1-(ABS(INDEX($P$232:$P$233,MATCH(LEFT(GB232,FIND("·",GB232)-1),$K$232:$K$233,0))-(VALUE(MID(GB232,FIND("|",GB232)+1,FIND("-",GB232,FIND("|",GB232))-FIND("|",GB232)-1))-VALUE(MID(GB232,FIND("-",GB232,FIND("|",GB232))+1,10)))))*$D$50),$D$29*(1-(IF(INDEX($L$232:$L$233,MATCH(LEFT(GB232,FIND("·",GB232)-1),$K$232:$K$233,0))=0,ABS(INDEX($N$232:$N$233,MATCH(LEFT(GB232,FIND("·",GB232)-1),$K$232:$K$233,0))-VALUE(MID(GB232,FIND("|",GB232)+1,FIND("-",GB232,FIND("|",GB232))-FIND("|",GB232)-1))),ABS(INDEX($P$232:$P$233,MATCH(LEFT(GB232,FIND("·",GB232)-1),$K$232:$K$233,0))-(VALUE(MID(GB232,FIND("|",GB232)+1,FIND("-",GB232,FIND("|",GB232))-FIND("|",GB232)-1))-VALUE(MID(GB232,FIND("-",GB232,FIND("|",GB232))+1,10)))))*$D$50)))))*INDEX($I$232:$I$233,MATCH(LEFT(GB232,FIND("·",GB232)-1),$K$232:$K$233,0)),0),0),0)+IFERROR(IF(COUNTIF($C$232:$C$233,LEFT(GB232,FIND("·",GB232)-1))&gt;0,IF(INDEX($D$232:$D$233,MATCH(LEFT(GB232,FIND("·",GB232)-1),$C$232:$C$233,0))=IFERROR(VALUE(MID(GB232,FIND("·",GB232)+1,1)),0),($D$28+(INDEX($E$232:$E$233,MATCH(LEFT(GB232,FIND("·",GB232)-1),$C$232:$C$233,0))=MID(GB232,FIND("|",GB232)+1,10))*$D$30+MAX(0,IF($D$50=1,$D$29*(1-(ABS(INDEX($Q$232:$Q$233,MATCH(LEFT(GB232,FIND("·",GB232)-1),$C$232:$C$233,0))-(VALUE(MID(GB232,FIND("|",GB232)+1,FIND("-",GB232,FIND("|",GB232))-FIND("|",GB232)-1))-VALUE(MID(GB232,FIND("-",GB232,FIND("|",GB232))+1,10)))))*$D$50),$D$29*(1-(IF(INDEX($D$232:$D$233,MATCH(LEFT(GB232,FIND("·",GB232)-1),$C$232:$C$233,0))=0,ABS(INDEX($A$232:$A$233,MATCH(LEFT(GB232,FIND("·",GB232)-1),$C$232:$C$233,0))-VALUE(MID(GB232,FIND("|",GB232)+1,FIND("-",GB232,FIND("|",GB232))-FIND("|",GB232)-1))),ABS(INDEX($Q$232:$Q$233,MATCH(LEFT(GB232,FIND("·",GB232)-1),$C$232:$C$233,0))-(VALUE(MID(GB232,FIND("|",GB232)+1,FIND("-",GB232,FIND("|",GB232))-FIND("|",GB232)-1))-VALUE(MID(GB232,FIND("-",GB232,FIND("|",GB232))+1,10)))))*$D$50)))))*INDEX($I$232:$I$233,MATCH(LEFT(GB232,FIND("·",GB232)-1),$C$232:$C$233,0)),0),0),0)</f>
        <v>0</v>
      </c>
      <c r="GD232" s="108"/>
      <c r="GE232" s="75" t="str">
        <f>Idiomas!$D$370</f>
        <v>Pegar valores Semifinales</v>
      </c>
      <c r="GF232" s="76">
        <f t="shared" ref="GF232:GF233" si="6706">IFERROR(IF(COUNTIF($K$232:$K$233,LEFT(GE232,FIND("·",GE232)-1))&gt;0,IF(INDEX($L$232:$L$233,MATCH(LEFT(GE232,FIND("·",GE232)-1),$K$232:$K$233,0))=IFERROR(VALUE(MID(GE232,FIND("·",GE232)+1,1)),0),($D$28+(INDEX($M$232:$M$233,MATCH(LEFT(GE232,FIND("·",GE232)-1),$K$232:$K$233,0))=MID(GE232,FIND("|",GE232)+1,10))*$D$30+MAX(0,IF($D$50=1,$D$29*(1-(ABS(INDEX($P$232:$P$233,MATCH(LEFT(GE232,FIND("·",GE232)-1),$K$232:$K$233,0))-(VALUE(MID(GE232,FIND("|",GE232)+1,FIND("-",GE232,FIND("|",GE232))-FIND("|",GE232)-1))-VALUE(MID(GE232,FIND("-",GE232,FIND("|",GE232))+1,10)))))*$D$50),$D$29*(1-(IF(INDEX($L$232:$L$233,MATCH(LEFT(GE232,FIND("·",GE232)-1),$K$232:$K$233,0))=0,ABS(INDEX($N$232:$N$233,MATCH(LEFT(GE232,FIND("·",GE232)-1),$K$232:$K$233,0))-VALUE(MID(GE232,FIND("|",GE232)+1,FIND("-",GE232,FIND("|",GE232))-FIND("|",GE232)-1))),ABS(INDEX($P$232:$P$233,MATCH(LEFT(GE232,FIND("·",GE232)-1),$K$232:$K$233,0))-(VALUE(MID(GE232,FIND("|",GE232)+1,FIND("-",GE232,FIND("|",GE232))-FIND("|",GE232)-1))-VALUE(MID(GE232,FIND("-",GE232,FIND("|",GE232))+1,10)))))*$D$50)))))*INDEX($I$232:$I$233,MATCH(LEFT(GE232,FIND("·",GE232)-1),$K$232:$K$233,0)),0),0),0)+IFERROR(IF(COUNTIF($C$232:$C$233,LEFT(GE232,FIND("·",GE232)-1))&gt;0,IF(INDEX($D$232:$D$233,MATCH(LEFT(GE232,FIND("·",GE232)-1),$C$232:$C$233,0))=IFERROR(VALUE(MID(GE232,FIND("·",GE232)+1,1)),0),($D$28+(INDEX($E$232:$E$233,MATCH(LEFT(GE232,FIND("·",GE232)-1),$C$232:$C$233,0))=MID(GE232,FIND("|",GE232)+1,10))*$D$30+MAX(0,IF($D$50=1,$D$29*(1-(ABS(INDEX($Q$232:$Q$233,MATCH(LEFT(GE232,FIND("·",GE232)-1),$C$232:$C$233,0))-(VALUE(MID(GE232,FIND("|",GE232)+1,FIND("-",GE232,FIND("|",GE232))-FIND("|",GE232)-1))-VALUE(MID(GE232,FIND("-",GE232,FIND("|",GE232))+1,10)))))*$D$50),$D$29*(1-(IF(INDEX($D$232:$D$233,MATCH(LEFT(GE232,FIND("·",GE232)-1),$C$232:$C$233,0))=0,ABS(INDEX($A$232:$A$233,MATCH(LEFT(GE232,FIND("·",GE232)-1),$C$232:$C$233,0))-VALUE(MID(GE232,FIND("|",GE232)+1,FIND("-",GE232,FIND("|",GE232))-FIND("|",GE232)-1))),ABS(INDEX($Q$232:$Q$233,MATCH(LEFT(GE232,FIND("·",GE232)-1),$C$232:$C$233,0))-(VALUE(MID(GE232,FIND("|",GE232)+1,FIND("-",GE232,FIND("|",GE232))-FIND("|",GE232)-1))-VALUE(MID(GE232,FIND("-",GE232,FIND("|",GE232))+1,10)))))*$D$50)))))*INDEX($I$232:$I$233,MATCH(LEFT(GE232,FIND("·",GE232)-1),$C$232:$C$233,0)),0),0),0)</f>
        <v>0</v>
      </c>
      <c r="GG232" s="108"/>
      <c r="GH232" s="75" t="str">
        <f>Idiomas!$D$370</f>
        <v>Pegar valores Semifinales</v>
      </c>
      <c r="GI232" s="76">
        <f t="shared" ref="GI232:GI233" si="6707">IFERROR(IF(COUNTIF($K$232:$K$233,LEFT(GH232,FIND("·",GH232)-1))&gt;0,IF(INDEX($L$232:$L$233,MATCH(LEFT(GH232,FIND("·",GH232)-1),$K$232:$K$233,0))=IFERROR(VALUE(MID(GH232,FIND("·",GH232)+1,1)),0),($D$28+(INDEX($M$232:$M$233,MATCH(LEFT(GH232,FIND("·",GH232)-1),$K$232:$K$233,0))=MID(GH232,FIND("|",GH232)+1,10))*$D$30+MAX(0,IF($D$50=1,$D$29*(1-(ABS(INDEX($P$232:$P$233,MATCH(LEFT(GH232,FIND("·",GH232)-1),$K$232:$K$233,0))-(VALUE(MID(GH232,FIND("|",GH232)+1,FIND("-",GH232,FIND("|",GH232))-FIND("|",GH232)-1))-VALUE(MID(GH232,FIND("-",GH232,FIND("|",GH232))+1,10)))))*$D$50),$D$29*(1-(IF(INDEX($L$232:$L$233,MATCH(LEFT(GH232,FIND("·",GH232)-1),$K$232:$K$233,0))=0,ABS(INDEX($N$232:$N$233,MATCH(LEFT(GH232,FIND("·",GH232)-1),$K$232:$K$233,0))-VALUE(MID(GH232,FIND("|",GH232)+1,FIND("-",GH232,FIND("|",GH232))-FIND("|",GH232)-1))),ABS(INDEX($P$232:$P$233,MATCH(LEFT(GH232,FIND("·",GH232)-1),$K$232:$K$233,0))-(VALUE(MID(GH232,FIND("|",GH232)+1,FIND("-",GH232,FIND("|",GH232))-FIND("|",GH232)-1))-VALUE(MID(GH232,FIND("-",GH232,FIND("|",GH232))+1,10)))))*$D$50)))))*INDEX($I$232:$I$233,MATCH(LEFT(GH232,FIND("·",GH232)-1),$K$232:$K$233,0)),0),0),0)+IFERROR(IF(COUNTIF($C$232:$C$233,LEFT(GH232,FIND("·",GH232)-1))&gt;0,IF(INDEX($D$232:$D$233,MATCH(LEFT(GH232,FIND("·",GH232)-1),$C$232:$C$233,0))=IFERROR(VALUE(MID(GH232,FIND("·",GH232)+1,1)),0),($D$28+(INDEX($E$232:$E$233,MATCH(LEFT(GH232,FIND("·",GH232)-1),$C$232:$C$233,0))=MID(GH232,FIND("|",GH232)+1,10))*$D$30+MAX(0,IF($D$50=1,$D$29*(1-(ABS(INDEX($Q$232:$Q$233,MATCH(LEFT(GH232,FIND("·",GH232)-1),$C$232:$C$233,0))-(VALUE(MID(GH232,FIND("|",GH232)+1,FIND("-",GH232,FIND("|",GH232))-FIND("|",GH232)-1))-VALUE(MID(GH232,FIND("-",GH232,FIND("|",GH232))+1,10)))))*$D$50),$D$29*(1-(IF(INDEX($D$232:$D$233,MATCH(LEFT(GH232,FIND("·",GH232)-1),$C$232:$C$233,0))=0,ABS(INDEX($A$232:$A$233,MATCH(LEFT(GH232,FIND("·",GH232)-1),$C$232:$C$233,0))-VALUE(MID(GH232,FIND("|",GH232)+1,FIND("-",GH232,FIND("|",GH232))-FIND("|",GH232)-1))),ABS(INDEX($Q$232:$Q$233,MATCH(LEFT(GH232,FIND("·",GH232)-1),$C$232:$C$233,0))-(VALUE(MID(GH232,FIND("|",GH232)+1,FIND("-",GH232,FIND("|",GH232))-FIND("|",GH232)-1))-VALUE(MID(GH232,FIND("-",GH232,FIND("|",GH232))+1,10)))))*$D$50)))))*INDEX($I$232:$I$233,MATCH(LEFT(GH232,FIND("·",GH232)-1),$C$232:$C$233,0)),0),0),0)</f>
        <v>0</v>
      </c>
      <c r="GJ232" s="108"/>
      <c r="GK232" s="75" t="str">
        <f>Idiomas!$D$370</f>
        <v>Pegar valores Semifinales</v>
      </c>
      <c r="GL232" s="76">
        <f t="shared" ref="GL232:GL233" si="6708">IFERROR(IF(COUNTIF($K$232:$K$233,LEFT(GK232,FIND("·",GK232)-1))&gt;0,IF(INDEX($L$232:$L$233,MATCH(LEFT(GK232,FIND("·",GK232)-1),$K$232:$K$233,0))=IFERROR(VALUE(MID(GK232,FIND("·",GK232)+1,1)),0),($D$28+(INDEX($M$232:$M$233,MATCH(LEFT(GK232,FIND("·",GK232)-1),$K$232:$K$233,0))=MID(GK232,FIND("|",GK232)+1,10))*$D$30+MAX(0,IF($D$50=1,$D$29*(1-(ABS(INDEX($P$232:$P$233,MATCH(LEFT(GK232,FIND("·",GK232)-1),$K$232:$K$233,0))-(VALUE(MID(GK232,FIND("|",GK232)+1,FIND("-",GK232,FIND("|",GK232))-FIND("|",GK232)-1))-VALUE(MID(GK232,FIND("-",GK232,FIND("|",GK232))+1,10)))))*$D$50),$D$29*(1-(IF(INDEX($L$232:$L$233,MATCH(LEFT(GK232,FIND("·",GK232)-1),$K$232:$K$233,0))=0,ABS(INDEX($N$232:$N$233,MATCH(LEFT(GK232,FIND("·",GK232)-1),$K$232:$K$233,0))-VALUE(MID(GK232,FIND("|",GK232)+1,FIND("-",GK232,FIND("|",GK232))-FIND("|",GK232)-1))),ABS(INDEX($P$232:$P$233,MATCH(LEFT(GK232,FIND("·",GK232)-1),$K$232:$K$233,0))-(VALUE(MID(GK232,FIND("|",GK232)+1,FIND("-",GK232,FIND("|",GK232))-FIND("|",GK232)-1))-VALUE(MID(GK232,FIND("-",GK232,FIND("|",GK232))+1,10)))))*$D$50)))))*INDEX($I$232:$I$233,MATCH(LEFT(GK232,FIND("·",GK232)-1),$K$232:$K$233,0)),0),0),0)+IFERROR(IF(COUNTIF($C$232:$C$233,LEFT(GK232,FIND("·",GK232)-1))&gt;0,IF(INDEX($D$232:$D$233,MATCH(LEFT(GK232,FIND("·",GK232)-1),$C$232:$C$233,0))=IFERROR(VALUE(MID(GK232,FIND("·",GK232)+1,1)),0),($D$28+(INDEX($E$232:$E$233,MATCH(LEFT(GK232,FIND("·",GK232)-1),$C$232:$C$233,0))=MID(GK232,FIND("|",GK232)+1,10))*$D$30+MAX(0,IF($D$50=1,$D$29*(1-(ABS(INDEX($Q$232:$Q$233,MATCH(LEFT(GK232,FIND("·",GK232)-1),$C$232:$C$233,0))-(VALUE(MID(GK232,FIND("|",GK232)+1,FIND("-",GK232,FIND("|",GK232))-FIND("|",GK232)-1))-VALUE(MID(GK232,FIND("-",GK232,FIND("|",GK232))+1,10)))))*$D$50),$D$29*(1-(IF(INDEX($D$232:$D$233,MATCH(LEFT(GK232,FIND("·",GK232)-1),$C$232:$C$233,0))=0,ABS(INDEX($A$232:$A$233,MATCH(LEFT(GK232,FIND("·",GK232)-1),$C$232:$C$233,0))-VALUE(MID(GK232,FIND("|",GK232)+1,FIND("-",GK232,FIND("|",GK232))-FIND("|",GK232)-1))),ABS(INDEX($Q$232:$Q$233,MATCH(LEFT(GK232,FIND("·",GK232)-1),$C$232:$C$233,0))-(VALUE(MID(GK232,FIND("|",GK232)+1,FIND("-",GK232,FIND("|",GK232))-FIND("|",GK232)-1))-VALUE(MID(GK232,FIND("-",GK232,FIND("|",GK232))+1,10)))))*$D$50)))))*INDEX($I$232:$I$233,MATCH(LEFT(GK232,FIND("·",GK232)-1),$C$232:$C$233,0)),0),0),0)</f>
        <v>0</v>
      </c>
      <c r="GM232" s="108"/>
      <c r="GN232" s="75" t="str">
        <f>Idiomas!$D$370</f>
        <v>Pegar valores Semifinales</v>
      </c>
      <c r="GO232" s="76">
        <f t="shared" ref="GO232:GO233" si="6709">IFERROR(IF(COUNTIF($K$232:$K$233,LEFT(GN232,FIND("·",GN232)-1))&gt;0,IF(INDEX($L$232:$L$233,MATCH(LEFT(GN232,FIND("·",GN232)-1),$K$232:$K$233,0))=IFERROR(VALUE(MID(GN232,FIND("·",GN232)+1,1)),0),($D$28+(INDEX($M$232:$M$233,MATCH(LEFT(GN232,FIND("·",GN232)-1),$K$232:$K$233,0))=MID(GN232,FIND("|",GN232)+1,10))*$D$30+MAX(0,IF($D$50=1,$D$29*(1-(ABS(INDEX($P$232:$P$233,MATCH(LEFT(GN232,FIND("·",GN232)-1),$K$232:$K$233,0))-(VALUE(MID(GN232,FIND("|",GN232)+1,FIND("-",GN232,FIND("|",GN232))-FIND("|",GN232)-1))-VALUE(MID(GN232,FIND("-",GN232,FIND("|",GN232))+1,10)))))*$D$50),$D$29*(1-(IF(INDEX($L$232:$L$233,MATCH(LEFT(GN232,FIND("·",GN232)-1),$K$232:$K$233,0))=0,ABS(INDEX($N$232:$N$233,MATCH(LEFT(GN232,FIND("·",GN232)-1),$K$232:$K$233,0))-VALUE(MID(GN232,FIND("|",GN232)+1,FIND("-",GN232,FIND("|",GN232))-FIND("|",GN232)-1))),ABS(INDEX($P$232:$P$233,MATCH(LEFT(GN232,FIND("·",GN232)-1),$K$232:$K$233,0))-(VALUE(MID(GN232,FIND("|",GN232)+1,FIND("-",GN232,FIND("|",GN232))-FIND("|",GN232)-1))-VALUE(MID(GN232,FIND("-",GN232,FIND("|",GN232))+1,10)))))*$D$50)))))*INDEX($I$232:$I$233,MATCH(LEFT(GN232,FIND("·",GN232)-1),$K$232:$K$233,0)),0),0),0)+IFERROR(IF(COUNTIF($C$232:$C$233,LEFT(GN232,FIND("·",GN232)-1))&gt;0,IF(INDEX($D$232:$D$233,MATCH(LEFT(GN232,FIND("·",GN232)-1),$C$232:$C$233,0))=IFERROR(VALUE(MID(GN232,FIND("·",GN232)+1,1)),0),($D$28+(INDEX($E$232:$E$233,MATCH(LEFT(GN232,FIND("·",GN232)-1),$C$232:$C$233,0))=MID(GN232,FIND("|",GN232)+1,10))*$D$30+MAX(0,IF($D$50=1,$D$29*(1-(ABS(INDEX($Q$232:$Q$233,MATCH(LEFT(GN232,FIND("·",GN232)-1),$C$232:$C$233,0))-(VALUE(MID(GN232,FIND("|",GN232)+1,FIND("-",GN232,FIND("|",GN232))-FIND("|",GN232)-1))-VALUE(MID(GN232,FIND("-",GN232,FIND("|",GN232))+1,10)))))*$D$50),$D$29*(1-(IF(INDEX($D$232:$D$233,MATCH(LEFT(GN232,FIND("·",GN232)-1),$C$232:$C$233,0))=0,ABS(INDEX($A$232:$A$233,MATCH(LEFT(GN232,FIND("·",GN232)-1),$C$232:$C$233,0))-VALUE(MID(GN232,FIND("|",GN232)+1,FIND("-",GN232,FIND("|",GN232))-FIND("|",GN232)-1))),ABS(INDEX($Q$232:$Q$233,MATCH(LEFT(GN232,FIND("·",GN232)-1),$C$232:$C$233,0))-(VALUE(MID(GN232,FIND("|",GN232)+1,FIND("-",GN232,FIND("|",GN232))-FIND("|",GN232)-1))-VALUE(MID(GN232,FIND("-",GN232,FIND("|",GN232))+1,10)))))*$D$50)))))*INDEX($I$232:$I$233,MATCH(LEFT(GN232,FIND("·",GN232)-1),$C$232:$C$233,0)),0),0),0)</f>
        <v>0</v>
      </c>
      <c r="GP232" s="108"/>
      <c r="GQ232" s="75" t="str">
        <f>Idiomas!$D$370</f>
        <v>Pegar valores Semifinales</v>
      </c>
      <c r="GR232" s="76">
        <f t="shared" ref="GR232:GR233" si="6710">IFERROR(IF(COUNTIF($K$232:$K$233,LEFT(GQ232,FIND("·",GQ232)-1))&gt;0,IF(INDEX($L$232:$L$233,MATCH(LEFT(GQ232,FIND("·",GQ232)-1),$K$232:$K$233,0))=IFERROR(VALUE(MID(GQ232,FIND("·",GQ232)+1,1)),0),($D$28+(INDEX($M$232:$M$233,MATCH(LEFT(GQ232,FIND("·",GQ232)-1),$K$232:$K$233,0))=MID(GQ232,FIND("|",GQ232)+1,10))*$D$30+MAX(0,IF($D$50=1,$D$29*(1-(ABS(INDEX($P$232:$P$233,MATCH(LEFT(GQ232,FIND("·",GQ232)-1),$K$232:$K$233,0))-(VALUE(MID(GQ232,FIND("|",GQ232)+1,FIND("-",GQ232,FIND("|",GQ232))-FIND("|",GQ232)-1))-VALUE(MID(GQ232,FIND("-",GQ232,FIND("|",GQ232))+1,10)))))*$D$50),$D$29*(1-(IF(INDEX($L$232:$L$233,MATCH(LEFT(GQ232,FIND("·",GQ232)-1),$K$232:$K$233,0))=0,ABS(INDEX($N$232:$N$233,MATCH(LEFT(GQ232,FIND("·",GQ232)-1),$K$232:$K$233,0))-VALUE(MID(GQ232,FIND("|",GQ232)+1,FIND("-",GQ232,FIND("|",GQ232))-FIND("|",GQ232)-1))),ABS(INDEX($P$232:$P$233,MATCH(LEFT(GQ232,FIND("·",GQ232)-1),$K$232:$K$233,0))-(VALUE(MID(GQ232,FIND("|",GQ232)+1,FIND("-",GQ232,FIND("|",GQ232))-FIND("|",GQ232)-1))-VALUE(MID(GQ232,FIND("-",GQ232,FIND("|",GQ232))+1,10)))))*$D$50)))))*INDEX($I$232:$I$233,MATCH(LEFT(GQ232,FIND("·",GQ232)-1),$K$232:$K$233,0)),0),0),0)+IFERROR(IF(COUNTIF($C$232:$C$233,LEFT(GQ232,FIND("·",GQ232)-1))&gt;0,IF(INDEX($D$232:$D$233,MATCH(LEFT(GQ232,FIND("·",GQ232)-1),$C$232:$C$233,0))=IFERROR(VALUE(MID(GQ232,FIND("·",GQ232)+1,1)),0),($D$28+(INDEX($E$232:$E$233,MATCH(LEFT(GQ232,FIND("·",GQ232)-1),$C$232:$C$233,0))=MID(GQ232,FIND("|",GQ232)+1,10))*$D$30+MAX(0,IF($D$50=1,$D$29*(1-(ABS(INDEX($Q$232:$Q$233,MATCH(LEFT(GQ232,FIND("·",GQ232)-1),$C$232:$C$233,0))-(VALUE(MID(GQ232,FIND("|",GQ232)+1,FIND("-",GQ232,FIND("|",GQ232))-FIND("|",GQ232)-1))-VALUE(MID(GQ232,FIND("-",GQ232,FIND("|",GQ232))+1,10)))))*$D$50),$D$29*(1-(IF(INDEX($D$232:$D$233,MATCH(LEFT(GQ232,FIND("·",GQ232)-1),$C$232:$C$233,0))=0,ABS(INDEX($A$232:$A$233,MATCH(LEFT(GQ232,FIND("·",GQ232)-1),$C$232:$C$233,0))-VALUE(MID(GQ232,FIND("|",GQ232)+1,FIND("-",GQ232,FIND("|",GQ232))-FIND("|",GQ232)-1))),ABS(INDEX($Q$232:$Q$233,MATCH(LEFT(GQ232,FIND("·",GQ232)-1),$C$232:$C$233,0))-(VALUE(MID(GQ232,FIND("|",GQ232)+1,FIND("-",GQ232,FIND("|",GQ232))-FIND("|",GQ232)-1))-VALUE(MID(GQ232,FIND("-",GQ232,FIND("|",GQ232))+1,10)))))*$D$50)))))*INDEX($I$232:$I$233,MATCH(LEFT(GQ232,FIND("·",GQ232)-1),$C$232:$C$233,0)),0),0),0)</f>
        <v>0</v>
      </c>
      <c r="GS232" s="108"/>
      <c r="GT232" s="75" t="str">
        <f>Idiomas!$D$370</f>
        <v>Pegar valores Semifinales</v>
      </c>
      <c r="GU232" s="76">
        <f t="shared" ref="GU232:GU233" si="6711">IFERROR(IF(COUNTIF($K$232:$K$233,LEFT(GT232,FIND("·",GT232)-1))&gt;0,IF(INDEX($L$232:$L$233,MATCH(LEFT(GT232,FIND("·",GT232)-1),$K$232:$K$233,0))=IFERROR(VALUE(MID(GT232,FIND("·",GT232)+1,1)),0),($D$28+(INDEX($M$232:$M$233,MATCH(LEFT(GT232,FIND("·",GT232)-1),$K$232:$K$233,0))=MID(GT232,FIND("|",GT232)+1,10))*$D$30+MAX(0,IF($D$50=1,$D$29*(1-(ABS(INDEX($P$232:$P$233,MATCH(LEFT(GT232,FIND("·",GT232)-1),$K$232:$K$233,0))-(VALUE(MID(GT232,FIND("|",GT232)+1,FIND("-",GT232,FIND("|",GT232))-FIND("|",GT232)-1))-VALUE(MID(GT232,FIND("-",GT232,FIND("|",GT232))+1,10)))))*$D$50),$D$29*(1-(IF(INDEX($L$232:$L$233,MATCH(LEFT(GT232,FIND("·",GT232)-1),$K$232:$K$233,0))=0,ABS(INDEX($N$232:$N$233,MATCH(LEFT(GT232,FIND("·",GT232)-1),$K$232:$K$233,0))-VALUE(MID(GT232,FIND("|",GT232)+1,FIND("-",GT232,FIND("|",GT232))-FIND("|",GT232)-1))),ABS(INDEX($P$232:$P$233,MATCH(LEFT(GT232,FIND("·",GT232)-1),$K$232:$K$233,0))-(VALUE(MID(GT232,FIND("|",GT232)+1,FIND("-",GT232,FIND("|",GT232))-FIND("|",GT232)-1))-VALUE(MID(GT232,FIND("-",GT232,FIND("|",GT232))+1,10)))))*$D$50)))))*INDEX($I$232:$I$233,MATCH(LEFT(GT232,FIND("·",GT232)-1),$K$232:$K$233,0)),0),0),0)+IFERROR(IF(COUNTIF($C$232:$C$233,LEFT(GT232,FIND("·",GT232)-1))&gt;0,IF(INDEX($D$232:$D$233,MATCH(LEFT(GT232,FIND("·",GT232)-1),$C$232:$C$233,0))=IFERROR(VALUE(MID(GT232,FIND("·",GT232)+1,1)),0),($D$28+(INDEX($E$232:$E$233,MATCH(LEFT(GT232,FIND("·",GT232)-1),$C$232:$C$233,0))=MID(GT232,FIND("|",GT232)+1,10))*$D$30+MAX(0,IF($D$50=1,$D$29*(1-(ABS(INDEX($Q$232:$Q$233,MATCH(LEFT(GT232,FIND("·",GT232)-1),$C$232:$C$233,0))-(VALUE(MID(GT232,FIND("|",GT232)+1,FIND("-",GT232,FIND("|",GT232))-FIND("|",GT232)-1))-VALUE(MID(GT232,FIND("-",GT232,FIND("|",GT232))+1,10)))))*$D$50),$D$29*(1-(IF(INDEX($D$232:$D$233,MATCH(LEFT(GT232,FIND("·",GT232)-1),$C$232:$C$233,0))=0,ABS(INDEX($A$232:$A$233,MATCH(LEFT(GT232,FIND("·",GT232)-1),$C$232:$C$233,0))-VALUE(MID(GT232,FIND("|",GT232)+1,FIND("-",GT232,FIND("|",GT232))-FIND("|",GT232)-1))),ABS(INDEX($Q$232:$Q$233,MATCH(LEFT(GT232,FIND("·",GT232)-1),$C$232:$C$233,0))-(VALUE(MID(GT232,FIND("|",GT232)+1,FIND("-",GT232,FIND("|",GT232))-FIND("|",GT232)-1))-VALUE(MID(GT232,FIND("-",GT232,FIND("|",GT232))+1,10)))))*$D$50)))))*INDEX($I$232:$I$233,MATCH(LEFT(GT232,FIND("·",GT232)-1),$C$232:$C$233,0)),0),0),0)</f>
        <v>0</v>
      </c>
      <c r="GV232" s="108"/>
      <c r="GW232" s="75" t="str">
        <f>Idiomas!$D$370</f>
        <v>Pegar valores Semifinales</v>
      </c>
      <c r="GX232" s="76">
        <f t="shared" ref="GX232:GX233" si="6712">IFERROR(IF(COUNTIF($K$232:$K$233,LEFT(GW232,FIND("·",GW232)-1))&gt;0,IF(INDEX($L$232:$L$233,MATCH(LEFT(GW232,FIND("·",GW232)-1),$K$232:$K$233,0))=IFERROR(VALUE(MID(GW232,FIND("·",GW232)+1,1)),0),($D$28+(INDEX($M$232:$M$233,MATCH(LEFT(GW232,FIND("·",GW232)-1),$K$232:$K$233,0))=MID(GW232,FIND("|",GW232)+1,10))*$D$30+MAX(0,IF($D$50=1,$D$29*(1-(ABS(INDEX($P$232:$P$233,MATCH(LEFT(GW232,FIND("·",GW232)-1),$K$232:$K$233,0))-(VALUE(MID(GW232,FIND("|",GW232)+1,FIND("-",GW232,FIND("|",GW232))-FIND("|",GW232)-1))-VALUE(MID(GW232,FIND("-",GW232,FIND("|",GW232))+1,10)))))*$D$50),$D$29*(1-(IF(INDEX($L$232:$L$233,MATCH(LEFT(GW232,FIND("·",GW232)-1),$K$232:$K$233,0))=0,ABS(INDEX($N$232:$N$233,MATCH(LEFT(GW232,FIND("·",GW232)-1),$K$232:$K$233,0))-VALUE(MID(GW232,FIND("|",GW232)+1,FIND("-",GW232,FIND("|",GW232))-FIND("|",GW232)-1))),ABS(INDEX($P$232:$P$233,MATCH(LEFT(GW232,FIND("·",GW232)-1),$K$232:$K$233,0))-(VALUE(MID(GW232,FIND("|",GW232)+1,FIND("-",GW232,FIND("|",GW232))-FIND("|",GW232)-1))-VALUE(MID(GW232,FIND("-",GW232,FIND("|",GW232))+1,10)))))*$D$50)))))*INDEX($I$232:$I$233,MATCH(LEFT(GW232,FIND("·",GW232)-1),$K$232:$K$233,0)),0),0),0)+IFERROR(IF(COUNTIF($C$232:$C$233,LEFT(GW232,FIND("·",GW232)-1))&gt;0,IF(INDEX($D$232:$D$233,MATCH(LEFT(GW232,FIND("·",GW232)-1),$C$232:$C$233,0))=IFERROR(VALUE(MID(GW232,FIND("·",GW232)+1,1)),0),($D$28+(INDEX($E$232:$E$233,MATCH(LEFT(GW232,FIND("·",GW232)-1),$C$232:$C$233,0))=MID(GW232,FIND("|",GW232)+1,10))*$D$30+MAX(0,IF($D$50=1,$D$29*(1-(ABS(INDEX($Q$232:$Q$233,MATCH(LEFT(GW232,FIND("·",GW232)-1),$C$232:$C$233,0))-(VALUE(MID(GW232,FIND("|",GW232)+1,FIND("-",GW232,FIND("|",GW232))-FIND("|",GW232)-1))-VALUE(MID(GW232,FIND("-",GW232,FIND("|",GW232))+1,10)))))*$D$50),$D$29*(1-(IF(INDEX($D$232:$D$233,MATCH(LEFT(GW232,FIND("·",GW232)-1),$C$232:$C$233,0))=0,ABS(INDEX($A$232:$A$233,MATCH(LEFT(GW232,FIND("·",GW232)-1),$C$232:$C$233,0))-VALUE(MID(GW232,FIND("|",GW232)+1,FIND("-",GW232,FIND("|",GW232))-FIND("|",GW232)-1))),ABS(INDEX($Q$232:$Q$233,MATCH(LEFT(GW232,FIND("·",GW232)-1),$C$232:$C$233,0))-(VALUE(MID(GW232,FIND("|",GW232)+1,FIND("-",GW232,FIND("|",GW232))-FIND("|",GW232)-1))-VALUE(MID(GW232,FIND("-",GW232,FIND("|",GW232))+1,10)))))*$D$50)))))*INDEX($I$232:$I$233,MATCH(LEFT(GW232,FIND("·",GW232)-1),$C$232:$C$233,0)),0),0),0)</f>
        <v>0</v>
      </c>
      <c r="GY232" s="108"/>
      <c r="GZ232" s="75" t="str">
        <f>Idiomas!$D$370</f>
        <v>Pegar valores Semifinales</v>
      </c>
      <c r="HA232" s="76">
        <f t="shared" ref="HA232:HA233" si="6713">IFERROR(IF(COUNTIF($K$232:$K$233,LEFT(GZ232,FIND("·",GZ232)-1))&gt;0,IF(INDEX($L$232:$L$233,MATCH(LEFT(GZ232,FIND("·",GZ232)-1),$K$232:$K$233,0))=IFERROR(VALUE(MID(GZ232,FIND("·",GZ232)+1,1)),0),($D$28+(INDEX($M$232:$M$233,MATCH(LEFT(GZ232,FIND("·",GZ232)-1),$K$232:$K$233,0))=MID(GZ232,FIND("|",GZ232)+1,10))*$D$30+MAX(0,IF($D$50=1,$D$29*(1-(ABS(INDEX($P$232:$P$233,MATCH(LEFT(GZ232,FIND("·",GZ232)-1),$K$232:$K$233,0))-(VALUE(MID(GZ232,FIND("|",GZ232)+1,FIND("-",GZ232,FIND("|",GZ232))-FIND("|",GZ232)-1))-VALUE(MID(GZ232,FIND("-",GZ232,FIND("|",GZ232))+1,10)))))*$D$50),$D$29*(1-(IF(INDEX($L$232:$L$233,MATCH(LEFT(GZ232,FIND("·",GZ232)-1),$K$232:$K$233,0))=0,ABS(INDEX($N$232:$N$233,MATCH(LEFT(GZ232,FIND("·",GZ232)-1),$K$232:$K$233,0))-VALUE(MID(GZ232,FIND("|",GZ232)+1,FIND("-",GZ232,FIND("|",GZ232))-FIND("|",GZ232)-1))),ABS(INDEX($P$232:$P$233,MATCH(LEFT(GZ232,FIND("·",GZ232)-1),$K$232:$K$233,0))-(VALUE(MID(GZ232,FIND("|",GZ232)+1,FIND("-",GZ232,FIND("|",GZ232))-FIND("|",GZ232)-1))-VALUE(MID(GZ232,FIND("-",GZ232,FIND("|",GZ232))+1,10)))))*$D$50)))))*INDEX($I$232:$I$233,MATCH(LEFT(GZ232,FIND("·",GZ232)-1),$K$232:$K$233,0)),0),0),0)+IFERROR(IF(COUNTIF($C$232:$C$233,LEFT(GZ232,FIND("·",GZ232)-1))&gt;0,IF(INDEX($D$232:$D$233,MATCH(LEFT(GZ232,FIND("·",GZ232)-1),$C$232:$C$233,0))=IFERROR(VALUE(MID(GZ232,FIND("·",GZ232)+1,1)),0),($D$28+(INDEX($E$232:$E$233,MATCH(LEFT(GZ232,FIND("·",GZ232)-1),$C$232:$C$233,0))=MID(GZ232,FIND("|",GZ232)+1,10))*$D$30+MAX(0,IF($D$50=1,$D$29*(1-(ABS(INDEX($Q$232:$Q$233,MATCH(LEFT(GZ232,FIND("·",GZ232)-1),$C$232:$C$233,0))-(VALUE(MID(GZ232,FIND("|",GZ232)+1,FIND("-",GZ232,FIND("|",GZ232))-FIND("|",GZ232)-1))-VALUE(MID(GZ232,FIND("-",GZ232,FIND("|",GZ232))+1,10)))))*$D$50),$D$29*(1-(IF(INDEX($D$232:$D$233,MATCH(LEFT(GZ232,FIND("·",GZ232)-1),$C$232:$C$233,0))=0,ABS(INDEX($A$232:$A$233,MATCH(LEFT(GZ232,FIND("·",GZ232)-1),$C$232:$C$233,0))-VALUE(MID(GZ232,FIND("|",GZ232)+1,FIND("-",GZ232,FIND("|",GZ232))-FIND("|",GZ232)-1))),ABS(INDEX($Q$232:$Q$233,MATCH(LEFT(GZ232,FIND("·",GZ232)-1),$C$232:$C$233,0))-(VALUE(MID(GZ232,FIND("|",GZ232)+1,FIND("-",GZ232,FIND("|",GZ232))-FIND("|",GZ232)-1))-VALUE(MID(GZ232,FIND("-",GZ232,FIND("|",GZ232))+1,10)))))*$D$50)))))*INDEX($I$232:$I$233,MATCH(LEFT(GZ232,FIND("·",GZ232)-1),$C$232:$C$233,0)),0),0),0)</f>
        <v>0</v>
      </c>
      <c r="HB232" s="108"/>
      <c r="HC232" s="75" t="str">
        <f>Idiomas!$D$370</f>
        <v>Pegar valores Semifinales</v>
      </c>
      <c r="HD232" s="76">
        <f t="shared" ref="HD232:HD233" si="6714">IFERROR(IF(COUNTIF($K$232:$K$233,LEFT(HC232,FIND("·",HC232)-1))&gt;0,IF(INDEX($L$232:$L$233,MATCH(LEFT(HC232,FIND("·",HC232)-1),$K$232:$K$233,0))=IFERROR(VALUE(MID(HC232,FIND("·",HC232)+1,1)),0),($D$28+(INDEX($M$232:$M$233,MATCH(LEFT(HC232,FIND("·",HC232)-1),$K$232:$K$233,0))=MID(HC232,FIND("|",HC232)+1,10))*$D$30+MAX(0,IF($D$50=1,$D$29*(1-(ABS(INDEX($P$232:$P$233,MATCH(LEFT(HC232,FIND("·",HC232)-1),$K$232:$K$233,0))-(VALUE(MID(HC232,FIND("|",HC232)+1,FIND("-",HC232,FIND("|",HC232))-FIND("|",HC232)-1))-VALUE(MID(HC232,FIND("-",HC232,FIND("|",HC232))+1,10)))))*$D$50),$D$29*(1-(IF(INDEX($L$232:$L$233,MATCH(LEFT(HC232,FIND("·",HC232)-1),$K$232:$K$233,0))=0,ABS(INDEX($N$232:$N$233,MATCH(LEFT(HC232,FIND("·",HC232)-1),$K$232:$K$233,0))-VALUE(MID(HC232,FIND("|",HC232)+1,FIND("-",HC232,FIND("|",HC232))-FIND("|",HC232)-1))),ABS(INDEX($P$232:$P$233,MATCH(LEFT(HC232,FIND("·",HC232)-1),$K$232:$K$233,0))-(VALUE(MID(HC232,FIND("|",HC232)+1,FIND("-",HC232,FIND("|",HC232))-FIND("|",HC232)-1))-VALUE(MID(HC232,FIND("-",HC232,FIND("|",HC232))+1,10)))))*$D$50)))))*INDEX($I$232:$I$233,MATCH(LEFT(HC232,FIND("·",HC232)-1),$K$232:$K$233,0)),0),0),0)+IFERROR(IF(COUNTIF($C$232:$C$233,LEFT(HC232,FIND("·",HC232)-1))&gt;0,IF(INDEX($D$232:$D$233,MATCH(LEFT(HC232,FIND("·",HC232)-1),$C$232:$C$233,0))=IFERROR(VALUE(MID(HC232,FIND("·",HC232)+1,1)),0),($D$28+(INDEX($E$232:$E$233,MATCH(LEFT(HC232,FIND("·",HC232)-1),$C$232:$C$233,0))=MID(HC232,FIND("|",HC232)+1,10))*$D$30+MAX(0,IF($D$50=1,$D$29*(1-(ABS(INDEX($Q$232:$Q$233,MATCH(LEFT(HC232,FIND("·",HC232)-1),$C$232:$C$233,0))-(VALUE(MID(HC232,FIND("|",HC232)+1,FIND("-",HC232,FIND("|",HC232))-FIND("|",HC232)-1))-VALUE(MID(HC232,FIND("-",HC232,FIND("|",HC232))+1,10)))))*$D$50),$D$29*(1-(IF(INDEX($D$232:$D$233,MATCH(LEFT(HC232,FIND("·",HC232)-1),$C$232:$C$233,0))=0,ABS(INDEX($A$232:$A$233,MATCH(LEFT(HC232,FIND("·",HC232)-1),$C$232:$C$233,0))-VALUE(MID(HC232,FIND("|",HC232)+1,FIND("-",HC232,FIND("|",HC232))-FIND("|",HC232)-1))),ABS(INDEX($Q$232:$Q$233,MATCH(LEFT(HC232,FIND("·",HC232)-1),$C$232:$C$233,0))-(VALUE(MID(HC232,FIND("|",HC232)+1,FIND("-",HC232,FIND("|",HC232))-FIND("|",HC232)-1))-VALUE(MID(HC232,FIND("-",HC232,FIND("|",HC232))+1,10)))))*$D$50)))))*INDEX($I$232:$I$233,MATCH(LEFT(HC232,FIND("·",HC232)-1),$C$232:$C$233,0)),0),0),0)</f>
        <v>0</v>
      </c>
      <c r="HE232" s="108"/>
      <c r="HF232" s="75" t="str">
        <f>Idiomas!$D$370</f>
        <v>Pegar valores Semifinales</v>
      </c>
      <c r="HG232" s="76">
        <f t="shared" ref="HG232:HG233" si="6715">IFERROR(IF(COUNTIF($K$232:$K$233,LEFT(HF232,FIND("·",HF232)-1))&gt;0,IF(INDEX($L$232:$L$233,MATCH(LEFT(HF232,FIND("·",HF232)-1),$K$232:$K$233,0))=IFERROR(VALUE(MID(HF232,FIND("·",HF232)+1,1)),0),($D$28+(INDEX($M$232:$M$233,MATCH(LEFT(HF232,FIND("·",HF232)-1),$K$232:$K$233,0))=MID(HF232,FIND("|",HF232)+1,10))*$D$30+MAX(0,IF($D$50=1,$D$29*(1-(ABS(INDEX($P$232:$P$233,MATCH(LEFT(HF232,FIND("·",HF232)-1),$K$232:$K$233,0))-(VALUE(MID(HF232,FIND("|",HF232)+1,FIND("-",HF232,FIND("|",HF232))-FIND("|",HF232)-1))-VALUE(MID(HF232,FIND("-",HF232,FIND("|",HF232))+1,10)))))*$D$50),$D$29*(1-(IF(INDEX($L$232:$L$233,MATCH(LEFT(HF232,FIND("·",HF232)-1),$K$232:$K$233,0))=0,ABS(INDEX($N$232:$N$233,MATCH(LEFT(HF232,FIND("·",HF232)-1),$K$232:$K$233,0))-VALUE(MID(HF232,FIND("|",HF232)+1,FIND("-",HF232,FIND("|",HF232))-FIND("|",HF232)-1))),ABS(INDEX($P$232:$P$233,MATCH(LEFT(HF232,FIND("·",HF232)-1),$K$232:$K$233,0))-(VALUE(MID(HF232,FIND("|",HF232)+1,FIND("-",HF232,FIND("|",HF232))-FIND("|",HF232)-1))-VALUE(MID(HF232,FIND("-",HF232,FIND("|",HF232))+1,10)))))*$D$50)))))*INDEX($I$232:$I$233,MATCH(LEFT(HF232,FIND("·",HF232)-1),$K$232:$K$233,0)),0),0),0)+IFERROR(IF(COUNTIF($C$232:$C$233,LEFT(HF232,FIND("·",HF232)-1))&gt;0,IF(INDEX($D$232:$D$233,MATCH(LEFT(HF232,FIND("·",HF232)-1),$C$232:$C$233,0))=IFERROR(VALUE(MID(HF232,FIND("·",HF232)+1,1)),0),($D$28+(INDEX($E$232:$E$233,MATCH(LEFT(HF232,FIND("·",HF232)-1),$C$232:$C$233,0))=MID(HF232,FIND("|",HF232)+1,10))*$D$30+MAX(0,IF($D$50=1,$D$29*(1-(ABS(INDEX($Q$232:$Q$233,MATCH(LEFT(HF232,FIND("·",HF232)-1),$C$232:$C$233,0))-(VALUE(MID(HF232,FIND("|",HF232)+1,FIND("-",HF232,FIND("|",HF232))-FIND("|",HF232)-1))-VALUE(MID(HF232,FIND("-",HF232,FIND("|",HF232))+1,10)))))*$D$50),$D$29*(1-(IF(INDEX($D$232:$D$233,MATCH(LEFT(HF232,FIND("·",HF232)-1),$C$232:$C$233,0))=0,ABS(INDEX($A$232:$A$233,MATCH(LEFT(HF232,FIND("·",HF232)-1),$C$232:$C$233,0))-VALUE(MID(HF232,FIND("|",HF232)+1,FIND("-",HF232,FIND("|",HF232))-FIND("|",HF232)-1))),ABS(INDEX($Q$232:$Q$233,MATCH(LEFT(HF232,FIND("·",HF232)-1),$C$232:$C$233,0))-(VALUE(MID(HF232,FIND("|",HF232)+1,FIND("-",HF232,FIND("|",HF232))-FIND("|",HF232)-1))-VALUE(MID(HF232,FIND("-",HF232,FIND("|",HF232))+1,10)))))*$D$50)))))*INDEX($I$232:$I$233,MATCH(LEFT(HF232,FIND("·",HF232)-1),$C$232:$C$233,0)),0),0),0)</f>
        <v>0</v>
      </c>
      <c r="HH232" s="108"/>
      <c r="HI232" s="75" t="str">
        <f>Idiomas!$D$370</f>
        <v>Pegar valores Semifinales</v>
      </c>
      <c r="HJ232" s="76">
        <f t="shared" ref="HJ232:HJ233" si="6716">IFERROR(IF(COUNTIF($K$232:$K$233,LEFT(HI232,FIND("·",HI232)-1))&gt;0,IF(INDEX($L$232:$L$233,MATCH(LEFT(HI232,FIND("·",HI232)-1),$K$232:$K$233,0))=IFERROR(VALUE(MID(HI232,FIND("·",HI232)+1,1)),0),($D$28+(INDEX($M$232:$M$233,MATCH(LEFT(HI232,FIND("·",HI232)-1),$K$232:$K$233,0))=MID(HI232,FIND("|",HI232)+1,10))*$D$30+MAX(0,IF($D$50=1,$D$29*(1-(ABS(INDEX($P$232:$P$233,MATCH(LEFT(HI232,FIND("·",HI232)-1),$K$232:$K$233,0))-(VALUE(MID(HI232,FIND("|",HI232)+1,FIND("-",HI232,FIND("|",HI232))-FIND("|",HI232)-1))-VALUE(MID(HI232,FIND("-",HI232,FIND("|",HI232))+1,10)))))*$D$50),$D$29*(1-(IF(INDEX($L$232:$L$233,MATCH(LEFT(HI232,FIND("·",HI232)-1),$K$232:$K$233,0))=0,ABS(INDEX($N$232:$N$233,MATCH(LEFT(HI232,FIND("·",HI232)-1),$K$232:$K$233,0))-VALUE(MID(HI232,FIND("|",HI232)+1,FIND("-",HI232,FIND("|",HI232))-FIND("|",HI232)-1))),ABS(INDEX($P$232:$P$233,MATCH(LEFT(HI232,FIND("·",HI232)-1),$K$232:$K$233,0))-(VALUE(MID(HI232,FIND("|",HI232)+1,FIND("-",HI232,FIND("|",HI232))-FIND("|",HI232)-1))-VALUE(MID(HI232,FIND("-",HI232,FIND("|",HI232))+1,10)))))*$D$50)))))*INDEX($I$232:$I$233,MATCH(LEFT(HI232,FIND("·",HI232)-1),$K$232:$K$233,0)),0),0),0)+IFERROR(IF(COUNTIF($C$232:$C$233,LEFT(HI232,FIND("·",HI232)-1))&gt;0,IF(INDEX($D$232:$D$233,MATCH(LEFT(HI232,FIND("·",HI232)-1),$C$232:$C$233,0))=IFERROR(VALUE(MID(HI232,FIND("·",HI232)+1,1)),0),($D$28+(INDEX($E$232:$E$233,MATCH(LEFT(HI232,FIND("·",HI232)-1),$C$232:$C$233,0))=MID(HI232,FIND("|",HI232)+1,10))*$D$30+MAX(0,IF($D$50=1,$D$29*(1-(ABS(INDEX($Q$232:$Q$233,MATCH(LEFT(HI232,FIND("·",HI232)-1),$C$232:$C$233,0))-(VALUE(MID(HI232,FIND("|",HI232)+1,FIND("-",HI232,FIND("|",HI232))-FIND("|",HI232)-1))-VALUE(MID(HI232,FIND("-",HI232,FIND("|",HI232))+1,10)))))*$D$50),$D$29*(1-(IF(INDEX($D$232:$D$233,MATCH(LEFT(HI232,FIND("·",HI232)-1),$C$232:$C$233,0))=0,ABS(INDEX($A$232:$A$233,MATCH(LEFT(HI232,FIND("·",HI232)-1),$C$232:$C$233,0))-VALUE(MID(HI232,FIND("|",HI232)+1,FIND("-",HI232,FIND("|",HI232))-FIND("|",HI232)-1))),ABS(INDEX($Q$232:$Q$233,MATCH(LEFT(HI232,FIND("·",HI232)-1),$C$232:$C$233,0))-(VALUE(MID(HI232,FIND("|",HI232)+1,FIND("-",HI232,FIND("|",HI232))-FIND("|",HI232)-1))-VALUE(MID(HI232,FIND("-",HI232,FIND("|",HI232))+1,10)))))*$D$50)))))*INDEX($I$232:$I$233,MATCH(LEFT(HI232,FIND("·",HI232)-1),$C$232:$C$233,0)),0),0),0)</f>
        <v>0</v>
      </c>
      <c r="HK232" s="108"/>
      <c r="HL232" s="75" t="str">
        <f>Idiomas!$D$370</f>
        <v>Pegar valores Semifinales</v>
      </c>
      <c r="HM232" s="76">
        <f t="shared" ref="HM232:HM233" si="6717">IFERROR(IF(COUNTIF($K$232:$K$233,LEFT(HL232,FIND("·",HL232)-1))&gt;0,IF(INDEX($L$232:$L$233,MATCH(LEFT(HL232,FIND("·",HL232)-1),$K$232:$K$233,0))=IFERROR(VALUE(MID(HL232,FIND("·",HL232)+1,1)),0),($D$28+(INDEX($M$232:$M$233,MATCH(LEFT(HL232,FIND("·",HL232)-1),$K$232:$K$233,0))=MID(HL232,FIND("|",HL232)+1,10))*$D$30+MAX(0,IF($D$50=1,$D$29*(1-(ABS(INDEX($P$232:$P$233,MATCH(LEFT(HL232,FIND("·",HL232)-1),$K$232:$K$233,0))-(VALUE(MID(HL232,FIND("|",HL232)+1,FIND("-",HL232,FIND("|",HL232))-FIND("|",HL232)-1))-VALUE(MID(HL232,FIND("-",HL232,FIND("|",HL232))+1,10)))))*$D$50),$D$29*(1-(IF(INDEX($L$232:$L$233,MATCH(LEFT(HL232,FIND("·",HL232)-1),$K$232:$K$233,0))=0,ABS(INDEX($N$232:$N$233,MATCH(LEFT(HL232,FIND("·",HL232)-1),$K$232:$K$233,0))-VALUE(MID(HL232,FIND("|",HL232)+1,FIND("-",HL232,FIND("|",HL232))-FIND("|",HL232)-1))),ABS(INDEX($P$232:$P$233,MATCH(LEFT(HL232,FIND("·",HL232)-1),$K$232:$K$233,0))-(VALUE(MID(HL232,FIND("|",HL232)+1,FIND("-",HL232,FIND("|",HL232))-FIND("|",HL232)-1))-VALUE(MID(HL232,FIND("-",HL232,FIND("|",HL232))+1,10)))))*$D$50)))))*INDEX($I$232:$I$233,MATCH(LEFT(HL232,FIND("·",HL232)-1),$K$232:$K$233,0)),0),0),0)+IFERROR(IF(COUNTIF($C$232:$C$233,LEFT(HL232,FIND("·",HL232)-1))&gt;0,IF(INDEX($D$232:$D$233,MATCH(LEFT(HL232,FIND("·",HL232)-1),$C$232:$C$233,0))=IFERROR(VALUE(MID(HL232,FIND("·",HL232)+1,1)),0),($D$28+(INDEX($E$232:$E$233,MATCH(LEFT(HL232,FIND("·",HL232)-1),$C$232:$C$233,0))=MID(HL232,FIND("|",HL232)+1,10))*$D$30+MAX(0,IF($D$50=1,$D$29*(1-(ABS(INDEX($Q$232:$Q$233,MATCH(LEFT(HL232,FIND("·",HL232)-1),$C$232:$C$233,0))-(VALUE(MID(HL232,FIND("|",HL232)+1,FIND("-",HL232,FIND("|",HL232))-FIND("|",HL232)-1))-VALUE(MID(HL232,FIND("-",HL232,FIND("|",HL232))+1,10)))))*$D$50),$D$29*(1-(IF(INDEX($D$232:$D$233,MATCH(LEFT(HL232,FIND("·",HL232)-1),$C$232:$C$233,0))=0,ABS(INDEX($A$232:$A$233,MATCH(LEFT(HL232,FIND("·",HL232)-1),$C$232:$C$233,0))-VALUE(MID(HL232,FIND("|",HL232)+1,FIND("-",HL232,FIND("|",HL232))-FIND("|",HL232)-1))),ABS(INDEX($Q$232:$Q$233,MATCH(LEFT(HL232,FIND("·",HL232)-1),$C$232:$C$233,0))-(VALUE(MID(HL232,FIND("|",HL232)+1,FIND("-",HL232,FIND("|",HL232))-FIND("|",HL232)-1))-VALUE(MID(HL232,FIND("-",HL232,FIND("|",HL232))+1,10)))))*$D$50)))))*INDEX($I$232:$I$233,MATCH(LEFT(HL232,FIND("·",HL232)-1),$C$232:$C$233,0)),0),0),0)</f>
        <v>0</v>
      </c>
      <c r="HN232" s="108"/>
      <c r="HO232" s="75" t="str">
        <f>Idiomas!$D$370</f>
        <v>Pegar valores Semifinales</v>
      </c>
      <c r="HP232" s="76">
        <f t="shared" ref="HP232:HP233" si="6718">IFERROR(IF(COUNTIF($K$232:$K$233,LEFT(HO232,FIND("·",HO232)-1))&gt;0,IF(INDEX($L$232:$L$233,MATCH(LEFT(HO232,FIND("·",HO232)-1),$K$232:$K$233,0))=IFERROR(VALUE(MID(HO232,FIND("·",HO232)+1,1)),0),($D$28+(INDEX($M$232:$M$233,MATCH(LEFT(HO232,FIND("·",HO232)-1),$K$232:$K$233,0))=MID(HO232,FIND("|",HO232)+1,10))*$D$30+MAX(0,IF($D$50=1,$D$29*(1-(ABS(INDEX($P$232:$P$233,MATCH(LEFT(HO232,FIND("·",HO232)-1),$K$232:$K$233,0))-(VALUE(MID(HO232,FIND("|",HO232)+1,FIND("-",HO232,FIND("|",HO232))-FIND("|",HO232)-1))-VALUE(MID(HO232,FIND("-",HO232,FIND("|",HO232))+1,10)))))*$D$50),$D$29*(1-(IF(INDEX($L$232:$L$233,MATCH(LEFT(HO232,FIND("·",HO232)-1),$K$232:$K$233,0))=0,ABS(INDEX($N$232:$N$233,MATCH(LEFT(HO232,FIND("·",HO232)-1),$K$232:$K$233,0))-VALUE(MID(HO232,FIND("|",HO232)+1,FIND("-",HO232,FIND("|",HO232))-FIND("|",HO232)-1))),ABS(INDEX($P$232:$P$233,MATCH(LEFT(HO232,FIND("·",HO232)-1),$K$232:$K$233,0))-(VALUE(MID(HO232,FIND("|",HO232)+1,FIND("-",HO232,FIND("|",HO232))-FIND("|",HO232)-1))-VALUE(MID(HO232,FIND("-",HO232,FIND("|",HO232))+1,10)))))*$D$50)))))*INDEX($I$232:$I$233,MATCH(LEFT(HO232,FIND("·",HO232)-1),$K$232:$K$233,0)),0),0),0)+IFERROR(IF(COUNTIF($C$232:$C$233,LEFT(HO232,FIND("·",HO232)-1))&gt;0,IF(INDEX($D$232:$D$233,MATCH(LEFT(HO232,FIND("·",HO232)-1),$C$232:$C$233,0))=IFERROR(VALUE(MID(HO232,FIND("·",HO232)+1,1)),0),($D$28+(INDEX($E$232:$E$233,MATCH(LEFT(HO232,FIND("·",HO232)-1),$C$232:$C$233,0))=MID(HO232,FIND("|",HO232)+1,10))*$D$30+MAX(0,IF($D$50=1,$D$29*(1-(ABS(INDEX($Q$232:$Q$233,MATCH(LEFT(HO232,FIND("·",HO232)-1),$C$232:$C$233,0))-(VALUE(MID(HO232,FIND("|",HO232)+1,FIND("-",HO232,FIND("|",HO232))-FIND("|",HO232)-1))-VALUE(MID(HO232,FIND("-",HO232,FIND("|",HO232))+1,10)))))*$D$50),$D$29*(1-(IF(INDEX($D$232:$D$233,MATCH(LEFT(HO232,FIND("·",HO232)-1),$C$232:$C$233,0))=0,ABS(INDEX($A$232:$A$233,MATCH(LEFT(HO232,FIND("·",HO232)-1),$C$232:$C$233,0))-VALUE(MID(HO232,FIND("|",HO232)+1,FIND("-",HO232,FIND("|",HO232))-FIND("|",HO232)-1))),ABS(INDEX($Q$232:$Q$233,MATCH(LEFT(HO232,FIND("·",HO232)-1),$C$232:$C$233,0))-(VALUE(MID(HO232,FIND("|",HO232)+1,FIND("-",HO232,FIND("|",HO232))-FIND("|",HO232)-1))-VALUE(MID(HO232,FIND("-",HO232,FIND("|",HO232))+1,10)))))*$D$50)))))*INDEX($I$232:$I$233,MATCH(LEFT(HO232,FIND("·",HO232)-1),$C$232:$C$233,0)),0),0),0)</f>
        <v>0</v>
      </c>
      <c r="HQ232" s="108"/>
      <c r="HR232" s="75" t="str">
        <f>Idiomas!$D$370</f>
        <v>Pegar valores Semifinales</v>
      </c>
      <c r="HS232" s="76">
        <f t="shared" ref="HS232:HS233" si="6719">IFERROR(IF(COUNTIF($K$232:$K$233,LEFT(HR232,FIND("·",HR232)-1))&gt;0,IF(INDEX($L$232:$L$233,MATCH(LEFT(HR232,FIND("·",HR232)-1),$K$232:$K$233,0))=IFERROR(VALUE(MID(HR232,FIND("·",HR232)+1,1)),0),($D$28+(INDEX($M$232:$M$233,MATCH(LEFT(HR232,FIND("·",HR232)-1),$K$232:$K$233,0))=MID(HR232,FIND("|",HR232)+1,10))*$D$30+MAX(0,IF($D$50=1,$D$29*(1-(ABS(INDEX($P$232:$P$233,MATCH(LEFT(HR232,FIND("·",HR232)-1),$K$232:$K$233,0))-(VALUE(MID(HR232,FIND("|",HR232)+1,FIND("-",HR232,FIND("|",HR232))-FIND("|",HR232)-1))-VALUE(MID(HR232,FIND("-",HR232,FIND("|",HR232))+1,10)))))*$D$50),$D$29*(1-(IF(INDEX($L$232:$L$233,MATCH(LEFT(HR232,FIND("·",HR232)-1),$K$232:$K$233,0))=0,ABS(INDEX($N$232:$N$233,MATCH(LEFT(HR232,FIND("·",HR232)-1),$K$232:$K$233,0))-VALUE(MID(HR232,FIND("|",HR232)+1,FIND("-",HR232,FIND("|",HR232))-FIND("|",HR232)-1))),ABS(INDEX($P$232:$P$233,MATCH(LEFT(HR232,FIND("·",HR232)-1),$K$232:$K$233,0))-(VALUE(MID(HR232,FIND("|",HR232)+1,FIND("-",HR232,FIND("|",HR232))-FIND("|",HR232)-1))-VALUE(MID(HR232,FIND("-",HR232,FIND("|",HR232))+1,10)))))*$D$50)))))*INDEX($I$232:$I$233,MATCH(LEFT(HR232,FIND("·",HR232)-1),$K$232:$K$233,0)),0),0),0)+IFERROR(IF(COUNTIF($C$232:$C$233,LEFT(HR232,FIND("·",HR232)-1))&gt;0,IF(INDEX($D$232:$D$233,MATCH(LEFT(HR232,FIND("·",HR232)-1),$C$232:$C$233,0))=IFERROR(VALUE(MID(HR232,FIND("·",HR232)+1,1)),0),($D$28+(INDEX($E$232:$E$233,MATCH(LEFT(HR232,FIND("·",HR232)-1),$C$232:$C$233,0))=MID(HR232,FIND("|",HR232)+1,10))*$D$30+MAX(0,IF($D$50=1,$D$29*(1-(ABS(INDEX($Q$232:$Q$233,MATCH(LEFT(HR232,FIND("·",HR232)-1),$C$232:$C$233,0))-(VALUE(MID(HR232,FIND("|",HR232)+1,FIND("-",HR232,FIND("|",HR232))-FIND("|",HR232)-1))-VALUE(MID(HR232,FIND("-",HR232,FIND("|",HR232))+1,10)))))*$D$50),$D$29*(1-(IF(INDEX($D$232:$D$233,MATCH(LEFT(HR232,FIND("·",HR232)-1),$C$232:$C$233,0))=0,ABS(INDEX($A$232:$A$233,MATCH(LEFT(HR232,FIND("·",HR232)-1),$C$232:$C$233,0))-VALUE(MID(HR232,FIND("|",HR232)+1,FIND("-",HR232,FIND("|",HR232))-FIND("|",HR232)-1))),ABS(INDEX($Q$232:$Q$233,MATCH(LEFT(HR232,FIND("·",HR232)-1),$C$232:$C$233,0))-(VALUE(MID(HR232,FIND("|",HR232)+1,FIND("-",HR232,FIND("|",HR232))-FIND("|",HR232)-1))-VALUE(MID(HR232,FIND("-",HR232,FIND("|",HR232))+1,10)))))*$D$50)))))*INDEX($I$232:$I$233,MATCH(LEFT(HR232,FIND("·",HR232)-1),$C$232:$C$233,0)),0),0),0)</f>
        <v>0</v>
      </c>
      <c r="HT232" s="108"/>
      <c r="HU232" s="75" t="str">
        <f>Idiomas!$D$370</f>
        <v>Pegar valores Semifinales</v>
      </c>
      <c r="HV232" s="76">
        <f t="shared" ref="HV232:HV233" si="6720">IFERROR(IF(COUNTIF($K$232:$K$233,LEFT(HU232,FIND("·",HU232)-1))&gt;0,IF(INDEX($L$232:$L$233,MATCH(LEFT(HU232,FIND("·",HU232)-1),$K$232:$K$233,0))=IFERROR(VALUE(MID(HU232,FIND("·",HU232)+1,1)),0),($D$28+(INDEX($M$232:$M$233,MATCH(LEFT(HU232,FIND("·",HU232)-1),$K$232:$K$233,0))=MID(HU232,FIND("|",HU232)+1,10))*$D$30+MAX(0,IF($D$50=1,$D$29*(1-(ABS(INDEX($P$232:$P$233,MATCH(LEFT(HU232,FIND("·",HU232)-1),$K$232:$K$233,0))-(VALUE(MID(HU232,FIND("|",HU232)+1,FIND("-",HU232,FIND("|",HU232))-FIND("|",HU232)-1))-VALUE(MID(HU232,FIND("-",HU232,FIND("|",HU232))+1,10)))))*$D$50),$D$29*(1-(IF(INDEX($L$232:$L$233,MATCH(LEFT(HU232,FIND("·",HU232)-1),$K$232:$K$233,0))=0,ABS(INDEX($N$232:$N$233,MATCH(LEFT(HU232,FIND("·",HU232)-1),$K$232:$K$233,0))-VALUE(MID(HU232,FIND("|",HU232)+1,FIND("-",HU232,FIND("|",HU232))-FIND("|",HU232)-1))),ABS(INDEX($P$232:$P$233,MATCH(LEFT(HU232,FIND("·",HU232)-1),$K$232:$K$233,0))-(VALUE(MID(HU232,FIND("|",HU232)+1,FIND("-",HU232,FIND("|",HU232))-FIND("|",HU232)-1))-VALUE(MID(HU232,FIND("-",HU232,FIND("|",HU232))+1,10)))))*$D$50)))))*INDEX($I$232:$I$233,MATCH(LEFT(HU232,FIND("·",HU232)-1),$K$232:$K$233,0)),0),0),0)+IFERROR(IF(COUNTIF($C$232:$C$233,LEFT(HU232,FIND("·",HU232)-1))&gt;0,IF(INDEX($D$232:$D$233,MATCH(LEFT(HU232,FIND("·",HU232)-1),$C$232:$C$233,0))=IFERROR(VALUE(MID(HU232,FIND("·",HU232)+1,1)),0),($D$28+(INDEX($E$232:$E$233,MATCH(LEFT(HU232,FIND("·",HU232)-1),$C$232:$C$233,0))=MID(HU232,FIND("|",HU232)+1,10))*$D$30+MAX(0,IF($D$50=1,$D$29*(1-(ABS(INDEX($Q$232:$Q$233,MATCH(LEFT(HU232,FIND("·",HU232)-1),$C$232:$C$233,0))-(VALUE(MID(HU232,FIND("|",HU232)+1,FIND("-",HU232,FIND("|",HU232))-FIND("|",HU232)-1))-VALUE(MID(HU232,FIND("-",HU232,FIND("|",HU232))+1,10)))))*$D$50),$D$29*(1-(IF(INDEX($D$232:$D$233,MATCH(LEFT(HU232,FIND("·",HU232)-1),$C$232:$C$233,0))=0,ABS(INDEX($A$232:$A$233,MATCH(LEFT(HU232,FIND("·",HU232)-1),$C$232:$C$233,0))-VALUE(MID(HU232,FIND("|",HU232)+1,FIND("-",HU232,FIND("|",HU232))-FIND("|",HU232)-1))),ABS(INDEX($Q$232:$Q$233,MATCH(LEFT(HU232,FIND("·",HU232)-1),$C$232:$C$233,0))-(VALUE(MID(HU232,FIND("|",HU232)+1,FIND("-",HU232,FIND("|",HU232))-FIND("|",HU232)-1))-VALUE(MID(HU232,FIND("-",HU232,FIND("|",HU232))+1,10)))))*$D$50)))))*INDEX($I$232:$I$233,MATCH(LEFT(HU232,FIND("·",HU232)-1),$C$232:$C$233,0)),0),0),0)</f>
        <v>0</v>
      </c>
      <c r="HW232" s="108"/>
      <c r="HX232" s="75" t="str">
        <f>Idiomas!$D$370</f>
        <v>Pegar valores Semifinales</v>
      </c>
      <c r="HY232" s="76">
        <f t="shared" ref="HY232:HY233" si="6721">IFERROR(IF(COUNTIF($K$232:$K$233,LEFT(HX232,FIND("·",HX232)-1))&gt;0,IF(INDEX($L$232:$L$233,MATCH(LEFT(HX232,FIND("·",HX232)-1),$K$232:$K$233,0))=IFERROR(VALUE(MID(HX232,FIND("·",HX232)+1,1)),0),($D$28+(INDEX($M$232:$M$233,MATCH(LEFT(HX232,FIND("·",HX232)-1),$K$232:$K$233,0))=MID(HX232,FIND("|",HX232)+1,10))*$D$30+MAX(0,IF($D$50=1,$D$29*(1-(ABS(INDEX($P$232:$P$233,MATCH(LEFT(HX232,FIND("·",HX232)-1),$K$232:$K$233,0))-(VALUE(MID(HX232,FIND("|",HX232)+1,FIND("-",HX232,FIND("|",HX232))-FIND("|",HX232)-1))-VALUE(MID(HX232,FIND("-",HX232,FIND("|",HX232))+1,10)))))*$D$50),$D$29*(1-(IF(INDEX($L$232:$L$233,MATCH(LEFT(HX232,FIND("·",HX232)-1),$K$232:$K$233,0))=0,ABS(INDEX($N$232:$N$233,MATCH(LEFT(HX232,FIND("·",HX232)-1),$K$232:$K$233,0))-VALUE(MID(HX232,FIND("|",HX232)+1,FIND("-",HX232,FIND("|",HX232))-FIND("|",HX232)-1))),ABS(INDEX($P$232:$P$233,MATCH(LEFT(HX232,FIND("·",HX232)-1),$K$232:$K$233,0))-(VALUE(MID(HX232,FIND("|",HX232)+1,FIND("-",HX232,FIND("|",HX232))-FIND("|",HX232)-1))-VALUE(MID(HX232,FIND("-",HX232,FIND("|",HX232))+1,10)))))*$D$50)))))*INDEX($I$232:$I$233,MATCH(LEFT(HX232,FIND("·",HX232)-1),$K$232:$K$233,0)),0),0),0)+IFERROR(IF(COUNTIF($C$232:$C$233,LEFT(HX232,FIND("·",HX232)-1))&gt;0,IF(INDEX($D$232:$D$233,MATCH(LEFT(HX232,FIND("·",HX232)-1),$C$232:$C$233,0))=IFERROR(VALUE(MID(HX232,FIND("·",HX232)+1,1)),0),($D$28+(INDEX($E$232:$E$233,MATCH(LEFT(HX232,FIND("·",HX232)-1),$C$232:$C$233,0))=MID(HX232,FIND("|",HX232)+1,10))*$D$30+MAX(0,IF($D$50=1,$D$29*(1-(ABS(INDEX($Q$232:$Q$233,MATCH(LEFT(HX232,FIND("·",HX232)-1),$C$232:$C$233,0))-(VALUE(MID(HX232,FIND("|",HX232)+1,FIND("-",HX232,FIND("|",HX232))-FIND("|",HX232)-1))-VALUE(MID(HX232,FIND("-",HX232,FIND("|",HX232))+1,10)))))*$D$50),$D$29*(1-(IF(INDEX($D$232:$D$233,MATCH(LEFT(HX232,FIND("·",HX232)-1),$C$232:$C$233,0))=0,ABS(INDEX($A$232:$A$233,MATCH(LEFT(HX232,FIND("·",HX232)-1),$C$232:$C$233,0))-VALUE(MID(HX232,FIND("|",HX232)+1,FIND("-",HX232,FIND("|",HX232))-FIND("|",HX232)-1))),ABS(INDEX($Q$232:$Q$233,MATCH(LEFT(HX232,FIND("·",HX232)-1),$C$232:$C$233,0))-(VALUE(MID(HX232,FIND("|",HX232)+1,FIND("-",HX232,FIND("|",HX232))-FIND("|",HX232)-1))-VALUE(MID(HX232,FIND("-",HX232,FIND("|",HX232))+1,10)))))*$D$50)))))*INDEX($I$232:$I$233,MATCH(LEFT(HX232,FIND("·",HX232)-1),$C$232:$C$233,0)),0),0),0)</f>
        <v>0</v>
      </c>
      <c r="HZ232" s="108"/>
      <c r="IA232" s="75" t="str">
        <f>Idiomas!$D$370</f>
        <v>Pegar valores Semifinales</v>
      </c>
      <c r="IB232" s="76">
        <f t="shared" ref="IB232:IB233" si="6722">IFERROR(IF(COUNTIF($K$232:$K$233,LEFT(IA232,FIND("·",IA232)-1))&gt;0,IF(INDEX($L$232:$L$233,MATCH(LEFT(IA232,FIND("·",IA232)-1),$K$232:$K$233,0))=IFERROR(VALUE(MID(IA232,FIND("·",IA232)+1,1)),0),($D$28+(INDEX($M$232:$M$233,MATCH(LEFT(IA232,FIND("·",IA232)-1),$K$232:$K$233,0))=MID(IA232,FIND("|",IA232)+1,10))*$D$30+MAX(0,IF($D$50=1,$D$29*(1-(ABS(INDEX($P$232:$P$233,MATCH(LEFT(IA232,FIND("·",IA232)-1),$K$232:$K$233,0))-(VALUE(MID(IA232,FIND("|",IA232)+1,FIND("-",IA232,FIND("|",IA232))-FIND("|",IA232)-1))-VALUE(MID(IA232,FIND("-",IA232,FIND("|",IA232))+1,10)))))*$D$50),$D$29*(1-(IF(INDEX($L$232:$L$233,MATCH(LEFT(IA232,FIND("·",IA232)-1),$K$232:$K$233,0))=0,ABS(INDEX($N$232:$N$233,MATCH(LEFT(IA232,FIND("·",IA232)-1),$K$232:$K$233,0))-VALUE(MID(IA232,FIND("|",IA232)+1,FIND("-",IA232,FIND("|",IA232))-FIND("|",IA232)-1))),ABS(INDEX($P$232:$P$233,MATCH(LEFT(IA232,FIND("·",IA232)-1),$K$232:$K$233,0))-(VALUE(MID(IA232,FIND("|",IA232)+1,FIND("-",IA232,FIND("|",IA232))-FIND("|",IA232)-1))-VALUE(MID(IA232,FIND("-",IA232,FIND("|",IA232))+1,10)))))*$D$50)))))*INDEX($I$232:$I$233,MATCH(LEFT(IA232,FIND("·",IA232)-1),$K$232:$K$233,0)),0),0),0)+IFERROR(IF(COUNTIF($C$232:$C$233,LEFT(IA232,FIND("·",IA232)-1))&gt;0,IF(INDEX($D$232:$D$233,MATCH(LEFT(IA232,FIND("·",IA232)-1),$C$232:$C$233,0))=IFERROR(VALUE(MID(IA232,FIND("·",IA232)+1,1)),0),($D$28+(INDEX($E$232:$E$233,MATCH(LEFT(IA232,FIND("·",IA232)-1),$C$232:$C$233,0))=MID(IA232,FIND("|",IA232)+1,10))*$D$30+MAX(0,IF($D$50=1,$D$29*(1-(ABS(INDEX($Q$232:$Q$233,MATCH(LEFT(IA232,FIND("·",IA232)-1),$C$232:$C$233,0))-(VALUE(MID(IA232,FIND("|",IA232)+1,FIND("-",IA232,FIND("|",IA232))-FIND("|",IA232)-1))-VALUE(MID(IA232,FIND("-",IA232,FIND("|",IA232))+1,10)))))*$D$50),$D$29*(1-(IF(INDEX($D$232:$D$233,MATCH(LEFT(IA232,FIND("·",IA232)-1),$C$232:$C$233,0))=0,ABS(INDEX($A$232:$A$233,MATCH(LEFT(IA232,FIND("·",IA232)-1),$C$232:$C$233,0))-VALUE(MID(IA232,FIND("|",IA232)+1,FIND("-",IA232,FIND("|",IA232))-FIND("|",IA232)-1))),ABS(INDEX($Q$232:$Q$233,MATCH(LEFT(IA232,FIND("·",IA232)-1),$C$232:$C$233,0))-(VALUE(MID(IA232,FIND("|",IA232)+1,FIND("-",IA232,FIND("|",IA232))-FIND("|",IA232)-1))-VALUE(MID(IA232,FIND("-",IA232,FIND("|",IA232))+1,10)))))*$D$50)))))*INDEX($I$232:$I$233,MATCH(LEFT(IA232,FIND("·",IA232)-1),$C$232:$C$233,0)),0),0),0)</f>
        <v>0</v>
      </c>
      <c r="IC232" s="108"/>
      <c r="ID232" s="75" t="str">
        <f>Idiomas!$D$370</f>
        <v>Pegar valores Semifinales</v>
      </c>
      <c r="IE232" s="76">
        <f t="shared" ref="IE232:IE233" si="6723">IFERROR(IF(COUNTIF($K$232:$K$233,LEFT(ID232,FIND("·",ID232)-1))&gt;0,IF(INDEX($L$232:$L$233,MATCH(LEFT(ID232,FIND("·",ID232)-1),$K$232:$K$233,0))=IFERROR(VALUE(MID(ID232,FIND("·",ID232)+1,1)),0),($D$28+(INDEX($M$232:$M$233,MATCH(LEFT(ID232,FIND("·",ID232)-1),$K$232:$K$233,0))=MID(ID232,FIND("|",ID232)+1,10))*$D$30+MAX(0,IF($D$50=1,$D$29*(1-(ABS(INDEX($P$232:$P$233,MATCH(LEFT(ID232,FIND("·",ID232)-1),$K$232:$K$233,0))-(VALUE(MID(ID232,FIND("|",ID232)+1,FIND("-",ID232,FIND("|",ID232))-FIND("|",ID232)-1))-VALUE(MID(ID232,FIND("-",ID232,FIND("|",ID232))+1,10)))))*$D$50),$D$29*(1-(IF(INDEX($L$232:$L$233,MATCH(LEFT(ID232,FIND("·",ID232)-1),$K$232:$K$233,0))=0,ABS(INDEX($N$232:$N$233,MATCH(LEFT(ID232,FIND("·",ID232)-1),$K$232:$K$233,0))-VALUE(MID(ID232,FIND("|",ID232)+1,FIND("-",ID232,FIND("|",ID232))-FIND("|",ID232)-1))),ABS(INDEX($P$232:$P$233,MATCH(LEFT(ID232,FIND("·",ID232)-1),$K$232:$K$233,0))-(VALUE(MID(ID232,FIND("|",ID232)+1,FIND("-",ID232,FIND("|",ID232))-FIND("|",ID232)-1))-VALUE(MID(ID232,FIND("-",ID232,FIND("|",ID232))+1,10)))))*$D$50)))))*INDEX($I$232:$I$233,MATCH(LEFT(ID232,FIND("·",ID232)-1),$K$232:$K$233,0)),0),0),0)+IFERROR(IF(COUNTIF($C$232:$C$233,LEFT(ID232,FIND("·",ID232)-1))&gt;0,IF(INDEX($D$232:$D$233,MATCH(LEFT(ID232,FIND("·",ID232)-1),$C$232:$C$233,0))=IFERROR(VALUE(MID(ID232,FIND("·",ID232)+1,1)),0),($D$28+(INDEX($E$232:$E$233,MATCH(LEFT(ID232,FIND("·",ID232)-1),$C$232:$C$233,0))=MID(ID232,FIND("|",ID232)+1,10))*$D$30+MAX(0,IF($D$50=1,$D$29*(1-(ABS(INDEX($Q$232:$Q$233,MATCH(LEFT(ID232,FIND("·",ID232)-1),$C$232:$C$233,0))-(VALUE(MID(ID232,FIND("|",ID232)+1,FIND("-",ID232,FIND("|",ID232))-FIND("|",ID232)-1))-VALUE(MID(ID232,FIND("-",ID232,FIND("|",ID232))+1,10)))))*$D$50),$D$29*(1-(IF(INDEX($D$232:$D$233,MATCH(LEFT(ID232,FIND("·",ID232)-1),$C$232:$C$233,0))=0,ABS(INDEX($A$232:$A$233,MATCH(LEFT(ID232,FIND("·",ID232)-1),$C$232:$C$233,0))-VALUE(MID(ID232,FIND("|",ID232)+1,FIND("-",ID232,FIND("|",ID232))-FIND("|",ID232)-1))),ABS(INDEX($Q$232:$Q$233,MATCH(LEFT(ID232,FIND("·",ID232)-1),$C$232:$C$233,0))-(VALUE(MID(ID232,FIND("|",ID232)+1,FIND("-",ID232,FIND("|",ID232))-FIND("|",ID232)-1))-VALUE(MID(ID232,FIND("-",ID232,FIND("|",ID232))+1,10)))))*$D$50)))))*INDEX($I$232:$I$233,MATCH(LEFT(ID232,FIND("·",ID232)-1),$C$232:$C$233,0)),0),0),0)</f>
        <v>0</v>
      </c>
      <c r="IF232" s="108"/>
      <c r="IG232" s="75" t="str">
        <f>Idiomas!$D$370</f>
        <v>Pegar valores Semifinales</v>
      </c>
      <c r="IH232" s="76">
        <f t="shared" ref="IH232:IH233" si="6724">IFERROR(IF(COUNTIF($K$232:$K$233,LEFT(IG232,FIND("·",IG232)-1))&gt;0,IF(INDEX($L$232:$L$233,MATCH(LEFT(IG232,FIND("·",IG232)-1),$K$232:$K$233,0))=IFERROR(VALUE(MID(IG232,FIND("·",IG232)+1,1)),0),($D$28+(INDEX($M$232:$M$233,MATCH(LEFT(IG232,FIND("·",IG232)-1),$K$232:$K$233,0))=MID(IG232,FIND("|",IG232)+1,10))*$D$30+MAX(0,IF($D$50=1,$D$29*(1-(ABS(INDEX($P$232:$P$233,MATCH(LEFT(IG232,FIND("·",IG232)-1),$K$232:$K$233,0))-(VALUE(MID(IG232,FIND("|",IG232)+1,FIND("-",IG232,FIND("|",IG232))-FIND("|",IG232)-1))-VALUE(MID(IG232,FIND("-",IG232,FIND("|",IG232))+1,10)))))*$D$50),$D$29*(1-(IF(INDEX($L$232:$L$233,MATCH(LEFT(IG232,FIND("·",IG232)-1),$K$232:$K$233,0))=0,ABS(INDEX($N$232:$N$233,MATCH(LEFT(IG232,FIND("·",IG232)-1),$K$232:$K$233,0))-VALUE(MID(IG232,FIND("|",IG232)+1,FIND("-",IG232,FIND("|",IG232))-FIND("|",IG232)-1))),ABS(INDEX($P$232:$P$233,MATCH(LEFT(IG232,FIND("·",IG232)-1),$K$232:$K$233,0))-(VALUE(MID(IG232,FIND("|",IG232)+1,FIND("-",IG232,FIND("|",IG232))-FIND("|",IG232)-1))-VALUE(MID(IG232,FIND("-",IG232,FIND("|",IG232))+1,10)))))*$D$50)))))*INDEX($I$232:$I$233,MATCH(LEFT(IG232,FIND("·",IG232)-1),$K$232:$K$233,0)),0),0),0)+IFERROR(IF(COUNTIF($C$232:$C$233,LEFT(IG232,FIND("·",IG232)-1))&gt;0,IF(INDEX($D$232:$D$233,MATCH(LEFT(IG232,FIND("·",IG232)-1),$C$232:$C$233,0))=IFERROR(VALUE(MID(IG232,FIND("·",IG232)+1,1)),0),($D$28+(INDEX($E$232:$E$233,MATCH(LEFT(IG232,FIND("·",IG232)-1),$C$232:$C$233,0))=MID(IG232,FIND("|",IG232)+1,10))*$D$30+MAX(0,IF($D$50=1,$D$29*(1-(ABS(INDEX($Q$232:$Q$233,MATCH(LEFT(IG232,FIND("·",IG232)-1),$C$232:$C$233,0))-(VALUE(MID(IG232,FIND("|",IG232)+1,FIND("-",IG232,FIND("|",IG232))-FIND("|",IG232)-1))-VALUE(MID(IG232,FIND("-",IG232,FIND("|",IG232))+1,10)))))*$D$50),$D$29*(1-(IF(INDEX($D$232:$D$233,MATCH(LEFT(IG232,FIND("·",IG232)-1),$C$232:$C$233,0))=0,ABS(INDEX($A$232:$A$233,MATCH(LEFT(IG232,FIND("·",IG232)-1),$C$232:$C$233,0))-VALUE(MID(IG232,FIND("|",IG232)+1,FIND("-",IG232,FIND("|",IG232))-FIND("|",IG232)-1))),ABS(INDEX($Q$232:$Q$233,MATCH(LEFT(IG232,FIND("·",IG232)-1),$C$232:$C$233,0))-(VALUE(MID(IG232,FIND("|",IG232)+1,FIND("-",IG232,FIND("|",IG232))-FIND("|",IG232)-1))-VALUE(MID(IG232,FIND("-",IG232,FIND("|",IG232))+1,10)))))*$D$50)))))*INDEX($I$232:$I$233,MATCH(LEFT(IG232,FIND("·",IG232)-1),$C$232:$C$233,0)),0),0),0)</f>
        <v>0</v>
      </c>
      <c r="II232" s="108"/>
      <c r="IJ232" s="75" t="str">
        <f>Idiomas!$D$370</f>
        <v>Pegar valores Semifinales</v>
      </c>
      <c r="IK232" s="76">
        <f t="shared" ref="IK232:IK233" si="6725">IFERROR(IF(COUNTIF($K$232:$K$233,LEFT(IJ232,FIND("·",IJ232)-1))&gt;0,IF(INDEX($L$232:$L$233,MATCH(LEFT(IJ232,FIND("·",IJ232)-1),$K$232:$K$233,0))=IFERROR(VALUE(MID(IJ232,FIND("·",IJ232)+1,1)),0),($D$28+(INDEX($M$232:$M$233,MATCH(LEFT(IJ232,FIND("·",IJ232)-1),$K$232:$K$233,0))=MID(IJ232,FIND("|",IJ232)+1,10))*$D$30+MAX(0,IF($D$50=1,$D$29*(1-(ABS(INDEX($P$232:$P$233,MATCH(LEFT(IJ232,FIND("·",IJ232)-1),$K$232:$K$233,0))-(VALUE(MID(IJ232,FIND("|",IJ232)+1,FIND("-",IJ232,FIND("|",IJ232))-FIND("|",IJ232)-1))-VALUE(MID(IJ232,FIND("-",IJ232,FIND("|",IJ232))+1,10)))))*$D$50),$D$29*(1-(IF(INDEX($L$232:$L$233,MATCH(LEFT(IJ232,FIND("·",IJ232)-1),$K$232:$K$233,0))=0,ABS(INDEX($N$232:$N$233,MATCH(LEFT(IJ232,FIND("·",IJ232)-1),$K$232:$K$233,0))-VALUE(MID(IJ232,FIND("|",IJ232)+1,FIND("-",IJ232,FIND("|",IJ232))-FIND("|",IJ232)-1))),ABS(INDEX($P$232:$P$233,MATCH(LEFT(IJ232,FIND("·",IJ232)-1),$K$232:$K$233,0))-(VALUE(MID(IJ232,FIND("|",IJ232)+1,FIND("-",IJ232,FIND("|",IJ232))-FIND("|",IJ232)-1))-VALUE(MID(IJ232,FIND("-",IJ232,FIND("|",IJ232))+1,10)))))*$D$50)))))*INDEX($I$232:$I$233,MATCH(LEFT(IJ232,FIND("·",IJ232)-1),$K$232:$K$233,0)),0),0),0)+IFERROR(IF(COUNTIF($C$232:$C$233,LEFT(IJ232,FIND("·",IJ232)-1))&gt;0,IF(INDEX($D$232:$D$233,MATCH(LEFT(IJ232,FIND("·",IJ232)-1),$C$232:$C$233,0))=IFERROR(VALUE(MID(IJ232,FIND("·",IJ232)+1,1)),0),($D$28+(INDEX($E$232:$E$233,MATCH(LEFT(IJ232,FIND("·",IJ232)-1),$C$232:$C$233,0))=MID(IJ232,FIND("|",IJ232)+1,10))*$D$30+MAX(0,IF($D$50=1,$D$29*(1-(ABS(INDEX($Q$232:$Q$233,MATCH(LEFT(IJ232,FIND("·",IJ232)-1),$C$232:$C$233,0))-(VALUE(MID(IJ232,FIND("|",IJ232)+1,FIND("-",IJ232,FIND("|",IJ232))-FIND("|",IJ232)-1))-VALUE(MID(IJ232,FIND("-",IJ232,FIND("|",IJ232))+1,10)))))*$D$50),$D$29*(1-(IF(INDEX($D$232:$D$233,MATCH(LEFT(IJ232,FIND("·",IJ232)-1),$C$232:$C$233,0))=0,ABS(INDEX($A$232:$A$233,MATCH(LEFT(IJ232,FIND("·",IJ232)-1),$C$232:$C$233,0))-VALUE(MID(IJ232,FIND("|",IJ232)+1,FIND("-",IJ232,FIND("|",IJ232))-FIND("|",IJ232)-1))),ABS(INDEX($Q$232:$Q$233,MATCH(LEFT(IJ232,FIND("·",IJ232)-1),$C$232:$C$233,0))-(VALUE(MID(IJ232,FIND("|",IJ232)+1,FIND("-",IJ232,FIND("|",IJ232))-FIND("|",IJ232)-1))-VALUE(MID(IJ232,FIND("-",IJ232,FIND("|",IJ232))+1,10)))))*$D$50)))))*INDEX($I$232:$I$233,MATCH(LEFT(IJ232,FIND("·",IJ232)-1),$C$232:$C$233,0)),0),0),0)</f>
        <v>0</v>
      </c>
      <c r="IL232" s="108"/>
      <c r="IM232" s="75" t="str">
        <f>Idiomas!$D$370</f>
        <v>Pegar valores Semifinales</v>
      </c>
      <c r="IN232" s="76">
        <f t="shared" ref="IN232:IN233" si="6726">IFERROR(IF(COUNTIF($K$232:$K$233,LEFT(IM232,FIND("·",IM232)-1))&gt;0,IF(INDEX($L$232:$L$233,MATCH(LEFT(IM232,FIND("·",IM232)-1),$K$232:$K$233,0))=IFERROR(VALUE(MID(IM232,FIND("·",IM232)+1,1)),0),($D$28+(INDEX($M$232:$M$233,MATCH(LEFT(IM232,FIND("·",IM232)-1),$K$232:$K$233,0))=MID(IM232,FIND("|",IM232)+1,10))*$D$30+MAX(0,IF($D$50=1,$D$29*(1-(ABS(INDEX($P$232:$P$233,MATCH(LEFT(IM232,FIND("·",IM232)-1),$K$232:$K$233,0))-(VALUE(MID(IM232,FIND("|",IM232)+1,FIND("-",IM232,FIND("|",IM232))-FIND("|",IM232)-1))-VALUE(MID(IM232,FIND("-",IM232,FIND("|",IM232))+1,10)))))*$D$50),$D$29*(1-(IF(INDEX($L$232:$L$233,MATCH(LEFT(IM232,FIND("·",IM232)-1),$K$232:$K$233,0))=0,ABS(INDEX($N$232:$N$233,MATCH(LEFT(IM232,FIND("·",IM232)-1),$K$232:$K$233,0))-VALUE(MID(IM232,FIND("|",IM232)+1,FIND("-",IM232,FIND("|",IM232))-FIND("|",IM232)-1))),ABS(INDEX($P$232:$P$233,MATCH(LEFT(IM232,FIND("·",IM232)-1),$K$232:$K$233,0))-(VALUE(MID(IM232,FIND("|",IM232)+1,FIND("-",IM232,FIND("|",IM232))-FIND("|",IM232)-1))-VALUE(MID(IM232,FIND("-",IM232,FIND("|",IM232))+1,10)))))*$D$50)))))*INDEX($I$232:$I$233,MATCH(LEFT(IM232,FIND("·",IM232)-1),$K$232:$K$233,0)),0),0),0)+IFERROR(IF(COUNTIF($C$232:$C$233,LEFT(IM232,FIND("·",IM232)-1))&gt;0,IF(INDEX($D$232:$D$233,MATCH(LEFT(IM232,FIND("·",IM232)-1),$C$232:$C$233,0))=IFERROR(VALUE(MID(IM232,FIND("·",IM232)+1,1)),0),($D$28+(INDEX($E$232:$E$233,MATCH(LEFT(IM232,FIND("·",IM232)-1),$C$232:$C$233,0))=MID(IM232,FIND("|",IM232)+1,10))*$D$30+MAX(0,IF($D$50=1,$D$29*(1-(ABS(INDEX($Q$232:$Q$233,MATCH(LEFT(IM232,FIND("·",IM232)-1),$C$232:$C$233,0))-(VALUE(MID(IM232,FIND("|",IM232)+1,FIND("-",IM232,FIND("|",IM232))-FIND("|",IM232)-1))-VALUE(MID(IM232,FIND("-",IM232,FIND("|",IM232))+1,10)))))*$D$50),$D$29*(1-(IF(INDEX($D$232:$D$233,MATCH(LEFT(IM232,FIND("·",IM232)-1),$C$232:$C$233,0))=0,ABS(INDEX($A$232:$A$233,MATCH(LEFT(IM232,FIND("·",IM232)-1),$C$232:$C$233,0))-VALUE(MID(IM232,FIND("|",IM232)+1,FIND("-",IM232,FIND("|",IM232))-FIND("|",IM232)-1))),ABS(INDEX($Q$232:$Q$233,MATCH(LEFT(IM232,FIND("·",IM232)-1),$C$232:$C$233,0))-(VALUE(MID(IM232,FIND("|",IM232)+1,FIND("-",IM232,FIND("|",IM232))-FIND("|",IM232)-1))-VALUE(MID(IM232,FIND("-",IM232,FIND("|",IM232))+1,10)))))*$D$50)))))*INDEX($I$232:$I$233,MATCH(LEFT(IM232,FIND("·",IM232)-1),$C$232:$C$233,0)),0),0),0)</f>
        <v>0</v>
      </c>
      <c r="IO232" s="108"/>
      <c r="IP232" s="75" t="str">
        <f>Idiomas!$D$370</f>
        <v>Pegar valores Semifinales</v>
      </c>
      <c r="IQ232" s="76">
        <f t="shared" ref="IQ232:IQ233" si="6727">IFERROR(IF(COUNTIF($K$232:$K$233,LEFT(IP232,FIND("·",IP232)-1))&gt;0,IF(INDEX($L$232:$L$233,MATCH(LEFT(IP232,FIND("·",IP232)-1),$K$232:$K$233,0))=IFERROR(VALUE(MID(IP232,FIND("·",IP232)+1,1)),0),($D$28+(INDEX($M$232:$M$233,MATCH(LEFT(IP232,FIND("·",IP232)-1),$K$232:$K$233,0))=MID(IP232,FIND("|",IP232)+1,10))*$D$30+MAX(0,IF($D$50=1,$D$29*(1-(ABS(INDEX($P$232:$P$233,MATCH(LEFT(IP232,FIND("·",IP232)-1),$K$232:$K$233,0))-(VALUE(MID(IP232,FIND("|",IP232)+1,FIND("-",IP232,FIND("|",IP232))-FIND("|",IP232)-1))-VALUE(MID(IP232,FIND("-",IP232,FIND("|",IP232))+1,10)))))*$D$50),$D$29*(1-(IF(INDEX($L$232:$L$233,MATCH(LEFT(IP232,FIND("·",IP232)-1),$K$232:$K$233,0))=0,ABS(INDEX($N$232:$N$233,MATCH(LEFT(IP232,FIND("·",IP232)-1),$K$232:$K$233,0))-VALUE(MID(IP232,FIND("|",IP232)+1,FIND("-",IP232,FIND("|",IP232))-FIND("|",IP232)-1))),ABS(INDEX($P$232:$P$233,MATCH(LEFT(IP232,FIND("·",IP232)-1),$K$232:$K$233,0))-(VALUE(MID(IP232,FIND("|",IP232)+1,FIND("-",IP232,FIND("|",IP232))-FIND("|",IP232)-1))-VALUE(MID(IP232,FIND("-",IP232,FIND("|",IP232))+1,10)))))*$D$50)))))*INDEX($I$232:$I$233,MATCH(LEFT(IP232,FIND("·",IP232)-1),$K$232:$K$233,0)),0),0),0)+IFERROR(IF(COUNTIF($C$232:$C$233,LEFT(IP232,FIND("·",IP232)-1))&gt;0,IF(INDEX($D$232:$D$233,MATCH(LEFT(IP232,FIND("·",IP232)-1),$C$232:$C$233,0))=IFERROR(VALUE(MID(IP232,FIND("·",IP232)+1,1)),0),($D$28+(INDEX($E$232:$E$233,MATCH(LEFT(IP232,FIND("·",IP232)-1),$C$232:$C$233,0))=MID(IP232,FIND("|",IP232)+1,10))*$D$30+MAX(0,IF($D$50=1,$D$29*(1-(ABS(INDEX($Q$232:$Q$233,MATCH(LEFT(IP232,FIND("·",IP232)-1),$C$232:$C$233,0))-(VALUE(MID(IP232,FIND("|",IP232)+1,FIND("-",IP232,FIND("|",IP232))-FIND("|",IP232)-1))-VALUE(MID(IP232,FIND("-",IP232,FIND("|",IP232))+1,10)))))*$D$50),$D$29*(1-(IF(INDEX($D$232:$D$233,MATCH(LEFT(IP232,FIND("·",IP232)-1),$C$232:$C$233,0))=0,ABS(INDEX($A$232:$A$233,MATCH(LEFT(IP232,FIND("·",IP232)-1),$C$232:$C$233,0))-VALUE(MID(IP232,FIND("|",IP232)+1,FIND("-",IP232,FIND("|",IP232))-FIND("|",IP232)-1))),ABS(INDEX($Q$232:$Q$233,MATCH(LEFT(IP232,FIND("·",IP232)-1),$C$232:$C$233,0))-(VALUE(MID(IP232,FIND("|",IP232)+1,FIND("-",IP232,FIND("|",IP232))-FIND("|",IP232)-1))-VALUE(MID(IP232,FIND("-",IP232,FIND("|",IP232))+1,10)))))*$D$50)))))*INDEX($I$232:$I$233,MATCH(LEFT(IP232,FIND("·",IP232)-1),$C$232:$C$233,0)),0),0),0)</f>
        <v>0</v>
      </c>
      <c r="IR232" s="108"/>
      <c r="IS232" s="75" t="str">
        <f>Idiomas!$D$370</f>
        <v>Pegar valores Semifinales</v>
      </c>
      <c r="IT232" s="76">
        <f t="shared" ref="IT232:IT233" si="6728">IFERROR(IF(COUNTIF($K$232:$K$233,LEFT(IS232,FIND("·",IS232)-1))&gt;0,IF(INDEX($L$232:$L$233,MATCH(LEFT(IS232,FIND("·",IS232)-1),$K$232:$K$233,0))=IFERROR(VALUE(MID(IS232,FIND("·",IS232)+1,1)),0),($D$28+(INDEX($M$232:$M$233,MATCH(LEFT(IS232,FIND("·",IS232)-1),$K$232:$K$233,0))=MID(IS232,FIND("|",IS232)+1,10))*$D$30+MAX(0,IF($D$50=1,$D$29*(1-(ABS(INDEX($P$232:$P$233,MATCH(LEFT(IS232,FIND("·",IS232)-1),$K$232:$K$233,0))-(VALUE(MID(IS232,FIND("|",IS232)+1,FIND("-",IS232,FIND("|",IS232))-FIND("|",IS232)-1))-VALUE(MID(IS232,FIND("-",IS232,FIND("|",IS232))+1,10)))))*$D$50),$D$29*(1-(IF(INDEX($L$232:$L$233,MATCH(LEFT(IS232,FIND("·",IS232)-1),$K$232:$K$233,0))=0,ABS(INDEX($N$232:$N$233,MATCH(LEFT(IS232,FIND("·",IS232)-1),$K$232:$K$233,0))-VALUE(MID(IS232,FIND("|",IS232)+1,FIND("-",IS232,FIND("|",IS232))-FIND("|",IS232)-1))),ABS(INDEX($P$232:$P$233,MATCH(LEFT(IS232,FIND("·",IS232)-1),$K$232:$K$233,0))-(VALUE(MID(IS232,FIND("|",IS232)+1,FIND("-",IS232,FIND("|",IS232))-FIND("|",IS232)-1))-VALUE(MID(IS232,FIND("-",IS232,FIND("|",IS232))+1,10)))))*$D$50)))))*INDEX($I$232:$I$233,MATCH(LEFT(IS232,FIND("·",IS232)-1),$K$232:$K$233,0)),0),0),0)+IFERROR(IF(COUNTIF($C$232:$C$233,LEFT(IS232,FIND("·",IS232)-1))&gt;0,IF(INDEX($D$232:$D$233,MATCH(LEFT(IS232,FIND("·",IS232)-1),$C$232:$C$233,0))=IFERROR(VALUE(MID(IS232,FIND("·",IS232)+1,1)),0),($D$28+(INDEX($E$232:$E$233,MATCH(LEFT(IS232,FIND("·",IS232)-1),$C$232:$C$233,0))=MID(IS232,FIND("|",IS232)+1,10))*$D$30+MAX(0,IF($D$50=1,$D$29*(1-(ABS(INDEX($Q$232:$Q$233,MATCH(LEFT(IS232,FIND("·",IS232)-1),$C$232:$C$233,0))-(VALUE(MID(IS232,FIND("|",IS232)+1,FIND("-",IS232,FIND("|",IS232))-FIND("|",IS232)-1))-VALUE(MID(IS232,FIND("-",IS232,FIND("|",IS232))+1,10)))))*$D$50),$D$29*(1-(IF(INDEX($D$232:$D$233,MATCH(LEFT(IS232,FIND("·",IS232)-1),$C$232:$C$233,0))=0,ABS(INDEX($A$232:$A$233,MATCH(LEFT(IS232,FIND("·",IS232)-1),$C$232:$C$233,0))-VALUE(MID(IS232,FIND("|",IS232)+1,FIND("-",IS232,FIND("|",IS232))-FIND("|",IS232)-1))),ABS(INDEX($Q$232:$Q$233,MATCH(LEFT(IS232,FIND("·",IS232)-1),$C$232:$C$233,0))-(VALUE(MID(IS232,FIND("|",IS232)+1,FIND("-",IS232,FIND("|",IS232))-FIND("|",IS232)-1))-VALUE(MID(IS232,FIND("-",IS232,FIND("|",IS232))+1,10)))))*$D$50)))))*INDEX($I$232:$I$233,MATCH(LEFT(IS232,FIND("·",IS232)-1),$C$232:$C$233,0)),0),0),0)</f>
        <v>0</v>
      </c>
      <c r="IU232" s="108"/>
      <c r="IV232" s="75" t="str">
        <f>Idiomas!$D$370</f>
        <v>Pegar valores Semifinales</v>
      </c>
      <c r="IW232" s="76">
        <f t="shared" ref="IW232:IW233" si="6729">IFERROR(IF(COUNTIF($K$232:$K$233,LEFT(IV232,FIND("·",IV232)-1))&gt;0,IF(INDEX($L$232:$L$233,MATCH(LEFT(IV232,FIND("·",IV232)-1),$K$232:$K$233,0))=IFERROR(VALUE(MID(IV232,FIND("·",IV232)+1,1)),0),($D$28+(INDEX($M$232:$M$233,MATCH(LEFT(IV232,FIND("·",IV232)-1),$K$232:$K$233,0))=MID(IV232,FIND("|",IV232)+1,10))*$D$30+MAX(0,IF($D$50=1,$D$29*(1-(ABS(INDEX($P$232:$P$233,MATCH(LEFT(IV232,FIND("·",IV232)-1),$K$232:$K$233,0))-(VALUE(MID(IV232,FIND("|",IV232)+1,FIND("-",IV232,FIND("|",IV232))-FIND("|",IV232)-1))-VALUE(MID(IV232,FIND("-",IV232,FIND("|",IV232))+1,10)))))*$D$50),$D$29*(1-(IF(INDEX($L$232:$L$233,MATCH(LEFT(IV232,FIND("·",IV232)-1),$K$232:$K$233,0))=0,ABS(INDEX($N$232:$N$233,MATCH(LEFT(IV232,FIND("·",IV232)-1),$K$232:$K$233,0))-VALUE(MID(IV232,FIND("|",IV232)+1,FIND("-",IV232,FIND("|",IV232))-FIND("|",IV232)-1))),ABS(INDEX($P$232:$P$233,MATCH(LEFT(IV232,FIND("·",IV232)-1),$K$232:$K$233,0))-(VALUE(MID(IV232,FIND("|",IV232)+1,FIND("-",IV232,FIND("|",IV232))-FIND("|",IV232)-1))-VALUE(MID(IV232,FIND("-",IV232,FIND("|",IV232))+1,10)))))*$D$50)))))*INDEX($I$232:$I$233,MATCH(LEFT(IV232,FIND("·",IV232)-1),$K$232:$K$233,0)),0),0),0)+IFERROR(IF(COUNTIF($C$232:$C$233,LEFT(IV232,FIND("·",IV232)-1))&gt;0,IF(INDEX($D$232:$D$233,MATCH(LEFT(IV232,FIND("·",IV232)-1),$C$232:$C$233,0))=IFERROR(VALUE(MID(IV232,FIND("·",IV232)+1,1)),0),($D$28+(INDEX($E$232:$E$233,MATCH(LEFT(IV232,FIND("·",IV232)-1),$C$232:$C$233,0))=MID(IV232,FIND("|",IV232)+1,10))*$D$30+MAX(0,IF($D$50=1,$D$29*(1-(ABS(INDEX($Q$232:$Q$233,MATCH(LEFT(IV232,FIND("·",IV232)-1),$C$232:$C$233,0))-(VALUE(MID(IV232,FIND("|",IV232)+1,FIND("-",IV232,FIND("|",IV232))-FIND("|",IV232)-1))-VALUE(MID(IV232,FIND("-",IV232,FIND("|",IV232))+1,10)))))*$D$50),$D$29*(1-(IF(INDEX($D$232:$D$233,MATCH(LEFT(IV232,FIND("·",IV232)-1),$C$232:$C$233,0))=0,ABS(INDEX($A$232:$A$233,MATCH(LEFT(IV232,FIND("·",IV232)-1),$C$232:$C$233,0))-VALUE(MID(IV232,FIND("|",IV232)+1,FIND("-",IV232,FIND("|",IV232))-FIND("|",IV232)-1))),ABS(INDEX($Q$232:$Q$233,MATCH(LEFT(IV232,FIND("·",IV232)-1),$C$232:$C$233,0))-(VALUE(MID(IV232,FIND("|",IV232)+1,FIND("-",IV232,FIND("|",IV232))-FIND("|",IV232)-1))-VALUE(MID(IV232,FIND("-",IV232,FIND("|",IV232))+1,10)))))*$D$50)))))*INDEX($I$232:$I$233,MATCH(LEFT(IV232,FIND("·",IV232)-1),$C$232:$C$233,0)),0),0),0)</f>
        <v>0</v>
      </c>
      <c r="IX232" s="108"/>
      <c r="IY232" s="75" t="str">
        <f>Idiomas!$D$370</f>
        <v>Pegar valores Semifinales</v>
      </c>
      <c r="IZ232" s="76">
        <f t="shared" ref="IZ232:IZ233" si="6730">IFERROR(IF(COUNTIF($K$232:$K$233,LEFT(IY232,FIND("·",IY232)-1))&gt;0,IF(INDEX($L$232:$L$233,MATCH(LEFT(IY232,FIND("·",IY232)-1),$K$232:$K$233,0))=IFERROR(VALUE(MID(IY232,FIND("·",IY232)+1,1)),0),($D$28+(INDEX($M$232:$M$233,MATCH(LEFT(IY232,FIND("·",IY232)-1),$K$232:$K$233,0))=MID(IY232,FIND("|",IY232)+1,10))*$D$30+MAX(0,IF($D$50=1,$D$29*(1-(ABS(INDEX($P$232:$P$233,MATCH(LEFT(IY232,FIND("·",IY232)-1),$K$232:$K$233,0))-(VALUE(MID(IY232,FIND("|",IY232)+1,FIND("-",IY232,FIND("|",IY232))-FIND("|",IY232)-1))-VALUE(MID(IY232,FIND("-",IY232,FIND("|",IY232))+1,10)))))*$D$50),$D$29*(1-(IF(INDEX($L$232:$L$233,MATCH(LEFT(IY232,FIND("·",IY232)-1),$K$232:$K$233,0))=0,ABS(INDEX($N$232:$N$233,MATCH(LEFT(IY232,FIND("·",IY232)-1),$K$232:$K$233,0))-VALUE(MID(IY232,FIND("|",IY232)+1,FIND("-",IY232,FIND("|",IY232))-FIND("|",IY232)-1))),ABS(INDEX($P$232:$P$233,MATCH(LEFT(IY232,FIND("·",IY232)-1),$K$232:$K$233,0))-(VALUE(MID(IY232,FIND("|",IY232)+1,FIND("-",IY232,FIND("|",IY232))-FIND("|",IY232)-1))-VALUE(MID(IY232,FIND("-",IY232,FIND("|",IY232))+1,10)))))*$D$50)))))*INDEX($I$232:$I$233,MATCH(LEFT(IY232,FIND("·",IY232)-1),$K$232:$K$233,0)),0),0),0)+IFERROR(IF(COUNTIF($C$232:$C$233,LEFT(IY232,FIND("·",IY232)-1))&gt;0,IF(INDEX($D$232:$D$233,MATCH(LEFT(IY232,FIND("·",IY232)-1),$C$232:$C$233,0))=IFERROR(VALUE(MID(IY232,FIND("·",IY232)+1,1)),0),($D$28+(INDEX($E$232:$E$233,MATCH(LEFT(IY232,FIND("·",IY232)-1),$C$232:$C$233,0))=MID(IY232,FIND("|",IY232)+1,10))*$D$30+MAX(0,IF($D$50=1,$D$29*(1-(ABS(INDEX($Q$232:$Q$233,MATCH(LEFT(IY232,FIND("·",IY232)-1),$C$232:$C$233,0))-(VALUE(MID(IY232,FIND("|",IY232)+1,FIND("-",IY232,FIND("|",IY232))-FIND("|",IY232)-1))-VALUE(MID(IY232,FIND("-",IY232,FIND("|",IY232))+1,10)))))*$D$50),$D$29*(1-(IF(INDEX($D$232:$D$233,MATCH(LEFT(IY232,FIND("·",IY232)-1),$C$232:$C$233,0))=0,ABS(INDEX($A$232:$A$233,MATCH(LEFT(IY232,FIND("·",IY232)-1),$C$232:$C$233,0))-VALUE(MID(IY232,FIND("|",IY232)+1,FIND("-",IY232,FIND("|",IY232))-FIND("|",IY232)-1))),ABS(INDEX($Q$232:$Q$233,MATCH(LEFT(IY232,FIND("·",IY232)-1),$C$232:$C$233,0))-(VALUE(MID(IY232,FIND("|",IY232)+1,FIND("-",IY232,FIND("|",IY232))-FIND("|",IY232)-1))-VALUE(MID(IY232,FIND("-",IY232,FIND("|",IY232))+1,10)))))*$D$50)))))*INDEX($I$232:$I$233,MATCH(LEFT(IY232,FIND("·",IY232)-1),$C$232:$C$233,0)),0),0),0)</f>
        <v>0</v>
      </c>
      <c r="JA232" s="108"/>
      <c r="JB232" s="75" t="str">
        <f>Idiomas!$D$370</f>
        <v>Pegar valores Semifinales</v>
      </c>
      <c r="JC232" s="76">
        <f t="shared" ref="JC232:JC233" si="6731">IFERROR(IF(COUNTIF($K$232:$K$233,LEFT(JB232,FIND("·",JB232)-1))&gt;0,IF(INDEX($L$232:$L$233,MATCH(LEFT(JB232,FIND("·",JB232)-1),$K$232:$K$233,0))=IFERROR(VALUE(MID(JB232,FIND("·",JB232)+1,1)),0),($D$28+(INDEX($M$232:$M$233,MATCH(LEFT(JB232,FIND("·",JB232)-1),$K$232:$K$233,0))=MID(JB232,FIND("|",JB232)+1,10))*$D$30+MAX(0,IF($D$50=1,$D$29*(1-(ABS(INDEX($P$232:$P$233,MATCH(LEFT(JB232,FIND("·",JB232)-1),$K$232:$K$233,0))-(VALUE(MID(JB232,FIND("|",JB232)+1,FIND("-",JB232,FIND("|",JB232))-FIND("|",JB232)-1))-VALUE(MID(JB232,FIND("-",JB232,FIND("|",JB232))+1,10)))))*$D$50),$D$29*(1-(IF(INDEX($L$232:$L$233,MATCH(LEFT(JB232,FIND("·",JB232)-1),$K$232:$K$233,0))=0,ABS(INDEX($N$232:$N$233,MATCH(LEFT(JB232,FIND("·",JB232)-1),$K$232:$K$233,0))-VALUE(MID(JB232,FIND("|",JB232)+1,FIND("-",JB232,FIND("|",JB232))-FIND("|",JB232)-1))),ABS(INDEX($P$232:$P$233,MATCH(LEFT(JB232,FIND("·",JB232)-1),$K$232:$K$233,0))-(VALUE(MID(JB232,FIND("|",JB232)+1,FIND("-",JB232,FIND("|",JB232))-FIND("|",JB232)-1))-VALUE(MID(JB232,FIND("-",JB232,FIND("|",JB232))+1,10)))))*$D$50)))))*INDEX($I$232:$I$233,MATCH(LEFT(JB232,FIND("·",JB232)-1),$K$232:$K$233,0)),0),0),0)+IFERROR(IF(COUNTIF($C$232:$C$233,LEFT(JB232,FIND("·",JB232)-1))&gt;0,IF(INDEX($D$232:$D$233,MATCH(LEFT(JB232,FIND("·",JB232)-1),$C$232:$C$233,0))=IFERROR(VALUE(MID(JB232,FIND("·",JB232)+1,1)),0),($D$28+(INDEX($E$232:$E$233,MATCH(LEFT(JB232,FIND("·",JB232)-1),$C$232:$C$233,0))=MID(JB232,FIND("|",JB232)+1,10))*$D$30+MAX(0,IF($D$50=1,$D$29*(1-(ABS(INDEX($Q$232:$Q$233,MATCH(LEFT(JB232,FIND("·",JB232)-1),$C$232:$C$233,0))-(VALUE(MID(JB232,FIND("|",JB232)+1,FIND("-",JB232,FIND("|",JB232))-FIND("|",JB232)-1))-VALUE(MID(JB232,FIND("-",JB232,FIND("|",JB232))+1,10)))))*$D$50),$D$29*(1-(IF(INDEX($D$232:$D$233,MATCH(LEFT(JB232,FIND("·",JB232)-1),$C$232:$C$233,0))=0,ABS(INDEX($A$232:$A$233,MATCH(LEFT(JB232,FIND("·",JB232)-1),$C$232:$C$233,0))-VALUE(MID(JB232,FIND("|",JB232)+1,FIND("-",JB232,FIND("|",JB232))-FIND("|",JB232)-1))),ABS(INDEX($Q$232:$Q$233,MATCH(LEFT(JB232,FIND("·",JB232)-1),$C$232:$C$233,0))-(VALUE(MID(JB232,FIND("|",JB232)+1,FIND("-",JB232,FIND("|",JB232))-FIND("|",JB232)-1))-VALUE(MID(JB232,FIND("-",JB232,FIND("|",JB232))+1,10)))))*$D$50)))))*INDEX($I$232:$I$233,MATCH(LEFT(JB232,FIND("·",JB232)-1),$C$232:$C$233,0)),0),0),0)</f>
        <v>0</v>
      </c>
      <c r="JD232" s="108"/>
      <c r="JE232" s="75" t="str">
        <f>Idiomas!$D$370</f>
        <v>Pegar valores Semifinales</v>
      </c>
      <c r="JF232" s="76">
        <f t="shared" ref="JF232:JF233" si="6732">IFERROR(IF(COUNTIF($K$232:$K$233,LEFT(JE232,FIND("·",JE232)-1))&gt;0,IF(INDEX($L$232:$L$233,MATCH(LEFT(JE232,FIND("·",JE232)-1),$K$232:$K$233,0))=IFERROR(VALUE(MID(JE232,FIND("·",JE232)+1,1)),0),($D$28+(INDEX($M$232:$M$233,MATCH(LEFT(JE232,FIND("·",JE232)-1),$K$232:$K$233,0))=MID(JE232,FIND("|",JE232)+1,10))*$D$30+MAX(0,IF($D$50=1,$D$29*(1-(ABS(INDEX($P$232:$P$233,MATCH(LEFT(JE232,FIND("·",JE232)-1),$K$232:$K$233,0))-(VALUE(MID(JE232,FIND("|",JE232)+1,FIND("-",JE232,FIND("|",JE232))-FIND("|",JE232)-1))-VALUE(MID(JE232,FIND("-",JE232,FIND("|",JE232))+1,10)))))*$D$50),$D$29*(1-(IF(INDEX($L$232:$L$233,MATCH(LEFT(JE232,FIND("·",JE232)-1),$K$232:$K$233,0))=0,ABS(INDEX($N$232:$N$233,MATCH(LEFT(JE232,FIND("·",JE232)-1),$K$232:$K$233,0))-VALUE(MID(JE232,FIND("|",JE232)+1,FIND("-",JE232,FIND("|",JE232))-FIND("|",JE232)-1))),ABS(INDEX($P$232:$P$233,MATCH(LEFT(JE232,FIND("·",JE232)-1),$K$232:$K$233,0))-(VALUE(MID(JE232,FIND("|",JE232)+1,FIND("-",JE232,FIND("|",JE232))-FIND("|",JE232)-1))-VALUE(MID(JE232,FIND("-",JE232,FIND("|",JE232))+1,10)))))*$D$50)))))*INDEX($I$232:$I$233,MATCH(LEFT(JE232,FIND("·",JE232)-1),$K$232:$K$233,0)),0),0),0)+IFERROR(IF(COUNTIF($C$232:$C$233,LEFT(JE232,FIND("·",JE232)-1))&gt;0,IF(INDEX($D$232:$D$233,MATCH(LEFT(JE232,FIND("·",JE232)-1),$C$232:$C$233,0))=IFERROR(VALUE(MID(JE232,FIND("·",JE232)+1,1)),0),($D$28+(INDEX($E$232:$E$233,MATCH(LEFT(JE232,FIND("·",JE232)-1),$C$232:$C$233,0))=MID(JE232,FIND("|",JE232)+1,10))*$D$30+MAX(0,IF($D$50=1,$D$29*(1-(ABS(INDEX($Q$232:$Q$233,MATCH(LEFT(JE232,FIND("·",JE232)-1),$C$232:$C$233,0))-(VALUE(MID(JE232,FIND("|",JE232)+1,FIND("-",JE232,FIND("|",JE232))-FIND("|",JE232)-1))-VALUE(MID(JE232,FIND("-",JE232,FIND("|",JE232))+1,10)))))*$D$50),$D$29*(1-(IF(INDEX($D$232:$D$233,MATCH(LEFT(JE232,FIND("·",JE232)-1),$C$232:$C$233,0))=0,ABS(INDEX($A$232:$A$233,MATCH(LEFT(JE232,FIND("·",JE232)-1),$C$232:$C$233,0))-VALUE(MID(JE232,FIND("|",JE232)+1,FIND("-",JE232,FIND("|",JE232))-FIND("|",JE232)-1))),ABS(INDEX($Q$232:$Q$233,MATCH(LEFT(JE232,FIND("·",JE232)-1),$C$232:$C$233,0))-(VALUE(MID(JE232,FIND("|",JE232)+1,FIND("-",JE232,FIND("|",JE232))-FIND("|",JE232)-1))-VALUE(MID(JE232,FIND("-",JE232,FIND("|",JE232))+1,10)))))*$D$50)))))*INDEX($I$232:$I$233,MATCH(LEFT(JE232,FIND("·",JE232)-1),$C$232:$C$233,0)),0),0),0)</f>
        <v>0</v>
      </c>
      <c r="JG232" s="108"/>
      <c r="JH232" s="75" t="str">
        <f>Idiomas!$D$370</f>
        <v>Pegar valores Semifinales</v>
      </c>
      <c r="JI232" s="76">
        <f t="shared" ref="JI232:JI233" si="6733">IFERROR(IF(COUNTIF($K$232:$K$233,LEFT(JH232,FIND("·",JH232)-1))&gt;0,IF(INDEX($L$232:$L$233,MATCH(LEFT(JH232,FIND("·",JH232)-1),$K$232:$K$233,0))=IFERROR(VALUE(MID(JH232,FIND("·",JH232)+1,1)),0),($D$28+(INDEX($M$232:$M$233,MATCH(LEFT(JH232,FIND("·",JH232)-1),$K$232:$K$233,0))=MID(JH232,FIND("|",JH232)+1,10))*$D$30+MAX(0,IF($D$50=1,$D$29*(1-(ABS(INDEX($P$232:$P$233,MATCH(LEFT(JH232,FIND("·",JH232)-1),$K$232:$K$233,0))-(VALUE(MID(JH232,FIND("|",JH232)+1,FIND("-",JH232,FIND("|",JH232))-FIND("|",JH232)-1))-VALUE(MID(JH232,FIND("-",JH232,FIND("|",JH232))+1,10)))))*$D$50),$D$29*(1-(IF(INDEX($L$232:$L$233,MATCH(LEFT(JH232,FIND("·",JH232)-1),$K$232:$K$233,0))=0,ABS(INDEX($N$232:$N$233,MATCH(LEFT(JH232,FIND("·",JH232)-1),$K$232:$K$233,0))-VALUE(MID(JH232,FIND("|",JH232)+1,FIND("-",JH232,FIND("|",JH232))-FIND("|",JH232)-1))),ABS(INDEX($P$232:$P$233,MATCH(LEFT(JH232,FIND("·",JH232)-1),$K$232:$K$233,0))-(VALUE(MID(JH232,FIND("|",JH232)+1,FIND("-",JH232,FIND("|",JH232))-FIND("|",JH232)-1))-VALUE(MID(JH232,FIND("-",JH232,FIND("|",JH232))+1,10)))))*$D$50)))))*INDEX($I$232:$I$233,MATCH(LEFT(JH232,FIND("·",JH232)-1),$K$232:$K$233,0)),0),0),0)+IFERROR(IF(COUNTIF($C$232:$C$233,LEFT(JH232,FIND("·",JH232)-1))&gt;0,IF(INDEX($D$232:$D$233,MATCH(LEFT(JH232,FIND("·",JH232)-1),$C$232:$C$233,0))=IFERROR(VALUE(MID(JH232,FIND("·",JH232)+1,1)),0),($D$28+(INDEX($E$232:$E$233,MATCH(LEFT(JH232,FIND("·",JH232)-1),$C$232:$C$233,0))=MID(JH232,FIND("|",JH232)+1,10))*$D$30+MAX(0,IF($D$50=1,$D$29*(1-(ABS(INDEX($Q$232:$Q$233,MATCH(LEFT(JH232,FIND("·",JH232)-1),$C$232:$C$233,0))-(VALUE(MID(JH232,FIND("|",JH232)+1,FIND("-",JH232,FIND("|",JH232))-FIND("|",JH232)-1))-VALUE(MID(JH232,FIND("-",JH232,FIND("|",JH232))+1,10)))))*$D$50),$D$29*(1-(IF(INDEX($D$232:$D$233,MATCH(LEFT(JH232,FIND("·",JH232)-1),$C$232:$C$233,0))=0,ABS(INDEX($A$232:$A$233,MATCH(LEFT(JH232,FIND("·",JH232)-1),$C$232:$C$233,0))-VALUE(MID(JH232,FIND("|",JH232)+1,FIND("-",JH232,FIND("|",JH232))-FIND("|",JH232)-1))),ABS(INDEX($Q$232:$Q$233,MATCH(LEFT(JH232,FIND("·",JH232)-1),$C$232:$C$233,0))-(VALUE(MID(JH232,FIND("|",JH232)+1,FIND("-",JH232,FIND("|",JH232))-FIND("|",JH232)-1))-VALUE(MID(JH232,FIND("-",JH232,FIND("|",JH232))+1,10)))))*$D$50)))))*INDEX($I$232:$I$233,MATCH(LEFT(JH232,FIND("·",JH232)-1),$C$232:$C$233,0)),0),0),0)</f>
        <v>0</v>
      </c>
      <c r="JJ232" s="108"/>
      <c r="JK232" s="75" t="str">
        <f>Idiomas!$D$370</f>
        <v>Pegar valores Semifinales</v>
      </c>
      <c r="JL232" s="76">
        <f t="shared" ref="JL232:JL233" si="6734">IFERROR(IF(COUNTIF($K$232:$K$233,LEFT(JK232,FIND("·",JK232)-1))&gt;0,IF(INDEX($L$232:$L$233,MATCH(LEFT(JK232,FIND("·",JK232)-1),$K$232:$K$233,0))=IFERROR(VALUE(MID(JK232,FIND("·",JK232)+1,1)),0),($D$28+(INDEX($M$232:$M$233,MATCH(LEFT(JK232,FIND("·",JK232)-1),$K$232:$K$233,0))=MID(JK232,FIND("|",JK232)+1,10))*$D$30+MAX(0,IF($D$50=1,$D$29*(1-(ABS(INDEX($P$232:$P$233,MATCH(LEFT(JK232,FIND("·",JK232)-1),$K$232:$K$233,0))-(VALUE(MID(JK232,FIND("|",JK232)+1,FIND("-",JK232,FIND("|",JK232))-FIND("|",JK232)-1))-VALUE(MID(JK232,FIND("-",JK232,FIND("|",JK232))+1,10)))))*$D$50),$D$29*(1-(IF(INDEX($L$232:$L$233,MATCH(LEFT(JK232,FIND("·",JK232)-1),$K$232:$K$233,0))=0,ABS(INDEX($N$232:$N$233,MATCH(LEFT(JK232,FIND("·",JK232)-1),$K$232:$K$233,0))-VALUE(MID(JK232,FIND("|",JK232)+1,FIND("-",JK232,FIND("|",JK232))-FIND("|",JK232)-1))),ABS(INDEX($P$232:$P$233,MATCH(LEFT(JK232,FIND("·",JK232)-1),$K$232:$K$233,0))-(VALUE(MID(JK232,FIND("|",JK232)+1,FIND("-",JK232,FIND("|",JK232))-FIND("|",JK232)-1))-VALUE(MID(JK232,FIND("-",JK232,FIND("|",JK232))+1,10)))))*$D$50)))))*INDEX($I$232:$I$233,MATCH(LEFT(JK232,FIND("·",JK232)-1),$K$232:$K$233,0)),0),0),0)+IFERROR(IF(COUNTIF($C$232:$C$233,LEFT(JK232,FIND("·",JK232)-1))&gt;0,IF(INDEX($D$232:$D$233,MATCH(LEFT(JK232,FIND("·",JK232)-1),$C$232:$C$233,0))=IFERROR(VALUE(MID(JK232,FIND("·",JK232)+1,1)),0),($D$28+(INDEX($E$232:$E$233,MATCH(LEFT(JK232,FIND("·",JK232)-1),$C$232:$C$233,0))=MID(JK232,FIND("|",JK232)+1,10))*$D$30+MAX(0,IF($D$50=1,$D$29*(1-(ABS(INDEX($Q$232:$Q$233,MATCH(LEFT(JK232,FIND("·",JK232)-1),$C$232:$C$233,0))-(VALUE(MID(JK232,FIND("|",JK232)+1,FIND("-",JK232,FIND("|",JK232))-FIND("|",JK232)-1))-VALUE(MID(JK232,FIND("-",JK232,FIND("|",JK232))+1,10)))))*$D$50),$D$29*(1-(IF(INDEX($D$232:$D$233,MATCH(LEFT(JK232,FIND("·",JK232)-1),$C$232:$C$233,0))=0,ABS(INDEX($A$232:$A$233,MATCH(LEFT(JK232,FIND("·",JK232)-1),$C$232:$C$233,0))-VALUE(MID(JK232,FIND("|",JK232)+1,FIND("-",JK232,FIND("|",JK232))-FIND("|",JK232)-1))),ABS(INDEX($Q$232:$Q$233,MATCH(LEFT(JK232,FIND("·",JK232)-1),$C$232:$C$233,0))-(VALUE(MID(JK232,FIND("|",JK232)+1,FIND("-",JK232,FIND("|",JK232))-FIND("|",JK232)-1))-VALUE(MID(JK232,FIND("-",JK232,FIND("|",JK232))+1,10)))))*$D$50)))))*INDEX($I$232:$I$233,MATCH(LEFT(JK232,FIND("·",JK232)-1),$C$232:$C$233,0)),0),0),0)</f>
        <v>0</v>
      </c>
      <c r="JM232" s="108"/>
      <c r="JN232" s="75" t="str">
        <f>Idiomas!$D$370</f>
        <v>Pegar valores Semifinales</v>
      </c>
      <c r="JO232" s="76">
        <f t="shared" ref="JO232:JO233" si="6735">IFERROR(IF(COUNTIF($K$232:$K$233,LEFT(JN232,FIND("·",JN232)-1))&gt;0,IF(INDEX($L$232:$L$233,MATCH(LEFT(JN232,FIND("·",JN232)-1),$K$232:$K$233,0))=IFERROR(VALUE(MID(JN232,FIND("·",JN232)+1,1)),0),($D$28+(INDEX($M$232:$M$233,MATCH(LEFT(JN232,FIND("·",JN232)-1),$K$232:$K$233,0))=MID(JN232,FIND("|",JN232)+1,10))*$D$30+MAX(0,IF($D$50=1,$D$29*(1-(ABS(INDEX($P$232:$P$233,MATCH(LEFT(JN232,FIND("·",JN232)-1),$K$232:$K$233,0))-(VALUE(MID(JN232,FIND("|",JN232)+1,FIND("-",JN232,FIND("|",JN232))-FIND("|",JN232)-1))-VALUE(MID(JN232,FIND("-",JN232,FIND("|",JN232))+1,10)))))*$D$50),$D$29*(1-(IF(INDEX($L$232:$L$233,MATCH(LEFT(JN232,FIND("·",JN232)-1),$K$232:$K$233,0))=0,ABS(INDEX($N$232:$N$233,MATCH(LEFT(JN232,FIND("·",JN232)-1),$K$232:$K$233,0))-VALUE(MID(JN232,FIND("|",JN232)+1,FIND("-",JN232,FIND("|",JN232))-FIND("|",JN232)-1))),ABS(INDEX($P$232:$P$233,MATCH(LEFT(JN232,FIND("·",JN232)-1),$K$232:$K$233,0))-(VALUE(MID(JN232,FIND("|",JN232)+1,FIND("-",JN232,FIND("|",JN232))-FIND("|",JN232)-1))-VALUE(MID(JN232,FIND("-",JN232,FIND("|",JN232))+1,10)))))*$D$50)))))*INDEX($I$232:$I$233,MATCH(LEFT(JN232,FIND("·",JN232)-1),$K$232:$K$233,0)),0),0),0)+IFERROR(IF(COUNTIF($C$232:$C$233,LEFT(JN232,FIND("·",JN232)-1))&gt;0,IF(INDEX($D$232:$D$233,MATCH(LEFT(JN232,FIND("·",JN232)-1),$C$232:$C$233,0))=IFERROR(VALUE(MID(JN232,FIND("·",JN232)+1,1)),0),($D$28+(INDEX($E$232:$E$233,MATCH(LEFT(JN232,FIND("·",JN232)-1),$C$232:$C$233,0))=MID(JN232,FIND("|",JN232)+1,10))*$D$30+MAX(0,IF($D$50=1,$D$29*(1-(ABS(INDEX($Q$232:$Q$233,MATCH(LEFT(JN232,FIND("·",JN232)-1),$C$232:$C$233,0))-(VALUE(MID(JN232,FIND("|",JN232)+1,FIND("-",JN232,FIND("|",JN232))-FIND("|",JN232)-1))-VALUE(MID(JN232,FIND("-",JN232,FIND("|",JN232))+1,10)))))*$D$50),$D$29*(1-(IF(INDEX($D$232:$D$233,MATCH(LEFT(JN232,FIND("·",JN232)-1),$C$232:$C$233,0))=0,ABS(INDEX($A$232:$A$233,MATCH(LEFT(JN232,FIND("·",JN232)-1),$C$232:$C$233,0))-VALUE(MID(JN232,FIND("|",JN232)+1,FIND("-",JN232,FIND("|",JN232))-FIND("|",JN232)-1))),ABS(INDEX($Q$232:$Q$233,MATCH(LEFT(JN232,FIND("·",JN232)-1),$C$232:$C$233,0))-(VALUE(MID(JN232,FIND("|",JN232)+1,FIND("-",JN232,FIND("|",JN232))-FIND("|",JN232)-1))-VALUE(MID(JN232,FIND("-",JN232,FIND("|",JN232))+1,10)))))*$D$50)))))*INDEX($I$232:$I$233,MATCH(LEFT(JN232,FIND("·",JN232)-1),$C$232:$C$233,0)),0),0),0)</f>
        <v>0</v>
      </c>
      <c r="JP232" s="108"/>
      <c r="JQ232" s="75" t="str">
        <f>Idiomas!$D$370</f>
        <v>Pegar valores Semifinales</v>
      </c>
      <c r="JR232" s="76">
        <f t="shared" ref="JR232:JR233" si="6736">IFERROR(IF(COUNTIF($K$232:$K$233,LEFT(JQ232,FIND("·",JQ232)-1))&gt;0,IF(INDEX($L$232:$L$233,MATCH(LEFT(JQ232,FIND("·",JQ232)-1),$K$232:$K$233,0))=IFERROR(VALUE(MID(JQ232,FIND("·",JQ232)+1,1)),0),($D$28+(INDEX($M$232:$M$233,MATCH(LEFT(JQ232,FIND("·",JQ232)-1),$K$232:$K$233,0))=MID(JQ232,FIND("|",JQ232)+1,10))*$D$30+MAX(0,IF($D$50=1,$D$29*(1-(ABS(INDEX($P$232:$P$233,MATCH(LEFT(JQ232,FIND("·",JQ232)-1),$K$232:$K$233,0))-(VALUE(MID(JQ232,FIND("|",JQ232)+1,FIND("-",JQ232,FIND("|",JQ232))-FIND("|",JQ232)-1))-VALUE(MID(JQ232,FIND("-",JQ232,FIND("|",JQ232))+1,10)))))*$D$50),$D$29*(1-(IF(INDEX($L$232:$L$233,MATCH(LEFT(JQ232,FIND("·",JQ232)-1),$K$232:$K$233,0))=0,ABS(INDEX($N$232:$N$233,MATCH(LEFT(JQ232,FIND("·",JQ232)-1),$K$232:$K$233,0))-VALUE(MID(JQ232,FIND("|",JQ232)+1,FIND("-",JQ232,FIND("|",JQ232))-FIND("|",JQ232)-1))),ABS(INDEX($P$232:$P$233,MATCH(LEFT(JQ232,FIND("·",JQ232)-1),$K$232:$K$233,0))-(VALUE(MID(JQ232,FIND("|",JQ232)+1,FIND("-",JQ232,FIND("|",JQ232))-FIND("|",JQ232)-1))-VALUE(MID(JQ232,FIND("-",JQ232,FIND("|",JQ232))+1,10)))))*$D$50)))))*INDEX($I$232:$I$233,MATCH(LEFT(JQ232,FIND("·",JQ232)-1),$K$232:$K$233,0)),0),0),0)+IFERROR(IF(COUNTIF($C$232:$C$233,LEFT(JQ232,FIND("·",JQ232)-1))&gt;0,IF(INDEX($D$232:$D$233,MATCH(LEFT(JQ232,FIND("·",JQ232)-1),$C$232:$C$233,0))=IFERROR(VALUE(MID(JQ232,FIND("·",JQ232)+1,1)),0),($D$28+(INDEX($E$232:$E$233,MATCH(LEFT(JQ232,FIND("·",JQ232)-1),$C$232:$C$233,0))=MID(JQ232,FIND("|",JQ232)+1,10))*$D$30+MAX(0,IF($D$50=1,$D$29*(1-(ABS(INDEX($Q$232:$Q$233,MATCH(LEFT(JQ232,FIND("·",JQ232)-1),$C$232:$C$233,0))-(VALUE(MID(JQ232,FIND("|",JQ232)+1,FIND("-",JQ232,FIND("|",JQ232))-FIND("|",JQ232)-1))-VALUE(MID(JQ232,FIND("-",JQ232,FIND("|",JQ232))+1,10)))))*$D$50),$D$29*(1-(IF(INDEX($D$232:$D$233,MATCH(LEFT(JQ232,FIND("·",JQ232)-1),$C$232:$C$233,0))=0,ABS(INDEX($A$232:$A$233,MATCH(LEFT(JQ232,FIND("·",JQ232)-1),$C$232:$C$233,0))-VALUE(MID(JQ232,FIND("|",JQ232)+1,FIND("-",JQ232,FIND("|",JQ232))-FIND("|",JQ232)-1))),ABS(INDEX($Q$232:$Q$233,MATCH(LEFT(JQ232,FIND("·",JQ232)-1),$C$232:$C$233,0))-(VALUE(MID(JQ232,FIND("|",JQ232)+1,FIND("-",JQ232,FIND("|",JQ232))-FIND("|",JQ232)-1))-VALUE(MID(JQ232,FIND("-",JQ232,FIND("|",JQ232))+1,10)))))*$D$50)))))*INDEX($I$232:$I$233,MATCH(LEFT(JQ232,FIND("·",JQ232)-1),$C$232:$C$233,0)),0),0),0)</f>
        <v>0</v>
      </c>
      <c r="JS232" s="108"/>
      <c r="JT232" s="75" t="str">
        <f>Idiomas!$D$370</f>
        <v>Pegar valores Semifinales</v>
      </c>
      <c r="JU232" s="76">
        <f t="shared" ref="JU232:JU233" si="6737">IFERROR(IF(COUNTIF($K$232:$K$233,LEFT(JT232,FIND("·",JT232)-1))&gt;0,IF(INDEX($L$232:$L$233,MATCH(LEFT(JT232,FIND("·",JT232)-1),$K$232:$K$233,0))=IFERROR(VALUE(MID(JT232,FIND("·",JT232)+1,1)),0),($D$28+(INDEX($M$232:$M$233,MATCH(LEFT(JT232,FIND("·",JT232)-1),$K$232:$K$233,0))=MID(JT232,FIND("|",JT232)+1,10))*$D$30+MAX(0,IF($D$50=1,$D$29*(1-(ABS(INDEX($P$232:$P$233,MATCH(LEFT(JT232,FIND("·",JT232)-1),$K$232:$K$233,0))-(VALUE(MID(JT232,FIND("|",JT232)+1,FIND("-",JT232,FIND("|",JT232))-FIND("|",JT232)-1))-VALUE(MID(JT232,FIND("-",JT232,FIND("|",JT232))+1,10)))))*$D$50),$D$29*(1-(IF(INDEX($L$232:$L$233,MATCH(LEFT(JT232,FIND("·",JT232)-1),$K$232:$K$233,0))=0,ABS(INDEX($N$232:$N$233,MATCH(LEFT(JT232,FIND("·",JT232)-1),$K$232:$K$233,0))-VALUE(MID(JT232,FIND("|",JT232)+1,FIND("-",JT232,FIND("|",JT232))-FIND("|",JT232)-1))),ABS(INDEX($P$232:$P$233,MATCH(LEFT(JT232,FIND("·",JT232)-1),$K$232:$K$233,0))-(VALUE(MID(JT232,FIND("|",JT232)+1,FIND("-",JT232,FIND("|",JT232))-FIND("|",JT232)-1))-VALUE(MID(JT232,FIND("-",JT232,FIND("|",JT232))+1,10)))))*$D$50)))))*INDEX($I$232:$I$233,MATCH(LEFT(JT232,FIND("·",JT232)-1),$K$232:$K$233,0)),0),0),0)+IFERROR(IF(COUNTIF($C$232:$C$233,LEFT(JT232,FIND("·",JT232)-1))&gt;0,IF(INDEX($D$232:$D$233,MATCH(LEFT(JT232,FIND("·",JT232)-1),$C$232:$C$233,0))=IFERROR(VALUE(MID(JT232,FIND("·",JT232)+1,1)),0),($D$28+(INDEX($E$232:$E$233,MATCH(LEFT(JT232,FIND("·",JT232)-1),$C$232:$C$233,0))=MID(JT232,FIND("|",JT232)+1,10))*$D$30+MAX(0,IF($D$50=1,$D$29*(1-(ABS(INDEX($Q$232:$Q$233,MATCH(LEFT(JT232,FIND("·",JT232)-1),$C$232:$C$233,0))-(VALUE(MID(JT232,FIND("|",JT232)+1,FIND("-",JT232,FIND("|",JT232))-FIND("|",JT232)-1))-VALUE(MID(JT232,FIND("-",JT232,FIND("|",JT232))+1,10)))))*$D$50),$D$29*(1-(IF(INDEX($D$232:$D$233,MATCH(LEFT(JT232,FIND("·",JT232)-1),$C$232:$C$233,0))=0,ABS(INDEX($A$232:$A$233,MATCH(LEFT(JT232,FIND("·",JT232)-1),$C$232:$C$233,0))-VALUE(MID(JT232,FIND("|",JT232)+1,FIND("-",JT232,FIND("|",JT232))-FIND("|",JT232)-1))),ABS(INDEX($Q$232:$Q$233,MATCH(LEFT(JT232,FIND("·",JT232)-1),$C$232:$C$233,0))-(VALUE(MID(JT232,FIND("|",JT232)+1,FIND("-",JT232,FIND("|",JT232))-FIND("|",JT232)-1))-VALUE(MID(JT232,FIND("-",JT232,FIND("|",JT232))+1,10)))))*$D$50)))))*INDEX($I$232:$I$233,MATCH(LEFT(JT232,FIND("·",JT232)-1),$C$232:$C$233,0)),0),0),0)</f>
        <v>0</v>
      </c>
      <c r="JV232" s="108"/>
      <c r="JW232" s="75" t="str">
        <f>Idiomas!$D$370</f>
        <v>Pegar valores Semifinales</v>
      </c>
      <c r="JX232" s="76">
        <f t="shared" ref="JX232:JX233" si="6738">IFERROR(IF(COUNTIF($K$232:$K$233,LEFT(JW232,FIND("·",JW232)-1))&gt;0,IF(INDEX($L$232:$L$233,MATCH(LEFT(JW232,FIND("·",JW232)-1),$K$232:$K$233,0))=IFERROR(VALUE(MID(JW232,FIND("·",JW232)+1,1)),0),($D$28+(INDEX($M$232:$M$233,MATCH(LEFT(JW232,FIND("·",JW232)-1),$K$232:$K$233,0))=MID(JW232,FIND("|",JW232)+1,10))*$D$30+MAX(0,IF($D$50=1,$D$29*(1-(ABS(INDEX($P$232:$P$233,MATCH(LEFT(JW232,FIND("·",JW232)-1),$K$232:$K$233,0))-(VALUE(MID(JW232,FIND("|",JW232)+1,FIND("-",JW232,FIND("|",JW232))-FIND("|",JW232)-1))-VALUE(MID(JW232,FIND("-",JW232,FIND("|",JW232))+1,10)))))*$D$50),$D$29*(1-(IF(INDEX($L$232:$L$233,MATCH(LEFT(JW232,FIND("·",JW232)-1),$K$232:$K$233,0))=0,ABS(INDEX($N$232:$N$233,MATCH(LEFT(JW232,FIND("·",JW232)-1),$K$232:$K$233,0))-VALUE(MID(JW232,FIND("|",JW232)+1,FIND("-",JW232,FIND("|",JW232))-FIND("|",JW232)-1))),ABS(INDEX($P$232:$P$233,MATCH(LEFT(JW232,FIND("·",JW232)-1),$K$232:$K$233,0))-(VALUE(MID(JW232,FIND("|",JW232)+1,FIND("-",JW232,FIND("|",JW232))-FIND("|",JW232)-1))-VALUE(MID(JW232,FIND("-",JW232,FIND("|",JW232))+1,10)))))*$D$50)))))*INDEX($I$232:$I$233,MATCH(LEFT(JW232,FIND("·",JW232)-1),$K$232:$K$233,0)),0),0),0)+IFERROR(IF(COUNTIF($C$232:$C$233,LEFT(JW232,FIND("·",JW232)-1))&gt;0,IF(INDEX($D$232:$D$233,MATCH(LEFT(JW232,FIND("·",JW232)-1),$C$232:$C$233,0))=IFERROR(VALUE(MID(JW232,FIND("·",JW232)+1,1)),0),($D$28+(INDEX($E$232:$E$233,MATCH(LEFT(JW232,FIND("·",JW232)-1),$C$232:$C$233,0))=MID(JW232,FIND("|",JW232)+1,10))*$D$30+MAX(0,IF($D$50=1,$D$29*(1-(ABS(INDEX($Q$232:$Q$233,MATCH(LEFT(JW232,FIND("·",JW232)-1),$C$232:$C$233,0))-(VALUE(MID(JW232,FIND("|",JW232)+1,FIND("-",JW232,FIND("|",JW232))-FIND("|",JW232)-1))-VALUE(MID(JW232,FIND("-",JW232,FIND("|",JW232))+1,10)))))*$D$50),$D$29*(1-(IF(INDEX($D$232:$D$233,MATCH(LEFT(JW232,FIND("·",JW232)-1),$C$232:$C$233,0))=0,ABS(INDEX($A$232:$A$233,MATCH(LEFT(JW232,FIND("·",JW232)-1),$C$232:$C$233,0))-VALUE(MID(JW232,FIND("|",JW232)+1,FIND("-",JW232,FIND("|",JW232))-FIND("|",JW232)-1))),ABS(INDEX($Q$232:$Q$233,MATCH(LEFT(JW232,FIND("·",JW232)-1),$C$232:$C$233,0))-(VALUE(MID(JW232,FIND("|",JW232)+1,FIND("-",JW232,FIND("|",JW232))-FIND("|",JW232)-1))-VALUE(MID(JW232,FIND("-",JW232,FIND("|",JW232))+1,10)))))*$D$50)))))*INDEX($I$232:$I$233,MATCH(LEFT(JW232,FIND("·",JW232)-1),$C$232:$C$233,0)),0),0),0)</f>
        <v>0</v>
      </c>
      <c r="JY232" s="108"/>
      <c r="JZ232" s="75" t="str">
        <f>Idiomas!$D$370</f>
        <v>Pegar valores Semifinales</v>
      </c>
      <c r="KA232" s="76">
        <f t="shared" ref="KA232:KA233" si="6739">IFERROR(IF(COUNTIF($K$232:$K$233,LEFT(JZ232,FIND("·",JZ232)-1))&gt;0,IF(INDEX($L$232:$L$233,MATCH(LEFT(JZ232,FIND("·",JZ232)-1),$K$232:$K$233,0))=IFERROR(VALUE(MID(JZ232,FIND("·",JZ232)+1,1)),0),($D$28+(INDEX($M$232:$M$233,MATCH(LEFT(JZ232,FIND("·",JZ232)-1),$K$232:$K$233,0))=MID(JZ232,FIND("|",JZ232)+1,10))*$D$30+MAX(0,IF($D$50=1,$D$29*(1-(ABS(INDEX($P$232:$P$233,MATCH(LEFT(JZ232,FIND("·",JZ232)-1),$K$232:$K$233,0))-(VALUE(MID(JZ232,FIND("|",JZ232)+1,FIND("-",JZ232,FIND("|",JZ232))-FIND("|",JZ232)-1))-VALUE(MID(JZ232,FIND("-",JZ232,FIND("|",JZ232))+1,10)))))*$D$50),$D$29*(1-(IF(INDEX($L$232:$L$233,MATCH(LEFT(JZ232,FIND("·",JZ232)-1),$K$232:$K$233,0))=0,ABS(INDEX($N$232:$N$233,MATCH(LEFT(JZ232,FIND("·",JZ232)-1),$K$232:$K$233,0))-VALUE(MID(JZ232,FIND("|",JZ232)+1,FIND("-",JZ232,FIND("|",JZ232))-FIND("|",JZ232)-1))),ABS(INDEX($P$232:$P$233,MATCH(LEFT(JZ232,FIND("·",JZ232)-1),$K$232:$K$233,0))-(VALUE(MID(JZ232,FIND("|",JZ232)+1,FIND("-",JZ232,FIND("|",JZ232))-FIND("|",JZ232)-1))-VALUE(MID(JZ232,FIND("-",JZ232,FIND("|",JZ232))+1,10)))))*$D$50)))))*INDEX($I$232:$I$233,MATCH(LEFT(JZ232,FIND("·",JZ232)-1),$K$232:$K$233,0)),0),0),0)+IFERROR(IF(COUNTIF($C$232:$C$233,LEFT(JZ232,FIND("·",JZ232)-1))&gt;0,IF(INDEX($D$232:$D$233,MATCH(LEFT(JZ232,FIND("·",JZ232)-1),$C$232:$C$233,0))=IFERROR(VALUE(MID(JZ232,FIND("·",JZ232)+1,1)),0),($D$28+(INDEX($E$232:$E$233,MATCH(LEFT(JZ232,FIND("·",JZ232)-1),$C$232:$C$233,0))=MID(JZ232,FIND("|",JZ232)+1,10))*$D$30+MAX(0,IF($D$50=1,$D$29*(1-(ABS(INDEX($Q$232:$Q$233,MATCH(LEFT(JZ232,FIND("·",JZ232)-1),$C$232:$C$233,0))-(VALUE(MID(JZ232,FIND("|",JZ232)+1,FIND("-",JZ232,FIND("|",JZ232))-FIND("|",JZ232)-1))-VALUE(MID(JZ232,FIND("-",JZ232,FIND("|",JZ232))+1,10)))))*$D$50),$D$29*(1-(IF(INDEX($D$232:$D$233,MATCH(LEFT(JZ232,FIND("·",JZ232)-1),$C$232:$C$233,0))=0,ABS(INDEX($A$232:$A$233,MATCH(LEFT(JZ232,FIND("·",JZ232)-1),$C$232:$C$233,0))-VALUE(MID(JZ232,FIND("|",JZ232)+1,FIND("-",JZ232,FIND("|",JZ232))-FIND("|",JZ232)-1))),ABS(INDEX($Q$232:$Q$233,MATCH(LEFT(JZ232,FIND("·",JZ232)-1),$C$232:$C$233,0))-(VALUE(MID(JZ232,FIND("|",JZ232)+1,FIND("-",JZ232,FIND("|",JZ232))-FIND("|",JZ232)-1))-VALUE(MID(JZ232,FIND("-",JZ232,FIND("|",JZ232))+1,10)))))*$D$50)))))*INDEX($I$232:$I$233,MATCH(LEFT(JZ232,FIND("·",JZ232)-1),$C$232:$C$233,0)),0),0),0)</f>
        <v>0</v>
      </c>
      <c r="KB232" s="108"/>
      <c r="KC232" s="75" t="str">
        <f>Idiomas!$D$370</f>
        <v>Pegar valores Semifinales</v>
      </c>
      <c r="KD232" s="76">
        <f t="shared" ref="KD232:KD233" si="6740">IFERROR(IF(COUNTIF($K$232:$K$233,LEFT(KC232,FIND("·",KC232)-1))&gt;0,IF(INDEX($L$232:$L$233,MATCH(LEFT(KC232,FIND("·",KC232)-1),$K$232:$K$233,0))=IFERROR(VALUE(MID(KC232,FIND("·",KC232)+1,1)),0),($D$28+(INDEX($M$232:$M$233,MATCH(LEFT(KC232,FIND("·",KC232)-1),$K$232:$K$233,0))=MID(KC232,FIND("|",KC232)+1,10))*$D$30+MAX(0,IF($D$50=1,$D$29*(1-(ABS(INDEX($P$232:$P$233,MATCH(LEFT(KC232,FIND("·",KC232)-1),$K$232:$K$233,0))-(VALUE(MID(KC232,FIND("|",KC232)+1,FIND("-",KC232,FIND("|",KC232))-FIND("|",KC232)-1))-VALUE(MID(KC232,FIND("-",KC232,FIND("|",KC232))+1,10)))))*$D$50),$D$29*(1-(IF(INDEX($L$232:$L$233,MATCH(LEFT(KC232,FIND("·",KC232)-1),$K$232:$K$233,0))=0,ABS(INDEX($N$232:$N$233,MATCH(LEFT(KC232,FIND("·",KC232)-1),$K$232:$K$233,0))-VALUE(MID(KC232,FIND("|",KC232)+1,FIND("-",KC232,FIND("|",KC232))-FIND("|",KC232)-1))),ABS(INDEX($P$232:$P$233,MATCH(LEFT(KC232,FIND("·",KC232)-1),$K$232:$K$233,0))-(VALUE(MID(KC232,FIND("|",KC232)+1,FIND("-",KC232,FIND("|",KC232))-FIND("|",KC232)-1))-VALUE(MID(KC232,FIND("-",KC232,FIND("|",KC232))+1,10)))))*$D$50)))))*INDEX($I$232:$I$233,MATCH(LEFT(KC232,FIND("·",KC232)-1),$K$232:$K$233,0)),0),0),0)+IFERROR(IF(COUNTIF($C$232:$C$233,LEFT(KC232,FIND("·",KC232)-1))&gt;0,IF(INDEX($D$232:$D$233,MATCH(LEFT(KC232,FIND("·",KC232)-1),$C$232:$C$233,0))=IFERROR(VALUE(MID(KC232,FIND("·",KC232)+1,1)),0),($D$28+(INDEX($E$232:$E$233,MATCH(LEFT(KC232,FIND("·",KC232)-1),$C$232:$C$233,0))=MID(KC232,FIND("|",KC232)+1,10))*$D$30+MAX(0,IF($D$50=1,$D$29*(1-(ABS(INDEX($Q$232:$Q$233,MATCH(LEFT(KC232,FIND("·",KC232)-1),$C$232:$C$233,0))-(VALUE(MID(KC232,FIND("|",KC232)+1,FIND("-",KC232,FIND("|",KC232))-FIND("|",KC232)-1))-VALUE(MID(KC232,FIND("-",KC232,FIND("|",KC232))+1,10)))))*$D$50),$D$29*(1-(IF(INDEX($D$232:$D$233,MATCH(LEFT(KC232,FIND("·",KC232)-1),$C$232:$C$233,0))=0,ABS(INDEX($A$232:$A$233,MATCH(LEFT(KC232,FIND("·",KC232)-1),$C$232:$C$233,0))-VALUE(MID(KC232,FIND("|",KC232)+1,FIND("-",KC232,FIND("|",KC232))-FIND("|",KC232)-1))),ABS(INDEX($Q$232:$Q$233,MATCH(LEFT(KC232,FIND("·",KC232)-1),$C$232:$C$233,0))-(VALUE(MID(KC232,FIND("|",KC232)+1,FIND("-",KC232,FIND("|",KC232))-FIND("|",KC232)-1))-VALUE(MID(KC232,FIND("-",KC232,FIND("|",KC232))+1,10)))))*$D$50)))))*INDEX($I$232:$I$233,MATCH(LEFT(KC232,FIND("·",KC232)-1),$C$232:$C$233,0)),0),0),0)</f>
        <v>0</v>
      </c>
      <c r="KE232" s="108"/>
      <c r="KF232" s="75" t="str">
        <f>Idiomas!$D$370</f>
        <v>Pegar valores Semifinales</v>
      </c>
      <c r="KG232" s="76">
        <f t="shared" ref="KG232:KG233" si="6741">IFERROR(IF(COUNTIF($K$232:$K$233,LEFT(KF232,FIND("·",KF232)-1))&gt;0,IF(INDEX($L$232:$L$233,MATCH(LEFT(KF232,FIND("·",KF232)-1),$K$232:$K$233,0))=IFERROR(VALUE(MID(KF232,FIND("·",KF232)+1,1)),0),($D$28+(INDEX($M$232:$M$233,MATCH(LEFT(KF232,FIND("·",KF232)-1),$K$232:$K$233,0))=MID(KF232,FIND("|",KF232)+1,10))*$D$30+MAX(0,IF($D$50=1,$D$29*(1-(ABS(INDEX($P$232:$P$233,MATCH(LEFT(KF232,FIND("·",KF232)-1),$K$232:$K$233,0))-(VALUE(MID(KF232,FIND("|",KF232)+1,FIND("-",KF232,FIND("|",KF232))-FIND("|",KF232)-1))-VALUE(MID(KF232,FIND("-",KF232,FIND("|",KF232))+1,10)))))*$D$50),$D$29*(1-(IF(INDEX($L$232:$L$233,MATCH(LEFT(KF232,FIND("·",KF232)-1),$K$232:$K$233,0))=0,ABS(INDEX($N$232:$N$233,MATCH(LEFT(KF232,FIND("·",KF232)-1),$K$232:$K$233,0))-VALUE(MID(KF232,FIND("|",KF232)+1,FIND("-",KF232,FIND("|",KF232))-FIND("|",KF232)-1))),ABS(INDEX($P$232:$P$233,MATCH(LEFT(KF232,FIND("·",KF232)-1),$K$232:$K$233,0))-(VALUE(MID(KF232,FIND("|",KF232)+1,FIND("-",KF232,FIND("|",KF232))-FIND("|",KF232)-1))-VALUE(MID(KF232,FIND("-",KF232,FIND("|",KF232))+1,10)))))*$D$50)))))*INDEX($I$232:$I$233,MATCH(LEFT(KF232,FIND("·",KF232)-1),$K$232:$K$233,0)),0),0),0)+IFERROR(IF(COUNTIF($C$232:$C$233,LEFT(KF232,FIND("·",KF232)-1))&gt;0,IF(INDEX($D$232:$D$233,MATCH(LEFT(KF232,FIND("·",KF232)-1),$C$232:$C$233,0))=IFERROR(VALUE(MID(KF232,FIND("·",KF232)+1,1)),0),($D$28+(INDEX($E$232:$E$233,MATCH(LEFT(KF232,FIND("·",KF232)-1),$C$232:$C$233,0))=MID(KF232,FIND("|",KF232)+1,10))*$D$30+MAX(0,IF($D$50=1,$D$29*(1-(ABS(INDEX($Q$232:$Q$233,MATCH(LEFT(KF232,FIND("·",KF232)-1),$C$232:$C$233,0))-(VALUE(MID(KF232,FIND("|",KF232)+1,FIND("-",KF232,FIND("|",KF232))-FIND("|",KF232)-1))-VALUE(MID(KF232,FIND("-",KF232,FIND("|",KF232))+1,10)))))*$D$50),$D$29*(1-(IF(INDEX($D$232:$D$233,MATCH(LEFT(KF232,FIND("·",KF232)-1),$C$232:$C$233,0))=0,ABS(INDEX($A$232:$A$233,MATCH(LEFT(KF232,FIND("·",KF232)-1),$C$232:$C$233,0))-VALUE(MID(KF232,FIND("|",KF232)+1,FIND("-",KF232,FIND("|",KF232))-FIND("|",KF232)-1))),ABS(INDEX($Q$232:$Q$233,MATCH(LEFT(KF232,FIND("·",KF232)-1),$C$232:$C$233,0))-(VALUE(MID(KF232,FIND("|",KF232)+1,FIND("-",KF232,FIND("|",KF232))-FIND("|",KF232)-1))-VALUE(MID(KF232,FIND("-",KF232,FIND("|",KF232))+1,10)))))*$D$50)))))*INDEX($I$232:$I$233,MATCH(LEFT(KF232,FIND("·",KF232)-1),$C$232:$C$233,0)),0),0),0)</f>
        <v>0</v>
      </c>
      <c r="KH232" s="108"/>
      <c r="KI232" s="75" t="str">
        <f>Idiomas!$D$370</f>
        <v>Pegar valores Semifinales</v>
      </c>
      <c r="KJ232" s="76">
        <f t="shared" ref="KJ232:KJ233" si="6742">IFERROR(IF(COUNTIF($K$232:$K$233,LEFT(KI232,FIND("·",KI232)-1))&gt;0,IF(INDEX($L$232:$L$233,MATCH(LEFT(KI232,FIND("·",KI232)-1),$K$232:$K$233,0))=IFERROR(VALUE(MID(KI232,FIND("·",KI232)+1,1)),0),($D$28+(INDEX($M$232:$M$233,MATCH(LEFT(KI232,FIND("·",KI232)-1),$K$232:$K$233,0))=MID(KI232,FIND("|",KI232)+1,10))*$D$30+MAX(0,IF($D$50=1,$D$29*(1-(ABS(INDEX($P$232:$P$233,MATCH(LEFT(KI232,FIND("·",KI232)-1),$K$232:$K$233,0))-(VALUE(MID(KI232,FIND("|",KI232)+1,FIND("-",KI232,FIND("|",KI232))-FIND("|",KI232)-1))-VALUE(MID(KI232,FIND("-",KI232,FIND("|",KI232))+1,10)))))*$D$50),$D$29*(1-(IF(INDEX($L$232:$L$233,MATCH(LEFT(KI232,FIND("·",KI232)-1),$K$232:$K$233,0))=0,ABS(INDEX($N$232:$N$233,MATCH(LEFT(KI232,FIND("·",KI232)-1),$K$232:$K$233,0))-VALUE(MID(KI232,FIND("|",KI232)+1,FIND("-",KI232,FIND("|",KI232))-FIND("|",KI232)-1))),ABS(INDEX($P$232:$P$233,MATCH(LEFT(KI232,FIND("·",KI232)-1),$K$232:$K$233,0))-(VALUE(MID(KI232,FIND("|",KI232)+1,FIND("-",KI232,FIND("|",KI232))-FIND("|",KI232)-1))-VALUE(MID(KI232,FIND("-",KI232,FIND("|",KI232))+1,10)))))*$D$50)))))*INDEX($I$232:$I$233,MATCH(LEFT(KI232,FIND("·",KI232)-1),$K$232:$K$233,0)),0),0),0)+IFERROR(IF(COUNTIF($C$232:$C$233,LEFT(KI232,FIND("·",KI232)-1))&gt;0,IF(INDEX($D$232:$D$233,MATCH(LEFT(KI232,FIND("·",KI232)-1),$C$232:$C$233,0))=IFERROR(VALUE(MID(KI232,FIND("·",KI232)+1,1)),0),($D$28+(INDEX($E$232:$E$233,MATCH(LEFT(KI232,FIND("·",KI232)-1),$C$232:$C$233,0))=MID(KI232,FIND("|",KI232)+1,10))*$D$30+MAX(0,IF($D$50=1,$D$29*(1-(ABS(INDEX($Q$232:$Q$233,MATCH(LEFT(KI232,FIND("·",KI232)-1),$C$232:$C$233,0))-(VALUE(MID(KI232,FIND("|",KI232)+1,FIND("-",KI232,FIND("|",KI232))-FIND("|",KI232)-1))-VALUE(MID(KI232,FIND("-",KI232,FIND("|",KI232))+1,10)))))*$D$50),$D$29*(1-(IF(INDEX($D$232:$D$233,MATCH(LEFT(KI232,FIND("·",KI232)-1),$C$232:$C$233,0))=0,ABS(INDEX($A$232:$A$233,MATCH(LEFT(KI232,FIND("·",KI232)-1),$C$232:$C$233,0))-VALUE(MID(KI232,FIND("|",KI232)+1,FIND("-",KI232,FIND("|",KI232))-FIND("|",KI232)-1))),ABS(INDEX($Q$232:$Q$233,MATCH(LEFT(KI232,FIND("·",KI232)-1),$C$232:$C$233,0))-(VALUE(MID(KI232,FIND("|",KI232)+1,FIND("-",KI232,FIND("|",KI232))-FIND("|",KI232)-1))-VALUE(MID(KI232,FIND("-",KI232,FIND("|",KI232))+1,10)))))*$D$50)))))*INDEX($I$232:$I$233,MATCH(LEFT(KI232,FIND("·",KI232)-1),$C$232:$C$233,0)),0),0),0)</f>
        <v>0</v>
      </c>
      <c r="KK232" s="108"/>
      <c r="KL232" s="75" t="str">
        <f>Idiomas!$D$370</f>
        <v>Pegar valores Semifinales</v>
      </c>
      <c r="KM232" s="76">
        <f t="shared" ref="KM232:KM233" si="6743">IFERROR(IF(COUNTIF($K$232:$K$233,LEFT(KL232,FIND("·",KL232)-1))&gt;0,IF(INDEX($L$232:$L$233,MATCH(LEFT(KL232,FIND("·",KL232)-1),$K$232:$K$233,0))=IFERROR(VALUE(MID(KL232,FIND("·",KL232)+1,1)),0),($D$28+(INDEX($M$232:$M$233,MATCH(LEFT(KL232,FIND("·",KL232)-1),$K$232:$K$233,0))=MID(KL232,FIND("|",KL232)+1,10))*$D$30+MAX(0,IF($D$50=1,$D$29*(1-(ABS(INDEX($P$232:$P$233,MATCH(LEFT(KL232,FIND("·",KL232)-1),$K$232:$K$233,0))-(VALUE(MID(KL232,FIND("|",KL232)+1,FIND("-",KL232,FIND("|",KL232))-FIND("|",KL232)-1))-VALUE(MID(KL232,FIND("-",KL232,FIND("|",KL232))+1,10)))))*$D$50),$D$29*(1-(IF(INDEX($L$232:$L$233,MATCH(LEFT(KL232,FIND("·",KL232)-1),$K$232:$K$233,0))=0,ABS(INDEX($N$232:$N$233,MATCH(LEFT(KL232,FIND("·",KL232)-1),$K$232:$K$233,0))-VALUE(MID(KL232,FIND("|",KL232)+1,FIND("-",KL232,FIND("|",KL232))-FIND("|",KL232)-1))),ABS(INDEX($P$232:$P$233,MATCH(LEFT(KL232,FIND("·",KL232)-1),$K$232:$K$233,0))-(VALUE(MID(KL232,FIND("|",KL232)+1,FIND("-",KL232,FIND("|",KL232))-FIND("|",KL232)-1))-VALUE(MID(KL232,FIND("-",KL232,FIND("|",KL232))+1,10)))))*$D$50)))))*INDEX($I$232:$I$233,MATCH(LEFT(KL232,FIND("·",KL232)-1),$K$232:$K$233,0)),0),0),0)+IFERROR(IF(COUNTIF($C$232:$C$233,LEFT(KL232,FIND("·",KL232)-1))&gt;0,IF(INDEX($D$232:$D$233,MATCH(LEFT(KL232,FIND("·",KL232)-1),$C$232:$C$233,0))=IFERROR(VALUE(MID(KL232,FIND("·",KL232)+1,1)),0),($D$28+(INDEX($E$232:$E$233,MATCH(LEFT(KL232,FIND("·",KL232)-1),$C$232:$C$233,0))=MID(KL232,FIND("|",KL232)+1,10))*$D$30+MAX(0,IF($D$50=1,$D$29*(1-(ABS(INDEX($Q$232:$Q$233,MATCH(LEFT(KL232,FIND("·",KL232)-1),$C$232:$C$233,0))-(VALUE(MID(KL232,FIND("|",KL232)+1,FIND("-",KL232,FIND("|",KL232))-FIND("|",KL232)-1))-VALUE(MID(KL232,FIND("-",KL232,FIND("|",KL232))+1,10)))))*$D$50),$D$29*(1-(IF(INDEX($D$232:$D$233,MATCH(LEFT(KL232,FIND("·",KL232)-1),$C$232:$C$233,0))=0,ABS(INDEX($A$232:$A$233,MATCH(LEFT(KL232,FIND("·",KL232)-1),$C$232:$C$233,0))-VALUE(MID(KL232,FIND("|",KL232)+1,FIND("-",KL232,FIND("|",KL232))-FIND("|",KL232)-1))),ABS(INDEX($Q$232:$Q$233,MATCH(LEFT(KL232,FIND("·",KL232)-1),$C$232:$C$233,0))-(VALUE(MID(KL232,FIND("|",KL232)+1,FIND("-",KL232,FIND("|",KL232))-FIND("|",KL232)-1))-VALUE(MID(KL232,FIND("-",KL232,FIND("|",KL232))+1,10)))))*$D$50)))))*INDEX($I$232:$I$233,MATCH(LEFT(KL232,FIND("·",KL232)-1),$C$232:$C$233,0)),0),0),0)</f>
        <v>0</v>
      </c>
      <c r="KN232" s="108"/>
      <c r="KO232" s="75" t="str">
        <f>Idiomas!$D$370</f>
        <v>Pegar valores Semifinales</v>
      </c>
      <c r="KP232" s="76">
        <f t="shared" ref="KP232:KP233" si="6744">IFERROR(IF(COUNTIF($K$232:$K$233,LEFT(KO232,FIND("·",KO232)-1))&gt;0,IF(INDEX($L$232:$L$233,MATCH(LEFT(KO232,FIND("·",KO232)-1),$K$232:$K$233,0))=IFERROR(VALUE(MID(KO232,FIND("·",KO232)+1,1)),0),($D$28+(INDEX($M$232:$M$233,MATCH(LEFT(KO232,FIND("·",KO232)-1),$K$232:$K$233,0))=MID(KO232,FIND("|",KO232)+1,10))*$D$30+MAX(0,IF($D$50=1,$D$29*(1-(ABS(INDEX($P$232:$P$233,MATCH(LEFT(KO232,FIND("·",KO232)-1),$K$232:$K$233,0))-(VALUE(MID(KO232,FIND("|",KO232)+1,FIND("-",KO232,FIND("|",KO232))-FIND("|",KO232)-1))-VALUE(MID(KO232,FIND("-",KO232,FIND("|",KO232))+1,10)))))*$D$50),$D$29*(1-(IF(INDEX($L$232:$L$233,MATCH(LEFT(KO232,FIND("·",KO232)-1),$K$232:$K$233,0))=0,ABS(INDEX($N$232:$N$233,MATCH(LEFT(KO232,FIND("·",KO232)-1),$K$232:$K$233,0))-VALUE(MID(KO232,FIND("|",KO232)+1,FIND("-",KO232,FIND("|",KO232))-FIND("|",KO232)-1))),ABS(INDEX($P$232:$P$233,MATCH(LEFT(KO232,FIND("·",KO232)-1),$K$232:$K$233,0))-(VALUE(MID(KO232,FIND("|",KO232)+1,FIND("-",KO232,FIND("|",KO232))-FIND("|",KO232)-1))-VALUE(MID(KO232,FIND("-",KO232,FIND("|",KO232))+1,10)))))*$D$50)))))*INDEX($I$232:$I$233,MATCH(LEFT(KO232,FIND("·",KO232)-1),$K$232:$K$233,0)),0),0),0)+IFERROR(IF(COUNTIF($C$232:$C$233,LEFT(KO232,FIND("·",KO232)-1))&gt;0,IF(INDEX($D$232:$D$233,MATCH(LEFT(KO232,FIND("·",KO232)-1),$C$232:$C$233,0))=IFERROR(VALUE(MID(KO232,FIND("·",KO232)+1,1)),0),($D$28+(INDEX($E$232:$E$233,MATCH(LEFT(KO232,FIND("·",KO232)-1),$C$232:$C$233,0))=MID(KO232,FIND("|",KO232)+1,10))*$D$30+MAX(0,IF($D$50=1,$D$29*(1-(ABS(INDEX($Q$232:$Q$233,MATCH(LEFT(KO232,FIND("·",KO232)-1),$C$232:$C$233,0))-(VALUE(MID(KO232,FIND("|",KO232)+1,FIND("-",KO232,FIND("|",KO232))-FIND("|",KO232)-1))-VALUE(MID(KO232,FIND("-",KO232,FIND("|",KO232))+1,10)))))*$D$50),$D$29*(1-(IF(INDEX($D$232:$D$233,MATCH(LEFT(KO232,FIND("·",KO232)-1),$C$232:$C$233,0))=0,ABS(INDEX($A$232:$A$233,MATCH(LEFT(KO232,FIND("·",KO232)-1),$C$232:$C$233,0))-VALUE(MID(KO232,FIND("|",KO232)+1,FIND("-",KO232,FIND("|",KO232))-FIND("|",KO232)-1))),ABS(INDEX($Q$232:$Q$233,MATCH(LEFT(KO232,FIND("·",KO232)-1),$C$232:$C$233,0))-(VALUE(MID(KO232,FIND("|",KO232)+1,FIND("-",KO232,FIND("|",KO232))-FIND("|",KO232)-1))-VALUE(MID(KO232,FIND("-",KO232,FIND("|",KO232))+1,10)))))*$D$50)))))*INDEX($I$232:$I$233,MATCH(LEFT(KO232,FIND("·",KO232)-1),$C$232:$C$233,0)),0),0),0)</f>
        <v>0</v>
      </c>
      <c r="KQ232" s="108"/>
      <c r="KR232" s="75" t="str">
        <f>Idiomas!$D$370</f>
        <v>Pegar valores Semifinales</v>
      </c>
      <c r="KS232" s="76">
        <f t="shared" ref="KS232:KS233" si="6745">IFERROR(IF(COUNTIF($K$232:$K$233,LEFT(KR232,FIND("·",KR232)-1))&gt;0,IF(INDEX($L$232:$L$233,MATCH(LEFT(KR232,FIND("·",KR232)-1),$K$232:$K$233,0))=IFERROR(VALUE(MID(KR232,FIND("·",KR232)+1,1)),0),($D$28+(INDEX($M$232:$M$233,MATCH(LEFT(KR232,FIND("·",KR232)-1),$K$232:$K$233,0))=MID(KR232,FIND("|",KR232)+1,10))*$D$30+MAX(0,IF($D$50=1,$D$29*(1-(ABS(INDEX($P$232:$P$233,MATCH(LEFT(KR232,FIND("·",KR232)-1),$K$232:$K$233,0))-(VALUE(MID(KR232,FIND("|",KR232)+1,FIND("-",KR232,FIND("|",KR232))-FIND("|",KR232)-1))-VALUE(MID(KR232,FIND("-",KR232,FIND("|",KR232))+1,10)))))*$D$50),$D$29*(1-(IF(INDEX($L$232:$L$233,MATCH(LEFT(KR232,FIND("·",KR232)-1),$K$232:$K$233,0))=0,ABS(INDEX($N$232:$N$233,MATCH(LEFT(KR232,FIND("·",KR232)-1),$K$232:$K$233,0))-VALUE(MID(KR232,FIND("|",KR232)+1,FIND("-",KR232,FIND("|",KR232))-FIND("|",KR232)-1))),ABS(INDEX($P$232:$P$233,MATCH(LEFT(KR232,FIND("·",KR232)-1),$K$232:$K$233,0))-(VALUE(MID(KR232,FIND("|",KR232)+1,FIND("-",KR232,FIND("|",KR232))-FIND("|",KR232)-1))-VALUE(MID(KR232,FIND("-",KR232,FIND("|",KR232))+1,10)))))*$D$50)))))*INDEX($I$232:$I$233,MATCH(LEFT(KR232,FIND("·",KR232)-1),$K$232:$K$233,0)),0),0),0)+IFERROR(IF(COUNTIF($C$232:$C$233,LEFT(KR232,FIND("·",KR232)-1))&gt;0,IF(INDEX($D$232:$D$233,MATCH(LEFT(KR232,FIND("·",KR232)-1),$C$232:$C$233,0))=IFERROR(VALUE(MID(KR232,FIND("·",KR232)+1,1)),0),($D$28+(INDEX($E$232:$E$233,MATCH(LEFT(KR232,FIND("·",KR232)-1),$C$232:$C$233,0))=MID(KR232,FIND("|",KR232)+1,10))*$D$30+MAX(0,IF($D$50=1,$D$29*(1-(ABS(INDEX($Q$232:$Q$233,MATCH(LEFT(KR232,FIND("·",KR232)-1),$C$232:$C$233,0))-(VALUE(MID(KR232,FIND("|",KR232)+1,FIND("-",KR232,FIND("|",KR232))-FIND("|",KR232)-1))-VALUE(MID(KR232,FIND("-",KR232,FIND("|",KR232))+1,10)))))*$D$50),$D$29*(1-(IF(INDEX($D$232:$D$233,MATCH(LEFT(KR232,FIND("·",KR232)-1),$C$232:$C$233,0))=0,ABS(INDEX($A$232:$A$233,MATCH(LEFT(KR232,FIND("·",KR232)-1),$C$232:$C$233,0))-VALUE(MID(KR232,FIND("|",KR232)+1,FIND("-",KR232,FIND("|",KR232))-FIND("|",KR232)-1))),ABS(INDEX($Q$232:$Q$233,MATCH(LEFT(KR232,FIND("·",KR232)-1),$C$232:$C$233,0))-(VALUE(MID(KR232,FIND("|",KR232)+1,FIND("-",KR232,FIND("|",KR232))-FIND("|",KR232)-1))-VALUE(MID(KR232,FIND("-",KR232,FIND("|",KR232))+1,10)))))*$D$50)))))*INDEX($I$232:$I$233,MATCH(LEFT(KR232,FIND("·",KR232)-1),$C$232:$C$233,0)),0),0),0)</f>
        <v>0</v>
      </c>
      <c r="KT232" s="108"/>
      <c r="KU232" s="75" t="str">
        <f>Idiomas!$D$370</f>
        <v>Pegar valores Semifinales</v>
      </c>
      <c r="KV232" s="76">
        <f t="shared" ref="KV232:KV233" si="6746">IFERROR(IF(COUNTIF($K$232:$K$233,LEFT(KU232,FIND("·",KU232)-1))&gt;0,IF(INDEX($L$232:$L$233,MATCH(LEFT(KU232,FIND("·",KU232)-1),$K$232:$K$233,0))=IFERROR(VALUE(MID(KU232,FIND("·",KU232)+1,1)),0),($D$28+(INDEX($M$232:$M$233,MATCH(LEFT(KU232,FIND("·",KU232)-1),$K$232:$K$233,0))=MID(KU232,FIND("|",KU232)+1,10))*$D$30+MAX(0,IF($D$50=1,$D$29*(1-(ABS(INDEX($P$232:$P$233,MATCH(LEFT(KU232,FIND("·",KU232)-1),$K$232:$K$233,0))-(VALUE(MID(KU232,FIND("|",KU232)+1,FIND("-",KU232,FIND("|",KU232))-FIND("|",KU232)-1))-VALUE(MID(KU232,FIND("-",KU232,FIND("|",KU232))+1,10)))))*$D$50),$D$29*(1-(IF(INDEX($L$232:$L$233,MATCH(LEFT(KU232,FIND("·",KU232)-1),$K$232:$K$233,0))=0,ABS(INDEX($N$232:$N$233,MATCH(LEFT(KU232,FIND("·",KU232)-1),$K$232:$K$233,0))-VALUE(MID(KU232,FIND("|",KU232)+1,FIND("-",KU232,FIND("|",KU232))-FIND("|",KU232)-1))),ABS(INDEX($P$232:$P$233,MATCH(LEFT(KU232,FIND("·",KU232)-1),$K$232:$K$233,0))-(VALUE(MID(KU232,FIND("|",KU232)+1,FIND("-",KU232,FIND("|",KU232))-FIND("|",KU232)-1))-VALUE(MID(KU232,FIND("-",KU232,FIND("|",KU232))+1,10)))))*$D$50)))))*INDEX($I$232:$I$233,MATCH(LEFT(KU232,FIND("·",KU232)-1),$K$232:$K$233,0)),0),0),0)+IFERROR(IF(COUNTIF($C$232:$C$233,LEFT(KU232,FIND("·",KU232)-1))&gt;0,IF(INDEX($D$232:$D$233,MATCH(LEFT(KU232,FIND("·",KU232)-1),$C$232:$C$233,0))=IFERROR(VALUE(MID(KU232,FIND("·",KU232)+1,1)),0),($D$28+(INDEX($E$232:$E$233,MATCH(LEFT(KU232,FIND("·",KU232)-1),$C$232:$C$233,0))=MID(KU232,FIND("|",KU232)+1,10))*$D$30+MAX(0,IF($D$50=1,$D$29*(1-(ABS(INDEX($Q$232:$Q$233,MATCH(LEFT(KU232,FIND("·",KU232)-1),$C$232:$C$233,0))-(VALUE(MID(KU232,FIND("|",KU232)+1,FIND("-",KU232,FIND("|",KU232))-FIND("|",KU232)-1))-VALUE(MID(KU232,FIND("-",KU232,FIND("|",KU232))+1,10)))))*$D$50),$D$29*(1-(IF(INDEX($D$232:$D$233,MATCH(LEFT(KU232,FIND("·",KU232)-1),$C$232:$C$233,0))=0,ABS(INDEX($A$232:$A$233,MATCH(LEFT(KU232,FIND("·",KU232)-1),$C$232:$C$233,0))-VALUE(MID(KU232,FIND("|",KU232)+1,FIND("-",KU232,FIND("|",KU232))-FIND("|",KU232)-1))),ABS(INDEX($Q$232:$Q$233,MATCH(LEFT(KU232,FIND("·",KU232)-1),$C$232:$C$233,0))-(VALUE(MID(KU232,FIND("|",KU232)+1,FIND("-",KU232,FIND("|",KU232))-FIND("|",KU232)-1))-VALUE(MID(KU232,FIND("-",KU232,FIND("|",KU232))+1,10)))))*$D$50)))))*INDEX($I$232:$I$233,MATCH(LEFT(KU232,FIND("·",KU232)-1),$C$232:$C$233,0)),0),0),0)</f>
        <v>0</v>
      </c>
      <c r="KW232" s="108"/>
      <c r="KX232" s="75" t="str">
        <f>Idiomas!$D$370</f>
        <v>Pegar valores Semifinales</v>
      </c>
      <c r="KY232" s="76">
        <f t="shared" ref="KY232:KY233" si="6747">IFERROR(IF(COUNTIF($K$232:$K$233,LEFT(KX232,FIND("·",KX232)-1))&gt;0,IF(INDEX($L$232:$L$233,MATCH(LEFT(KX232,FIND("·",KX232)-1),$K$232:$K$233,0))=IFERROR(VALUE(MID(KX232,FIND("·",KX232)+1,1)),0),($D$28+(INDEX($M$232:$M$233,MATCH(LEFT(KX232,FIND("·",KX232)-1),$K$232:$K$233,0))=MID(KX232,FIND("|",KX232)+1,10))*$D$30+MAX(0,IF($D$50=1,$D$29*(1-(ABS(INDEX($P$232:$P$233,MATCH(LEFT(KX232,FIND("·",KX232)-1),$K$232:$K$233,0))-(VALUE(MID(KX232,FIND("|",KX232)+1,FIND("-",KX232,FIND("|",KX232))-FIND("|",KX232)-1))-VALUE(MID(KX232,FIND("-",KX232,FIND("|",KX232))+1,10)))))*$D$50),$D$29*(1-(IF(INDEX($L$232:$L$233,MATCH(LEFT(KX232,FIND("·",KX232)-1),$K$232:$K$233,0))=0,ABS(INDEX($N$232:$N$233,MATCH(LEFT(KX232,FIND("·",KX232)-1),$K$232:$K$233,0))-VALUE(MID(KX232,FIND("|",KX232)+1,FIND("-",KX232,FIND("|",KX232))-FIND("|",KX232)-1))),ABS(INDEX($P$232:$P$233,MATCH(LEFT(KX232,FIND("·",KX232)-1),$K$232:$K$233,0))-(VALUE(MID(KX232,FIND("|",KX232)+1,FIND("-",KX232,FIND("|",KX232))-FIND("|",KX232)-1))-VALUE(MID(KX232,FIND("-",KX232,FIND("|",KX232))+1,10)))))*$D$50)))))*INDEX($I$232:$I$233,MATCH(LEFT(KX232,FIND("·",KX232)-1),$K$232:$K$233,0)),0),0),0)+IFERROR(IF(COUNTIF($C$232:$C$233,LEFT(KX232,FIND("·",KX232)-1))&gt;0,IF(INDEX($D$232:$D$233,MATCH(LEFT(KX232,FIND("·",KX232)-1),$C$232:$C$233,0))=IFERROR(VALUE(MID(KX232,FIND("·",KX232)+1,1)),0),($D$28+(INDEX($E$232:$E$233,MATCH(LEFT(KX232,FIND("·",KX232)-1),$C$232:$C$233,0))=MID(KX232,FIND("|",KX232)+1,10))*$D$30+MAX(0,IF($D$50=1,$D$29*(1-(ABS(INDEX($Q$232:$Q$233,MATCH(LEFT(KX232,FIND("·",KX232)-1),$C$232:$C$233,0))-(VALUE(MID(KX232,FIND("|",KX232)+1,FIND("-",KX232,FIND("|",KX232))-FIND("|",KX232)-1))-VALUE(MID(KX232,FIND("-",KX232,FIND("|",KX232))+1,10)))))*$D$50),$D$29*(1-(IF(INDEX($D$232:$D$233,MATCH(LEFT(KX232,FIND("·",KX232)-1),$C$232:$C$233,0))=0,ABS(INDEX($A$232:$A$233,MATCH(LEFT(KX232,FIND("·",KX232)-1),$C$232:$C$233,0))-VALUE(MID(KX232,FIND("|",KX232)+1,FIND("-",KX232,FIND("|",KX232))-FIND("|",KX232)-1))),ABS(INDEX($Q$232:$Q$233,MATCH(LEFT(KX232,FIND("·",KX232)-1),$C$232:$C$233,0))-(VALUE(MID(KX232,FIND("|",KX232)+1,FIND("-",KX232,FIND("|",KX232))-FIND("|",KX232)-1))-VALUE(MID(KX232,FIND("-",KX232,FIND("|",KX232))+1,10)))))*$D$50)))))*INDEX($I$232:$I$233,MATCH(LEFT(KX232,FIND("·",KX232)-1),$C$232:$C$233,0)),0),0),0)</f>
        <v>0</v>
      </c>
      <c r="KZ232" s="108"/>
      <c r="LA232" s="75" t="str">
        <f>Idiomas!$D$370</f>
        <v>Pegar valores Semifinales</v>
      </c>
      <c r="LB232" s="76">
        <f t="shared" ref="LB232:LB233" si="6748">IFERROR(IF(COUNTIF($K$232:$K$233,LEFT(LA232,FIND("·",LA232)-1))&gt;0,IF(INDEX($L$232:$L$233,MATCH(LEFT(LA232,FIND("·",LA232)-1),$K$232:$K$233,0))=IFERROR(VALUE(MID(LA232,FIND("·",LA232)+1,1)),0),($D$28+(INDEX($M$232:$M$233,MATCH(LEFT(LA232,FIND("·",LA232)-1),$K$232:$K$233,0))=MID(LA232,FIND("|",LA232)+1,10))*$D$30+MAX(0,IF($D$50=1,$D$29*(1-(ABS(INDEX($P$232:$P$233,MATCH(LEFT(LA232,FIND("·",LA232)-1),$K$232:$K$233,0))-(VALUE(MID(LA232,FIND("|",LA232)+1,FIND("-",LA232,FIND("|",LA232))-FIND("|",LA232)-1))-VALUE(MID(LA232,FIND("-",LA232,FIND("|",LA232))+1,10)))))*$D$50),$D$29*(1-(IF(INDEX($L$232:$L$233,MATCH(LEFT(LA232,FIND("·",LA232)-1),$K$232:$K$233,0))=0,ABS(INDEX($N$232:$N$233,MATCH(LEFT(LA232,FIND("·",LA232)-1),$K$232:$K$233,0))-VALUE(MID(LA232,FIND("|",LA232)+1,FIND("-",LA232,FIND("|",LA232))-FIND("|",LA232)-1))),ABS(INDEX($P$232:$P$233,MATCH(LEFT(LA232,FIND("·",LA232)-1),$K$232:$K$233,0))-(VALUE(MID(LA232,FIND("|",LA232)+1,FIND("-",LA232,FIND("|",LA232))-FIND("|",LA232)-1))-VALUE(MID(LA232,FIND("-",LA232,FIND("|",LA232))+1,10)))))*$D$50)))))*INDEX($I$232:$I$233,MATCH(LEFT(LA232,FIND("·",LA232)-1),$K$232:$K$233,0)),0),0),0)+IFERROR(IF(COUNTIF($C$232:$C$233,LEFT(LA232,FIND("·",LA232)-1))&gt;0,IF(INDEX($D$232:$D$233,MATCH(LEFT(LA232,FIND("·",LA232)-1),$C$232:$C$233,0))=IFERROR(VALUE(MID(LA232,FIND("·",LA232)+1,1)),0),($D$28+(INDEX($E$232:$E$233,MATCH(LEFT(LA232,FIND("·",LA232)-1),$C$232:$C$233,0))=MID(LA232,FIND("|",LA232)+1,10))*$D$30+MAX(0,IF($D$50=1,$D$29*(1-(ABS(INDEX($Q$232:$Q$233,MATCH(LEFT(LA232,FIND("·",LA232)-1),$C$232:$C$233,0))-(VALUE(MID(LA232,FIND("|",LA232)+1,FIND("-",LA232,FIND("|",LA232))-FIND("|",LA232)-1))-VALUE(MID(LA232,FIND("-",LA232,FIND("|",LA232))+1,10)))))*$D$50),$D$29*(1-(IF(INDEX($D$232:$D$233,MATCH(LEFT(LA232,FIND("·",LA232)-1),$C$232:$C$233,0))=0,ABS(INDEX($A$232:$A$233,MATCH(LEFT(LA232,FIND("·",LA232)-1),$C$232:$C$233,0))-VALUE(MID(LA232,FIND("|",LA232)+1,FIND("-",LA232,FIND("|",LA232))-FIND("|",LA232)-1))),ABS(INDEX($Q$232:$Q$233,MATCH(LEFT(LA232,FIND("·",LA232)-1),$C$232:$C$233,0))-(VALUE(MID(LA232,FIND("|",LA232)+1,FIND("-",LA232,FIND("|",LA232))-FIND("|",LA232)-1))-VALUE(MID(LA232,FIND("-",LA232,FIND("|",LA232))+1,10)))))*$D$50)))))*INDEX($I$232:$I$233,MATCH(LEFT(LA232,FIND("·",LA232)-1),$C$232:$C$233,0)),0),0),0)</f>
        <v>0</v>
      </c>
      <c r="LC232" s="108"/>
      <c r="LD232" s="75" t="str">
        <f>Idiomas!$D$370</f>
        <v>Pegar valores Semifinales</v>
      </c>
      <c r="LE232" s="76">
        <f t="shared" ref="LE232:LE233" si="6749">IFERROR(IF(COUNTIF($K$232:$K$233,LEFT(LD232,FIND("·",LD232)-1))&gt;0,IF(INDEX($L$232:$L$233,MATCH(LEFT(LD232,FIND("·",LD232)-1),$K$232:$K$233,0))=IFERROR(VALUE(MID(LD232,FIND("·",LD232)+1,1)),0),($D$28+(INDEX($M$232:$M$233,MATCH(LEFT(LD232,FIND("·",LD232)-1),$K$232:$K$233,0))=MID(LD232,FIND("|",LD232)+1,10))*$D$30+MAX(0,IF($D$50=1,$D$29*(1-(ABS(INDEX($P$232:$P$233,MATCH(LEFT(LD232,FIND("·",LD232)-1),$K$232:$K$233,0))-(VALUE(MID(LD232,FIND("|",LD232)+1,FIND("-",LD232,FIND("|",LD232))-FIND("|",LD232)-1))-VALUE(MID(LD232,FIND("-",LD232,FIND("|",LD232))+1,10)))))*$D$50),$D$29*(1-(IF(INDEX($L$232:$L$233,MATCH(LEFT(LD232,FIND("·",LD232)-1),$K$232:$K$233,0))=0,ABS(INDEX($N$232:$N$233,MATCH(LEFT(LD232,FIND("·",LD232)-1),$K$232:$K$233,0))-VALUE(MID(LD232,FIND("|",LD232)+1,FIND("-",LD232,FIND("|",LD232))-FIND("|",LD232)-1))),ABS(INDEX($P$232:$P$233,MATCH(LEFT(LD232,FIND("·",LD232)-1),$K$232:$K$233,0))-(VALUE(MID(LD232,FIND("|",LD232)+1,FIND("-",LD232,FIND("|",LD232))-FIND("|",LD232)-1))-VALUE(MID(LD232,FIND("-",LD232,FIND("|",LD232))+1,10)))))*$D$50)))))*INDEX($I$232:$I$233,MATCH(LEFT(LD232,FIND("·",LD232)-1),$K$232:$K$233,0)),0),0),0)+IFERROR(IF(COUNTIF($C$232:$C$233,LEFT(LD232,FIND("·",LD232)-1))&gt;0,IF(INDEX($D$232:$D$233,MATCH(LEFT(LD232,FIND("·",LD232)-1),$C$232:$C$233,0))=IFERROR(VALUE(MID(LD232,FIND("·",LD232)+1,1)),0),($D$28+(INDEX($E$232:$E$233,MATCH(LEFT(LD232,FIND("·",LD232)-1),$C$232:$C$233,0))=MID(LD232,FIND("|",LD232)+1,10))*$D$30+MAX(0,IF($D$50=1,$D$29*(1-(ABS(INDEX($Q$232:$Q$233,MATCH(LEFT(LD232,FIND("·",LD232)-1),$C$232:$C$233,0))-(VALUE(MID(LD232,FIND("|",LD232)+1,FIND("-",LD232,FIND("|",LD232))-FIND("|",LD232)-1))-VALUE(MID(LD232,FIND("-",LD232,FIND("|",LD232))+1,10)))))*$D$50),$D$29*(1-(IF(INDEX($D$232:$D$233,MATCH(LEFT(LD232,FIND("·",LD232)-1),$C$232:$C$233,0))=0,ABS(INDEX($A$232:$A$233,MATCH(LEFT(LD232,FIND("·",LD232)-1),$C$232:$C$233,0))-VALUE(MID(LD232,FIND("|",LD232)+1,FIND("-",LD232,FIND("|",LD232))-FIND("|",LD232)-1))),ABS(INDEX($Q$232:$Q$233,MATCH(LEFT(LD232,FIND("·",LD232)-1),$C$232:$C$233,0))-(VALUE(MID(LD232,FIND("|",LD232)+1,FIND("-",LD232,FIND("|",LD232))-FIND("|",LD232)-1))-VALUE(MID(LD232,FIND("-",LD232,FIND("|",LD232))+1,10)))))*$D$50)))))*INDEX($I$232:$I$233,MATCH(LEFT(LD232,FIND("·",LD232)-1),$C$232:$C$233,0)),0),0),0)</f>
        <v>0</v>
      </c>
      <c r="LF232" s="108"/>
    </row>
    <row r="233" spans="1:318" s="784" customFormat="1">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6">
        <f>SUM($D$28:$D$30)*I233</f>
        <v>30</v>
      </c>
      <c r="G233" s="406">
        <f ca="1">VLOOKUP(H233,Equipos!$Q$1:$R$25,2,0)</f>
        <v>23</v>
      </c>
      <c r="H233" s="64" t="str">
        <f>Idiomas!$D$263</f>
        <v>Semifinales</v>
      </c>
      <c r="I233" s="45">
        <v>1</v>
      </c>
      <c r="J233" s="844"/>
      <c r="K233" s="56" t="str">
        <f>CONCATENATE(WORLDCUP!AA139,"-",WORLDCUP!AF139)</f>
        <v>W99-W100</v>
      </c>
      <c r="L233" s="53" t="str">
        <f>IF(OR(WORLDCUP!AC139="",WORLDCUP!AD139=""),"PD",IF(WORLDCUP!AC139&gt;WORLDCUP!AD139,1,IF(WORLDCUP!AC139&lt;WORLDCUP!AD139,2,0)))</f>
        <v>PD</v>
      </c>
      <c r="M233" s="55" t="str">
        <f t="shared" si="6653"/>
        <v>-</v>
      </c>
      <c r="N233" s="25">
        <f>WORLDCUP!AC139</f>
        <v>0</v>
      </c>
      <c r="O233" s="25">
        <f>WORLDCUP!AD139</f>
        <v>0</v>
      </c>
      <c r="P233" s="25">
        <f>+N233-O233</f>
        <v>0</v>
      </c>
      <c r="Q233" s="25">
        <f>+A233-B233</f>
        <v>0</v>
      </c>
      <c r="R233" s="108"/>
      <c r="S233" s="798" t="s">
        <v>1993</v>
      </c>
      <c r="T233" s="80">
        <f t="shared" si="6654"/>
        <v>0</v>
      </c>
      <c r="U233" s="108"/>
      <c r="V233" s="79" t="s">
        <v>2038</v>
      </c>
      <c r="W233" s="80">
        <f t="shared" si="6655"/>
        <v>0</v>
      </c>
      <c r="X233" s="108"/>
      <c r="Y233" s="798" t="s">
        <v>2081</v>
      </c>
      <c r="Z233" s="80">
        <f t="shared" si="6656"/>
        <v>0</v>
      </c>
      <c r="AA233" s="108"/>
      <c r="AB233" s="798" t="s">
        <v>2114</v>
      </c>
      <c r="AC233" s="80">
        <f t="shared" si="6657"/>
        <v>0</v>
      </c>
      <c r="AD233" s="108"/>
      <c r="AE233" s="798" t="s">
        <v>1993</v>
      </c>
      <c r="AF233" s="80">
        <f t="shared" ref="AF233" si="6750">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08"/>
      <c r="AH233" s="798" t="s">
        <v>2185</v>
      </c>
      <c r="AI233" s="80">
        <f t="shared" si="6659"/>
        <v>0</v>
      </c>
      <c r="AJ233" s="108"/>
      <c r="AK233" s="806" t="s">
        <v>2222</v>
      </c>
      <c r="AL233" s="80">
        <f t="shared" si="6660"/>
        <v>0</v>
      </c>
      <c r="AM233" s="108"/>
      <c r="AN233" s="798" t="s">
        <v>2246</v>
      </c>
      <c r="AO233" s="80">
        <f t="shared" si="6661"/>
        <v>0</v>
      </c>
      <c r="AP233" s="108"/>
      <c r="AQ233" s="806" t="s">
        <v>2274</v>
      </c>
      <c r="AR233" s="80">
        <f t="shared" si="6662"/>
        <v>0</v>
      </c>
      <c r="AS233" s="108"/>
      <c r="AT233" s="798" t="s">
        <v>2310</v>
      </c>
      <c r="AU233" s="80">
        <f t="shared" si="6663"/>
        <v>0</v>
      </c>
      <c r="AV233" s="108"/>
      <c r="AW233" s="798" t="s">
        <v>2329</v>
      </c>
      <c r="AX233" s="80">
        <f t="shared" si="6664"/>
        <v>0</v>
      </c>
      <c r="AY233" s="108"/>
      <c r="AZ233" s="798" t="s">
        <v>2380</v>
      </c>
      <c r="BA233" s="80">
        <f t="shared" si="6665"/>
        <v>0</v>
      </c>
      <c r="BB233" s="108"/>
      <c r="BC233" s="798" t="s">
        <v>2411</v>
      </c>
      <c r="BD233" s="80">
        <f t="shared" si="6666"/>
        <v>0</v>
      </c>
      <c r="BE233" s="108"/>
      <c r="BF233" s="798" t="s">
        <v>2438</v>
      </c>
      <c r="BG233" s="80">
        <f t="shared" si="6667"/>
        <v>0</v>
      </c>
      <c r="BH233" s="108"/>
      <c r="BI233" s="798" t="s">
        <v>2470</v>
      </c>
      <c r="BJ233" s="80">
        <f t="shared" si="6668"/>
        <v>0</v>
      </c>
      <c r="BK233" s="108"/>
      <c r="BL233" s="798" t="s">
        <v>2490</v>
      </c>
      <c r="BM233" s="80">
        <f t="shared" si="6669"/>
        <v>0</v>
      </c>
      <c r="BN233" s="108"/>
      <c r="BO233" s="816" t="s">
        <v>2511</v>
      </c>
      <c r="BP233" s="80">
        <f t="shared" si="6670"/>
        <v>0</v>
      </c>
      <c r="BQ233" s="108"/>
      <c r="BR233" s="798" t="s">
        <v>2530</v>
      </c>
      <c r="BS233" s="80">
        <f t="shared" si="6671"/>
        <v>0</v>
      </c>
      <c r="BT233" s="108"/>
      <c r="BU233" s="798" t="s">
        <v>2550</v>
      </c>
      <c r="BV233" s="80">
        <f t="shared" si="6672"/>
        <v>0</v>
      </c>
      <c r="BW233" s="108"/>
      <c r="BX233" s="79" t="s">
        <v>2568</v>
      </c>
      <c r="BY233" s="80">
        <f t="shared" si="6673"/>
        <v>0</v>
      </c>
      <c r="BZ233" s="108"/>
      <c r="CA233" s="816" t="s">
        <v>2470</v>
      </c>
      <c r="CB233" s="80">
        <f t="shared" si="6674"/>
        <v>0</v>
      </c>
      <c r="CC233" s="108"/>
      <c r="CD233" s="825" t="s">
        <v>2438</v>
      </c>
      <c r="CE233" s="80">
        <f t="shared" si="6675"/>
        <v>0</v>
      </c>
      <c r="CF233" s="108"/>
      <c r="CG233" s="798" t="s">
        <v>2623</v>
      </c>
      <c r="CH233" s="80">
        <f t="shared" si="6676"/>
        <v>0</v>
      </c>
      <c r="CI233" s="108"/>
      <c r="CJ233" s="798" t="s">
        <v>2635</v>
      </c>
      <c r="CK233" s="80">
        <f t="shared" si="6677"/>
        <v>0</v>
      </c>
      <c r="CL233" s="108"/>
      <c r="CM233" s="798" t="s">
        <v>2665</v>
      </c>
      <c r="CN233" s="80">
        <f t="shared" si="6678"/>
        <v>0</v>
      </c>
      <c r="CO233" s="108"/>
      <c r="CP233" s="798" t="s">
        <v>2635</v>
      </c>
      <c r="CQ233" s="80">
        <f t="shared" si="6679"/>
        <v>0</v>
      </c>
      <c r="CR233" s="108"/>
      <c r="CS233" s="798" t="s">
        <v>2705</v>
      </c>
      <c r="CT233" s="80">
        <f t="shared" si="6680"/>
        <v>0</v>
      </c>
      <c r="CU233" s="108"/>
      <c r="CV233" s="798" t="s">
        <v>2739</v>
      </c>
      <c r="CW233" s="80">
        <f t="shared" si="6681"/>
        <v>0</v>
      </c>
      <c r="CX233" s="108"/>
      <c r="CY233" s="798" t="s">
        <v>2511</v>
      </c>
      <c r="CZ233" s="80">
        <f t="shared" si="6682"/>
        <v>0</v>
      </c>
      <c r="DA233" s="108"/>
      <c r="DB233" s="798" t="s">
        <v>2786</v>
      </c>
      <c r="DC233" s="80">
        <f t="shared" si="6683"/>
        <v>0</v>
      </c>
      <c r="DD233" s="108"/>
      <c r="DE233" s="798" t="s">
        <v>2438</v>
      </c>
      <c r="DF233" s="80">
        <f>IFERROR(IF(COUNTIF($K$232:$K$233,LEFT(DE233,FIND("·",DE233)-1))&gt;0,IF(INDEX($L$232:$L$233,MATCH(LEFT(DE233,FIND("·",DE233)-1),$K$232:$K$233,0))=IFERROR(VALUE(MID(DE233,FIND("·",DE233)+1,1)),0),($D$28+(INDEX($M$232:$M$233,MATCH(LEFT(DE233,FIND("·",DE233)-1),$K$232:$K$233,0))=MID(DE233,FIND("|",DE233)+1,10))*$D$30+MAX(0,IF($D$50=1,$D$29*(1-(ABS(INDEX($P$232:$P$233,MATCH(LEFT(DE233,FIND("·",DE233)-1),$K$232:$K$233,0))-(VALUE(MID(DE233,FIND("|",DE233)+1,FIND("-",DE233,FIND("|",DE233))-FIND("|",DE233)-1))-VALUE(MID(DE233,FIND("-",DE233,FIND("|",DE233))+1,10)))))*$D$50),$D$29*(1-(IF(INDEX($L$232:$L$233,MATCH(LEFT(DE233,FIND("·",DE233)-1),$K$232:$K$233,0))=0,ABS(INDEX($N$232:$N$233,MATCH(LEFT(DE233,FIND("·",DE233)-1),$K$232:$K$233,0))-VALUE(MID(DE233,FIND("|",DE233)+1,FIND("-",DE233,FIND("|",DE233))-FIND("|",DE233)-1))),ABS(INDEX($P$232:$P$233,MATCH(LEFT(DE233,FIND("·",DE233)-1),$K$232:$K$233,0))-(VALUE(MID(DE233,FIND("|",DE233)+1,FIND("-",DE233,FIND("|",DE233))-FIND("|",DE233)-1))-VALUE(MID(DE233,FIND("-",DE233,FIND("|",DE233))+1,10)))))*$D$50)))))*INDEX($I$232:$I$233,MATCH(LEFT(DE233,FIND("·",DE233)-1),$K$232:$K$233,0)),0),0),0)+IFERROR(IF(COUNTIF($C$232:$C$233,LEFT(DE233,FIND("·",DE233)-1))&gt;0,IF(INDEX($D$232:$D$233,MATCH(LEFT(DE233,FIND("·",DE233)-1),$C$232:$C$233,0))=IFERROR(VALUE(MID(DE233,FIND("·",DE233)+1,1)),0),($D$28+(INDEX($E$232:$E$233,MATCH(LEFT(DE233,FIND("·",DE233)-1),$C$232:$C$233,0))=MID(DE233,FIND("|",DE233)+1,10))*$D$30+MAX(0,IF($D$50=1,$D$29*(1-(ABS(INDEX($Q$232:$Q$233,MATCH(LEFT(DE233,FIND("·",DE233)-1),$C$232:$C$233,0))-(VALUE(MID(DE233,FIND("|",DE233)+1,FIND("-",DE233,FIND("|",DE233))-FIND("|",DE233)-1))-VALUE(MID(DE233,FIND("-",DE233,FIND("|",DE233))+1,10)))))*$D$50),$D$29*(1-(IF(INDEX($D$232:$D$233,MATCH(LEFT(DE233,FIND("·",DE233)-1),$C$232:$C$233,0))=0,ABS(INDEX($A$232:$A$233,MATCH(LEFT(DE233,FIND("·",DE233)-1),$C$232:$C$233,0))-VALUE(MID(DE233,FIND("|",DE233)+1,FIND("-",DE233,FIND("|",DE233))-FIND("|",DE233)-1))),ABS(INDEX($Q$232:$Q$233,MATCH(LEFT(DE233,FIND("·",DE233)-1),$C$232:$C$233,0))-(VALUE(MID(DE233,FIND("|",DE233)+1,FIND("-",DE233,FIND("|",DE233))-FIND("|",DE233)-1))-VALUE(MID(DE233,FIND("-",DE233,FIND("|",DE233))+1,10)))))*$D$50)))))*INDEX($I$232:$I$233,MATCH(LEFT(DE233,FIND("·",DE233)-1),$C$232:$C$233,0)),0),0),0)</f>
        <v>0</v>
      </c>
      <c r="DG233" s="108"/>
      <c r="DH233" s="798" t="s">
        <v>2470</v>
      </c>
      <c r="DI233" s="80">
        <f>IFERROR(IF(COUNTIF($K$232:$K$233,LEFT(DH233,FIND("·",DH233)-1))&gt;0,IF(INDEX($L$232:$L$233,MATCH(LEFT(DH233,FIND("·",DH233)-1),$K$232:$K$233,0))=IFERROR(VALUE(MID(DH233,FIND("·",DH233)+1,1)),0),($D$28+(INDEX($M$232:$M$233,MATCH(LEFT(DH233,FIND("·",DH233)-1),$K$232:$K$233,0))=MID(DH233,FIND("|",DH233)+1,10))*$D$30+MAX(0,IF($D$50=1,$D$29*(1-(ABS(INDEX($P$232:$P$233,MATCH(LEFT(DH233,FIND("·",DH233)-1),$K$232:$K$233,0))-(VALUE(MID(DH233,FIND("|",DH233)+1,FIND("-",DH233,FIND("|",DH233))-FIND("|",DH233)-1))-VALUE(MID(DH233,FIND("-",DH233,FIND("|",DH233))+1,10)))))*$D$50),$D$29*(1-(IF(INDEX($L$232:$L$233,MATCH(LEFT(DH233,FIND("·",DH233)-1),$K$232:$K$233,0))=0,ABS(INDEX($N$232:$N$233,MATCH(LEFT(DH233,FIND("·",DH233)-1),$K$232:$K$233,0))-VALUE(MID(DH233,FIND("|",DH233)+1,FIND("-",DH233,FIND("|",DH233))-FIND("|",DH233)-1))),ABS(INDEX($P$232:$P$233,MATCH(LEFT(DH233,FIND("·",DH233)-1),$K$232:$K$233,0))-(VALUE(MID(DH233,FIND("|",DH233)+1,FIND("-",DH233,FIND("|",DH233))-FIND("|",DH233)-1))-VALUE(MID(DH233,FIND("-",DH233,FIND("|",DH233))+1,10)))))*$D$50)))))*INDEX($I$232:$I$233,MATCH(LEFT(DH233,FIND("·",DH233)-1),$K$232:$K$233,0)),0),0),0)+IFERROR(IF(COUNTIF($C$232:$C$233,LEFT(DH233,FIND("·",DH233)-1))&gt;0,IF(INDEX($D$232:$D$233,MATCH(LEFT(DH233,FIND("·",DH233)-1),$C$232:$C$233,0))=IFERROR(VALUE(MID(DH233,FIND("·",DH233)+1,1)),0),($D$28+(INDEX($E$232:$E$233,MATCH(LEFT(DH233,FIND("·",DH233)-1),$C$232:$C$233,0))=MID(DH233,FIND("|",DH233)+1,10))*$D$30+MAX(0,IF($D$50=1,$D$29*(1-(ABS(INDEX($Q$232:$Q$233,MATCH(LEFT(DH233,FIND("·",DH233)-1),$C$232:$C$233,0))-(VALUE(MID(DH233,FIND("|",DH233)+1,FIND("-",DH233,FIND("|",DH233))-FIND("|",DH233)-1))-VALUE(MID(DH233,FIND("-",DH233,FIND("|",DH233))+1,10)))))*$D$50),$D$29*(1-(IF(INDEX($D$232:$D$233,MATCH(LEFT(DH233,FIND("·",DH233)-1),$C$232:$C$233,0))=0,ABS(INDEX($A$232:$A$233,MATCH(LEFT(DH233,FIND("·",DH233)-1),$C$232:$C$233,0))-VALUE(MID(DH233,FIND("|",DH233)+1,FIND("-",DH233,FIND("|",DH233))-FIND("|",DH233)-1))),ABS(INDEX($Q$232:$Q$233,MATCH(LEFT(DH233,FIND("·",DH233)-1),$C$232:$C$233,0))-(VALUE(MID(DH233,FIND("|",DH233)+1,FIND("-",DH233,FIND("|",DH233))-FIND("|",DH233)-1))-VALUE(MID(DH233,FIND("-",DH233,FIND("|",DH233))+1,10)))))*$D$50)))))*INDEX($I$232:$I$233,MATCH(LEFT(DH233,FIND("·",DH233)-1),$C$232:$C$233,0)),0),0),0)</f>
        <v>0</v>
      </c>
      <c r="DJ233" s="108"/>
      <c r="DK233" s="798" t="s">
        <v>2635</v>
      </c>
      <c r="DL233" s="80">
        <f>IFERROR(IF(COUNTIF($K$232:$K$233,LEFT(DK233,FIND("·",DK233)-1))&gt;0,IF(INDEX($L$232:$L$233,MATCH(LEFT(DK233,FIND("·",DK233)-1),$K$232:$K$233,0))=IFERROR(VALUE(MID(DK233,FIND("·",DK233)+1,1)),0),($D$28+(INDEX($M$232:$M$233,MATCH(LEFT(DK233,FIND("·",DK233)-1),$K$232:$K$233,0))=MID(DK233,FIND("|",DK233)+1,10))*$D$30+MAX(0,IF($D$50=1,$D$29*(1-(ABS(INDEX($P$232:$P$233,MATCH(LEFT(DK233,FIND("·",DK233)-1),$K$232:$K$233,0))-(VALUE(MID(DK233,FIND("|",DK233)+1,FIND("-",DK233,FIND("|",DK233))-FIND("|",DK233)-1))-VALUE(MID(DK233,FIND("-",DK233,FIND("|",DK233))+1,10)))))*$D$50),$D$29*(1-(IF(INDEX($L$232:$L$233,MATCH(LEFT(DK233,FIND("·",DK233)-1),$K$232:$K$233,0))=0,ABS(INDEX($N$232:$N$233,MATCH(LEFT(DK233,FIND("·",DK233)-1),$K$232:$K$233,0))-VALUE(MID(DK233,FIND("|",DK233)+1,FIND("-",DK233,FIND("|",DK233))-FIND("|",DK233)-1))),ABS(INDEX($P$232:$P$233,MATCH(LEFT(DK233,FIND("·",DK233)-1),$K$232:$K$233,0))-(VALUE(MID(DK233,FIND("|",DK233)+1,FIND("-",DK233,FIND("|",DK233))-FIND("|",DK233)-1))-VALUE(MID(DK233,FIND("-",DK233,FIND("|",DK233))+1,10)))))*$D$50)))))*INDEX($I$232:$I$233,MATCH(LEFT(DK233,FIND("·",DK233)-1),$K$232:$K$233,0)),0),0),0)+IFERROR(IF(COUNTIF($C$232:$C$233,LEFT(DK233,FIND("·",DK233)-1))&gt;0,IF(INDEX($D$232:$D$233,MATCH(LEFT(DK233,FIND("·",DK233)-1),$C$232:$C$233,0))=IFERROR(VALUE(MID(DK233,FIND("·",DK233)+1,1)),0),($D$28+(INDEX($E$232:$E$233,MATCH(LEFT(DK233,FIND("·",DK233)-1),$C$232:$C$233,0))=MID(DK233,FIND("|",DK233)+1,10))*$D$30+MAX(0,IF($D$50=1,$D$29*(1-(ABS(INDEX($Q$232:$Q$233,MATCH(LEFT(DK233,FIND("·",DK233)-1),$C$232:$C$233,0))-(VALUE(MID(DK233,FIND("|",DK233)+1,FIND("-",DK233,FIND("|",DK233))-FIND("|",DK233)-1))-VALUE(MID(DK233,FIND("-",DK233,FIND("|",DK233))+1,10)))))*$D$50),$D$29*(1-(IF(INDEX($D$232:$D$233,MATCH(LEFT(DK233,FIND("·",DK233)-1),$C$232:$C$233,0))=0,ABS(INDEX($A$232:$A$233,MATCH(LEFT(DK233,FIND("·",DK233)-1),$C$232:$C$233,0))-VALUE(MID(DK233,FIND("|",DK233)+1,FIND("-",DK233,FIND("|",DK233))-FIND("|",DK233)-1))),ABS(INDEX($Q$232:$Q$233,MATCH(LEFT(DK233,FIND("·",DK233)-1),$C$232:$C$233,0))-(VALUE(MID(DK233,FIND("|",DK233)+1,FIND("-",DK233,FIND("|",DK233))-FIND("|",DK233)-1))-VALUE(MID(DK233,FIND("-",DK233,FIND("|",DK233))+1,10)))))*$D$50)))))*INDEX($I$232:$I$233,MATCH(LEFT(DK233,FIND("·",DK233)-1),$C$232:$C$233,0)),0),0),0)</f>
        <v>0</v>
      </c>
      <c r="DM233" s="108"/>
      <c r="DN233" s="79"/>
      <c r="DO233" s="80">
        <f t="shared" si="6684"/>
        <v>0</v>
      </c>
      <c r="DP233" s="108"/>
      <c r="DQ233" s="798" t="s">
        <v>2114</v>
      </c>
      <c r="DR233" s="80">
        <f t="shared" si="6685"/>
        <v>0</v>
      </c>
      <c r="DS233" s="108"/>
      <c r="DT233" s="79" t="s">
        <v>2635</v>
      </c>
      <c r="DU233" s="80">
        <f t="shared" si="6686"/>
        <v>0</v>
      </c>
      <c r="DV233" s="108"/>
      <c r="DW233" s="79"/>
      <c r="DX233" s="80">
        <f t="shared" si="6687"/>
        <v>0</v>
      </c>
      <c r="DY233" s="108"/>
      <c r="DZ233" s="79"/>
      <c r="EA233" s="80">
        <f>IFERROR(IF(COUNTIF($K$232:$K$233,LEFT(DZ233,FIND("·",DZ233)-1))&gt;0,IF(INDEX($L$232:$L$233,MATCH(LEFT(DZ233,FIND("·",DZ233)-1),$K$232:$K$233,0))=IFERROR(VALUE(MID(DZ233,FIND("·",DZ233)+1,1)),0),($D$28+(INDEX($M$232:$M$233,MATCH(LEFT(DZ233,FIND("·",DZ233)-1),$K$232:$K$233,0))=MID(DZ233,FIND("|",DZ233)+1,10))*$D$30+MAX(0,IF($D$50=1,$D$29*(1-(ABS(INDEX($P$232:$P$233,MATCH(LEFT(DZ233,FIND("·",DZ233)-1),$K$232:$K$233,0))-(VALUE(MID(DZ233,FIND("|",DZ233)+1,FIND("-",DZ233,FIND("|",DZ233))-FIND("|",DZ233)-1))-VALUE(MID(DZ233,FIND("-",DZ233,FIND("|",DZ233))+1,10)))))*$D$50),$D$29*(1-(IF(INDEX($L$232:$L$233,MATCH(LEFT(DZ233,FIND("·",DZ233)-1),$K$232:$K$233,0))=0,ABS(INDEX($N$232:$N$233,MATCH(LEFT(DZ233,FIND("·",DZ233)-1),$K$232:$K$233,0))-VALUE(MID(DZ233,FIND("|",DZ233)+1,FIND("-",DZ233,FIND("|",DZ233))-FIND("|",DZ233)-1))),ABS(INDEX($P$232:$P$233,MATCH(LEFT(DZ233,FIND("·",DZ233)-1),$K$232:$K$233,0))-(VALUE(MID(DZ233,FIND("|",DZ233)+1,FIND("-",DZ233,FIND("|",DZ233))-FIND("|",DZ233)-1))-VALUE(MID(DZ233,FIND("-",DZ233,FIND("|",DZ233))+1,10)))))*$D$50)))))*INDEX($I$232:$I$233,MATCH(LEFT(DZ233,FIND("·",DZ233)-1),$K$232:$K$233,0)),0),0),0)+IFERROR(IF(COUNTIF($C$232:$C$233,LEFT(DZ233,FIND("·",DZ233)-1))&gt;0,IF(INDEX($D$232:$D$233,MATCH(LEFT(DZ233,FIND("·",DZ233)-1),$C$232:$C$233,0))=IFERROR(VALUE(MID(DZ233,FIND("·",DZ233)+1,1)),0),($D$28+(INDEX($E$232:$E$233,MATCH(LEFT(DZ233,FIND("·",DZ233)-1),$C$232:$C$233,0))=MID(DZ233,FIND("|",DZ233)+1,10))*$D$30+MAX(0,IF($D$50=1,$D$29*(1-(ABS(INDEX($Q$232:$Q$233,MATCH(LEFT(DZ233,FIND("·",DZ233)-1),$C$232:$C$233,0))-(VALUE(MID(DZ233,FIND("|",DZ233)+1,FIND("-",DZ233,FIND("|",DZ233))-FIND("|",DZ233)-1))-VALUE(MID(DZ233,FIND("-",DZ233,FIND("|",DZ233))+1,10)))))*$D$50),$D$29*(1-(IF(INDEX($D$232:$D$233,MATCH(LEFT(DZ233,FIND("·",DZ233)-1),$C$232:$C$233,0))=0,ABS(INDEX($A$232:$A$233,MATCH(LEFT(DZ233,FIND("·",DZ233)-1),$C$232:$C$233,0))-VALUE(MID(DZ233,FIND("|",DZ233)+1,FIND("-",DZ233,FIND("|",DZ233))-FIND("|",DZ233)-1))),ABS(INDEX($Q$232:$Q$233,MATCH(LEFT(DZ233,FIND("·",DZ233)-1),$C$232:$C$233,0))-(VALUE(MID(DZ233,FIND("|",DZ233)+1,FIND("-",DZ233,FIND("|",DZ233))-FIND("|",DZ233)-1))-VALUE(MID(DZ233,FIND("-",DZ233,FIND("|",DZ233))+1,10)))))*$D$50)))))*INDEX($I$232:$I$233,MATCH(LEFT(DZ233,FIND("·",DZ233)-1),$C$232:$C$233,0)),0),0),0)</f>
        <v>0</v>
      </c>
      <c r="EB233" s="108"/>
      <c r="EC233" s="79"/>
      <c r="ED233" s="80">
        <f t="shared" si="6688"/>
        <v>0</v>
      </c>
      <c r="EE233" s="108"/>
      <c r="EF233" s="79"/>
      <c r="EG233" s="80">
        <f t="shared" si="6689"/>
        <v>0</v>
      </c>
      <c r="EH233" s="108"/>
      <c r="EI233" s="79"/>
      <c r="EJ233" s="80">
        <f t="shared" si="6690"/>
        <v>0</v>
      </c>
      <c r="EK233" s="108"/>
      <c r="EL233" s="79"/>
      <c r="EM233" s="80">
        <f t="shared" si="6691"/>
        <v>0</v>
      </c>
      <c r="EN233" s="108"/>
      <c r="EO233" s="79"/>
      <c r="EP233" s="80">
        <f t="shared" si="6692"/>
        <v>0</v>
      </c>
      <c r="EQ233" s="108"/>
      <c r="ER233" s="79"/>
      <c r="ES233" s="80">
        <f t="shared" si="6693"/>
        <v>0</v>
      </c>
      <c r="ET233" s="108"/>
      <c r="EU233" s="79"/>
      <c r="EV233" s="80">
        <f t="shared" si="6694"/>
        <v>0</v>
      </c>
      <c r="EW233" s="108"/>
      <c r="EX233" s="79"/>
      <c r="EY233" s="80">
        <f t="shared" si="6695"/>
        <v>0</v>
      </c>
      <c r="EZ233" s="108"/>
      <c r="FA233" s="79"/>
      <c r="FB233" s="80">
        <f t="shared" si="6696"/>
        <v>0</v>
      </c>
      <c r="FC233" s="108"/>
      <c r="FD233" s="79"/>
      <c r="FE233" s="80">
        <f t="shared" si="6697"/>
        <v>0</v>
      </c>
      <c r="FF233" s="108"/>
      <c r="FG233" s="79"/>
      <c r="FH233" s="80">
        <f t="shared" si="6698"/>
        <v>0</v>
      </c>
      <c r="FI233" s="108"/>
      <c r="FJ233" s="79"/>
      <c r="FK233" s="80">
        <f t="shared" si="6699"/>
        <v>0</v>
      </c>
      <c r="FL233" s="108"/>
      <c r="FM233" s="79"/>
      <c r="FN233" s="80">
        <f t="shared" si="6700"/>
        <v>0</v>
      </c>
      <c r="FO233" s="108"/>
      <c r="FP233" s="79"/>
      <c r="FQ233" s="80">
        <f t="shared" si="6701"/>
        <v>0</v>
      </c>
      <c r="FR233" s="108"/>
      <c r="FS233" s="79"/>
      <c r="FT233" s="80">
        <f t="shared" si="6702"/>
        <v>0</v>
      </c>
      <c r="FU233" s="108"/>
      <c r="FV233" s="79"/>
      <c r="FW233" s="80">
        <f t="shared" si="6703"/>
        <v>0</v>
      </c>
      <c r="FX233" s="108"/>
      <c r="FY233" s="79"/>
      <c r="FZ233" s="80">
        <f t="shared" si="6704"/>
        <v>0</v>
      </c>
      <c r="GA233" s="108"/>
      <c r="GB233" s="79"/>
      <c r="GC233" s="80">
        <f t="shared" si="6705"/>
        <v>0</v>
      </c>
      <c r="GD233" s="108"/>
      <c r="GE233" s="79"/>
      <c r="GF233" s="80">
        <f t="shared" si="6706"/>
        <v>0</v>
      </c>
      <c r="GG233" s="108"/>
      <c r="GH233" s="79"/>
      <c r="GI233" s="80">
        <f t="shared" si="6707"/>
        <v>0</v>
      </c>
      <c r="GJ233" s="108"/>
      <c r="GK233" s="79"/>
      <c r="GL233" s="80">
        <f t="shared" si="6708"/>
        <v>0</v>
      </c>
      <c r="GM233" s="108"/>
      <c r="GN233" s="79"/>
      <c r="GO233" s="80">
        <f t="shared" si="6709"/>
        <v>0</v>
      </c>
      <c r="GP233" s="108"/>
      <c r="GQ233" s="79"/>
      <c r="GR233" s="80">
        <f t="shared" si="6710"/>
        <v>0</v>
      </c>
      <c r="GS233" s="108"/>
      <c r="GT233" s="79"/>
      <c r="GU233" s="80">
        <f t="shared" si="6711"/>
        <v>0</v>
      </c>
      <c r="GV233" s="108"/>
      <c r="GW233" s="79"/>
      <c r="GX233" s="80">
        <f t="shared" si="6712"/>
        <v>0</v>
      </c>
      <c r="GY233" s="108"/>
      <c r="GZ233" s="79"/>
      <c r="HA233" s="80">
        <f t="shared" si="6713"/>
        <v>0</v>
      </c>
      <c r="HB233" s="108"/>
      <c r="HC233" s="79"/>
      <c r="HD233" s="80">
        <f t="shared" si="6714"/>
        <v>0</v>
      </c>
      <c r="HE233" s="108"/>
      <c r="HF233" s="79"/>
      <c r="HG233" s="80">
        <f t="shared" si="6715"/>
        <v>0</v>
      </c>
      <c r="HH233" s="108"/>
      <c r="HI233" s="79"/>
      <c r="HJ233" s="80">
        <f t="shared" si="6716"/>
        <v>0</v>
      </c>
      <c r="HK233" s="108"/>
      <c r="HL233" s="79"/>
      <c r="HM233" s="80">
        <f t="shared" si="6717"/>
        <v>0</v>
      </c>
      <c r="HN233" s="108"/>
      <c r="HO233" s="79"/>
      <c r="HP233" s="80">
        <f t="shared" si="6718"/>
        <v>0</v>
      </c>
      <c r="HQ233" s="108"/>
      <c r="HR233" s="79"/>
      <c r="HS233" s="80">
        <f t="shared" si="6719"/>
        <v>0</v>
      </c>
      <c r="HT233" s="108"/>
      <c r="HU233" s="79"/>
      <c r="HV233" s="80">
        <f t="shared" si="6720"/>
        <v>0</v>
      </c>
      <c r="HW233" s="108"/>
      <c r="HX233" s="79"/>
      <c r="HY233" s="80">
        <f t="shared" si="6721"/>
        <v>0</v>
      </c>
      <c r="HZ233" s="108"/>
      <c r="IA233" s="79"/>
      <c r="IB233" s="80">
        <f t="shared" si="6722"/>
        <v>0</v>
      </c>
      <c r="IC233" s="108"/>
      <c r="ID233" s="79"/>
      <c r="IE233" s="80">
        <f t="shared" si="6723"/>
        <v>0</v>
      </c>
      <c r="IF233" s="108"/>
      <c r="IG233" s="79"/>
      <c r="IH233" s="80">
        <f t="shared" si="6724"/>
        <v>0</v>
      </c>
      <c r="II233" s="108"/>
      <c r="IJ233" s="79"/>
      <c r="IK233" s="80">
        <f t="shared" si="6725"/>
        <v>0</v>
      </c>
      <c r="IL233" s="108"/>
      <c r="IM233" s="79"/>
      <c r="IN233" s="80">
        <f t="shared" si="6726"/>
        <v>0</v>
      </c>
      <c r="IO233" s="108"/>
      <c r="IP233" s="79"/>
      <c r="IQ233" s="80">
        <f t="shared" si="6727"/>
        <v>0</v>
      </c>
      <c r="IR233" s="108"/>
      <c r="IS233" s="79"/>
      <c r="IT233" s="80">
        <f t="shared" si="6728"/>
        <v>0</v>
      </c>
      <c r="IU233" s="108"/>
      <c r="IV233" s="79"/>
      <c r="IW233" s="80">
        <f t="shared" si="6729"/>
        <v>0</v>
      </c>
      <c r="IX233" s="108"/>
      <c r="IY233" s="79"/>
      <c r="IZ233" s="80">
        <f t="shared" si="6730"/>
        <v>0</v>
      </c>
      <c r="JA233" s="108"/>
      <c r="JB233" s="79"/>
      <c r="JC233" s="80">
        <f t="shared" si="6731"/>
        <v>0</v>
      </c>
      <c r="JD233" s="108"/>
      <c r="JE233" s="79"/>
      <c r="JF233" s="80">
        <f t="shared" si="6732"/>
        <v>0</v>
      </c>
      <c r="JG233" s="108"/>
      <c r="JH233" s="79"/>
      <c r="JI233" s="80">
        <f t="shared" si="6733"/>
        <v>0</v>
      </c>
      <c r="JJ233" s="108"/>
      <c r="JK233" s="79"/>
      <c r="JL233" s="80">
        <f t="shared" si="6734"/>
        <v>0</v>
      </c>
      <c r="JM233" s="108"/>
      <c r="JN233" s="79"/>
      <c r="JO233" s="80">
        <f t="shared" si="6735"/>
        <v>0</v>
      </c>
      <c r="JP233" s="108"/>
      <c r="JQ233" s="79"/>
      <c r="JR233" s="80">
        <f t="shared" si="6736"/>
        <v>0</v>
      </c>
      <c r="JS233" s="108"/>
      <c r="JT233" s="79"/>
      <c r="JU233" s="80">
        <f t="shared" si="6737"/>
        <v>0</v>
      </c>
      <c r="JV233" s="108"/>
      <c r="JW233" s="79"/>
      <c r="JX233" s="80">
        <f t="shared" si="6738"/>
        <v>0</v>
      </c>
      <c r="JY233" s="108"/>
      <c r="JZ233" s="79"/>
      <c r="KA233" s="80">
        <f t="shared" si="6739"/>
        <v>0</v>
      </c>
      <c r="KB233" s="108"/>
      <c r="KC233" s="79"/>
      <c r="KD233" s="80">
        <f t="shared" si="6740"/>
        <v>0</v>
      </c>
      <c r="KE233" s="108"/>
      <c r="KF233" s="79"/>
      <c r="KG233" s="80">
        <f t="shared" si="6741"/>
        <v>0</v>
      </c>
      <c r="KH233" s="108"/>
      <c r="KI233" s="79"/>
      <c r="KJ233" s="80">
        <f t="shared" si="6742"/>
        <v>0</v>
      </c>
      <c r="KK233" s="108"/>
      <c r="KL233" s="79"/>
      <c r="KM233" s="80">
        <f t="shared" si="6743"/>
        <v>0</v>
      </c>
      <c r="KN233" s="108"/>
      <c r="KO233" s="79"/>
      <c r="KP233" s="80">
        <f t="shared" si="6744"/>
        <v>0</v>
      </c>
      <c r="KQ233" s="108"/>
      <c r="KR233" s="79"/>
      <c r="KS233" s="80">
        <f t="shared" si="6745"/>
        <v>0</v>
      </c>
      <c r="KT233" s="108"/>
      <c r="KU233" s="79"/>
      <c r="KV233" s="80">
        <f t="shared" si="6746"/>
        <v>0</v>
      </c>
      <c r="KW233" s="108"/>
      <c r="KX233" s="79"/>
      <c r="KY233" s="80">
        <f t="shared" si="6747"/>
        <v>0</v>
      </c>
      <c r="KZ233" s="108"/>
      <c r="LA233" s="79"/>
      <c r="LB233" s="80">
        <f t="shared" si="6748"/>
        <v>0</v>
      </c>
      <c r="LC233" s="108"/>
      <c r="LD233" s="79"/>
      <c r="LE233" s="80">
        <f t="shared" si="6749"/>
        <v>0</v>
      </c>
      <c r="LF233" s="108"/>
    </row>
    <row r="234" spans="1:318" s="784" customFormat="1">
      <c r="A234" s="25"/>
      <c r="B234" s="25"/>
      <c r="C234" s="25"/>
      <c r="D234" s="25"/>
      <c r="E234" s="25"/>
      <c r="F234" s="406"/>
      <c r="G234" s="406"/>
      <c r="H234" s="64"/>
      <c r="I234" s="50"/>
      <c r="J234" s="92"/>
      <c r="K234" s="432" t="str">
        <f>Idiomas!D464</f>
        <v>Partidos 1/2</v>
      </c>
      <c r="L234" s="433"/>
      <c r="M234" s="432" t="str">
        <f>"Max: "&amp;SUM($D$28:$D$30)*SUM($I$232:$I$233)</f>
        <v>Max: 60</v>
      </c>
      <c r="N234" s="25"/>
      <c r="O234" s="25"/>
      <c r="P234" s="25"/>
      <c r="Q234" s="25"/>
      <c r="R234" s="17"/>
      <c r="S234" s="797"/>
      <c r="T234" s="70">
        <f t="shared" ref="T234" si="6751">SUM(T232:T233)</f>
        <v>0</v>
      </c>
      <c r="U234" s="49"/>
      <c r="V234" s="83"/>
      <c r="W234" s="70">
        <f t="shared" ref="W234" si="6752">SUM(W232:W233)</f>
        <v>0</v>
      </c>
      <c r="X234" s="49"/>
      <c r="Y234" s="797"/>
      <c r="Z234" s="70">
        <f t="shared" ref="Z234" si="6753">SUM(Z232:Z233)</f>
        <v>0</v>
      </c>
      <c r="AA234" s="49"/>
      <c r="AB234" s="797"/>
      <c r="AC234" s="70">
        <f t="shared" ref="AC234" si="6754">SUM(AC232:AC233)</f>
        <v>0</v>
      </c>
      <c r="AD234" s="109"/>
      <c r="AE234" s="797"/>
      <c r="AF234" s="70">
        <f t="shared" ref="AF234" si="6755">SUM(AF232:AF233)</f>
        <v>0</v>
      </c>
      <c r="AG234" s="49"/>
      <c r="AH234" s="797"/>
      <c r="AI234" s="70">
        <f t="shared" ref="AI234" si="6756">SUM(AI232:AI233)</f>
        <v>0</v>
      </c>
      <c r="AJ234" s="49"/>
      <c r="AK234" s="802"/>
      <c r="AL234" s="70">
        <f t="shared" ref="AL234" si="6757">SUM(AL232:AL233)</f>
        <v>0</v>
      </c>
      <c r="AM234" s="49"/>
      <c r="AN234" s="797"/>
      <c r="AO234" s="70">
        <f t="shared" ref="AO234" si="6758">SUM(AO232:AO233)</f>
        <v>0</v>
      </c>
      <c r="AP234" s="49"/>
      <c r="AQ234" s="802"/>
      <c r="AR234" s="70">
        <f t="shared" ref="AR234" si="6759">SUM(AR232:AR233)</f>
        <v>0</v>
      </c>
      <c r="AS234" s="109"/>
      <c r="AT234" s="797"/>
      <c r="AU234" s="70">
        <f t="shared" ref="AU234" si="6760">SUM(AU232:AU233)</f>
        <v>0</v>
      </c>
      <c r="AV234" s="49"/>
      <c r="AW234" s="797"/>
      <c r="AX234" s="70">
        <f t="shared" ref="AX234" si="6761">SUM(AX232:AX233)</f>
        <v>0</v>
      </c>
      <c r="AY234" s="49"/>
      <c r="AZ234" s="797"/>
      <c r="BA234" s="70">
        <f t="shared" ref="BA234" si="6762">SUM(BA232:BA233)</f>
        <v>0</v>
      </c>
      <c r="BB234" s="49"/>
      <c r="BC234" s="797"/>
      <c r="BD234" s="70">
        <f t="shared" ref="BD234" si="6763">SUM(BD232:BD233)</f>
        <v>0</v>
      </c>
      <c r="BE234" s="49"/>
      <c r="BF234" s="797"/>
      <c r="BG234" s="70">
        <f t="shared" ref="BG234" si="6764">SUM(BG232:BG233)</f>
        <v>0</v>
      </c>
      <c r="BH234" s="109"/>
      <c r="BI234" s="797"/>
      <c r="BJ234" s="70">
        <f t="shared" ref="BJ234" si="6765">SUM(BJ232:BJ233)</f>
        <v>0</v>
      </c>
      <c r="BK234" s="49"/>
      <c r="BL234" s="797"/>
      <c r="BM234" s="70">
        <f t="shared" ref="BM234" si="6766">SUM(BM232:BM233)</f>
        <v>0</v>
      </c>
      <c r="BN234" s="49"/>
      <c r="BO234" s="812"/>
      <c r="BP234" s="70">
        <f t="shared" ref="BP234" si="6767">SUM(BP232:BP233)</f>
        <v>0</v>
      </c>
      <c r="BQ234" s="49"/>
      <c r="BR234" s="797"/>
      <c r="BS234" s="70">
        <f t="shared" ref="BS234" si="6768">SUM(BS232:BS233)</f>
        <v>0</v>
      </c>
      <c r="BT234" s="49"/>
      <c r="BU234" s="797"/>
      <c r="BV234" s="70">
        <f t="shared" ref="BV234" si="6769">SUM(BV232:BV233)</f>
        <v>0</v>
      </c>
      <c r="BW234" s="109"/>
      <c r="BX234" s="83"/>
      <c r="BY234" s="70">
        <f t="shared" ref="BY234" si="6770">SUM(BY232:BY233)</f>
        <v>0</v>
      </c>
      <c r="BZ234" s="49"/>
      <c r="CA234" s="812"/>
      <c r="CB234" s="70">
        <f t="shared" ref="CB234" si="6771">SUM(CB232:CB233)</f>
        <v>0</v>
      </c>
      <c r="CC234" s="49"/>
      <c r="CD234" s="821"/>
      <c r="CE234" s="70">
        <f t="shared" ref="CE234" si="6772">SUM(CE232:CE233)</f>
        <v>0</v>
      </c>
      <c r="CF234" s="49"/>
      <c r="CG234" s="797"/>
      <c r="CH234" s="70">
        <f t="shared" ref="CH234" si="6773">SUM(CH232:CH233)</f>
        <v>0</v>
      </c>
      <c r="CI234" s="49"/>
      <c r="CJ234" s="797"/>
      <c r="CK234" s="70">
        <f t="shared" ref="CK234" si="6774">SUM(CK232:CK233)</f>
        <v>0</v>
      </c>
      <c r="CL234" s="109"/>
      <c r="CM234" s="797"/>
      <c r="CN234" s="70">
        <f t="shared" ref="CN234" si="6775">SUM(CN232:CN233)</f>
        <v>0</v>
      </c>
      <c r="CO234" s="49"/>
      <c r="CP234" s="797"/>
      <c r="CQ234" s="70">
        <f t="shared" ref="CQ234" si="6776">SUM(CQ232:CQ233)</f>
        <v>0</v>
      </c>
      <c r="CR234" s="49"/>
      <c r="CS234" s="797"/>
      <c r="CT234" s="70">
        <f t="shared" ref="CT234" si="6777">SUM(CT232:CT233)</f>
        <v>0</v>
      </c>
      <c r="CU234" s="49"/>
      <c r="CV234" s="797"/>
      <c r="CW234" s="70">
        <f t="shared" ref="CW234" si="6778">SUM(CW232:CW233)</f>
        <v>0</v>
      </c>
      <c r="CX234" s="49"/>
      <c r="CY234" s="797"/>
      <c r="CZ234" s="70">
        <f t="shared" ref="CZ234" si="6779">SUM(CZ232:CZ233)</f>
        <v>0</v>
      </c>
      <c r="DA234" s="109"/>
      <c r="DB234" s="797"/>
      <c r="DC234" s="70">
        <f t="shared" ref="DC234" si="6780">SUM(DC232:DC233)</f>
        <v>0</v>
      </c>
      <c r="DD234" s="49"/>
      <c r="DE234" s="797"/>
      <c r="DF234" s="70">
        <f t="shared" ref="DF234" si="6781">SUM(DF232:DF233)</f>
        <v>0</v>
      </c>
      <c r="DG234" s="49"/>
      <c r="DH234" s="797"/>
      <c r="DI234" s="70">
        <f t="shared" ref="DI234" si="6782">SUM(DI232:DI233)</f>
        <v>0</v>
      </c>
      <c r="DJ234" s="49"/>
      <c r="DK234" s="797"/>
      <c r="DL234" s="70">
        <f t="shared" ref="DL234" si="6783">SUM(DL232:DL233)</f>
        <v>0</v>
      </c>
      <c r="DM234" s="49"/>
      <c r="DN234" s="83"/>
      <c r="DO234" s="70">
        <f t="shared" ref="DO234" si="6784">SUM(DO232:DO233)</f>
        <v>0</v>
      </c>
      <c r="DP234" s="109"/>
      <c r="DQ234" s="797"/>
      <c r="DR234" s="70">
        <f t="shared" ref="DR234" si="6785">SUM(DR232:DR233)</f>
        <v>0</v>
      </c>
      <c r="DS234" s="49"/>
      <c r="DT234" s="83"/>
      <c r="DU234" s="70">
        <f t="shared" ref="DU234" si="6786">SUM(DU232:DU233)</f>
        <v>0</v>
      </c>
      <c r="DV234" s="49"/>
      <c r="DW234" s="83"/>
      <c r="DX234" s="70">
        <f t="shared" ref="DX234" si="6787">SUM(DX232:DX233)</f>
        <v>0</v>
      </c>
      <c r="DY234" s="49"/>
      <c r="DZ234" s="83"/>
      <c r="EA234" s="70">
        <f t="shared" ref="EA234" si="6788">SUM(EA232:EA233)</f>
        <v>0</v>
      </c>
      <c r="EB234" s="49"/>
      <c r="EC234" s="83"/>
      <c r="ED234" s="70">
        <f t="shared" ref="ED234" si="6789">SUM(ED232:ED233)</f>
        <v>0</v>
      </c>
      <c r="EE234" s="109"/>
      <c r="EF234" s="83"/>
      <c r="EG234" s="70">
        <f t="shared" ref="EG234" si="6790">SUM(EG232:EG233)</f>
        <v>0</v>
      </c>
      <c r="EH234" s="49"/>
      <c r="EI234" s="83"/>
      <c r="EJ234" s="70">
        <f t="shared" ref="EJ234" si="6791">SUM(EJ232:EJ233)</f>
        <v>0</v>
      </c>
      <c r="EK234" s="49"/>
      <c r="EL234" s="83"/>
      <c r="EM234" s="70">
        <f t="shared" ref="EM234" si="6792">SUM(EM232:EM233)</f>
        <v>0</v>
      </c>
      <c r="EN234" s="49"/>
      <c r="EO234" s="83"/>
      <c r="EP234" s="70">
        <f t="shared" ref="EP234" si="6793">SUM(EP232:EP233)</f>
        <v>0</v>
      </c>
      <c r="EQ234" s="49"/>
      <c r="ER234" s="83"/>
      <c r="ES234" s="70">
        <f t="shared" ref="ES234" si="6794">SUM(ES232:ES233)</f>
        <v>0</v>
      </c>
      <c r="ET234" s="109"/>
      <c r="EU234" s="83"/>
      <c r="EV234" s="70">
        <f t="shared" ref="EV234" si="6795">SUM(EV232:EV233)</f>
        <v>0</v>
      </c>
      <c r="EW234" s="49"/>
      <c r="EX234" s="83"/>
      <c r="EY234" s="70">
        <f t="shared" ref="EY234" si="6796">SUM(EY232:EY233)</f>
        <v>0</v>
      </c>
      <c r="EZ234" s="49"/>
      <c r="FA234" s="83"/>
      <c r="FB234" s="70">
        <f t="shared" ref="FB234" si="6797">SUM(FB232:FB233)</f>
        <v>0</v>
      </c>
      <c r="FC234" s="49"/>
      <c r="FD234" s="83"/>
      <c r="FE234" s="70">
        <f t="shared" ref="FE234" si="6798">SUM(FE232:FE233)</f>
        <v>0</v>
      </c>
      <c r="FF234" s="49"/>
      <c r="FG234" s="83"/>
      <c r="FH234" s="70">
        <f t="shared" ref="FH234" si="6799">SUM(FH232:FH233)</f>
        <v>0</v>
      </c>
      <c r="FI234" s="109"/>
      <c r="FJ234" s="83"/>
      <c r="FK234" s="70">
        <f t="shared" ref="FK234" si="6800">SUM(FK232:FK233)</f>
        <v>0</v>
      </c>
      <c r="FL234" s="49"/>
      <c r="FM234" s="83"/>
      <c r="FN234" s="70">
        <f t="shared" ref="FN234" si="6801">SUM(FN232:FN233)</f>
        <v>0</v>
      </c>
      <c r="FO234" s="49"/>
      <c r="FP234" s="83"/>
      <c r="FQ234" s="70">
        <f t="shared" ref="FQ234" si="6802">SUM(FQ232:FQ233)</f>
        <v>0</v>
      </c>
      <c r="FR234" s="49"/>
      <c r="FS234" s="83"/>
      <c r="FT234" s="70">
        <f t="shared" ref="FT234" si="6803">SUM(FT232:FT233)</f>
        <v>0</v>
      </c>
      <c r="FU234" s="49"/>
      <c r="FV234" s="83"/>
      <c r="FW234" s="70">
        <f t="shared" ref="FW234" si="6804">SUM(FW232:FW233)</f>
        <v>0</v>
      </c>
      <c r="FX234" s="109"/>
      <c r="FY234" s="83"/>
      <c r="FZ234" s="70">
        <f t="shared" ref="FZ234" si="6805">SUM(FZ232:FZ233)</f>
        <v>0</v>
      </c>
      <c r="GA234" s="49"/>
      <c r="GB234" s="83"/>
      <c r="GC234" s="70">
        <f t="shared" ref="GC234" si="6806">SUM(GC232:GC233)</f>
        <v>0</v>
      </c>
      <c r="GD234" s="49"/>
      <c r="GE234" s="83"/>
      <c r="GF234" s="70">
        <f t="shared" ref="GF234" si="6807">SUM(GF232:GF233)</f>
        <v>0</v>
      </c>
      <c r="GG234" s="49"/>
      <c r="GH234" s="83"/>
      <c r="GI234" s="70">
        <f t="shared" ref="GI234" si="6808">SUM(GI232:GI233)</f>
        <v>0</v>
      </c>
      <c r="GJ234" s="49"/>
      <c r="GK234" s="83"/>
      <c r="GL234" s="70">
        <f t="shared" ref="GL234" si="6809">SUM(GL232:GL233)</f>
        <v>0</v>
      </c>
      <c r="GM234" s="109"/>
      <c r="GN234" s="83"/>
      <c r="GO234" s="70">
        <f t="shared" ref="GO234" si="6810">SUM(GO232:GO233)</f>
        <v>0</v>
      </c>
      <c r="GP234" s="49"/>
      <c r="GQ234" s="83"/>
      <c r="GR234" s="70">
        <f t="shared" ref="GR234" si="6811">SUM(GR232:GR233)</f>
        <v>0</v>
      </c>
      <c r="GS234" s="49"/>
      <c r="GT234" s="83"/>
      <c r="GU234" s="70">
        <f t="shared" ref="GU234" si="6812">SUM(GU232:GU233)</f>
        <v>0</v>
      </c>
      <c r="GV234" s="49"/>
      <c r="GW234" s="83"/>
      <c r="GX234" s="70">
        <f t="shared" ref="GX234" si="6813">SUM(GX232:GX233)</f>
        <v>0</v>
      </c>
      <c r="GY234" s="49"/>
      <c r="GZ234" s="83"/>
      <c r="HA234" s="70">
        <f t="shared" ref="HA234" si="6814">SUM(HA232:HA233)</f>
        <v>0</v>
      </c>
      <c r="HB234" s="109"/>
      <c r="HC234" s="83"/>
      <c r="HD234" s="70">
        <f t="shared" ref="HD234" si="6815">SUM(HD232:HD233)</f>
        <v>0</v>
      </c>
      <c r="HE234" s="49"/>
      <c r="HF234" s="83"/>
      <c r="HG234" s="70">
        <f t="shared" ref="HG234" si="6816">SUM(HG232:HG233)</f>
        <v>0</v>
      </c>
      <c r="HH234" s="49"/>
      <c r="HI234" s="83"/>
      <c r="HJ234" s="70">
        <f t="shared" ref="HJ234" si="6817">SUM(HJ232:HJ233)</f>
        <v>0</v>
      </c>
      <c r="HK234" s="49"/>
      <c r="HL234" s="83"/>
      <c r="HM234" s="70">
        <f t="shared" ref="HM234" si="6818">SUM(HM232:HM233)</f>
        <v>0</v>
      </c>
      <c r="HN234" s="49"/>
      <c r="HO234" s="83"/>
      <c r="HP234" s="70">
        <f t="shared" ref="HP234" si="6819">SUM(HP232:HP233)</f>
        <v>0</v>
      </c>
      <c r="HQ234" s="109"/>
      <c r="HR234" s="83"/>
      <c r="HS234" s="70">
        <f t="shared" ref="HS234" si="6820">SUM(HS232:HS233)</f>
        <v>0</v>
      </c>
      <c r="HT234" s="49"/>
      <c r="HU234" s="83"/>
      <c r="HV234" s="70">
        <f t="shared" ref="HV234" si="6821">SUM(HV232:HV233)</f>
        <v>0</v>
      </c>
      <c r="HW234" s="49"/>
      <c r="HX234" s="83"/>
      <c r="HY234" s="70">
        <f t="shared" ref="HY234" si="6822">SUM(HY232:HY233)</f>
        <v>0</v>
      </c>
      <c r="HZ234" s="49"/>
      <c r="IA234" s="83"/>
      <c r="IB234" s="70">
        <f t="shared" ref="IB234" si="6823">SUM(IB232:IB233)</f>
        <v>0</v>
      </c>
      <c r="IC234" s="49"/>
      <c r="ID234" s="83"/>
      <c r="IE234" s="70">
        <f t="shared" ref="IE234" si="6824">SUM(IE232:IE233)</f>
        <v>0</v>
      </c>
      <c r="IF234" s="109"/>
      <c r="IG234" s="83"/>
      <c r="IH234" s="70">
        <f t="shared" ref="IH234" si="6825">SUM(IH232:IH233)</f>
        <v>0</v>
      </c>
      <c r="II234" s="49"/>
      <c r="IJ234" s="83"/>
      <c r="IK234" s="70">
        <f t="shared" ref="IK234" si="6826">SUM(IK232:IK233)</f>
        <v>0</v>
      </c>
      <c r="IL234" s="49"/>
      <c r="IM234" s="83"/>
      <c r="IN234" s="70">
        <f t="shared" ref="IN234" si="6827">SUM(IN232:IN233)</f>
        <v>0</v>
      </c>
      <c r="IO234" s="49"/>
      <c r="IP234" s="83"/>
      <c r="IQ234" s="70">
        <f t="shared" ref="IQ234" si="6828">SUM(IQ232:IQ233)</f>
        <v>0</v>
      </c>
      <c r="IR234" s="49"/>
      <c r="IS234" s="83"/>
      <c r="IT234" s="70">
        <f t="shared" ref="IT234" si="6829">SUM(IT232:IT233)</f>
        <v>0</v>
      </c>
      <c r="IU234" s="109"/>
      <c r="IV234" s="83"/>
      <c r="IW234" s="70">
        <f t="shared" ref="IW234" si="6830">SUM(IW232:IW233)</f>
        <v>0</v>
      </c>
      <c r="IX234" s="49"/>
      <c r="IY234" s="83"/>
      <c r="IZ234" s="70">
        <f t="shared" ref="IZ234" si="6831">SUM(IZ232:IZ233)</f>
        <v>0</v>
      </c>
      <c r="JA234" s="49"/>
      <c r="JB234" s="83"/>
      <c r="JC234" s="70">
        <f t="shared" ref="JC234" si="6832">SUM(JC232:JC233)</f>
        <v>0</v>
      </c>
      <c r="JD234" s="49"/>
      <c r="JE234" s="83"/>
      <c r="JF234" s="70">
        <f t="shared" ref="JF234" si="6833">SUM(JF232:JF233)</f>
        <v>0</v>
      </c>
      <c r="JG234" s="49"/>
      <c r="JH234" s="83"/>
      <c r="JI234" s="70">
        <f t="shared" ref="JI234" si="6834">SUM(JI232:JI233)</f>
        <v>0</v>
      </c>
      <c r="JJ234" s="109"/>
      <c r="JK234" s="83"/>
      <c r="JL234" s="70">
        <f t="shared" ref="JL234" si="6835">SUM(JL232:JL233)</f>
        <v>0</v>
      </c>
      <c r="JM234" s="49"/>
      <c r="JN234" s="83"/>
      <c r="JO234" s="70">
        <f t="shared" ref="JO234" si="6836">SUM(JO232:JO233)</f>
        <v>0</v>
      </c>
      <c r="JP234" s="49"/>
      <c r="JQ234" s="83"/>
      <c r="JR234" s="70">
        <f t="shared" ref="JR234" si="6837">SUM(JR232:JR233)</f>
        <v>0</v>
      </c>
      <c r="JS234" s="49"/>
      <c r="JT234" s="83"/>
      <c r="JU234" s="70">
        <f t="shared" ref="JU234" si="6838">SUM(JU232:JU233)</f>
        <v>0</v>
      </c>
      <c r="JV234" s="49"/>
      <c r="JW234" s="83"/>
      <c r="JX234" s="70">
        <f t="shared" ref="JX234" si="6839">SUM(JX232:JX233)</f>
        <v>0</v>
      </c>
      <c r="JY234" s="109"/>
      <c r="JZ234" s="83"/>
      <c r="KA234" s="70">
        <f t="shared" ref="KA234" si="6840">SUM(KA232:KA233)</f>
        <v>0</v>
      </c>
      <c r="KB234" s="49"/>
      <c r="KC234" s="83"/>
      <c r="KD234" s="70">
        <f t="shared" ref="KD234" si="6841">SUM(KD232:KD233)</f>
        <v>0</v>
      </c>
      <c r="KE234" s="49"/>
      <c r="KF234" s="83"/>
      <c r="KG234" s="70">
        <f t="shared" ref="KG234" si="6842">SUM(KG232:KG233)</f>
        <v>0</v>
      </c>
      <c r="KH234" s="49"/>
      <c r="KI234" s="83"/>
      <c r="KJ234" s="70">
        <f t="shared" ref="KJ234" si="6843">SUM(KJ232:KJ233)</f>
        <v>0</v>
      </c>
      <c r="KK234" s="49"/>
      <c r="KL234" s="83"/>
      <c r="KM234" s="70">
        <f t="shared" ref="KM234" si="6844">SUM(KM232:KM233)</f>
        <v>0</v>
      </c>
      <c r="KN234" s="109"/>
      <c r="KO234" s="83"/>
      <c r="KP234" s="70">
        <f t="shared" ref="KP234" si="6845">SUM(KP232:KP233)</f>
        <v>0</v>
      </c>
      <c r="KQ234" s="49"/>
      <c r="KR234" s="83"/>
      <c r="KS234" s="70">
        <f t="shared" ref="KS234" si="6846">SUM(KS232:KS233)</f>
        <v>0</v>
      </c>
      <c r="KT234" s="49"/>
      <c r="KU234" s="83"/>
      <c r="KV234" s="70">
        <f t="shared" ref="KV234" si="6847">SUM(KV232:KV233)</f>
        <v>0</v>
      </c>
      <c r="KW234" s="49"/>
      <c r="KX234" s="83"/>
      <c r="KY234" s="70">
        <f t="shared" ref="KY234" si="6848">SUM(KY232:KY233)</f>
        <v>0</v>
      </c>
      <c r="KZ234" s="49"/>
      <c r="LA234" s="83"/>
      <c r="LB234" s="70">
        <f t="shared" ref="LB234" si="6849">SUM(LB232:LB233)</f>
        <v>0</v>
      </c>
      <c r="LC234" s="109"/>
      <c r="LD234" s="83"/>
      <c r="LE234" s="70">
        <f t="shared" ref="LE234" si="6850">SUM(LE232:LE233)</f>
        <v>0</v>
      </c>
      <c r="LF234" s="49"/>
    </row>
    <row r="235" spans="1:318" s="784" customFormat="1">
      <c r="A235" s="25"/>
      <c r="B235" s="25"/>
      <c r="C235" s="25"/>
      <c r="D235" s="25"/>
      <c r="E235" s="25"/>
      <c r="F235" s="406"/>
      <c r="G235" s="406"/>
      <c r="H235" s="64"/>
      <c r="I235" s="50"/>
      <c r="J235" s="92"/>
      <c r="K235" s="111" t="str">
        <f>Idiomas!D145</f>
        <v>CLASIFICADOS PARA EL 3º y 4º PUESTO</v>
      </c>
      <c r="L235" s="50"/>
      <c r="M235" s="70"/>
      <c r="N235" s="25"/>
      <c r="O235" s="25"/>
      <c r="P235" s="25"/>
      <c r="Q235" s="25"/>
      <c r="R235" s="17"/>
      <c r="S235" s="797"/>
      <c r="T235" s="70"/>
      <c r="U235" s="49"/>
      <c r="V235" s="83"/>
      <c r="W235" s="70"/>
      <c r="X235" s="49"/>
      <c r="Y235" s="797"/>
      <c r="Z235" s="70"/>
      <c r="AA235" s="49"/>
      <c r="AB235" s="797"/>
      <c r="AC235" s="70"/>
      <c r="AD235" s="109"/>
      <c r="AE235" s="797"/>
      <c r="AF235" s="70"/>
      <c r="AG235" s="49"/>
      <c r="AH235" s="797"/>
      <c r="AI235" s="70"/>
      <c r="AJ235" s="49"/>
      <c r="AK235" s="802"/>
      <c r="AL235" s="70"/>
      <c r="AM235" s="49"/>
      <c r="AN235" s="797"/>
      <c r="AO235" s="70"/>
      <c r="AP235" s="49"/>
      <c r="AQ235" s="802"/>
      <c r="AR235" s="70"/>
      <c r="AS235" s="109"/>
      <c r="AT235" s="797"/>
      <c r="AU235" s="70"/>
      <c r="AV235" s="49"/>
      <c r="AW235" s="797"/>
      <c r="AX235" s="70"/>
      <c r="AY235" s="49"/>
      <c r="AZ235" s="797"/>
      <c r="BA235" s="70"/>
      <c r="BB235" s="49"/>
      <c r="BC235" s="797"/>
      <c r="BD235" s="70"/>
      <c r="BE235" s="49"/>
      <c r="BF235" s="797"/>
      <c r="BG235" s="70"/>
      <c r="BH235" s="109"/>
      <c r="BI235" s="797"/>
      <c r="BJ235" s="70"/>
      <c r="BK235" s="49"/>
      <c r="BL235" s="797"/>
      <c r="BM235" s="70"/>
      <c r="BN235" s="49"/>
      <c r="BO235" s="812"/>
      <c r="BP235" s="70"/>
      <c r="BQ235" s="49"/>
      <c r="BR235" s="797"/>
      <c r="BS235" s="70"/>
      <c r="BT235" s="49"/>
      <c r="BU235" s="797"/>
      <c r="BV235" s="70"/>
      <c r="BW235" s="109"/>
      <c r="BX235" s="83"/>
      <c r="BY235" s="70"/>
      <c r="BZ235" s="49"/>
      <c r="CA235" s="812"/>
      <c r="CB235" s="70"/>
      <c r="CC235" s="49"/>
      <c r="CD235" s="821"/>
      <c r="CE235" s="70"/>
      <c r="CF235" s="49"/>
      <c r="CG235" s="797"/>
      <c r="CH235" s="70"/>
      <c r="CI235" s="49"/>
      <c r="CJ235" s="797"/>
      <c r="CK235" s="70"/>
      <c r="CL235" s="109"/>
      <c r="CM235" s="797"/>
      <c r="CN235" s="70"/>
      <c r="CO235" s="49"/>
      <c r="CP235" s="797"/>
      <c r="CQ235" s="70"/>
      <c r="CR235" s="49"/>
      <c r="CS235" s="797"/>
      <c r="CT235" s="70"/>
      <c r="CU235" s="49"/>
      <c r="CV235" s="797"/>
      <c r="CW235" s="70"/>
      <c r="CX235" s="49"/>
      <c r="CY235" s="797"/>
      <c r="CZ235" s="70"/>
      <c r="DA235" s="109"/>
      <c r="DB235" s="797"/>
      <c r="DC235" s="70"/>
      <c r="DD235" s="49"/>
      <c r="DE235" s="797"/>
      <c r="DF235" s="70"/>
      <c r="DG235" s="49"/>
      <c r="DH235" s="797"/>
      <c r="DI235" s="70"/>
      <c r="DJ235" s="49"/>
      <c r="DK235" s="797"/>
      <c r="DL235" s="70"/>
      <c r="DM235" s="49"/>
      <c r="DN235" s="83"/>
      <c r="DO235" s="70"/>
      <c r="DP235" s="109"/>
      <c r="DQ235" s="797"/>
      <c r="DR235" s="70"/>
      <c r="DS235" s="49"/>
      <c r="DT235" s="83"/>
      <c r="DU235" s="70"/>
      <c r="DV235" s="49"/>
      <c r="DW235" s="83"/>
      <c r="DX235" s="70"/>
      <c r="DY235" s="49"/>
      <c r="DZ235" s="83"/>
      <c r="EA235" s="70"/>
      <c r="EB235" s="49"/>
      <c r="EC235" s="83"/>
      <c r="ED235" s="70"/>
      <c r="EE235" s="109"/>
      <c r="EF235" s="83"/>
      <c r="EG235" s="70"/>
      <c r="EH235" s="49"/>
      <c r="EI235" s="83"/>
      <c r="EJ235" s="70"/>
      <c r="EK235" s="49"/>
      <c r="EL235" s="83"/>
      <c r="EM235" s="70"/>
      <c r="EN235" s="49"/>
      <c r="EO235" s="83"/>
      <c r="EP235" s="70"/>
      <c r="EQ235" s="49"/>
      <c r="ER235" s="83"/>
      <c r="ES235" s="70"/>
      <c r="ET235" s="109"/>
      <c r="EU235" s="83"/>
      <c r="EV235" s="70"/>
      <c r="EW235" s="49"/>
      <c r="EX235" s="83"/>
      <c r="EY235" s="70"/>
      <c r="EZ235" s="49"/>
      <c r="FA235" s="83"/>
      <c r="FB235" s="70"/>
      <c r="FC235" s="49"/>
      <c r="FD235" s="83"/>
      <c r="FE235" s="70"/>
      <c r="FF235" s="49"/>
      <c r="FG235" s="83"/>
      <c r="FH235" s="70"/>
      <c r="FI235" s="109"/>
      <c r="FJ235" s="83"/>
      <c r="FK235" s="70"/>
      <c r="FL235" s="49"/>
      <c r="FM235" s="83"/>
      <c r="FN235" s="70"/>
      <c r="FO235" s="49"/>
      <c r="FP235" s="83"/>
      <c r="FQ235" s="70"/>
      <c r="FR235" s="49"/>
      <c r="FS235" s="83"/>
      <c r="FT235" s="70"/>
      <c r="FU235" s="49"/>
      <c r="FV235" s="83"/>
      <c r="FW235" s="70"/>
      <c r="FX235" s="109"/>
      <c r="FY235" s="83"/>
      <c r="FZ235" s="70"/>
      <c r="GA235" s="49"/>
      <c r="GB235" s="83"/>
      <c r="GC235" s="70"/>
      <c r="GD235" s="49"/>
      <c r="GE235" s="83"/>
      <c r="GF235" s="70"/>
      <c r="GG235" s="49"/>
      <c r="GH235" s="83"/>
      <c r="GI235" s="70"/>
      <c r="GJ235" s="49"/>
      <c r="GK235" s="83"/>
      <c r="GL235" s="70"/>
      <c r="GM235" s="109"/>
      <c r="GN235" s="83"/>
      <c r="GO235" s="70"/>
      <c r="GP235" s="49"/>
      <c r="GQ235" s="83"/>
      <c r="GR235" s="70"/>
      <c r="GS235" s="49"/>
      <c r="GT235" s="83"/>
      <c r="GU235" s="70"/>
      <c r="GV235" s="49"/>
      <c r="GW235" s="83"/>
      <c r="GX235" s="70"/>
      <c r="GY235" s="49"/>
      <c r="GZ235" s="83"/>
      <c r="HA235" s="70"/>
      <c r="HB235" s="109"/>
      <c r="HC235" s="83"/>
      <c r="HD235" s="70"/>
      <c r="HE235" s="49"/>
      <c r="HF235" s="83"/>
      <c r="HG235" s="70"/>
      <c r="HH235" s="49"/>
      <c r="HI235" s="83"/>
      <c r="HJ235" s="70"/>
      <c r="HK235" s="49"/>
      <c r="HL235" s="83"/>
      <c r="HM235" s="70"/>
      <c r="HN235" s="49"/>
      <c r="HO235" s="83"/>
      <c r="HP235" s="70"/>
      <c r="HQ235" s="109"/>
      <c r="HR235" s="83"/>
      <c r="HS235" s="70"/>
      <c r="HT235" s="49"/>
      <c r="HU235" s="83"/>
      <c r="HV235" s="70"/>
      <c r="HW235" s="49"/>
      <c r="HX235" s="83"/>
      <c r="HY235" s="70"/>
      <c r="HZ235" s="49"/>
      <c r="IA235" s="83"/>
      <c r="IB235" s="70"/>
      <c r="IC235" s="49"/>
      <c r="ID235" s="83"/>
      <c r="IE235" s="70"/>
      <c r="IF235" s="109"/>
      <c r="IG235" s="83"/>
      <c r="IH235" s="70"/>
      <c r="II235" s="49"/>
      <c r="IJ235" s="83"/>
      <c r="IK235" s="70"/>
      <c r="IL235" s="49"/>
      <c r="IM235" s="83"/>
      <c r="IN235" s="70"/>
      <c r="IO235" s="49"/>
      <c r="IP235" s="83"/>
      <c r="IQ235" s="70"/>
      <c r="IR235" s="49"/>
      <c r="IS235" s="83"/>
      <c r="IT235" s="70"/>
      <c r="IU235" s="109"/>
      <c r="IV235" s="83"/>
      <c r="IW235" s="70"/>
      <c r="IX235" s="49"/>
      <c r="IY235" s="83"/>
      <c r="IZ235" s="70"/>
      <c r="JA235" s="49"/>
      <c r="JB235" s="83"/>
      <c r="JC235" s="70"/>
      <c r="JD235" s="49"/>
      <c r="JE235" s="83"/>
      <c r="JF235" s="70"/>
      <c r="JG235" s="49"/>
      <c r="JH235" s="83"/>
      <c r="JI235" s="70"/>
      <c r="JJ235" s="109"/>
      <c r="JK235" s="83"/>
      <c r="JL235" s="70"/>
      <c r="JM235" s="49"/>
      <c r="JN235" s="83"/>
      <c r="JO235" s="70"/>
      <c r="JP235" s="49"/>
      <c r="JQ235" s="83"/>
      <c r="JR235" s="70"/>
      <c r="JS235" s="49"/>
      <c r="JT235" s="83"/>
      <c r="JU235" s="70"/>
      <c r="JV235" s="49"/>
      <c r="JW235" s="83"/>
      <c r="JX235" s="70"/>
      <c r="JY235" s="109"/>
      <c r="JZ235" s="83"/>
      <c r="KA235" s="70"/>
      <c r="KB235" s="49"/>
      <c r="KC235" s="83"/>
      <c r="KD235" s="70"/>
      <c r="KE235" s="49"/>
      <c r="KF235" s="83"/>
      <c r="KG235" s="70"/>
      <c r="KH235" s="49"/>
      <c r="KI235" s="83"/>
      <c r="KJ235" s="70"/>
      <c r="KK235" s="49"/>
      <c r="KL235" s="83"/>
      <c r="KM235" s="70"/>
      <c r="KN235" s="109"/>
      <c r="KO235" s="83"/>
      <c r="KP235" s="70"/>
      <c r="KQ235" s="49"/>
      <c r="KR235" s="83"/>
      <c r="KS235" s="70"/>
      <c r="KT235" s="49"/>
      <c r="KU235" s="83"/>
      <c r="KV235" s="70"/>
      <c r="KW235" s="49"/>
      <c r="KX235" s="83"/>
      <c r="KY235" s="70"/>
      <c r="KZ235" s="49"/>
      <c r="LA235" s="83"/>
      <c r="LB235" s="70"/>
      <c r="LC235" s="109"/>
      <c r="LD235" s="83"/>
      <c r="LE235" s="70"/>
      <c r="LF235" s="49"/>
    </row>
    <row r="236" spans="1:318" s="784" customFormat="1">
      <c r="A236" s="25"/>
      <c r="B236" s="25"/>
      <c r="C236" s="25"/>
      <c r="D236" s="25"/>
      <c r="E236" s="25"/>
      <c r="F236" s="406">
        <f>$D$31</f>
        <v>30</v>
      </c>
      <c r="G236" s="406">
        <f ca="1">VLOOKUP(H236,Equipos!$Q$1:$R$25,2,0)</f>
        <v>23</v>
      </c>
      <c r="H236" s="64" t="str">
        <f>Idiomas!$D$263</f>
        <v>Semifinales</v>
      </c>
      <c r="I236" s="50"/>
      <c r="J236" s="844" t="s">
        <v>493</v>
      </c>
      <c r="K236" s="53" t="str">
        <f>Idiomas!D202&amp;"-"&amp;ROWS($L$236:L236)</f>
        <v>3º y 4º puesto-1</v>
      </c>
      <c r="L236" s="53"/>
      <c r="M236" s="55" t="str">
        <f>WORLDCUP!AA143</f>
        <v>L101</v>
      </c>
      <c r="N236" s="25"/>
      <c r="O236" s="25"/>
      <c r="P236" s="25"/>
      <c r="Q236" s="25"/>
      <c r="R236" s="17"/>
      <c r="S236" s="796" t="s">
        <v>74</v>
      </c>
      <c r="T236" s="76">
        <f t="shared" ref="T236:T237" si="6851">COUNTIF($M$236:$M$237,S236)*$D$31</f>
        <v>0</v>
      </c>
      <c r="U236" s="108"/>
      <c r="V236" s="75" t="s">
        <v>38</v>
      </c>
      <c r="W236" s="76">
        <f t="shared" ref="W236:W237" si="6852">COUNTIF($M$236:$M$237,V236)*$D$31</f>
        <v>0</v>
      </c>
      <c r="X236" s="108"/>
      <c r="Y236" s="796" t="s">
        <v>110</v>
      </c>
      <c r="Z236" s="76">
        <f t="shared" ref="Z236:Z237" si="6853">COUNTIF($M$236:$M$237,Y236)*$D$31</f>
        <v>0</v>
      </c>
      <c r="AA236" s="108"/>
      <c r="AB236" s="796" t="s">
        <v>111</v>
      </c>
      <c r="AC236" s="76">
        <f t="shared" ref="AC236:AC237" si="6854">COUNTIF($M$236:$M$237,AB236)*$D$31</f>
        <v>0</v>
      </c>
      <c r="AD236" s="108"/>
      <c r="AE236" s="796" t="s">
        <v>38</v>
      </c>
      <c r="AF236" s="76">
        <f t="shared" ref="AF236" si="6855">COUNTIF($M$236:$M$237,AE236)*$D$31</f>
        <v>0</v>
      </c>
      <c r="AG236" s="108"/>
      <c r="AH236" s="796" t="s">
        <v>135</v>
      </c>
      <c r="AI236" s="76">
        <f t="shared" ref="AI236:AI237" si="6856">COUNTIF($M$236:$M$237,AH236)*$D$31</f>
        <v>0</v>
      </c>
      <c r="AJ236" s="108"/>
      <c r="AK236" s="806" t="s">
        <v>38</v>
      </c>
      <c r="AL236" s="76">
        <f t="shared" ref="AL236:AL237" si="6857">COUNTIF($M$236:$M$237,AK236)*$D$31</f>
        <v>0</v>
      </c>
      <c r="AM236" s="108"/>
      <c r="AN236" s="796" t="s">
        <v>77</v>
      </c>
      <c r="AO236" s="76">
        <f t="shared" ref="AO236:AO237" si="6858">COUNTIF($M$236:$M$237,AN236)*$D$31</f>
        <v>0</v>
      </c>
      <c r="AP236" s="108"/>
      <c r="AQ236" s="806" t="s">
        <v>38</v>
      </c>
      <c r="AR236" s="76">
        <f t="shared" ref="AR236:AR237" si="6859">COUNTIF($M$236:$M$237,AQ236)*$D$31</f>
        <v>0</v>
      </c>
      <c r="AS236" s="108"/>
      <c r="AT236" s="796" t="s">
        <v>1261</v>
      </c>
      <c r="AU236" s="76">
        <f t="shared" ref="AU236:AU237" si="6860">COUNTIF($M$236:$M$237,AT236)*$D$31</f>
        <v>0</v>
      </c>
      <c r="AV236" s="108"/>
      <c r="AW236" s="796" t="s">
        <v>111</v>
      </c>
      <c r="AX236" s="76">
        <f t="shared" ref="AX236:AX237" si="6861">COUNTIF($M$236:$M$237,AW236)*$D$31</f>
        <v>0</v>
      </c>
      <c r="AY236" s="108"/>
      <c r="AZ236" s="796" t="s">
        <v>1839</v>
      </c>
      <c r="BA236" s="76">
        <f t="shared" ref="BA236:BA237" si="6862">COUNTIF($M$236:$M$237,AZ236)*$D$31</f>
        <v>0</v>
      </c>
      <c r="BB236" s="108"/>
      <c r="BC236" s="796" t="s">
        <v>74</v>
      </c>
      <c r="BD236" s="76">
        <f t="shared" ref="BD236:BD237" si="6863">COUNTIF($M$236:$M$237,BC236)*$D$31</f>
        <v>0</v>
      </c>
      <c r="BE236" s="108"/>
      <c r="BF236" s="796" t="s">
        <v>135</v>
      </c>
      <c r="BG236" s="76">
        <f t="shared" ref="BG236:BG237" si="6864">COUNTIF($M$236:$M$237,BF236)*$D$31</f>
        <v>0</v>
      </c>
      <c r="BH236" s="108"/>
      <c r="BI236" s="796" t="s">
        <v>74</v>
      </c>
      <c r="BJ236" s="76">
        <f t="shared" ref="BJ236:BJ237" si="6865">COUNTIF($M$236:$M$237,BI236)*$D$31</f>
        <v>0</v>
      </c>
      <c r="BK236" s="108"/>
      <c r="BL236" s="796" t="s">
        <v>38</v>
      </c>
      <c r="BM236" s="76">
        <f t="shared" ref="BM236:BM237" si="6866">COUNTIF($M$236:$M$237,BL236)*$D$31</f>
        <v>0</v>
      </c>
      <c r="BN236" s="108"/>
      <c r="BO236" s="816" t="s">
        <v>38</v>
      </c>
      <c r="BP236" s="76">
        <f t="shared" ref="BP236:BP237" si="6867">COUNTIF($M$236:$M$237,BO236)*$D$31</f>
        <v>0</v>
      </c>
      <c r="BQ236" s="108"/>
      <c r="BR236" s="796" t="s">
        <v>38</v>
      </c>
      <c r="BS236" s="76">
        <f t="shared" ref="BS236:BS237" si="6868">COUNTIF($M$236:$M$237,BR236)*$D$31</f>
        <v>0</v>
      </c>
      <c r="BT236" s="108"/>
      <c r="BU236" s="796" t="s">
        <v>1263</v>
      </c>
      <c r="BV236" s="76">
        <f t="shared" ref="BV236:BV237" si="6869">COUNTIF($M$236:$M$237,BU236)*$D$31</f>
        <v>0</v>
      </c>
      <c r="BW236" s="108"/>
      <c r="BX236" s="75" t="s">
        <v>74</v>
      </c>
      <c r="BY236" s="76">
        <f t="shared" ref="BY236:BY237" si="6870">COUNTIF($M$236:$M$237,BX236)*$D$31</f>
        <v>0</v>
      </c>
      <c r="BZ236" s="108"/>
      <c r="CA236" s="816" t="s">
        <v>74</v>
      </c>
      <c r="CB236" s="76">
        <f t="shared" ref="CB236:CB237" si="6871">COUNTIF($M$236:$M$237,CA236)*$D$31</f>
        <v>0</v>
      </c>
      <c r="CC236" s="108"/>
      <c r="CD236" s="825" t="s">
        <v>38</v>
      </c>
      <c r="CE236" s="76">
        <f t="shared" ref="CE236:CE237" si="6872">COUNTIF($M$236:$M$237,CD236)*$D$31</f>
        <v>0</v>
      </c>
      <c r="CF236" s="108"/>
      <c r="CG236" s="796" t="s">
        <v>77</v>
      </c>
      <c r="CH236" s="76">
        <f t="shared" ref="CH236:CH237" si="6873">COUNTIF($M$236:$M$237,CG236)*$D$31</f>
        <v>0</v>
      </c>
      <c r="CI236" s="108"/>
      <c r="CJ236" s="796" t="s">
        <v>74</v>
      </c>
      <c r="CK236" s="76">
        <f t="shared" ref="CK236:CK237" si="6874">COUNTIF($M$236:$M$237,CJ236)*$D$31</f>
        <v>0</v>
      </c>
      <c r="CL236" s="108"/>
      <c r="CM236" s="796" t="s">
        <v>74</v>
      </c>
      <c r="CN236" s="76">
        <f t="shared" ref="CN236:CN237" si="6875">COUNTIF($M$236:$M$237,CM236)*$D$31</f>
        <v>0</v>
      </c>
      <c r="CO236" s="108"/>
      <c r="CP236" s="796" t="s">
        <v>1318</v>
      </c>
      <c r="CQ236" s="76">
        <f t="shared" ref="CQ236:CQ237" si="6876">COUNTIF($M$236:$M$237,CP236)*$D$31</f>
        <v>0</v>
      </c>
      <c r="CR236" s="108"/>
      <c r="CS236" s="796" t="s">
        <v>74</v>
      </c>
      <c r="CT236" s="76">
        <f t="shared" ref="CT236:CT237" si="6877">COUNTIF($M$236:$M$237,CS236)*$D$31</f>
        <v>0</v>
      </c>
      <c r="CU236" s="108"/>
      <c r="CV236" s="796" t="s">
        <v>74</v>
      </c>
      <c r="CW236" s="76">
        <f t="shared" ref="CW236:CW237" si="6878">COUNTIF($M$236:$M$237,CV236)*$D$31</f>
        <v>0</v>
      </c>
      <c r="CX236" s="108"/>
      <c r="CY236" s="796" t="s">
        <v>110</v>
      </c>
      <c r="CZ236" s="76">
        <f t="shared" ref="CZ236:CZ237" si="6879">COUNTIF($M$236:$M$237,CY236)*$D$31</f>
        <v>0</v>
      </c>
      <c r="DA236" s="108"/>
      <c r="DB236" s="796" t="s">
        <v>74</v>
      </c>
      <c r="DC236" s="76">
        <f t="shared" ref="DC236:DC237" si="6880">COUNTIF($M$236:$M$237,DB236)*$D$31</f>
        <v>0</v>
      </c>
      <c r="DD236" s="108"/>
      <c r="DE236" s="796" t="s">
        <v>74</v>
      </c>
      <c r="DF236" s="76">
        <f>COUNTIF($M$236:$M$237,DE236)*$D$31</f>
        <v>0</v>
      </c>
      <c r="DG236" s="108"/>
      <c r="DH236" s="796" t="s">
        <v>74</v>
      </c>
      <c r="DI236" s="76">
        <f>COUNTIF($M$236:$M$237,DH236)*$D$31</f>
        <v>0</v>
      </c>
      <c r="DJ236" s="108"/>
      <c r="DK236" s="796" t="s">
        <v>74</v>
      </c>
      <c r="DL236" s="76">
        <f>COUNTIF($M$236:$M$237,DK236)*$D$31</f>
        <v>0</v>
      </c>
      <c r="DM236" s="108"/>
      <c r="DN236" s="75"/>
      <c r="DO236" s="76">
        <f t="shared" ref="DO236:DO237" si="6881">COUNTIF($M$236:$M$237,DN236)*$D$31</f>
        <v>0</v>
      </c>
      <c r="DP236" s="108"/>
      <c r="DQ236" s="796" t="s">
        <v>111</v>
      </c>
      <c r="DR236" s="76">
        <f t="shared" ref="DR236:DR237" si="6882">COUNTIF($M$236:$M$237,DQ236)*$D$31</f>
        <v>0</v>
      </c>
      <c r="DS236" s="108"/>
      <c r="DT236" s="75" t="s">
        <v>38</v>
      </c>
      <c r="DU236" s="76">
        <f t="shared" ref="DU236:DU237" si="6883">COUNTIF($M$236:$M$237,DT236)*$D$31</f>
        <v>0</v>
      </c>
      <c r="DV236" s="108"/>
      <c r="DW236" s="75"/>
      <c r="DX236" s="76">
        <f t="shared" ref="DX236:DX237" si="6884">COUNTIF($M$236:$M$237,DW236)*$D$31</f>
        <v>0</v>
      </c>
      <c r="DY236" s="108"/>
      <c r="DZ236" s="75"/>
      <c r="EA236" s="76">
        <f>COUNTIF($M$236:$M$237,DZ236)*$D$31</f>
        <v>0</v>
      </c>
      <c r="EB236" s="108"/>
      <c r="EC236" s="75"/>
      <c r="ED236" s="76">
        <f t="shared" ref="ED236:ED237" si="6885">COUNTIF($M$236:$M$237,EC236)*$D$31</f>
        <v>0</v>
      </c>
      <c r="EE236" s="108"/>
      <c r="EF236" s="75"/>
      <c r="EG236" s="76">
        <f t="shared" ref="EG236:EG237" si="6886">COUNTIF($M$236:$M$237,EF236)*$D$31</f>
        <v>0</v>
      </c>
      <c r="EH236" s="108"/>
      <c r="EI236" s="75"/>
      <c r="EJ236" s="76">
        <f t="shared" ref="EJ236:EJ237" si="6887">COUNTIF($M$236:$M$237,EI236)*$D$31</f>
        <v>0</v>
      </c>
      <c r="EK236" s="108"/>
      <c r="EL236" s="75"/>
      <c r="EM236" s="76">
        <f t="shared" ref="EM236:EM237" si="6888">COUNTIF($M$236:$M$237,EL236)*$D$31</f>
        <v>0</v>
      </c>
      <c r="EN236" s="108"/>
      <c r="EO236" s="75"/>
      <c r="EP236" s="76">
        <f t="shared" ref="EP236:EP237" si="6889">COUNTIF($M$236:$M$237,EO236)*$D$31</f>
        <v>0</v>
      </c>
      <c r="EQ236" s="108"/>
      <c r="ER236" s="75"/>
      <c r="ES236" s="76">
        <f t="shared" ref="ES236:ES237" si="6890">COUNTIF($M$236:$M$237,ER236)*$D$31</f>
        <v>0</v>
      </c>
      <c r="ET236" s="108"/>
      <c r="EU236" s="75"/>
      <c r="EV236" s="76">
        <f t="shared" ref="EV236:EV237" si="6891">COUNTIF($M$236:$M$237,EU236)*$D$31</f>
        <v>0</v>
      </c>
      <c r="EW236" s="108"/>
      <c r="EX236" s="75"/>
      <c r="EY236" s="76">
        <f t="shared" ref="EY236:EY237" si="6892">COUNTIF($M$236:$M$237,EX236)*$D$31</f>
        <v>0</v>
      </c>
      <c r="EZ236" s="108"/>
      <c r="FA236" s="75"/>
      <c r="FB236" s="76">
        <f t="shared" ref="FB236:FB237" si="6893">COUNTIF($M$236:$M$237,FA236)*$D$31</f>
        <v>0</v>
      </c>
      <c r="FC236" s="108"/>
      <c r="FD236" s="75"/>
      <c r="FE236" s="76">
        <f t="shared" ref="FE236:FE237" si="6894">COUNTIF($M$236:$M$237,FD236)*$D$31</f>
        <v>0</v>
      </c>
      <c r="FF236" s="108"/>
      <c r="FG236" s="75"/>
      <c r="FH236" s="76">
        <f t="shared" ref="FH236:FH237" si="6895">COUNTIF($M$236:$M$237,FG236)*$D$31</f>
        <v>0</v>
      </c>
      <c r="FI236" s="108"/>
      <c r="FJ236" s="75"/>
      <c r="FK236" s="76">
        <f t="shared" ref="FK236:FK237" si="6896">COUNTIF($M$236:$M$237,FJ236)*$D$31</f>
        <v>0</v>
      </c>
      <c r="FL236" s="108"/>
      <c r="FM236" s="75"/>
      <c r="FN236" s="76">
        <f t="shared" ref="FN236:FN237" si="6897">COUNTIF($M$236:$M$237,FM236)*$D$31</f>
        <v>0</v>
      </c>
      <c r="FO236" s="108"/>
      <c r="FP236" s="75"/>
      <c r="FQ236" s="76">
        <f t="shared" ref="FQ236:FQ237" si="6898">COUNTIF($M$236:$M$237,FP236)*$D$31</f>
        <v>0</v>
      </c>
      <c r="FR236" s="108"/>
      <c r="FS236" s="75"/>
      <c r="FT236" s="76">
        <f t="shared" ref="FT236:FT237" si="6899">COUNTIF($M$236:$M$237,FS236)*$D$31</f>
        <v>0</v>
      </c>
      <c r="FU236" s="108"/>
      <c r="FV236" s="75"/>
      <c r="FW236" s="76">
        <f t="shared" ref="FW236:FW237" si="6900">COUNTIF($M$236:$M$237,FV236)*$D$31</f>
        <v>0</v>
      </c>
      <c r="FX236" s="108"/>
      <c r="FY236" s="75"/>
      <c r="FZ236" s="76">
        <f t="shared" ref="FZ236:FZ237" si="6901">COUNTIF($M$236:$M$237,FY236)*$D$31</f>
        <v>0</v>
      </c>
      <c r="GA236" s="108"/>
      <c r="GB236" s="75"/>
      <c r="GC236" s="76">
        <f t="shared" ref="GC236:GC237" si="6902">COUNTIF($M$236:$M$237,GB236)*$D$31</f>
        <v>0</v>
      </c>
      <c r="GD236" s="108"/>
      <c r="GE236" s="75"/>
      <c r="GF236" s="76">
        <f t="shared" ref="GF236:GF237" si="6903">COUNTIF($M$236:$M$237,GE236)*$D$31</f>
        <v>0</v>
      </c>
      <c r="GG236" s="108"/>
      <c r="GH236" s="75"/>
      <c r="GI236" s="76">
        <f t="shared" ref="GI236:GI237" si="6904">COUNTIF($M$236:$M$237,GH236)*$D$31</f>
        <v>0</v>
      </c>
      <c r="GJ236" s="108"/>
      <c r="GK236" s="75"/>
      <c r="GL236" s="76">
        <f t="shared" ref="GL236:GL237" si="6905">COUNTIF($M$236:$M$237,GK236)*$D$31</f>
        <v>0</v>
      </c>
      <c r="GM236" s="108"/>
      <c r="GN236" s="75"/>
      <c r="GO236" s="76">
        <f t="shared" ref="GO236:GO237" si="6906">COUNTIF($M$236:$M$237,GN236)*$D$31</f>
        <v>0</v>
      </c>
      <c r="GP236" s="108"/>
      <c r="GQ236" s="75"/>
      <c r="GR236" s="76">
        <f t="shared" ref="GR236:GR237" si="6907">COUNTIF($M$236:$M$237,GQ236)*$D$31</f>
        <v>0</v>
      </c>
      <c r="GS236" s="108"/>
      <c r="GT236" s="75"/>
      <c r="GU236" s="76">
        <f t="shared" ref="GU236:GU237" si="6908">COUNTIF($M$236:$M$237,GT236)*$D$31</f>
        <v>0</v>
      </c>
      <c r="GV236" s="108"/>
      <c r="GW236" s="75"/>
      <c r="GX236" s="76">
        <f t="shared" ref="GX236:GX237" si="6909">COUNTIF($M$236:$M$237,GW236)*$D$31</f>
        <v>0</v>
      </c>
      <c r="GY236" s="108"/>
      <c r="GZ236" s="75"/>
      <c r="HA236" s="76">
        <f t="shared" ref="HA236:HA237" si="6910">COUNTIF($M$236:$M$237,GZ236)*$D$31</f>
        <v>0</v>
      </c>
      <c r="HB236" s="108"/>
      <c r="HC236" s="75"/>
      <c r="HD236" s="76">
        <f t="shared" ref="HD236:HD237" si="6911">COUNTIF($M$236:$M$237,HC236)*$D$31</f>
        <v>0</v>
      </c>
      <c r="HE236" s="108"/>
      <c r="HF236" s="75"/>
      <c r="HG236" s="76">
        <f t="shared" ref="HG236:HG237" si="6912">COUNTIF($M$236:$M$237,HF236)*$D$31</f>
        <v>0</v>
      </c>
      <c r="HH236" s="108"/>
      <c r="HI236" s="75"/>
      <c r="HJ236" s="76">
        <f t="shared" ref="HJ236:HJ237" si="6913">COUNTIF($M$236:$M$237,HI236)*$D$31</f>
        <v>0</v>
      </c>
      <c r="HK236" s="108"/>
      <c r="HL236" s="75"/>
      <c r="HM236" s="76">
        <f t="shared" ref="HM236:HM237" si="6914">COUNTIF($M$236:$M$237,HL236)*$D$31</f>
        <v>0</v>
      </c>
      <c r="HN236" s="108"/>
      <c r="HO236" s="75"/>
      <c r="HP236" s="76">
        <f t="shared" ref="HP236:HP237" si="6915">COUNTIF($M$236:$M$237,HO236)*$D$31</f>
        <v>0</v>
      </c>
      <c r="HQ236" s="108"/>
      <c r="HR236" s="75"/>
      <c r="HS236" s="76">
        <f t="shared" ref="HS236:HS237" si="6916">COUNTIF($M$236:$M$237,HR236)*$D$31</f>
        <v>0</v>
      </c>
      <c r="HT236" s="108"/>
      <c r="HU236" s="75"/>
      <c r="HV236" s="76">
        <f t="shared" ref="HV236:HV237" si="6917">COUNTIF($M$236:$M$237,HU236)*$D$31</f>
        <v>0</v>
      </c>
      <c r="HW236" s="108"/>
      <c r="HX236" s="75"/>
      <c r="HY236" s="76">
        <f t="shared" ref="HY236:HY237" si="6918">COUNTIF($M$236:$M$237,HX236)*$D$31</f>
        <v>0</v>
      </c>
      <c r="HZ236" s="108"/>
      <c r="IA236" s="75"/>
      <c r="IB236" s="76">
        <f t="shared" ref="IB236:IB237" si="6919">COUNTIF($M$236:$M$237,IA236)*$D$31</f>
        <v>0</v>
      </c>
      <c r="IC236" s="108"/>
      <c r="ID236" s="75"/>
      <c r="IE236" s="76">
        <f t="shared" ref="IE236:IE237" si="6920">COUNTIF($M$236:$M$237,ID236)*$D$31</f>
        <v>0</v>
      </c>
      <c r="IF236" s="108"/>
      <c r="IG236" s="75"/>
      <c r="IH236" s="76">
        <f t="shared" ref="IH236:IH237" si="6921">COUNTIF($M$236:$M$237,IG236)*$D$31</f>
        <v>0</v>
      </c>
      <c r="II236" s="108"/>
      <c r="IJ236" s="75"/>
      <c r="IK236" s="76">
        <f t="shared" ref="IK236:IK237" si="6922">COUNTIF($M$236:$M$237,IJ236)*$D$31</f>
        <v>0</v>
      </c>
      <c r="IL236" s="108"/>
      <c r="IM236" s="75"/>
      <c r="IN236" s="76">
        <f t="shared" ref="IN236:IN237" si="6923">COUNTIF($M$236:$M$237,IM236)*$D$31</f>
        <v>0</v>
      </c>
      <c r="IO236" s="108"/>
      <c r="IP236" s="75"/>
      <c r="IQ236" s="76">
        <f t="shared" ref="IQ236:IQ237" si="6924">COUNTIF($M$236:$M$237,IP236)*$D$31</f>
        <v>0</v>
      </c>
      <c r="IR236" s="108"/>
      <c r="IS236" s="75"/>
      <c r="IT236" s="76">
        <f t="shared" ref="IT236:IT237" si="6925">COUNTIF($M$236:$M$237,IS236)*$D$31</f>
        <v>0</v>
      </c>
      <c r="IU236" s="108"/>
      <c r="IV236" s="75"/>
      <c r="IW236" s="76">
        <f t="shared" ref="IW236:IW237" si="6926">COUNTIF($M$236:$M$237,IV236)*$D$31</f>
        <v>0</v>
      </c>
      <c r="IX236" s="108"/>
      <c r="IY236" s="75"/>
      <c r="IZ236" s="76">
        <f t="shared" ref="IZ236:IZ237" si="6927">COUNTIF($M$236:$M$237,IY236)*$D$31</f>
        <v>0</v>
      </c>
      <c r="JA236" s="108"/>
      <c r="JB236" s="75"/>
      <c r="JC236" s="76">
        <f t="shared" ref="JC236:JC237" si="6928">COUNTIF($M$236:$M$237,JB236)*$D$31</f>
        <v>0</v>
      </c>
      <c r="JD236" s="108"/>
      <c r="JE236" s="75"/>
      <c r="JF236" s="76">
        <f t="shared" ref="JF236:JF237" si="6929">COUNTIF($M$236:$M$237,JE236)*$D$31</f>
        <v>0</v>
      </c>
      <c r="JG236" s="108"/>
      <c r="JH236" s="75"/>
      <c r="JI236" s="76">
        <f t="shared" ref="JI236:JI237" si="6930">COUNTIF($M$236:$M$237,JH236)*$D$31</f>
        <v>0</v>
      </c>
      <c r="JJ236" s="108"/>
      <c r="JK236" s="75"/>
      <c r="JL236" s="76">
        <f t="shared" ref="JL236:JL237" si="6931">COUNTIF($M$236:$M$237,JK236)*$D$31</f>
        <v>0</v>
      </c>
      <c r="JM236" s="108"/>
      <c r="JN236" s="75"/>
      <c r="JO236" s="76">
        <f t="shared" ref="JO236:JO237" si="6932">COUNTIF($M$236:$M$237,JN236)*$D$31</f>
        <v>0</v>
      </c>
      <c r="JP236" s="108"/>
      <c r="JQ236" s="75"/>
      <c r="JR236" s="76">
        <f t="shared" ref="JR236:JR237" si="6933">COUNTIF($M$236:$M$237,JQ236)*$D$31</f>
        <v>0</v>
      </c>
      <c r="JS236" s="108"/>
      <c r="JT236" s="75"/>
      <c r="JU236" s="76">
        <f t="shared" ref="JU236:JU237" si="6934">COUNTIF($M$236:$M$237,JT236)*$D$31</f>
        <v>0</v>
      </c>
      <c r="JV236" s="108"/>
      <c r="JW236" s="75"/>
      <c r="JX236" s="76">
        <f t="shared" ref="JX236:JX237" si="6935">COUNTIF($M$236:$M$237,JW236)*$D$31</f>
        <v>0</v>
      </c>
      <c r="JY236" s="108"/>
      <c r="JZ236" s="75"/>
      <c r="KA236" s="76">
        <f t="shared" ref="KA236:KA237" si="6936">COUNTIF($M$236:$M$237,JZ236)*$D$31</f>
        <v>0</v>
      </c>
      <c r="KB236" s="108"/>
      <c r="KC236" s="75"/>
      <c r="KD236" s="76">
        <f t="shared" ref="KD236:KD237" si="6937">COUNTIF($M$236:$M$237,KC236)*$D$31</f>
        <v>0</v>
      </c>
      <c r="KE236" s="108"/>
      <c r="KF236" s="75"/>
      <c r="KG236" s="76">
        <f t="shared" ref="KG236:KG237" si="6938">COUNTIF($M$236:$M$237,KF236)*$D$31</f>
        <v>0</v>
      </c>
      <c r="KH236" s="108"/>
      <c r="KI236" s="75"/>
      <c r="KJ236" s="76">
        <f t="shared" ref="KJ236:KJ237" si="6939">COUNTIF($M$236:$M$237,KI236)*$D$31</f>
        <v>0</v>
      </c>
      <c r="KK236" s="108"/>
      <c r="KL236" s="75"/>
      <c r="KM236" s="76">
        <f t="shared" ref="KM236:KM237" si="6940">COUNTIF($M$236:$M$237,KL236)*$D$31</f>
        <v>0</v>
      </c>
      <c r="KN236" s="108"/>
      <c r="KO236" s="75"/>
      <c r="KP236" s="76">
        <f t="shared" ref="KP236:KP237" si="6941">COUNTIF($M$236:$M$237,KO236)*$D$31</f>
        <v>0</v>
      </c>
      <c r="KQ236" s="108"/>
      <c r="KR236" s="75"/>
      <c r="KS236" s="76">
        <f t="shared" ref="KS236:KS237" si="6942">COUNTIF($M$236:$M$237,KR236)*$D$31</f>
        <v>0</v>
      </c>
      <c r="KT236" s="108"/>
      <c r="KU236" s="75"/>
      <c r="KV236" s="76">
        <f t="shared" ref="KV236:KV237" si="6943">COUNTIF($M$236:$M$237,KU236)*$D$31</f>
        <v>0</v>
      </c>
      <c r="KW236" s="108"/>
      <c r="KX236" s="75"/>
      <c r="KY236" s="76">
        <f t="shared" ref="KY236:KY237" si="6944">COUNTIF($M$236:$M$237,KX236)*$D$31</f>
        <v>0</v>
      </c>
      <c r="KZ236" s="108"/>
      <c r="LA236" s="75"/>
      <c r="LB236" s="76">
        <f t="shared" ref="LB236:LB237" si="6945">COUNTIF($M$236:$M$237,LA236)*$D$31</f>
        <v>0</v>
      </c>
      <c r="LC236" s="108"/>
      <c r="LD236" s="75"/>
      <c r="LE236" s="76">
        <f t="shared" ref="LE236:LE237" si="6946">COUNTIF($M$236:$M$237,LD236)*$D$31</f>
        <v>0</v>
      </c>
      <c r="LF236" s="108"/>
    </row>
    <row r="237" spans="1:318" s="784" customFormat="1">
      <c r="A237" s="25"/>
      <c r="B237" s="25"/>
      <c r="C237" s="25"/>
      <c r="D237" s="25"/>
      <c r="E237" s="25"/>
      <c r="F237" s="406">
        <f>$D$31</f>
        <v>30</v>
      </c>
      <c r="G237" s="406">
        <f ca="1">VLOOKUP(H237,Equipos!$Q$1:$R$25,2,0)</f>
        <v>23</v>
      </c>
      <c r="H237" s="64" t="str">
        <f>Idiomas!$D$263</f>
        <v>Semifinales</v>
      </c>
      <c r="I237" s="50"/>
      <c r="J237" s="844"/>
      <c r="K237" s="113" t="str">
        <f>Idiomas!D203&amp;"-"&amp;ROWS($L$236:L237)</f>
        <v>Finalista-2</v>
      </c>
      <c r="L237" s="113"/>
      <c r="M237" s="114" t="str">
        <f>WORLDCUP!AF143</f>
        <v>L102</v>
      </c>
      <c r="N237" s="25"/>
      <c r="O237" s="25"/>
      <c r="P237" s="25"/>
      <c r="Q237" s="25"/>
      <c r="R237" s="17"/>
      <c r="S237" s="796" t="s">
        <v>76</v>
      </c>
      <c r="T237" s="80">
        <f t="shared" si="6851"/>
        <v>0</v>
      </c>
      <c r="U237" s="108"/>
      <c r="V237" s="79" t="s">
        <v>135</v>
      </c>
      <c r="W237" s="80">
        <f t="shared" si="6852"/>
        <v>0</v>
      </c>
      <c r="X237" s="108"/>
      <c r="Y237" s="796" t="s">
        <v>1321</v>
      </c>
      <c r="Z237" s="80">
        <f t="shared" si="6853"/>
        <v>0</v>
      </c>
      <c r="AA237" s="108"/>
      <c r="AB237" s="796" t="s">
        <v>1256</v>
      </c>
      <c r="AC237" s="80">
        <f t="shared" si="6854"/>
        <v>0</v>
      </c>
      <c r="AD237" s="108"/>
      <c r="AE237" s="796" t="s">
        <v>76</v>
      </c>
      <c r="AF237" s="80">
        <f t="shared" ref="AF237" si="6947">COUNTIF($M$236:$M$237,AE237)*$D$31</f>
        <v>0</v>
      </c>
      <c r="AG237" s="108"/>
      <c r="AH237" s="796" t="s">
        <v>74</v>
      </c>
      <c r="AI237" s="80">
        <f t="shared" si="6856"/>
        <v>0</v>
      </c>
      <c r="AJ237" s="108"/>
      <c r="AK237" s="806" t="s">
        <v>79</v>
      </c>
      <c r="AL237" s="80">
        <f t="shared" si="6857"/>
        <v>0</v>
      </c>
      <c r="AM237" s="108"/>
      <c r="AN237" s="796" t="s">
        <v>1321</v>
      </c>
      <c r="AO237" s="80">
        <f t="shared" si="6858"/>
        <v>0</v>
      </c>
      <c r="AP237" s="108"/>
      <c r="AQ237" s="806" t="s">
        <v>1258</v>
      </c>
      <c r="AR237" s="80">
        <f t="shared" si="6859"/>
        <v>0</v>
      </c>
      <c r="AS237" s="108"/>
      <c r="AT237" s="796" t="s">
        <v>74</v>
      </c>
      <c r="AU237" s="80">
        <f t="shared" si="6860"/>
        <v>0</v>
      </c>
      <c r="AV237" s="108"/>
      <c r="AW237" s="796" t="s">
        <v>1258</v>
      </c>
      <c r="AX237" s="80">
        <f t="shared" si="6861"/>
        <v>0</v>
      </c>
      <c r="AY237" s="108"/>
      <c r="AZ237" s="796" t="s">
        <v>1552</v>
      </c>
      <c r="BA237" s="80">
        <f t="shared" si="6862"/>
        <v>0</v>
      </c>
      <c r="BB237" s="108"/>
      <c r="BC237" s="796" t="s">
        <v>1258</v>
      </c>
      <c r="BD237" s="80">
        <f t="shared" si="6863"/>
        <v>0</v>
      </c>
      <c r="BE237" s="108"/>
      <c r="BF237" s="796" t="s">
        <v>1258</v>
      </c>
      <c r="BG237" s="80">
        <f t="shared" si="6864"/>
        <v>0</v>
      </c>
      <c r="BH237" s="108"/>
      <c r="BI237" s="796" t="s">
        <v>76</v>
      </c>
      <c r="BJ237" s="80">
        <f t="shared" si="6865"/>
        <v>0</v>
      </c>
      <c r="BK237" s="108"/>
      <c r="BL237" s="796" t="s">
        <v>74</v>
      </c>
      <c r="BM237" s="80">
        <f t="shared" si="6866"/>
        <v>0</v>
      </c>
      <c r="BN237" s="108"/>
      <c r="BO237" s="816" t="s">
        <v>1258</v>
      </c>
      <c r="BP237" s="80">
        <f t="shared" si="6867"/>
        <v>0</v>
      </c>
      <c r="BQ237" s="108"/>
      <c r="BR237" s="796" t="s">
        <v>1258</v>
      </c>
      <c r="BS237" s="80">
        <f t="shared" si="6868"/>
        <v>0</v>
      </c>
      <c r="BT237" s="108"/>
      <c r="BU237" s="796" t="s">
        <v>111</v>
      </c>
      <c r="BV237" s="80">
        <f t="shared" si="6869"/>
        <v>0</v>
      </c>
      <c r="BW237" s="108"/>
      <c r="BX237" s="79" t="s">
        <v>1256</v>
      </c>
      <c r="BY237" s="80">
        <f t="shared" si="6870"/>
        <v>0</v>
      </c>
      <c r="BZ237" s="108"/>
      <c r="CA237" s="816" t="s">
        <v>76</v>
      </c>
      <c r="CB237" s="80">
        <f t="shared" si="6871"/>
        <v>0</v>
      </c>
      <c r="CC237" s="108"/>
      <c r="CD237" s="825" t="s">
        <v>1258</v>
      </c>
      <c r="CE237" s="80">
        <f t="shared" si="6872"/>
        <v>0</v>
      </c>
      <c r="CF237" s="108"/>
      <c r="CG237" s="796" t="s">
        <v>74</v>
      </c>
      <c r="CH237" s="80">
        <f t="shared" si="6873"/>
        <v>0</v>
      </c>
      <c r="CI237" s="108"/>
      <c r="CJ237" s="796" t="s">
        <v>1258</v>
      </c>
      <c r="CK237" s="80">
        <f t="shared" si="6874"/>
        <v>0</v>
      </c>
      <c r="CL237" s="108"/>
      <c r="CM237" s="796" t="s">
        <v>1321</v>
      </c>
      <c r="CN237" s="80">
        <f t="shared" si="6875"/>
        <v>0</v>
      </c>
      <c r="CO237" s="108"/>
      <c r="CP237" s="796" t="s">
        <v>1258</v>
      </c>
      <c r="CQ237" s="80">
        <f t="shared" si="6876"/>
        <v>0</v>
      </c>
      <c r="CR237" s="108"/>
      <c r="CS237" s="796" t="s">
        <v>76</v>
      </c>
      <c r="CT237" s="80">
        <f t="shared" si="6877"/>
        <v>0</v>
      </c>
      <c r="CU237" s="108"/>
      <c r="CV237" s="796" t="s">
        <v>77</v>
      </c>
      <c r="CW237" s="80">
        <f t="shared" si="6878"/>
        <v>0</v>
      </c>
      <c r="CX237" s="108"/>
      <c r="CY237" s="796" t="s">
        <v>1258</v>
      </c>
      <c r="CZ237" s="80">
        <f t="shared" si="6879"/>
        <v>0</v>
      </c>
      <c r="DA237" s="108"/>
      <c r="DB237" s="796" t="s">
        <v>1261</v>
      </c>
      <c r="DC237" s="80">
        <f t="shared" si="6880"/>
        <v>0</v>
      </c>
      <c r="DD237" s="108"/>
      <c r="DE237" s="796" t="s">
        <v>1258</v>
      </c>
      <c r="DF237" s="80">
        <f>COUNTIF($M$236:$M$237,DE237)*$D$31</f>
        <v>0</v>
      </c>
      <c r="DG237" s="108"/>
      <c r="DH237" s="796" t="s">
        <v>76</v>
      </c>
      <c r="DI237" s="80">
        <f>COUNTIF($M$236:$M$237,DH237)*$D$31</f>
        <v>0</v>
      </c>
      <c r="DJ237" s="108"/>
      <c r="DK237" s="796" t="s">
        <v>1258</v>
      </c>
      <c r="DL237" s="80">
        <f>COUNTIF($M$236:$M$237,DK237)*$D$31</f>
        <v>0</v>
      </c>
      <c r="DM237" s="108"/>
      <c r="DN237" s="79"/>
      <c r="DO237" s="80">
        <f t="shared" si="6881"/>
        <v>0</v>
      </c>
      <c r="DP237" s="108"/>
      <c r="DQ237" s="796" t="s">
        <v>1256</v>
      </c>
      <c r="DR237" s="80">
        <f t="shared" si="6882"/>
        <v>0</v>
      </c>
      <c r="DS237" s="108"/>
      <c r="DT237" s="79" t="s">
        <v>1258</v>
      </c>
      <c r="DU237" s="80">
        <f t="shared" si="6883"/>
        <v>0</v>
      </c>
      <c r="DV237" s="108"/>
      <c r="DW237" s="79"/>
      <c r="DX237" s="80">
        <f t="shared" si="6884"/>
        <v>0</v>
      </c>
      <c r="DY237" s="108"/>
      <c r="DZ237" s="79"/>
      <c r="EA237" s="80">
        <f>COUNTIF($M$236:$M$237,DZ237)*$D$31</f>
        <v>0</v>
      </c>
      <c r="EB237" s="108"/>
      <c r="EC237" s="79"/>
      <c r="ED237" s="80">
        <f t="shared" si="6885"/>
        <v>0</v>
      </c>
      <c r="EE237" s="108"/>
      <c r="EF237" s="79"/>
      <c r="EG237" s="80">
        <f t="shared" si="6886"/>
        <v>0</v>
      </c>
      <c r="EH237" s="108"/>
      <c r="EI237" s="79"/>
      <c r="EJ237" s="80">
        <f t="shared" si="6887"/>
        <v>0</v>
      </c>
      <c r="EK237" s="108"/>
      <c r="EL237" s="79"/>
      <c r="EM237" s="80">
        <f t="shared" si="6888"/>
        <v>0</v>
      </c>
      <c r="EN237" s="108"/>
      <c r="EO237" s="79"/>
      <c r="EP237" s="80">
        <f t="shared" si="6889"/>
        <v>0</v>
      </c>
      <c r="EQ237" s="108"/>
      <c r="ER237" s="79"/>
      <c r="ES237" s="80">
        <f t="shared" si="6890"/>
        <v>0</v>
      </c>
      <c r="ET237" s="108"/>
      <c r="EU237" s="79"/>
      <c r="EV237" s="80">
        <f t="shared" si="6891"/>
        <v>0</v>
      </c>
      <c r="EW237" s="108"/>
      <c r="EX237" s="79"/>
      <c r="EY237" s="80">
        <f t="shared" si="6892"/>
        <v>0</v>
      </c>
      <c r="EZ237" s="108"/>
      <c r="FA237" s="79"/>
      <c r="FB237" s="80">
        <f t="shared" si="6893"/>
        <v>0</v>
      </c>
      <c r="FC237" s="108"/>
      <c r="FD237" s="79"/>
      <c r="FE237" s="80">
        <f t="shared" si="6894"/>
        <v>0</v>
      </c>
      <c r="FF237" s="108"/>
      <c r="FG237" s="79"/>
      <c r="FH237" s="80">
        <f t="shared" si="6895"/>
        <v>0</v>
      </c>
      <c r="FI237" s="108"/>
      <c r="FJ237" s="79"/>
      <c r="FK237" s="80">
        <f t="shared" si="6896"/>
        <v>0</v>
      </c>
      <c r="FL237" s="108"/>
      <c r="FM237" s="79"/>
      <c r="FN237" s="80">
        <f t="shared" si="6897"/>
        <v>0</v>
      </c>
      <c r="FO237" s="108"/>
      <c r="FP237" s="79"/>
      <c r="FQ237" s="80">
        <f t="shared" si="6898"/>
        <v>0</v>
      </c>
      <c r="FR237" s="108"/>
      <c r="FS237" s="79"/>
      <c r="FT237" s="80">
        <f t="shared" si="6899"/>
        <v>0</v>
      </c>
      <c r="FU237" s="108"/>
      <c r="FV237" s="79"/>
      <c r="FW237" s="80">
        <f t="shared" si="6900"/>
        <v>0</v>
      </c>
      <c r="FX237" s="108"/>
      <c r="FY237" s="79"/>
      <c r="FZ237" s="80">
        <f t="shared" si="6901"/>
        <v>0</v>
      </c>
      <c r="GA237" s="108"/>
      <c r="GB237" s="79"/>
      <c r="GC237" s="80">
        <f t="shared" si="6902"/>
        <v>0</v>
      </c>
      <c r="GD237" s="108"/>
      <c r="GE237" s="79"/>
      <c r="GF237" s="80">
        <f t="shared" si="6903"/>
        <v>0</v>
      </c>
      <c r="GG237" s="108"/>
      <c r="GH237" s="79"/>
      <c r="GI237" s="80">
        <f t="shared" si="6904"/>
        <v>0</v>
      </c>
      <c r="GJ237" s="108"/>
      <c r="GK237" s="79"/>
      <c r="GL237" s="80">
        <f t="shared" si="6905"/>
        <v>0</v>
      </c>
      <c r="GM237" s="108"/>
      <c r="GN237" s="79"/>
      <c r="GO237" s="80">
        <f t="shared" si="6906"/>
        <v>0</v>
      </c>
      <c r="GP237" s="108"/>
      <c r="GQ237" s="79"/>
      <c r="GR237" s="80">
        <f t="shared" si="6907"/>
        <v>0</v>
      </c>
      <c r="GS237" s="108"/>
      <c r="GT237" s="79"/>
      <c r="GU237" s="80">
        <f t="shared" si="6908"/>
        <v>0</v>
      </c>
      <c r="GV237" s="108"/>
      <c r="GW237" s="79"/>
      <c r="GX237" s="80">
        <f t="shared" si="6909"/>
        <v>0</v>
      </c>
      <c r="GY237" s="108"/>
      <c r="GZ237" s="79"/>
      <c r="HA237" s="80">
        <f t="shared" si="6910"/>
        <v>0</v>
      </c>
      <c r="HB237" s="108"/>
      <c r="HC237" s="79"/>
      <c r="HD237" s="80">
        <f t="shared" si="6911"/>
        <v>0</v>
      </c>
      <c r="HE237" s="108"/>
      <c r="HF237" s="79"/>
      <c r="HG237" s="80">
        <f t="shared" si="6912"/>
        <v>0</v>
      </c>
      <c r="HH237" s="108"/>
      <c r="HI237" s="79"/>
      <c r="HJ237" s="80">
        <f t="shared" si="6913"/>
        <v>0</v>
      </c>
      <c r="HK237" s="108"/>
      <c r="HL237" s="79"/>
      <c r="HM237" s="80">
        <f t="shared" si="6914"/>
        <v>0</v>
      </c>
      <c r="HN237" s="108"/>
      <c r="HO237" s="79"/>
      <c r="HP237" s="80">
        <f t="shared" si="6915"/>
        <v>0</v>
      </c>
      <c r="HQ237" s="108"/>
      <c r="HR237" s="79"/>
      <c r="HS237" s="80">
        <f t="shared" si="6916"/>
        <v>0</v>
      </c>
      <c r="HT237" s="108"/>
      <c r="HU237" s="79"/>
      <c r="HV237" s="80">
        <f t="shared" si="6917"/>
        <v>0</v>
      </c>
      <c r="HW237" s="108"/>
      <c r="HX237" s="79"/>
      <c r="HY237" s="80">
        <f t="shared" si="6918"/>
        <v>0</v>
      </c>
      <c r="HZ237" s="108"/>
      <c r="IA237" s="79"/>
      <c r="IB237" s="80">
        <f t="shared" si="6919"/>
        <v>0</v>
      </c>
      <c r="IC237" s="108"/>
      <c r="ID237" s="79"/>
      <c r="IE237" s="80">
        <f t="shared" si="6920"/>
        <v>0</v>
      </c>
      <c r="IF237" s="108"/>
      <c r="IG237" s="79"/>
      <c r="IH237" s="80">
        <f t="shared" si="6921"/>
        <v>0</v>
      </c>
      <c r="II237" s="108"/>
      <c r="IJ237" s="79"/>
      <c r="IK237" s="80">
        <f t="shared" si="6922"/>
        <v>0</v>
      </c>
      <c r="IL237" s="108"/>
      <c r="IM237" s="79"/>
      <c r="IN237" s="80">
        <f t="shared" si="6923"/>
        <v>0</v>
      </c>
      <c r="IO237" s="108"/>
      <c r="IP237" s="79"/>
      <c r="IQ237" s="80">
        <f t="shared" si="6924"/>
        <v>0</v>
      </c>
      <c r="IR237" s="108"/>
      <c r="IS237" s="79"/>
      <c r="IT237" s="80">
        <f t="shared" si="6925"/>
        <v>0</v>
      </c>
      <c r="IU237" s="108"/>
      <c r="IV237" s="79"/>
      <c r="IW237" s="80">
        <f t="shared" si="6926"/>
        <v>0</v>
      </c>
      <c r="IX237" s="108"/>
      <c r="IY237" s="79"/>
      <c r="IZ237" s="80">
        <f t="shared" si="6927"/>
        <v>0</v>
      </c>
      <c r="JA237" s="108"/>
      <c r="JB237" s="79"/>
      <c r="JC237" s="80">
        <f t="shared" si="6928"/>
        <v>0</v>
      </c>
      <c r="JD237" s="108"/>
      <c r="JE237" s="79"/>
      <c r="JF237" s="80">
        <f t="shared" si="6929"/>
        <v>0</v>
      </c>
      <c r="JG237" s="108"/>
      <c r="JH237" s="79"/>
      <c r="JI237" s="80">
        <f t="shared" si="6930"/>
        <v>0</v>
      </c>
      <c r="JJ237" s="108"/>
      <c r="JK237" s="79"/>
      <c r="JL237" s="80">
        <f t="shared" si="6931"/>
        <v>0</v>
      </c>
      <c r="JM237" s="108"/>
      <c r="JN237" s="79"/>
      <c r="JO237" s="80">
        <f t="shared" si="6932"/>
        <v>0</v>
      </c>
      <c r="JP237" s="108"/>
      <c r="JQ237" s="79"/>
      <c r="JR237" s="80">
        <f t="shared" si="6933"/>
        <v>0</v>
      </c>
      <c r="JS237" s="108"/>
      <c r="JT237" s="79"/>
      <c r="JU237" s="80">
        <f t="shared" si="6934"/>
        <v>0</v>
      </c>
      <c r="JV237" s="108"/>
      <c r="JW237" s="79"/>
      <c r="JX237" s="80">
        <f t="shared" si="6935"/>
        <v>0</v>
      </c>
      <c r="JY237" s="108"/>
      <c r="JZ237" s="79"/>
      <c r="KA237" s="80">
        <f t="shared" si="6936"/>
        <v>0</v>
      </c>
      <c r="KB237" s="108"/>
      <c r="KC237" s="79"/>
      <c r="KD237" s="80">
        <f t="shared" si="6937"/>
        <v>0</v>
      </c>
      <c r="KE237" s="108"/>
      <c r="KF237" s="79"/>
      <c r="KG237" s="80">
        <f t="shared" si="6938"/>
        <v>0</v>
      </c>
      <c r="KH237" s="108"/>
      <c r="KI237" s="79"/>
      <c r="KJ237" s="80">
        <f t="shared" si="6939"/>
        <v>0</v>
      </c>
      <c r="KK237" s="108"/>
      <c r="KL237" s="79"/>
      <c r="KM237" s="80">
        <f t="shared" si="6940"/>
        <v>0</v>
      </c>
      <c r="KN237" s="108"/>
      <c r="KO237" s="79"/>
      <c r="KP237" s="80">
        <f t="shared" si="6941"/>
        <v>0</v>
      </c>
      <c r="KQ237" s="108"/>
      <c r="KR237" s="79"/>
      <c r="KS237" s="80">
        <f t="shared" si="6942"/>
        <v>0</v>
      </c>
      <c r="KT237" s="108"/>
      <c r="KU237" s="79"/>
      <c r="KV237" s="80">
        <f t="shared" si="6943"/>
        <v>0</v>
      </c>
      <c r="KW237" s="108"/>
      <c r="KX237" s="79"/>
      <c r="KY237" s="80">
        <f t="shared" si="6944"/>
        <v>0</v>
      </c>
      <c r="KZ237" s="108"/>
      <c r="LA237" s="79"/>
      <c r="LB237" s="80">
        <f t="shared" si="6945"/>
        <v>0</v>
      </c>
      <c r="LC237" s="108"/>
      <c r="LD237" s="79"/>
      <c r="LE237" s="80">
        <f t="shared" si="6946"/>
        <v>0</v>
      </c>
      <c r="LF237" s="108"/>
    </row>
    <row r="238" spans="1:318" s="784" customFormat="1">
      <c r="A238" s="25"/>
      <c r="B238" s="25"/>
      <c r="C238" s="25"/>
      <c r="D238" s="25"/>
      <c r="E238" s="25"/>
      <c r="F238" s="406"/>
      <c r="G238" s="406"/>
      <c r="H238" s="64"/>
      <c r="I238" s="50"/>
      <c r="J238" s="92"/>
      <c r="K238" s="432" t="str">
        <f>Idiomas!D465</f>
        <v>Equipos 3-4</v>
      </c>
      <c r="L238" s="433"/>
      <c r="M238" s="432" t="str">
        <f>"Max: "&amp;$D$31*COUNT(T236:T237)</f>
        <v>Max: 60</v>
      </c>
      <c r="N238" s="25"/>
      <c r="O238" s="25"/>
      <c r="P238" s="25"/>
      <c r="Q238" s="25"/>
      <c r="R238" s="17"/>
      <c r="S238" s="797"/>
      <c r="T238" s="70">
        <f t="shared" ref="T238" si="6948">SUM(T236:T237)</f>
        <v>0</v>
      </c>
      <c r="U238" s="49"/>
      <c r="V238" s="83"/>
      <c r="W238" s="70">
        <f t="shared" ref="W238" si="6949">SUM(W236:W237)</f>
        <v>0</v>
      </c>
      <c r="X238" s="49"/>
      <c r="Y238" s="797"/>
      <c r="Z238" s="70">
        <f t="shared" ref="Z238" si="6950">SUM(Z236:Z237)</f>
        <v>0</v>
      </c>
      <c r="AA238" s="49"/>
      <c r="AB238" s="797"/>
      <c r="AC238" s="70">
        <f t="shared" ref="AC238" si="6951">SUM(AC236:AC237)</f>
        <v>0</v>
      </c>
      <c r="AD238" s="49"/>
      <c r="AE238" s="797"/>
      <c r="AF238" s="70">
        <f t="shared" ref="AF238" si="6952">SUM(AF236:AF237)</f>
        <v>0</v>
      </c>
      <c r="AG238" s="49"/>
      <c r="AH238" s="797"/>
      <c r="AI238" s="70">
        <f t="shared" ref="AI238" si="6953">SUM(AI236:AI237)</f>
        <v>0</v>
      </c>
      <c r="AJ238" s="49"/>
      <c r="AK238" s="802"/>
      <c r="AL238" s="70">
        <f t="shared" ref="AL238" si="6954">SUM(AL236:AL237)</f>
        <v>0</v>
      </c>
      <c r="AM238" s="49"/>
      <c r="AN238" s="797"/>
      <c r="AO238" s="70">
        <f t="shared" ref="AO238" si="6955">SUM(AO236:AO237)</f>
        <v>0</v>
      </c>
      <c r="AP238" s="49"/>
      <c r="AQ238" s="802"/>
      <c r="AR238" s="70">
        <f t="shared" ref="AR238" si="6956">SUM(AR236:AR237)</f>
        <v>0</v>
      </c>
      <c r="AS238" s="49"/>
      <c r="AT238" s="797"/>
      <c r="AU238" s="70">
        <f t="shared" ref="AU238" si="6957">SUM(AU236:AU237)</f>
        <v>0</v>
      </c>
      <c r="AV238" s="49"/>
      <c r="AW238" s="797"/>
      <c r="AX238" s="70">
        <f t="shared" ref="AX238" si="6958">SUM(AX236:AX237)</f>
        <v>0</v>
      </c>
      <c r="AY238" s="49"/>
      <c r="AZ238" s="797"/>
      <c r="BA238" s="70">
        <f t="shared" ref="BA238" si="6959">SUM(BA236:BA237)</f>
        <v>0</v>
      </c>
      <c r="BB238" s="49"/>
      <c r="BC238" s="797"/>
      <c r="BD238" s="70">
        <f t="shared" ref="BD238" si="6960">SUM(BD236:BD237)</f>
        <v>0</v>
      </c>
      <c r="BE238" s="49"/>
      <c r="BF238" s="797"/>
      <c r="BG238" s="70">
        <f t="shared" ref="BG238" si="6961">SUM(BG236:BG237)</f>
        <v>0</v>
      </c>
      <c r="BH238" s="49"/>
      <c r="BI238" s="797"/>
      <c r="BJ238" s="70">
        <f t="shared" ref="BJ238" si="6962">SUM(BJ236:BJ237)</f>
        <v>0</v>
      </c>
      <c r="BK238" s="49"/>
      <c r="BL238" s="797"/>
      <c r="BM238" s="70">
        <f t="shared" ref="BM238" si="6963">SUM(BM236:BM237)</f>
        <v>0</v>
      </c>
      <c r="BN238" s="49"/>
      <c r="BO238" s="812"/>
      <c r="BP238" s="70">
        <f t="shared" ref="BP238" si="6964">SUM(BP236:BP237)</f>
        <v>0</v>
      </c>
      <c r="BQ238" s="49"/>
      <c r="BR238" s="797"/>
      <c r="BS238" s="70">
        <f t="shared" ref="BS238" si="6965">SUM(BS236:BS237)</f>
        <v>0</v>
      </c>
      <c r="BT238" s="49"/>
      <c r="BU238" s="797"/>
      <c r="BV238" s="70">
        <f t="shared" ref="BV238" si="6966">SUM(BV236:BV237)</f>
        <v>0</v>
      </c>
      <c r="BW238" s="49"/>
      <c r="BX238" s="83"/>
      <c r="BY238" s="70">
        <f t="shared" ref="BY238" si="6967">SUM(BY236:BY237)</f>
        <v>0</v>
      </c>
      <c r="BZ238" s="49"/>
      <c r="CA238" s="812"/>
      <c r="CB238" s="70">
        <f t="shared" ref="CB238" si="6968">SUM(CB236:CB237)</f>
        <v>0</v>
      </c>
      <c r="CC238" s="49"/>
      <c r="CD238" s="821"/>
      <c r="CE238" s="70">
        <f t="shared" ref="CE238" si="6969">SUM(CE236:CE237)</f>
        <v>0</v>
      </c>
      <c r="CF238" s="49"/>
      <c r="CG238" s="797"/>
      <c r="CH238" s="70">
        <f t="shared" ref="CH238" si="6970">SUM(CH236:CH237)</f>
        <v>0</v>
      </c>
      <c r="CI238" s="49"/>
      <c r="CJ238" s="797"/>
      <c r="CK238" s="70">
        <f t="shared" ref="CK238" si="6971">SUM(CK236:CK237)</f>
        <v>0</v>
      </c>
      <c r="CL238" s="49"/>
      <c r="CM238" s="797"/>
      <c r="CN238" s="70">
        <f t="shared" ref="CN238" si="6972">SUM(CN236:CN237)</f>
        <v>0</v>
      </c>
      <c r="CO238" s="49"/>
      <c r="CP238" s="797"/>
      <c r="CQ238" s="70">
        <f t="shared" ref="CQ238" si="6973">SUM(CQ236:CQ237)</f>
        <v>0</v>
      </c>
      <c r="CR238" s="49"/>
      <c r="CS238" s="797"/>
      <c r="CT238" s="70">
        <f t="shared" ref="CT238" si="6974">SUM(CT236:CT237)</f>
        <v>0</v>
      </c>
      <c r="CU238" s="49"/>
      <c r="CV238" s="797"/>
      <c r="CW238" s="70">
        <f t="shared" ref="CW238" si="6975">SUM(CW236:CW237)</f>
        <v>0</v>
      </c>
      <c r="CX238" s="49"/>
      <c r="CY238" s="797"/>
      <c r="CZ238" s="70">
        <f t="shared" ref="CZ238" si="6976">SUM(CZ236:CZ237)</f>
        <v>0</v>
      </c>
      <c r="DA238" s="49"/>
      <c r="DB238" s="797"/>
      <c r="DC238" s="70">
        <f t="shared" ref="DC238" si="6977">SUM(DC236:DC237)</f>
        <v>0</v>
      </c>
      <c r="DD238" s="49"/>
      <c r="DE238" s="797"/>
      <c r="DF238" s="70">
        <f t="shared" ref="DF238" si="6978">SUM(DF236:DF237)</f>
        <v>0</v>
      </c>
      <c r="DG238" s="49"/>
      <c r="DH238" s="797"/>
      <c r="DI238" s="70">
        <f t="shared" ref="DI238" si="6979">SUM(DI236:DI237)</f>
        <v>0</v>
      </c>
      <c r="DJ238" s="49"/>
      <c r="DK238" s="797"/>
      <c r="DL238" s="70">
        <f t="shared" ref="DL238" si="6980">SUM(DL236:DL237)</f>
        <v>0</v>
      </c>
      <c r="DM238" s="49"/>
      <c r="DN238" s="83"/>
      <c r="DO238" s="70">
        <f t="shared" ref="DO238" si="6981">SUM(DO236:DO237)</f>
        <v>0</v>
      </c>
      <c r="DP238" s="49"/>
      <c r="DQ238" s="797"/>
      <c r="DR238" s="70">
        <f t="shared" ref="DR238" si="6982">SUM(DR236:DR237)</f>
        <v>0</v>
      </c>
      <c r="DS238" s="49"/>
      <c r="DT238" s="83"/>
      <c r="DU238" s="70">
        <f t="shared" ref="DU238" si="6983">SUM(DU236:DU237)</f>
        <v>0</v>
      </c>
      <c r="DV238" s="49"/>
      <c r="DW238" s="83"/>
      <c r="DX238" s="70">
        <f t="shared" ref="DX238" si="6984">SUM(DX236:DX237)</f>
        <v>0</v>
      </c>
      <c r="DY238" s="49"/>
      <c r="DZ238" s="83"/>
      <c r="EA238" s="70">
        <f t="shared" ref="EA238" si="6985">SUM(EA236:EA237)</f>
        <v>0</v>
      </c>
      <c r="EB238" s="49"/>
      <c r="EC238" s="83"/>
      <c r="ED238" s="70">
        <f t="shared" ref="ED238" si="6986">SUM(ED236:ED237)</f>
        <v>0</v>
      </c>
      <c r="EE238" s="49"/>
      <c r="EF238" s="83"/>
      <c r="EG238" s="70">
        <f t="shared" ref="EG238" si="6987">SUM(EG236:EG237)</f>
        <v>0</v>
      </c>
      <c r="EH238" s="49"/>
      <c r="EI238" s="83"/>
      <c r="EJ238" s="70">
        <f t="shared" ref="EJ238" si="6988">SUM(EJ236:EJ237)</f>
        <v>0</v>
      </c>
      <c r="EK238" s="49"/>
      <c r="EL238" s="83"/>
      <c r="EM238" s="70">
        <f t="shared" ref="EM238" si="6989">SUM(EM236:EM237)</f>
        <v>0</v>
      </c>
      <c r="EN238" s="49"/>
      <c r="EO238" s="83"/>
      <c r="EP238" s="70">
        <f t="shared" ref="EP238" si="6990">SUM(EP236:EP237)</f>
        <v>0</v>
      </c>
      <c r="EQ238" s="49"/>
      <c r="ER238" s="83"/>
      <c r="ES238" s="70">
        <f t="shared" ref="ES238" si="6991">SUM(ES236:ES237)</f>
        <v>0</v>
      </c>
      <c r="ET238" s="49"/>
      <c r="EU238" s="83"/>
      <c r="EV238" s="70">
        <f t="shared" ref="EV238" si="6992">SUM(EV236:EV237)</f>
        <v>0</v>
      </c>
      <c r="EW238" s="49"/>
      <c r="EX238" s="83"/>
      <c r="EY238" s="70">
        <f t="shared" ref="EY238" si="6993">SUM(EY236:EY237)</f>
        <v>0</v>
      </c>
      <c r="EZ238" s="49"/>
      <c r="FA238" s="83"/>
      <c r="FB238" s="70">
        <f t="shared" ref="FB238" si="6994">SUM(FB236:FB237)</f>
        <v>0</v>
      </c>
      <c r="FC238" s="49"/>
      <c r="FD238" s="83"/>
      <c r="FE238" s="70">
        <f t="shared" ref="FE238" si="6995">SUM(FE236:FE237)</f>
        <v>0</v>
      </c>
      <c r="FF238" s="49"/>
      <c r="FG238" s="83"/>
      <c r="FH238" s="70">
        <f t="shared" ref="FH238" si="6996">SUM(FH236:FH237)</f>
        <v>0</v>
      </c>
      <c r="FI238" s="49"/>
      <c r="FJ238" s="83"/>
      <c r="FK238" s="70">
        <f t="shared" ref="FK238" si="6997">SUM(FK236:FK237)</f>
        <v>0</v>
      </c>
      <c r="FL238" s="49"/>
      <c r="FM238" s="83"/>
      <c r="FN238" s="70">
        <f t="shared" ref="FN238" si="6998">SUM(FN236:FN237)</f>
        <v>0</v>
      </c>
      <c r="FO238" s="49"/>
      <c r="FP238" s="83"/>
      <c r="FQ238" s="70">
        <f t="shared" ref="FQ238" si="6999">SUM(FQ236:FQ237)</f>
        <v>0</v>
      </c>
      <c r="FR238" s="49"/>
      <c r="FS238" s="83"/>
      <c r="FT238" s="70">
        <f t="shared" ref="FT238" si="7000">SUM(FT236:FT237)</f>
        <v>0</v>
      </c>
      <c r="FU238" s="49"/>
      <c r="FV238" s="83"/>
      <c r="FW238" s="70">
        <f t="shared" ref="FW238" si="7001">SUM(FW236:FW237)</f>
        <v>0</v>
      </c>
      <c r="FX238" s="49"/>
      <c r="FY238" s="83"/>
      <c r="FZ238" s="70">
        <f t="shared" ref="FZ238" si="7002">SUM(FZ236:FZ237)</f>
        <v>0</v>
      </c>
      <c r="GA238" s="49"/>
      <c r="GB238" s="83"/>
      <c r="GC238" s="70">
        <f t="shared" ref="GC238" si="7003">SUM(GC236:GC237)</f>
        <v>0</v>
      </c>
      <c r="GD238" s="49"/>
      <c r="GE238" s="83"/>
      <c r="GF238" s="70">
        <f t="shared" ref="GF238" si="7004">SUM(GF236:GF237)</f>
        <v>0</v>
      </c>
      <c r="GG238" s="49"/>
      <c r="GH238" s="83"/>
      <c r="GI238" s="70">
        <f t="shared" ref="GI238" si="7005">SUM(GI236:GI237)</f>
        <v>0</v>
      </c>
      <c r="GJ238" s="49"/>
      <c r="GK238" s="83"/>
      <c r="GL238" s="70">
        <f t="shared" ref="GL238" si="7006">SUM(GL236:GL237)</f>
        <v>0</v>
      </c>
      <c r="GM238" s="49"/>
      <c r="GN238" s="83"/>
      <c r="GO238" s="70">
        <f t="shared" ref="GO238" si="7007">SUM(GO236:GO237)</f>
        <v>0</v>
      </c>
      <c r="GP238" s="49"/>
      <c r="GQ238" s="83"/>
      <c r="GR238" s="70">
        <f t="shared" ref="GR238" si="7008">SUM(GR236:GR237)</f>
        <v>0</v>
      </c>
      <c r="GS238" s="49"/>
      <c r="GT238" s="83"/>
      <c r="GU238" s="70">
        <f t="shared" ref="GU238" si="7009">SUM(GU236:GU237)</f>
        <v>0</v>
      </c>
      <c r="GV238" s="49"/>
      <c r="GW238" s="83"/>
      <c r="GX238" s="70">
        <f t="shared" ref="GX238" si="7010">SUM(GX236:GX237)</f>
        <v>0</v>
      </c>
      <c r="GY238" s="49"/>
      <c r="GZ238" s="83"/>
      <c r="HA238" s="70">
        <f t="shared" ref="HA238" si="7011">SUM(HA236:HA237)</f>
        <v>0</v>
      </c>
      <c r="HB238" s="49"/>
      <c r="HC238" s="83"/>
      <c r="HD238" s="70">
        <f t="shared" ref="HD238" si="7012">SUM(HD236:HD237)</f>
        <v>0</v>
      </c>
      <c r="HE238" s="49"/>
      <c r="HF238" s="83"/>
      <c r="HG238" s="70">
        <f t="shared" ref="HG238" si="7013">SUM(HG236:HG237)</f>
        <v>0</v>
      </c>
      <c r="HH238" s="49"/>
      <c r="HI238" s="83"/>
      <c r="HJ238" s="70">
        <f t="shared" ref="HJ238" si="7014">SUM(HJ236:HJ237)</f>
        <v>0</v>
      </c>
      <c r="HK238" s="49"/>
      <c r="HL238" s="83"/>
      <c r="HM238" s="70">
        <f t="shared" ref="HM238" si="7015">SUM(HM236:HM237)</f>
        <v>0</v>
      </c>
      <c r="HN238" s="49"/>
      <c r="HO238" s="83"/>
      <c r="HP238" s="70">
        <f t="shared" ref="HP238" si="7016">SUM(HP236:HP237)</f>
        <v>0</v>
      </c>
      <c r="HQ238" s="49"/>
      <c r="HR238" s="83"/>
      <c r="HS238" s="70">
        <f t="shared" ref="HS238" si="7017">SUM(HS236:HS237)</f>
        <v>0</v>
      </c>
      <c r="HT238" s="49"/>
      <c r="HU238" s="83"/>
      <c r="HV238" s="70">
        <f t="shared" ref="HV238" si="7018">SUM(HV236:HV237)</f>
        <v>0</v>
      </c>
      <c r="HW238" s="49"/>
      <c r="HX238" s="83"/>
      <c r="HY238" s="70">
        <f t="shared" ref="HY238" si="7019">SUM(HY236:HY237)</f>
        <v>0</v>
      </c>
      <c r="HZ238" s="49"/>
      <c r="IA238" s="83"/>
      <c r="IB238" s="70">
        <f t="shared" ref="IB238" si="7020">SUM(IB236:IB237)</f>
        <v>0</v>
      </c>
      <c r="IC238" s="49"/>
      <c r="ID238" s="83"/>
      <c r="IE238" s="70">
        <f t="shared" ref="IE238" si="7021">SUM(IE236:IE237)</f>
        <v>0</v>
      </c>
      <c r="IF238" s="49"/>
      <c r="IG238" s="83"/>
      <c r="IH238" s="70">
        <f t="shared" ref="IH238" si="7022">SUM(IH236:IH237)</f>
        <v>0</v>
      </c>
      <c r="II238" s="49"/>
      <c r="IJ238" s="83"/>
      <c r="IK238" s="70">
        <f t="shared" ref="IK238" si="7023">SUM(IK236:IK237)</f>
        <v>0</v>
      </c>
      <c r="IL238" s="49"/>
      <c r="IM238" s="83"/>
      <c r="IN238" s="70">
        <f t="shared" ref="IN238" si="7024">SUM(IN236:IN237)</f>
        <v>0</v>
      </c>
      <c r="IO238" s="49"/>
      <c r="IP238" s="83"/>
      <c r="IQ238" s="70">
        <f t="shared" ref="IQ238" si="7025">SUM(IQ236:IQ237)</f>
        <v>0</v>
      </c>
      <c r="IR238" s="49"/>
      <c r="IS238" s="83"/>
      <c r="IT238" s="70">
        <f t="shared" ref="IT238" si="7026">SUM(IT236:IT237)</f>
        <v>0</v>
      </c>
      <c r="IU238" s="49"/>
      <c r="IV238" s="83"/>
      <c r="IW238" s="70">
        <f t="shared" ref="IW238" si="7027">SUM(IW236:IW237)</f>
        <v>0</v>
      </c>
      <c r="IX238" s="49"/>
      <c r="IY238" s="83"/>
      <c r="IZ238" s="70">
        <f t="shared" ref="IZ238" si="7028">SUM(IZ236:IZ237)</f>
        <v>0</v>
      </c>
      <c r="JA238" s="49"/>
      <c r="JB238" s="83"/>
      <c r="JC238" s="70">
        <f t="shared" ref="JC238" si="7029">SUM(JC236:JC237)</f>
        <v>0</v>
      </c>
      <c r="JD238" s="49"/>
      <c r="JE238" s="83"/>
      <c r="JF238" s="70">
        <f t="shared" ref="JF238" si="7030">SUM(JF236:JF237)</f>
        <v>0</v>
      </c>
      <c r="JG238" s="49"/>
      <c r="JH238" s="83"/>
      <c r="JI238" s="70">
        <f t="shared" ref="JI238" si="7031">SUM(JI236:JI237)</f>
        <v>0</v>
      </c>
      <c r="JJ238" s="49"/>
      <c r="JK238" s="83"/>
      <c r="JL238" s="70">
        <f t="shared" ref="JL238" si="7032">SUM(JL236:JL237)</f>
        <v>0</v>
      </c>
      <c r="JM238" s="49"/>
      <c r="JN238" s="83"/>
      <c r="JO238" s="70">
        <f t="shared" ref="JO238" si="7033">SUM(JO236:JO237)</f>
        <v>0</v>
      </c>
      <c r="JP238" s="49"/>
      <c r="JQ238" s="83"/>
      <c r="JR238" s="70">
        <f t="shared" ref="JR238" si="7034">SUM(JR236:JR237)</f>
        <v>0</v>
      </c>
      <c r="JS238" s="49"/>
      <c r="JT238" s="83"/>
      <c r="JU238" s="70">
        <f t="shared" ref="JU238" si="7035">SUM(JU236:JU237)</f>
        <v>0</v>
      </c>
      <c r="JV238" s="49"/>
      <c r="JW238" s="83"/>
      <c r="JX238" s="70">
        <f t="shared" ref="JX238" si="7036">SUM(JX236:JX237)</f>
        <v>0</v>
      </c>
      <c r="JY238" s="49"/>
      <c r="JZ238" s="83"/>
      <c r="KA238" s="70">
        <f t="shared" ref="KA238" si="7037">SUM(KA236:KA237)</f>
        <v>0</v>
      </c>
      <c r="KB238" s="49"/>
      <c r="KC238" s="83"/>
      <c r="KD238" s="70">
        <f t="shared" ref="KD238" si="7038">SUM(KD236:KD237)</f>
        <v>0</v>
      </c>
      <c r="KE238" s="49"/>
      <c r="KF238" s="83"/>
      <c r="KG238" s="70">
        <f t="shared" ref="KG238" si="7039">SUM(KG236:KG237)</f>
        <v>0</v>
      </c>
      <c r="KH238" s="49"/>
      <c r="KI238" s="83"/>
      <c r="KJ238" s="70">
        <f t="shared" ref="KJ238" si="7040">SUM(KJ236:KJ237)</f>
        <v>0</v>
      </c>
      <c r="KK238" s="49"/>
      <c r="KL238" s="83"/>
      <c r="KM238" s="70">
        <f t="shared" ref="KM238" si="7041">SUM(KM236:KM237)</f>
        <v>0</v>
      </c>
      <c r="KN238" s="49"/>
      <c r="KO238" s="83"/>
      <c r="KP238" s="70">
        <f t="shared" ref="KP238" si="7042">SUM(KP236:KP237)</f>
        <v>0</v>
      </c>
      <c r="KQ238" s="49"/>
      <c r="KR238" s="83"/>
      <c r="KS238" s="70">
        <f t="shared" ref="KS238" si="7043">SUM(KS236:KS237)</f>
        <v>0</v>
      </c>
      <c r="KT238" s="49"/>
      <c r="KU238" s="83"/>
      <c r="KV238" s="70">
        <f t="shared" ref="KV238" si="7044">SUM(KV236:KV237)</f>
        <v>0</v>
      </c>
      <c r="KW238" s="49"/>
      <c r="KX238" s="83"/>
      <c r="KY238" s="70">
        <f t="shared" ref="KY238" si="7045">SUM(KY236:KY237)</f>
        <v>0</v>
      </c>
      <c r="KZ238" s="49"/>
      <c r="LA238" s="83"/>
      <c r="LB238" s="70">
        <f t="shared" ref="LB238" si="7046">SUM(LB236:LB237)</f>
        <v>0</v>
      </c>
      <c r="LC238" s="49"/>
      <c r="LD238" s="83"/>
      <c r="LE238" s="70">
        <f t="shared" ref="LE238" si="7047">SUM(LE236:LE237)</f>
        <v>0</v>
      </c>
      <c r="LF238" s="49"/>
    </row>
    <row r="239" spans="1:318" s="784" customFormat="1">
      <c r="A239" s="25"/>
      <c r="B239" s="25"/>
      <c r="C239" s="25"/>
      <c r="D239" s="25"/>
      <c r="E239" s="25"/>
      <c r="F239" s="406"/>
      <c r="G239" s="406"/>
      <c r="H239" s="64"/>
      <c r="I239" s="50"/>
      <c r="J239" s="92"/>
      <c r="K239" s="111" t="str">
        <f>Idiomas!D146</f>
        <v>CLASIFICADOS PARA LA FINAL</v>
      </c>
      <c r="L239" s="50"/>
      <c r="M239" s="70"/>
      <c r="N239" s="25"/>
      <c r="O239" s="25"/>
      <c r="P239" s="25"/>
      <c r="Q239" s="25"/>
      <c r="R239" s="17"/>
      <c r="S239" s="797"/>
      <c r="T239" s="70"/>
      <c r="U239" s="49"/>
      <c r="V239" s="83"/>
      <c r="W239" s="70"/>
      <c r="X239" s="49"/>
      <c r="Y239" s="797"/>
      <c r="Z239" s="70"/>
      <c r="AA239" s="49"/>
      <c r="AB239" s="797"/>
      <c r="AC239" s="70"/>
      <c r="AD239" s="49"/>
      <c r="AE239" s="797"/>
      <c r="AF239" s="70"/>
      <c r="AG239" s="49"/>
      <c r="AH239" s="797"/>
      <c r="AI239" s="70"/>
      <c r="AJ239" s="49"/>
      <c r="AK239" s="802"/>
      <c r="AL239" s="70"/>
      <c r="AM239" s="49"/>
      <c r="AN239" s="797"/>
      <c r="AO239" s="70"/>
      <c r="AP239" s="49"/>
      <c r="AQ239" s="802"/>
      <c r="AR239" s="70"/>
      <c r="AS239" s="49"/>
      <c r="AT239" s="797"/>
      <c r="AU239" s="70"/>
      <c r="AV239" s="49"/>
      <c r="AW239" s="797"/>
      <c r="AX239" s="70"/>
      <c r="AY239" s="49"/>
      <c r="AZ239" s="797"/>
      <c r="BA239" s="70"/>
      <c r="BB239" s="49"/>
      <c r="BC239" s="797"/>
      <c r="BD239" s="70"/>
      <c r="BE239" s="49"/>
      <c r="BF239" s="797"/>
      <c r="BG239" s="70"/>
      <c r="BH239" s="49"/>
      <c r="BI239" s="797"/>
      <c r="BJ239" s="70"/>
      <c r="BK239" s="49"/>
      <c r="BL239" s="797"/>
      <c r="BM239" s="70"/>
      <c r="BN239" s="49"/>
      <c r="BO239" s="812"/>
      <c r="BP239" s="70"/>
      <c r="BQ239" s="49"/>
      <c r="BR239" s="797"/>
      <c r="BS239" s="70"/>
      <c r="BT239" s="49"/>
      <c r="BU239" s="797"/>
      <c r="BV239" s="70"/>
      <c r="BW239" s="49"/>
      <c r="BX239" s="83"/>
      <c r="BY239" s="70"/>
      <c r="BZ239" s="49"/>
      <c r="CA239" s="812"/>
      <c r="CB239" s="70"/>
      <c r="CC239" s="49"/>
      <c r="CD239" s="821"/>
      <c r="CE239" s="70"/>
      <c r="CF239" s="49"/>
      <c r="CG239" s="797"/>
      <c r="CH239" s="70"/>
      <c r="CI239" s="49"/>
      <c r="CJ239" s="797"/>
      <c r="CK239" s="70"/>
      <c r="CL239" s="49"/>
      <c r="CM239" s="797"/>
      <c r="CN239" s="70"/>
      <c r="CO239" s="49"/>
      <c r="CP239" s="797"/>
      <c r="CQ239" s="70"/>
      <c r="CR239" s="49"/>
      <c r="CS239" s="797"/>
      <c r="CT239" s="70"/>
      <c r="CU239" s="49"/>
      <c r="CV239" s="797"/>
      <c r="CW239" s="70"/>
      <c r="CX239" s="49"/>
      <c r="CY239" s="797"/>
      <c r="CZ239" s="70"/>
      <c r="DA239" s="49"/>
      <c r="DB239" s="797"/>
      <c r="DC239" s="70"/>
      <c r="DD239" s="49"/>
      <c r="DE239" s="797"/>
      <c r="DF239" s="70"/>
      <c r="DG239" s="49"/>
      <c r="DH239" s="797"/>
      <c r="DI239" s="70"/>
      <c r="DJ239" s="49"/>
      <c r="DK239" s="797"/>
      <c r="DL239" s="70"/>
      <c r="DM239" s="49"/>
      <c r="DN239" s="83"/>
      <c r="DO239" s="70"/>
      <c r="DP239" s="49"/>
      <c r="DQ239" s="797"/>
      <c r="DR239" s="70"/>
      <c r="DS239" s="49"/>
      <c r="DT239" s="83"/>
      <c r="DU239" s="70"/>
      <c r="DV239" s="49"/>
      <c r="DW239" s="83"/>
      <c r="DX239" s="70"/>
      <c r="DY239" s="49"/>
      <c r="DZ239" s="83"/>
      <c r="EA239" s="70"/>
      <c r="EB239" s="49"/>
      <c r="EC239" s="83"/>
      <c r="ED239" s="70"/>
      <c r="EE239" s="49"/>
      <c r="EF239" s="83"/>
      <c r="EG239" s="70"/>
      <c r="EH239" s="49"/>
      <c r="EI239" s="83"/>
      <c r="EJ239" s="70"/>
      <c r="EK239" s="49"/>
      <c r="EL239" s="83"/>
      <c r="EM239" s="70"/>
      <c r="EN239" s="49"/>
      <c r="EO239" s="83"/>
      <c r="EP239" s="70"/>
      <c r="EQ239" s="49"/>
      <c r="ER239" s="83"/>
      <c r="ES239" s="70"/>
      <c r="ET239" s="49"/>
      <c r="EU239" s="83"/>
      <c r="EV239" s="70"/>
      <c r="EW239" s="49"/>
      <c r="EX239" s="83"/>
      <c r="EY239" s="70"/>
      <c r="EZ239" s="49"/>
      <c r="FA239" s="83"/>
      <c r="FB239" s="70"/>
      <c r="FC239" s="49"/>
      <c r="FD239" s="83"/>
      <c r="FE239" s="70"/>
      <c r="FF239" s="49"/>
      <c r="FG239" s="83"/>
      <c r="FH239" s="70"/>
      <c r="FI239" s="49"/>
      <c r="FJ239" s="83"/>
      <c r="FK239" s="70"/>
      <c r="FL239" s="49"/>
      <c r="FM239" s="83"/>
      <c r="FN239" s="70"/>
      <c r="FO239" s="49"/>
      <c r="FP239" s="83"/>
      <c r="FQ239" s="70"/>
      <c r="FR239" s="49"/>
      <c r="FS239" s="83"/>
      <c r="FT239" s="70"/>
      <c r="FU239" s="49"/>
      <c r="FV239" s="83"/>
      <c r="FW239" s="70"/>
      <c r="FX239" s="49"/>
      <c r="FY239" s="83"/>
      <c r="FZ239" s="70"/>
      <c r="GA239" s="49"/>
      <c r="GB239" s="83"/>
      <c r="GC239" s="70"/>
      <c r="GD239" s="49"/>
      <c r="GE239" s="83"/>
      <c r="GF239" s="70"/>
      <c r="GG239" s="49"/>
      <c r="GH239" s="83"/>
      <c r="GI239" s="70"/>
      <c r="GJ239" s="49"/>
      <c r="GK239" s="83"/>
      <c r="GL239" s="70"/>
      <c r="GM239" s="49"/>
      <c r="GN239" s="83"/>
      <c r="GO239" s="70"/>
      <c r="GP239" s="49"/>
      <c r="GQ239" s="83"/>
      <c r="GR239" s="70"/>
      <c r="GS239" s="49"/>
      <c r="GT239" s="83"/>
      <c r="GU239" s="70"/>
      <c r="GV239" s="49"/>
      <c r="GW239" s="83"/>
      <c r="GX239" s="70"/>
      <c r="GY239" s="49"/>
      <c r="GZ239" s="83"/>
      <c r="HA239" s="70"/>
      <c r="HB239" s="49"/>
      <c r="HC239" s="83"/>
      <c r="HD239" s="70"/>
      <c r="HE239" s="49"/>
      <c r="HF239" s="83"/>
      <c r="HG239" s="70"/>
      <c r="HH239" s="49"/>
      <c r="HI239" s="83"/>
      <c r="HJ239" s="70"/>
      <c r="HK239" s="49"/>
      <c r="HL239" s="83"/>
      <c r="HM239" s="70"/>
      <c r="HN239" s="49"/>
      <c r="HO239" s="83"/>
      <c r="HP239" s="70"/>
      <c r="HQ239" s="49"/>
      <c r="HR239" s="83"/>
      <c r="HS239" s="70"/>
      <c r="HT239" s="49"/>
      <c r="HU239" s="83"/>
      <c r="HV239" s="70"/>
      <c r="HW239" s="49"/>
      <c r="HX239" s="83"/>
      <c r="HY239" s="70"/>
      <c r="HZ239" s="49"/>
      <c r="IA239" s="83"/>
      <c r="IB239" s="70"/>
      <c r="IC239" s="49"/>
      <c r="ID239" s="83"/>
      <c r="IE239" s="70"/>
      <c r="IF239" s="49"/>
      <c r="IG239" s="83"/>
      <c r="IH239" s="70"/>
      <c r="II239" s="49"/>
      <c r="IJ239" s="83"/>
      <c r="IK239" s="70"/>
      <c r="IL239" s="49"/>
      <c r="IM239" s="83"/>
      <c r="IN239" s="70"/>
      <c r="IO239" s="49"/>
      <c r="IP239" s="83"/>
      <c r="IQ239" s="70"/>
      <c r="IR239" s="49"/>
      <c r="IS239" s="83"/>
      <c r="IT239" s="70"/>
      <c r="IU239" s="49"/>
      <c r="IV239" s="83"/>
      <c r="IW239" s="70"/>
      <c r="IX239" s="49"/>
      <c r="IY239" s="83"/>
      <c r="IZ239" s="70"/>
      <c r="JA239" s="49"/>
      <c r="JB239" s="83"/>
      <c r="JC239" s="70"/>
      <c r="JD239" s="49"/>
      <c r="JE239" s="83"/>
      <c r="JF239" s="70"/>
      <c r="JG239" s="49"/>
      <c r="JH239" s="83"/>
      <c r="JI239" s="70"/>
      <c r="JJ239" s="49"/>
      <c r="JK239" s="83"/>
      <c r="JL239" s="70"/>
      <c r="JM239" s="49"/>
      <c r="JN239" s="83"/>
      <c r="JO239" s="70"/>
      <c r="JP239" s="49"/>
      <c r="JQ239" s="83"/>
      <c r="JR239" s="70"/>
      <c r="JS239" s="49"/>
      <c r="JT239" s="83"/>
      <c r="JU239" s="70"/>
      <c r="JV239" s="49"/>
      <c r="JW239" s="83"/>
      <c r="JX239" s="70"/>
      <c r="JY239" s="49"/>
      <c r="JZ239" s="83"/>
      <c r="KA239" s="70"/>
      <c r="KB239" s="49"/>
      <c r="KC239" s="83"/>
      <c r="KD239" s="70"/>
      <c r="KE239" s="49"/>
      <c r="KF239" s="83"/>
      <c r="KG239" s="70"/>
      <c r="KH239" s="49"/>
      <c r="KI239" s="83"/>
      <c r="KJ239" s="70"/>
      <c r="KK239" s="49"/>
      <c r="KL239" s="83"/>
      <c r="KM239" s="70"/>
      <c r="KN239" s="49"/>
      <c r="KO239" s="83"/>
      <c r="KP239" s="70"/>
      <c r="KQ239" s="49"/>
      <c r="KR239" s="83"/>
      <c r="KS239" s="70"/>
      <c r="KT239" s="49"/>
      <c r="KU239" s="83"/>
      <c r="KV239" s="70"/>
      <c r="KW239" s="49"/>
      <c r="KX239" s="83"/>
      <c r="KY239" s="70"/>
      <c r="KZ239" s="49"/>
      <c r="LA239" s="83"/>
      <c r="LB239" s="70"/>
      <c r="LC239" s="49"/>
      <c r="LD239" s="83"/>
      <c r="LE239" s="70"/>
      <c r="LF239" s="49"/>
    </row>
    <row r="240" spans="1:318" s="784" customFormat="1">
      <c r="A240" s="25"/>
      <c r="B240" s="25"/>
      <c r="C240" s="25"/>
      <c r="D240" s="25"/>
      <c r="E240" s="25"/>
      <c r="F240" s="406">
        <f>$D$32</f>
        <v>60</v>
      </c>
      <c r="G240" s="406">
        <f ca="1">VLOOKUP(H240,Equipos!$Q$1:$R$25,2,0)</f>
        <v>23</v>
      </c>
      <c r="H240" s="64" t="str">
        <f>Idiomas!$D$263</f>
        <v>Semifinales</v>
      </c>
      <c r="I240" s="50"/>
      <c r="J240" s="844" t="s">
        <v>4</v>
      </c>
      <c r="K240" s="53" t="str">
        <f>Idiomas!$D$203&amp;"-"&amp;ROWS($L$240:L240)</f>
        <v>Finalista-1</v>
      </c>
      <c r="L240" s="53"/>
      <c r="M240" s="55" t="str">
        <f>WORLDCUP!AA147</f>
        <v>W101</v>
      </c>
      <c r="N240" s="25"/>
      <c r="O240" s="25"/>
      <c r="P240" s="25"/>
      <c r="Q240" s="25"/>
      <c r="R240" s="17"/>
      <c r="S240" s="796" t="s">
        <v>38</v>
      </c>
      <c r="T240" s="76">
        <f t="shared" ref="T240:T241" si="7048">COUNTIF($M$240:$M$241,S240)*$D$32</f>
        <v>0</v>
      </c>
      <c r="U240" s="108"/>
      <c r="V240" s="75" t="s">
        <v>111</v>
      </c>
      <c r="W240" s="76">
        <f t="shared" ref="W240:W241" si="7049">COUNTIF($M$240:$M$241,V240)*$D$32</f>
        <v>0</v>
      </c>
      <c r="X240" s="108"/>
      <c r="Y240" s="796" t="s">
        <v>74</v>
      </c>
      <c r="Z240" s="76">
        <f t="shared" ref="Z240:Z241" si="7050">COUNTIF($M$240:$M$241,Y240)*$D$32</f>
        <v>0</v>
      </c>
      <c r="AA240" s="108"/>
      <c r="AB240" s="796" t="s">
        <v>38</v>
      </c>
      <c r="AC240" s="76">
        <f t="shared" ref="AC240:AC241" si="7051">COUNTIF($M$240:$M$241,AB240)*$D$32</f>
        <v>0</v>
      </c>
      <c r="AD240" s="108"/>
      <c r="AE240" s="796" t="s">
        <v>111</v>
      </c>
      <c r="AF240" s="76">
        <f t="shared" ref="AF240" si="7052">COUNTIF($M$240:$M$241,AE240)*$D$32</f>
        <v>0</v>
      </c>
      <c r="AG240" s="108"/>
      <c r="AH240" s="796" t="s">
        <v>38</v>
      </c>
      <c r="AI240" s="76">
        <f t="shared" ref="AI240:AI241" si="7053">COUNTIF($M$240:$M$241,AH240)*$D$32</f>
        <v>0</v>
      </c>
      <c r="AJ240" s="108"/>
      <c r="AK240" s="806" t="s">
        <v>74</v>
      </c>
      <c r="AL240" s="76">
        <f t="shared" ref="AL240:AL241" si="7054">COUNTIF($M$240:$M$241,AK240)*$D$32</f>
        <v>0</v>
      </c>
      <c r="AM240" s="108"/>
      <c r="AN240" s="796" t="s">
        <v>38</v>
      </c>
      <c r="AO240" s="76">
        <f t="shared" ref="AO240:AO241" si="7055">COUNTIF($M$240:$M$241,AN240)*$D$32</f>
        <v>0</v>
      </c>
      <c r="AP240" s="108"/>
      <c r="AQ240" s="806" t="s">
        <v>74</v>
      </c>
      <c r="AR240" s="76">
        <f t="shared" ref="AR240:AR241" si="7056">COUNTIF($M$240:$M$241,AQ240)*$D$32</f>
        <v>0</v>
      </c>
      <c r="AS240" s="108"/>
      <c r="AT240" s="796" t="s">
        <v>38</v>
      </c>
      <c r="AU240" s="76">
        <f t="shared" ref="AU240:AU241" si="7057">COUNTIF($M$240:$M$241,AT240)*$D$32</f>
        <v>0</v>
      </c>
      <c r="AV240" s="108"/>
      <c r="AW240" s="796" t="s">
        <v>38</v>
      </c>
      <c r="AX240" s="76">
        <f t="shared" ref="AX240:AX241" si="7058">COUNTIF($M$240:$M$241,AW240)*$D$32</f>
        <v>0</v>
      </c>
      <c r="AY240" s="108"/>
      <c r="AZ240" s="796" t="s">
        <v>1726</v>
      </c>
      <c r="BA240" s="76">
        <f t="shared" ref="BA240:BA241" si="7059">COUNTIF($M$240:$M$241,AZ240)*$D$32</f>
        <v>0</v>
      </c>
      <c r="BB240" s="108"/>
      <c r="BC240" s="796" t="s">
        <v>38</v>
      </c>
      <c r="BD240" s="76">
        <f t="shared" ref="BD240:BD241" si="7060">COUNTIF($M$240:$M$241,BC240)*$D$32</f>
        <v>0</v>
      </c>
      <c r="BE240" s="108"/>
      <c r="BF240" s="796" t="s">
        <v>76</v>
      </c>
      <c r="BG240" s="76">
        <f t="shared" ref="BG240:BG241" si="7061">COUNTIF($M$240:$M$241,BF240)*$D$32</f>
        <v>0</v>
      </c>
      <c r="BH240" s="108"/>
      <c r="BI240" s="796" t="s">
        <v>38</v>
      </c>
      <c r="BJ240" s="76">
        <f t="shared" ref="BJ240:BJ241" si="7062">COUNTIF($M$240:$M$241,BI240)*$D$32</f>
        <v>0</v>
      </c>
      <c r="BK240" s="108"/>
      <c r="BL240" s="796" t="s">
        <v>111</v>
      </c>
      <c r="BM240" s="76">
        <f t="shared" ref="BM240:BM241" si="7063">COUNTIF($M$240:$M$241,BL240)*$D$32</f>
        <v>0</v>
      </c>
      <c r="BN240" s="108"/>
      <c r="BO240" s="816" t="s">
        <v>74</v>
      </c>
      <c r="BP240" s="76">
        <f t="shared" ref="BP240:BP241" si="7064">COUNTIF($M$240:$M$241,BO240)*$D$32</f>
        <v>0</v>
      </c>
      <c r="BQ240" s="108"/>
      <c r="BR240" s="796" t="s">
        <v>111</v>
      </c>
      <c r="BS240" s="76">
        <f t="shared" ref="BS240:BS241" si="7065">COUNTIF($M$240:$M$241,BR240)*$D$32</f>
        <v>0</v>
      </c>
      <c r="BT240" s="108"/>
      <c r="BU240" s="796" t="s">
        <v>38</v>
      </c>
      <c r="BV240" s="76">
        <f t="shared" ref="BV240:BV241" si="7066">COUNTIF($M$240:$M$241,BU240)*$D$32</f>
        <v>0</v>
      </c>
      <c r="BW240" s="108"/>
      <c r="BX240" s="75" t="s">
        <v>38</v>
      </c>
      <c r="BY240" s="76">
        <f t="shared" ref="BY240:BY241" si="7067">COUNTIF($M$240:$M$241,BX240)*$D$32</f>
        <v>0</v>
      </c>
      <c r="BZ240" s="108"/>
      <c r="CA240" s="816" t="s">
        <v>38</v>
      </c>
      <c r="CB240" s="76">
        <f t="shared" ref="CB240:CB241" si="7068">COUNTIF($M$240:$M$241,CA240)*$D$32</f>
        <v>0</v>
      </c>
      <c r="CC240" s="108"/>
      <c r="CD240" s="825" t="s">
        <v>111</v>
      </c>
      <c r="CE240" s="76">
        <f t="shared" ref="CE240:CE241" si="7069">COUNTIF($M$240:$M$241,CD240)*$D$32</f>
        <v>0</v>
      </c>
      <c r="CF240" s="108"/>
      <c r="CG240" s="796" t="s">
        <v>38</v>
      </c>
      <c r="CH240" s="76">
        <f t="shared" ref="CH240:CH241" si="7070">COUNTIF($M$240:$M$241,CG240)*$D$32</f>
        <v>0</v>
      </c>
      <c r="CI240" s="108"/>
      <c r="CJ240" s="796" t="s">
        <v>38</v>
      </c>
      <c r="CK240" s="76">
        <f t="shared" ref="CK240:CK241" si="7071">COUNTIF($M$240:$M$241,CJ240)*$D$32</f>
        <v>0</v>
      </c>
      <c r="CL240" s="108"/>
      <c r="CM240" s="796" t="s">
        <v>79</v>
      </c>
      <c r="CN240" s="76">
        <f t="shared" ref="CN240:CN241" si="7072">COUNTIF($M$240:$M$241,CM240)*$D$32</f>
        <v>0</v>
      </c>
      <c r="CO240" s="108"/>
      <c r="CP240" s="796" t="s">
        <v>74</v>
      </c>
      <c r="CQ240" s="76">
        <f t="shared" ref="CQ240:CQ241" si="7073">COUNTIF($M$240:$M$241,CP240)*$D$32</f>
        <v>0</v>
      </c>
      <c r="CR240" s="108"/>
      <c r="CS240" s="796" t="s">
        <v>38</v>
      </c>
      <c r="CT240" s="76">
        <f t="shared" ref="CT240:CT241" si="7074">COUNTIF($M$240:$M$241,CS240)*$D$32</f>
        <v>0</v>
      </c>
      <c r="CU240" s="108"/>
      <c r="CV240" s="796" t="s">
        <v>38</v>
      </c>
      <c r="CW240" s="76">
        <f t="shared" ref="CW240:CW241" si="7075">COUNTIF($M$240:$M$241,CV240)*$D$32</f>
        <v>0</v>
      </c>
      <c r="CX240" s="108"/>
      <c r="CY240" s="796" t="s">
        <v>74</v>
      </c>
      <c r="CZ240" s="76">
        <f t="shared" ref="CZ240:CZ241" si="7076">COUNTIF($M$240:$M$241,CY240)*$D$32</f>
        <v>0</v>
      </c>
      <c r="DA240" s="108"/>
      <c r="DB240" s="796" t="s">
        <v>79</v>
      </c>
      <c r="DC240" s="76">
        <f t="shared" ref="DC240:DC241" si="7077">COUNTIF($M$240:$M$241,DB240)*$D$32</f>
        <v>0</v>
      </c>
      <c r="DD240" s="108"/>
      <c r="DE240" s="796" t="s">
        <v>38</v>
      </c>
      <c r="DF240" s="76">
        <f>COUNTIF($M$240:$M$241,DE240)*$D$32</f>
        <v>0</v>
      </c>
      <c r="DG240" s="108"/>
      <c r="DH240" s="796" t="s">
        <v>38</v>
      </c>
      <c r="DI240" s="76">
        <f>COUNTIF($M$240:$M$241,DH240)*$D$32</f>
        <v>0</v>
      </c>
      <c r="DJ240" s="108"/>
      <c r="DK240" s="796" t="s">
        <v>38</v>
      </c>
      <c r="DL240" s="76">
        <f>COUNTIF($M$240:$M$241,DK240)*$D$32</f>
        <v>0</v>
      </c>
      <c r="DM240" s="108"/>
      <c r="DN240" s="75"/>
      <c r="DO240" s="76">
        <f t="shared" ref="DO240:DO241" si="7078">COUNTIF($M$240:$M$241,DN240)*$D$32</f>
        <v>0</v>
      </c>
      <c r="DP240" s="108"/>
      <c r="DQ240" s="796" t="s">
        <v>38</v>
      </c>
      <c r="DR240" s="76">
        <f t="shared" ref="DR240:DR241" si="7079">COUNTIF($M$240:$M$241,DQ240)*$D$32</f>
        <v>0</v>
      </c>
      <c r="DS240" s="108"/>
      <c r="DT240" s="75" t="s">
        <v>74</v>
      </c>
      <c r="DU240" s="76">
        <f t="shared" ref="DU240:DU241" si="7080">COUNTIF($M$240:$M$241,DT240)*$D$32</f>
        <v>0</v>
      </c>
      <c r="DV240" s="108"/>
      <c r="DW240" s="75"/>
      <c r="DX240" s="76">
        <f t="shared" ref="DX240:DX241" si="7081">COUNTIF($M$240:$M$241,DW240)*$D$32</f>
        <v>0</v>
      </c>
      <c r="DY240" s="108"/>
      <c r="DZ240" s="75"/>
      <c r="EA240" s="76">
        <f>COUNTIF($M$240:$M$241,DZ240)*$D$32</f>
        <v>0</v>
      </c>
      <c r="EB240" s="108"/>
      <c r="EC240" s="75"/>
      <c r="ED240" s="76">
        <f t="shared" ref="ED240:ED241" si="7082">COUNTIF($M$240:$M$241,EC240)*$D$32</f>
        <v>0</v>
      </c>
      <c r="EE240" s="108"/>
      <c r="EF240" s="75"/>
      <c r="EG240" s="76">
        <f t="shared" ref="EG240:EG241" si="7083">COUNTIF($M$240:$M$241,EF240)*$D$32</f>
        <v>0</v>
      </c>
      <c r="EH240" s="108"/>
      <c r="EI240" s="75"/>
      <c r="EJ240" s="76">
        <f t="shared" ref="EJ240:EJ241" si="7084">COUNTIF($M$240:$M$241,EI240)*$D$32</f>
        <v>0</v>
      </c>
      <c r="EK240" s="108"/>
      <c r="EL240" s="75"/>
      <c r="EM240" s="76">
        <f t="shared" ref="EM240:EM241" si="7085">COUNTIF($M$240:$M$241,EL240)*$D$32</f>
        <v>0</v>
      </c>
      <c r="EN240" s="108"/>
      <c r="EO240" s="75"/>
      <c r="EP240" s="76">
        <f t="shared" ref="EP240:EP241" si="7086">COUNTIF($M$240:$M$241,EO240)*$D$32</f>
        <v>0</v>
      </c>
      <c r="EQ240" s="108"/>
      <c r="ER240" s="75"/>
      <c r="ES240" s="76">
        <f t="shared" ref="ES240:ES241" si="7087">COUNTIF($M$240:$M$241,ER240)*$D$32</f>
        <v>0</v>
      </c>
      <c r="ET240" s="108"/>
      <c r="EU240" s="75"/>
      <c r="EV240" s="76">
        <f t="shared" ref="EV240:EV241" si="7088">COUNTIF($M$240:$M$241,EU240)*$D$32</f>
        <v>0</v>
      </c>
      <c r="EW240" s="108"/>
      <c r="EX240" s="75"/>
      <c r="EY240" s="76">
        <f t="shared" ref="EY240:EY241" si="7089">COUNTIF($M$240:$M$241,EX240)*$D$32</f>
        <v>0</v>
      </c>
      <c r="EZ240" s="108"/>
      <c r="FA240" s="75"/>
      <c r="FB240" s="76">
        <f t="shared" ref="FB240:FB241" si="7090">COUNTIF($M$240:$M$241,FA240)*$D$32</f>
        <v>0</v>
      </c>
      <c r="FC240" s="108"/>
      <c r="FD240" s="75"/>
      <c r="FE240" s="76">
        <f t="shared" ref="FE240:FE241" si="7091">COUNTIF($M$240:$M$241,FD240)*$D$32</f>
        <v>0</v>
      </c>
      <c r="FF240" s="108"/>
      <c r="FG240" s="75"/>
      <c r="FH240" s="76">
        <f t="shared" ref="FH240:FH241" si="7092">COUNTIF($M$240:$M$241,FG240)*$D$32</f>
        <v>0</v>
      </c>
      <c r="FI240" s="108"/>
      <c r="FJ240" s="75"/>
      <c r="FK240" s="76">
        <f t="shared" ref="FK240:FK241" si="7093">COUNTIF($M$240:$M$241,FJ240)*$D$32</f>
        <v>0</v>
      </c>
      <c r="FL240" s="108"/>
      <c r="FM240" s="75"/>
      <c r="FN240" s="76">
        <f t="shared" ref="FN240:FN241" si="7094">COUNTIF($M$240:$M$241,FM240)*$D$32</f>
        <v>0</v>
      </c>
      <c r="FO240" s="108"/>
      <c r="FP240" s="75"/>
      <c r="FQ240" s="76">
        <f t="shared" ref="FQ240:FQ241" si="7095">COUNTIF($M$240:$M$241,FP240)*$D$32</f>
        <v>0</v>
      </c>
      <c r="FR240" s="108"/>
      <c r="FS240" s="75"/>
      <c r="FT240" s="76">
        <f t="shared" ref="FT240:FT241" si="7096">COUNTIF($M$240:$M$241,FS240)*$D$32</f>
        <v>0</v>
      </c>
      <c r="FU240" s="108"/>
      <c r="FV240" s="75"/>
      <c r="FW240" s="76">
        <f t="shared" ref="FW240:FW241" si="7097">COUNTIF($M$240:$M$241,FV240)*$D$32</f>
        <v>0</v>
      </c>
      <c r="FX240" s="108"/>
      <c r="FY240" s="75"/>
      <c r="FZ240" s="76">
        <f t="shared" ref="FZ240:FZ241" si="7098">COUNTIF($M$240:$M$241,FY240)*$D$32</f>
        <v>0</v>
      </c>
      <c r="GA240" s="108"/>
      <c r="GB240" s="75"/>
      <c r="GC240" s="76">
        <f t="shared" ref="GC240:GC241" si="7099">COUNTIF($M$240:$M$241,GB240)*$D$32</f>
        <v>0</v>
      </c>
      <c r="GD240" s="108"/>
      <c r="GE240" s="75"/>
      <c r="GF240" s="76">
        <f t="shared" ref="GF240:GF241" si="7100">COUNTIF($M$240:$M$241,GE240)*$D$32</f>
        <v>0</v>
      </c>
      <c r="GG240" s="108"/>
      <c r="GH240" s="75"/>
      <c r="GI240" s="76">
        <f t="shared" ref="GI240:GI241" si="7101">COUNTIF($M$240:$M$241,GH240)*$D$32</f>
        <v>0</v>
      </c>
      <c r="GJ240" s="108"/>
      <c r="GK240" s="75"/>
      <c r="GL240" s="76">
        <f t="shared" ref="GL240:GL241" si="7102">COUNTIF($M$240:$M$241,GK240)*$D$32</f>
        <v>0</v>
      </c>
      <c r="GM240" s="108"/>
      <c r="GN240" s="75"/>
      <c r="GO240" s="76">
        <f t="shared" ref="GO240:GO241" si="7103">COUNTIF($M$240:$M$241,GN240)*$D$32</f>
        <v>0</v>
      </c>
      <c r="GP240" s="108"/>
      <c r="GQ240" s="75"/>
      <c r="GR240" s="76">
        <f t="shared" ref="GR240:GR241" si="7104">COUNTIF($M$240:$M$241,GQ240)*$D$32</f>
        <v>0</v>
      </c>
      <c r="GS240" s="108"/>
      <c r="GT240" s="75"/>
      <c r="GU240" s="76">
        <f t="shared" ref="GU240:GU241" si="7105">COUNTIF($M$240:$M$241,GT240)*$D$32</f>
        <v>0</v>
      </c>
      <c r="GV240" s="108"/>
      <c r="GW240" s="75"/>
      <c r="GX240" s="76">
        <f t="shared" ref="GX240:GX241" si="7106">COUNTIF($M$240:$M$241,GW240)*$D$32</f>
        <v>0</v>
      </c>
      <c r="GY240" s="108"/>
      <c r="GZ240" s="75"/>
      <c r="HA240" s="76">
        <f t="shared" ref="HA240:HA241" si="7107">COUNTIF($M$240:$M$241,GZ240)*$D$32</f>
        <v>0</v>
      </c>
      <c r="HB240" s="108"/>
      <c r="HC240" s="75"/>
      <c r="HD240" s="76">
        <f t="shared" ref="HD240:HD241" si="7108">COUNTIF($M$240:$M$241,HC240)*$D$32</f>
        <v>0</v>
      </c>
      <c r="HE240" s="108"/>
      <c r="HF240" s="75"/>
      <c r="HG240" s="76">
        <f t="shared" ref="HG240:HG241" si="7109">COUNTIF($M$240:$M$241,HF240)*$D$32</f>
        <v>0</v>
      </c>
      <c r="HH240" s="108"/>
      <c r="HI240" s="75"/>
      <c r="HJ240" s="76">
        <f t="shared" ref="HJ240:HJ241" si="7110">COUNTIF($M$240:$M$241,HI240)*$D$32</f>
        <v>0</v>
      </c>
      <c r="HK240" s="108"/>
      <c r="HL240" s="75"/>
      <c r="HM240" s="76">
        <f t="shared" ref="HM240:HM241" si="7111">COUNTIF($M$240:$M$241,HL240)*$D$32</f>
        <v>0</v>
      </c>
      <c r="HN240" s="108"/>
      <c r="HO240" s="75"/>
      <c r="HP240" s="76">
        <f t="shared" ref="HP240:HP241" si="7112">COUNTIF($M$240:$M$241,HO240)*$D$32</f>
        <v>0</v>
      </c>
      <c r="HQ240" s="108"/>
      <c r="HR240" s="75"/>
      <c r="HS240" s="76">
        <f t="shared" ref="HS240:HS241" si="7113">COUNTIF($M$240:$M$241,HR240)*$D$32</f>
        <v>0</v>
      </c>
      <c r="HT240" s="108"/>
      <c r="HU240" s="75"/>
      <c r="HV240" s="76">
        <f t="shared" ref="HV240:HV241" si="7114">COUNTIF($M$240:$M$241,HU240)*$D$32</f>
        <v>0</v>
      </c>
      <c r="HW240" s="108"/>
      <c r="HX240" s="75"/>
      <c r="HY240" s="76">
        <f t="shared" ref="HY240:HY241" si="7115">COUNTIF($M$240:$M$241,HX240)*$D$32</f>
        <v>0</v>
      </c>
      <c r="HZ240" s="108"/>
      <c r="IA240" s="75"/>
      <c r="IB240" s="76">
        <f t="shared" ref="IB240:IB241" si="7116">COUNTIF($M$240:$M$241,IA240)*$D$32</f>
        <v>0</v>
      </c>
      <c r="IC240" s="108"/>
      <c r="ID240" s="75"/>
      <c r="IE240" s="76">
        <f t="shared" ref="IE240:IE241" si="7117">COUNTIF($M$240:$M$241,ID240)*$D$32</f>
        <v>0</v>
      </c>
      <c r="IF240" s="108"/>
      <c r="IG240" s="75"/>
      <c r="IH240" s="76">
        <f t="shared" ref="IH240:IH241" si="7118">COUNTIF($M$240:$M$241,IG240)*$D$32</f>
        <v>0</v>
      </c>
      <c r="II240" s="108"/>
      <c r="IJ240" s="75"/>
      <c r="IK240" s="76">
        <f t="shared" ref="IK240:IK241" si="7119">COUNTIF($M$240:$M$241,IJ240)*$D$32</f>
        <v>0</v>
      </c>
      <c r="IL240" s="108"/>
      <c r="IM240" s="75"/>
      <c r="IN240" s="76">
        <f t="shared" ref="IN240:IN241" si="7120">COUNTIF($M$240:$M$241,IM240)*$D$32</f>
        <v>0</v>
      </c>
      <c r="IO240" s="108"/>
      <c r="IP240" s="75"/>
      <c r="IQ240" s="76">
        <f t="shared" ref="IQ240:IQ241" si="7121">COUNTIF($M$240:$M$241,IP240)*$D$32</f>
        <v>0</v>
      </c>
      <c r="IR240" s="108"/>
      <c r="IS240" s="75"/>
      <c r="IT240" s="76">
        <f t="shared" ref="IT240:IT241" si="7122">COUNTIF($M$240:$M$241,IS240)*$D$32</f>
        <v>0</v>
      </c>
      <c r="IU240" s="108"/>
      <c r="IV240" s="75"/>
      <c r="IW240" s="76">
        <f t="shared" ref="IW240:IW241" si="7123">COUNTIF($M$240:$M$241,IV240)*$D$32</f>
        <v>0</v>
      </c>
      <c r="IX240" s="108"/>
      <c r="IY240" s="75"/>
      <c r="IZ240" s="76">
        <f t="shared" ref="IZ240:IZ241" si="7124">COUNTIF($M$240:$M$241,IY240)*$D$32</f>
        <v>0</v>
      </c>
      <c r="JA240" s="108"/>
      <c r="JB240" s="75"/>
      <c r="JC240" s="76">
        <f t="shared" ref="JC240:JC241" si="7125">COUNTIF($M$240:$M$241,JB240)*$D$32</f>
        <v>0</v>
      </c>
      <c r="JD240" s="108"/>
      <c r="JE240" s="75"/>
      <c r="JF240" s="76">
        <f t="shared" ref="JF240:JF241" si="7126">COUNTIF($M$240:$M$241,JE240)*$D$32</f>
        <v>0</v>
      </c>
      <c r="JG240" s="108"/>
      <c r="JH240" s="75"/>
      <c r="JI240" s="76">
        <f t="shared" ref="JI240:JI241" si="7127">COUNTIF($M$240:$M$241,JH240)*$D$32</f>
        <v>0</v>
      </c>
      <c r="JJ240" s="108"/>
      <c r="JK240" s="75"/>
      <c r="JL240" s="76">
        <f t="shared" ref="JL240:JL241" si="7128">COUNTIF($M$240:$M$241,JK240)*$D$32</f>
        <v>0</v>
      </c>
      <c r="JM240" s="108"/>
      <c r="JN240" s="75"/>
      <c r="JO240" s="76">
        <f t="shared" ref="JO240:JO241" si="7129">COUNTIF($M$240:$M$241,JN240)*$D$32</f>
        <v>0</v>
      </c>
      <c r="JP240" s="108"/>
      <c r="JQ240" s="75"/>
      <c r="JR240" s="76">
        <f t="shared" ref="JR240:JR241" si="7130">COUNTIF($M$240:$M$241,JQ240)*$D$32</f>
        <v>0</v>
      </c>
      <c r="JS240" s="108"/>
      <c r="JT240" s="75"/>
      <c r="JU240" s="76">
        <f t="shared" ref="JU240:JU241" si="7131">COUNTIF($M$240:$M$241,JT240)*$D$32</f>
        <v>0</v>
      </c>
      <c r="JV240" s="108"/>
      <c r="JW240" s="75"/>
      <c r="JX240" s="76">
        <f t="shared" ref="JX240:JX241" si="7132">COUNTIF($M$240:$M$241,JW240)*$D$32</f>
        <v>0</v>
      </c>
      <c r="JY240" s="108"/>
      <c r="JZ240" s="75"/>
      <c r="KA240" s="76">
        <f t="shared" ref="KA240:KA241" si="7133">COUNTIF($M$240:$M$241,JZ240)*$D$32</f>
        <v>0</v>
      </c>
      <c r="KB240" s="108"/>
      <c r="KC240" s="75"/>
      <c r="KD240" s="76">
        <f t="shared" ref="KD240:KD241" si="7134">COUNTIF($M$240:$M$241,KC240)*$D$32</f>
        <v>0</v>
      </c>
      <c r="KE240" s="108"/>
      <c r="KF240" s="75"/>
      <c r="KG240" s="76">
        <f t="shared" ref="KG240:KG241" si="7135">COUNTIF($M$240:$M$241,KF240)*$D$32</f>
        <v>0</v>
      </c>
      <c r="KH240" s="108"/>
      <c r="KI240" s="75"/>
      <c r="KJ240" s="76">
        <f t="shared" ref="KJ240:KJ241" si="7136">COUNTIF($M$240:$M$241,KI240)*$D$32</f>
        <v>0</v>
      </c>
      <c r="KK240" s="108"/>
      <c r="KL240" s="75"/>
      <c r="KM240" s="76">
        <f t="shared" ref="KM240:KM241" si="7137">COUNTIF($M$240:$M$241,KL240)*$D$32</f>
        <v>0</v>
      </c>
      <c r="KN240" s="108"/>
      <c r="KO240" s="75"/>
      <c r="KP240" s="76">
        <f t="shared" ref="KP240:KP241" si="7138">COUNTIF($M$240:$M$241,KO240)*$D$32</f>
        <v>0</v>
      </c>
      <c r="KQ240" s="108"/>
      <c r="KR240" s="75"/>
      <c r="KS240" s="76">
        <f t="shared" ref="KS240:KS241" si="7139">COUNTIF($M$240:$M$241,KR240)*$D$32</f>
        <v>0</v>
      </c>
      <c r="KT240" s="108"/>
      <c r="KU240" s="75"/>
      <c r="KV240" s="76">
        <f t="shared" ref="KV240:KV241" si="7140">COUNTIF($M$240:$M$241,KU240)*$D$32</f>
        <v>0</v>
      </c>
      <c r="KW240" s="108"/>
      <c r="KX240" s="75"/>
      <c r="KY240" s="76">
        <f t="shared" ref="KY240:KY241" si="7141">COUNTIF($M$240:$M$241,KX240)*$D$32</f>
        <v>0</v>
      </c>
      <c r="KZ240" s="108"/>
      <c r="LA240" s="75"/>
      <c r="LB240" s="76">
        <f t="shared" ref="LB240:LB241" si="7142">COUNTIF($M$240:$M$241,LA240)*$D$32</f>
        <v>0</v>
      </c>
      <c r="LC240" s="108"/>
      <c r="LD240" s="75"/>
      <c r="LE240" s="76">
        <f t="shared" ref="LE240:LE241" si="7143">COUNTIF($M$240:$M$241,LD240)*$D$32</f>
        <v>0</v>
      </c>
      <c r="LF240" s="108"/>
    </row>
    <row r="241" spans="1:318" s="784" customFormat="1">
      <c r="A241" s="25"/>
      <c r="B241" s="25"/>
      <c r="C241" s="25"/>
      <c r="D241" s="25"/>
      <c r="E241" s="25"/>
      <c r="F241" s="406">
        <f>$D$32</f>
        <v>60</v>
      </c>
      <c r="G241" s="406">
        <f ca="1">VLOOKUP(H241,Equipos!$Q$1:$R$25,2,0)</f>
        <v>23</v>
      </c>
      <c r="H241" s="64" t="str">
        <f>Idiomas!$D$263</f>
        <v>Semifinales</v>
      </c>
      <c r="I241" s="50"/>
      <c r="J241" s="844"/>
      <c r="K241" s="113" t="str">
        <f>Idiomas!$D$203&amp;"-"&amp;ROWS($L$240:L241)</f>
        <v>Finalista-2</v>
      </c>
      <c r="L241" s="113"/>
      <c r="M241" s="114" t="str">
        <f>WORLDCUP!AF147</f>
        <v>W102</v>
      </c>
      <c r="N241" s="25"/>
      <c r="O241" s="25"/>
      <c r="P241" s="25"/>
      <c r="Q241" s="25"/>
      <c r="R241" s="17"/>
      <c r="S241" s="796" t="s">
        <v>79</v>
      </c>
      <c r="T241" s="80">
        <f t="shared" si="7048"/>
        <v>0</v>
      </c>
      <c r="U241" s="108"/>
      <c r="V241" s="79" t="s">
        <v>79</v>
      </c>
      <c r="W241" s="80">
        <f t="shared" si="7049"/>
        <v>0</v>
      </c>
      <c r="X241" s="108"/>
      <c r="Y241" s="796" t="s">
        <v>1256</v>
      </c>
      <c r="Z241" s="80">
        <f t="shared" si="7050"/>
        <v>0</v>
      </c>
      <c r="AA241" s="108"/>
      <c r="AB241" s="796" t="s">
        <v>76</v>
      </c>
      <c r="AC241" s="80">
        <f t="shared" si="7051"/>
        <v>0</v>
      </c>
      <c r="AD241" s="108"/>
      <c r="AE241" s="796" t="s">
        <v>79</v>
      </c>
      <c r="AF241" s="80">
        <f t="shared" ref="AF241" si="7144">COUNTIF($M$240:$M$241,AE241)*$D$32</f>
        <v>0</v>
      </c>
      <c r="AG241" s="108"/>
      <c r="AH241" s="796" t="s">
        <v>79</v>
      </c>
      <c r="AI241" s="80">
        <f t="shared" si="7053"/>
        <v>0</v>
      </c>
      <c r="AJ241" s="108"/>
      <c r="AK241" s="806" t="s">
        <v>1258</v>
      </c>
      <c r="AL241" s="80">
        <f t="shared" si="7054"/>
        <v>0</v>
      </c>
      <c r="AM241" s="108"/>
      <c r="AN241" s="796" t="s">
        <v>79</v>
      </c>
      <c r="AO241" s="80">
        <f t="shared" si="7055"/>
        <v>0</v>
      </c>
      <c r="AP241" s="108"/>
      <c r="AQ241" s="806" t="s">
        <v>79</v>
      </c>
      <c r="AR241" s="80">
        <f t="shared" si="7056"/>
        <v>0</v>
      </c>
      <c r="AS241" s="108"/>
      <c r="AT241" s="796" t="s">
        <v>79</v>
      </c>
      <c r="AU241" s="80">
        <f t="shared" si="7057"/>
        <v>0</v>
      </c>
      <c r="AV241" s="108"/>
      <c r="AW241" s="796" t="s">
        <v>1256</v>
      </c>
      <c r="AX241" s="80">
        <f t="shared" si="7058"/>
        <v>0</v>
      </c>
      <c r="AY241" s="108"/>
      <c r="AZ241" s="796" t="s">
        <v>1728</v>
      </c>
      <c r="BA241" s="80">
        <f t="shared" si="7059"/>
        <v>0</v>
      </c>
      <c r="BB241" s="108"/>
      <c r="BC241" s="796" t="s">
        <v>79</v>
      </c>
      <c r="BD241" s="80">
        <f t="shared" si="7060"/>
        <v>0</v>
      </c>
      <c r="BE241" s="108"/>
      <c r="BF241" s="796" t="s">
        <v>79</v>
      </c>
      <c r="BG241" s="80">
        <f t="shared" si="7061"/>
        <v>0</v>
      </c>
      <c r="BH241" s="108"/>
      <c r="BI241" s="796" t="s">
        <v>79</v>
      </c>
      <c r="BJ241" s="80">
        <f t="shared" si="7062"/>
        <v>0</v>
      </c>
      <c r="BK241" s="108"/>
      <c r="BL241" s="796" t="s">
        <v>79</v>
      </c>
      <c r="BM241" s="80">
        <f t="shared" si="7063"/>
        <v>0</v>
      </c>
      <c r="BN241" s="108"/>
      <c r="BO241" s="816" t="s">
        <v>79</v>
      </c>
      <c r="BP241" s="80">
        <f t="shared" si="7064"/>
        <v>0</v>
      </c>
      <c r="BQ241" s="108"/>
      <c r="BR241" s="796" t="s">
        <v>79</v>
      </c>
      <c r="BS241" s="80">
        <f t="shared" si="7065"/>
        <v>0</v>
      </c>
      <c r="BT241" s="108"/>
      <c r="BU241" s="796" t="s">
        <v>1256</v>
      </c>
      <c r="BV241" s="80">
        <f t="shared" si="7066"/>
        <v>0</v>
      </c>
      <c r="BW241" s="108"/>
      <c r="BX241" s="79" t="s">
        <v>1258</v>
      </c>
      <c r="BY241" s="80">
        <f t="shared" si="7067"/>
        <v>0</v>
      </c>
      <c r="BZ241" s="108"/>
      <c r="CA241" s="816" t="s">
        <v>79</v>
      </c>
      <c r="CB241" s="80">
        <f t="shared" si="7068"/>
        <v>0</v>
      </c>
      <c r="CC241" s="108"/>
      <c r="CD241" s="825" t="s">
        <v>79</v>
      </c>
      <c r="CE241" s="80">
        <f t="shared" si="7069"/>
        <v>0</v>
      </c>
      <c r="CF241" s="108"/>
      <c r="CG241" s="796" t="s">
        <v>79</v>
      </c>
      <c r="CH241" s="80">
        <f t="shared" si="7070"/>
        <v>0</v>
      </c>
      <c r="CI241" s="108"/>
      <c r="CJ241" s="796" t="s">
        <v>1256</v>
      </c>
      <c r="CK241" s="80">
        <f t="shared" si="7071"/>
        <v>0</v>
      </c>
      <c r="CL241" s="108"/>
      <c r="CM241" s="796" t="s">
        <v>1318</v>
      </c>
      <c r="CN241" s="80">
        <f t="shared" si="7072"/>
        <v>0</v>
      </c>
      <c r="CO241" s="108"/>
      <c r="CP241" s="796" t="s">
        <v>1256</v>
      </c>
      <c r="CQ241" s="80">
        <f t="shared" si="7073"/>
        <v>0</v>
      </c>
      <c r="CR241" s="108"/>
      <c r="CS241" s="796" t="s">
        <v>1256</v>
      </c>
      <c r="CT241" s="80">
        <f t="shared" si="7074"/>
        <v>0</v>
      </c>
      <c r="CU241" s="108"/>
      <c r="CV241" s="796" t="s">
        <v>79</v>
      </c>
      <c r="CW241" s="80">
        <f t="shared" si="7075"/>
        <v>0</v>
      </c>
      <c r="CX241" s="108"/>
      <c r="CY241" s="796" t="s">
        <v>79</v>
      </c>
      <c r="CZ241" s="80">
        <f t="shared" si="7076"/>
        <v>0</v>
      </c>
      <c r="DA241" s="108"/>
      <c r="DB241" s="796" t="s">
        <v>1256</v>
      </c>
      <c r="DC241" s="80">
        <f t="shared" si="7077"/>
        <v>0</v>
      </c>
      <c r="DD241" s="108"/>
      <c r="DE241" s="796" t="s">
        <v>79</v>
      </c>
      <c r="DF241" s="80">
        <f>COUNTIF($M$240:$M$241,DE241)*$D$32</f>
        <v>0</v>
      </c>
      <c r="DG241" s="108"/>
      <c r="DH241" s="796" t="s">
        <v>79</v>
      </c>
      <c r="DI241" s="80">
        <f>COUNTIF($M$240:$M$241,DH241)*$D$32</f>
        <v>0</v>
      </c>
      <c r="DJ241" s="108"/>
      <c r="DK241" s="796" t="s">
        <v>1256</v>
      </c>
      <c r="DL241" s="80">
        <f>COUNTIF($M$240:$M$241,DK241)*$D$32</f>
        <v>0</v>
      </c>
      <c r="DM241" s="108"/>
      <c r="DN241" s="79"/>
      <c r="DO241" s="80">
        <f t="shared" si="7078"/>
        <v>0</v>
      </c>
      <c r="DP241" s="108"/>
      <c r="DQ241" s="796" t="s">
        <v>76</v>
      </c>
      <c r="DR241" s="80">
        <f t="shared" si="7079"/>
        <v>0</v>
      </c>
      <c r="DS241" s="108"/>
      <c r="DT241" s="79" t="s">
        <v>1256</v>
      </c>
      <c r="DU241" s="80">
        <f t="shared" si="7080"/>
        <v>0</v>
      </c>
      <c r="DV241" s="108"/>
      <c r="DW241" s="79"/>
      <c r="DX241" s="80">
        <f t="shared" si="7081"/>
        <v>0</v>
      </c>
      <c r="DY241" s="108"/>
      <c r="DZ241" s="79"/>
      <c r="EA241" s="80">
        <f>COUNTIF($M$240:$M$241,DZ241)*$D$32</f>
        <v>0</v>
      </c>
      <c r="EB241" s="108"/>
      <c r="EC241" s="79"/>
      <c r="ED241" s="80">
        <f t="shared" si="7082"/>
        <v>0</v>
      </c>
      <c r="EE241" s="108"/>
      <c r="EF241" s="79"/>
      <c r="EG241" s="80">
        <f t="shared" si="7083"/>
        <v>0</v>
      </c>
      <c r="EH241" s="108"/>
      <c r="EI241" s="79"/>
      <c r="EJ241" s="80">
        <f t="shared" si="7084"/>
        <v>0</v>
      </c>
      <c r="EK241" s="108"/>
      <c r="EL241" s="79"/>
      <c r="EM241" s="80">
        <f t="shared" si="7085"/>
        <v>0</v>
      </c>
      <c r="EN241" s="108"/>
      <c r="EO241" s="79"/>
      <c r="EP241" s="80">
        <f t="shared" si="7086"/>
        <v>0</v>
      </c>
      <c r="EQ241" s="108"/>
      <c r="ER241" s="79"/>
      <c r="ES241" s="80">
        <f t="shared" si="7087"/>
        <v>0</v>
      </c>
      <c r="ET241" s="108"/>
      <c r="EU241" s="79"/>
      <c r="EV241" s="80">
        <f t="shared" si="7088"/>
        <v>0</v>
      </c>
      <c r="EW241" s="108"/>
      <c r="EX241" s="79"/>
      <c r="EY241" s="80">
        <f t="shared" si="7089"/>
        <v>0</v>
      </c>
      <c r="EZ241" s="108"/>
      <c r="FA241" s="79"/>
      <c r="FB241" s="80">
        <f t="shared" si="7090"/>
        <v>0</v>
      </c>
      <c r="FC241" s="108"/>
      <c r="FD241" s="79"/>
      <c r="FE241" s="80">
        <f t="shared" si="7091"/>
        <v>0</v>
      </c>
      <c r="FF241" s="108"/>
      <c r="FG241" s="79"/>
      <c r="FH241" s="80">
        <f t="shared" si="7092"/>
        <v>0</v>
      </c>
      <c r="FI241" s="108"/>
      <c r="FJ241" s="79"/>
      <c r="FK241" s="80">
        <f t="shared" si="7093"/>
        <v>0</v>
      </c>
      <c r="FL241" s="108"/>
      <c r="FM241" s="79"/>
      <c r="FN241" s="80">
        <f t="shared" si="7094"/>
        <v>0</v>
      </c>
      <c r="FO241" s="108"/>
      <c r="FP241" s="79"/>
      <c r="FQ241" s="80">
        <f t="shared" si="7095"/>
        <v>0</v>
      </c>
      <c r="FR241" s="108"/>
      <c r="FS241" s="79"/>
      <c r="FT241" s="80">
        <f t="shared" si="7096"/>
        <v>0</v>
      </c>
      <c r="FU241" s="108"/>
      <c r="FV241" s="79"/>
      <c r="FW241" s="80">
        <f t="shared" si="7097"/>
        <v>0</v>
      </c>
      <c r="FX241" s="108"/>
      <c r="FY241" s="79"/>
      <c r="FZ241" s="80">
        <f t="shared" si="7098"/>
        <v>0</v>
      </c>
      <c r="GA241" s="108"/>
      <c r="GB241" s="79"/>
      <c r="GC241" s="80">
        <f t="shared" si="7099"/>
        <v>0</v>
      </c>
      <c r="GD241" s="108"/>
      <c r="GE241" s="79"/>
      <c r="GF241" s="80">
        <f t="shared" si="7100"/>
        <v>0</v>
      </c>
      <c r="GG241" s="108"/>
      <c r="GH241" s="79"/>
      <c r="GI241" s="80">
        <f t="shared" si="7101"/>
        <v>0</v>
      </c>
      <c r="GJ241" s="108"/>
      <c r="GK241" s="79"/>
      <c r="GL241" s="80">
        <f t="shared" si="7102"/>
        <v>0</v>
      </c>
      <c r="GM241" s="108"/>
      <c r="GN241" s="79"/>
      <c r="GO241" s="80">
        <f t="shared" si="7103"/>
        <v>0</v>
      </c>
      <c r="GP241" s="108"/>
      <c r="GQ241" s="79"/>
      <c r="GR241" s="80">
        <f t="shared" si="7104"/>
        <v>0</v>
      </c>
      <c r="GS241" s="108"/>
      <c r="GT241" s="79"/>
      <c r="GU241" s="80">
        <f t="shared" si="7105"/>
        <v>0</v>
      </c>
      <c r="GV241" s="108"/>
      <c r="GW241" s="79"/>
      <c r="GX241" s="80">
        <f t="shared" si="7106"/>
        <v>0</v>
      </c>
      <c r="GY241" s="108"/>
      <c r="GZ241" s="79"/>
      <c r="HA241" s="80">
        <f t="shared" si="7107"/>
        <v>0</v>
      </c>
      <c r="HB241" s="108"/>
      <c r="HC241" s="79"/>
      <c r="HD241" s="80">
        <f t="shared" si="7108"/>
        <v>0</v>
      </c>
      <c r="HE241" s="108"/>
      <c r="HF241" s="79"/>
      <c r="HG241" s="80">
        <f t="shared" si="7109"/>
        <v>0</v>
      </c>
      <c r="HH241" s="108"/>
      <c r="HI241" s="79"/>
      <c r="HJ241" s="80">
        <f t="shared" si="7110"/>
        <v>0</v>
      </c>
      <c r="HK241" s="108"/>
      <c r="HL241" s="79"/>
      <c r="HM241" s="80">
        <f t="shared" si="7111"/>
        <v>0</v>
      </c>
      <c r="HN241" s="108"/>
      <c r="HO241" s="79"/>
      <c r="HP241" s="80">
        <f t="shared" si="7112"/>
        <v>0</v>
      </c>
      <c r="HQ241" s="108"/>
      <c r="HR241" s="79"/>
      <c r="HS241" s="80">
        <f t="shared" si="7113"/>
        <v>0</v>
      </c>
      <c r="HT241" s="108"/>
      <c r="HU241" s="79"/>
      <c r="HV241" s="80">
        <f t="shared" si="7114"/>
        <v>0</v>
      </c>
      <c r="HW241" s="108"/>
      <c r="HX241" s="79"/>
      <c r="HY241" s="80">
        <f t="shared" si="7115"/>
        <v>0</v>
      </c>
      <c r="HZ241" s="108"/>
      <c r="IA241" s="79"/>
      <c r="IB241" s="80">
        <f t="shared" si="7116"/>
        <v>0</v>
      </c>
      <c r="IC241" s="108"/>
      <c r="ID241" s="79"/>
      <c r="IE241" s="80">
        <f t="shared" si="7117"/>
        <v>0</v>
      </c>
      <c r="IF241" s="108"/>
      <c r="IG241" s="79"/>
      <c r="IH241" s="80">
        <f t="shared" si="7118"/>
        <v>0</v>
      </c>
      <c r="II241" s="108"/>
      <c r="IJ241" s="79"/>
      <c r="IK241" s="80">
        <f t="shared" si="7119"/>
        <v>0</v>
      </c>
      <c r="IL241" s="108"/>
      <c r="IM241" s="79"/>
      <c r="IN241" s="80">
        <f t="shared" si="7120"/>
        <v>0</v>
      </c>
      <c r="IO241" s="108"/>
      <c r="IP241" s="79"/>
      <c r="IQ241" s="80">
        <f t="shared" si="7121"/>
        <v>0</v>
      </c>
      <c r="IR241" s="108"/>
      <c r="IS241" s="79"/>
      <c r="IT241" s="80">
        <f t="shared" si="7122"/>
        <v>0</v>
      </c>
      <c r="IU241" s="108"/>
      <c r="IV241" s="79"/>
      <c r="IW241" s="80">
        <f t="shared" si="7123"/>
        <v>0</v>
      </c>
      <c r="IX241" s="108"/>
      <c r="IY241" s="79"/>
      <c r="IZ241" s="80">
        <f t="shared" si="7124"/>
        <v>0</v>
      </c>
      <c r="JA241" s="108"/>
      <c r="JB241" s="79"/>
      <c r="JC241" s="80">
        <f t="shared" si="7125"/>
        <v>0</v>
      </c>
      <c r="JD241" s="108"/>
      <c r="JE241" s="79"/>
      <c r="JF241" s="80">
        <f t="shared" si="7126"/>
        <v>0</v>
      </c>
      <c r="JG241" s="108"/>
      <c r="JH241" s="79"/>
      <c r="JI241" s="80">
        <f t="shared" si="7127"/>
        <v>0</v>
      </c>
      <c r="JJ241" s="108"/>
      <c r="JK241" s="79"/>
      <c r="JL241" s="80">
        <f t="shared" si="7128"/>
        <v>0</v>
      </c>
      <c r="JM241" s="108"/>
      <c r="JN241" s="79"/>
      <c r="JO241" s="80">
        <f t="shared" si="7129"/>
        <v>0</v>
      </c>
      <c r="JP241" s="108"/>
      <c r="JQ241" s="79"/>
      <c r="JR241" s="80">
        <f t="shared" si="7130"/>
        <v>0</v>
      </c>
      <c r="JS241" s="108"/>
      <c r="JT241" s="79"/>
      <c r="JU241" s="80">
        <f t="shared" si="7131"/>
        <v>0</v>
      </c>
      <c r="JV241" s="108"/>
      <c r="JW241" s="79"/>
      <c r="JX241" s="80">
        <f t="shared" si="7132"/>
        <v>0</v>
      </c>
      <c r="JY241" s="108"/>
      <c r="JZ241" s="79"/>
      <c r="KA241" s="80">
        <f t="shared" si="7133"/>
        <v>0</v>
      </c>
      <c r="KB241" s="108"/>
      <c r="KC241" s="79"/>
      <c r="KD241" s="80">
        <f t="shared" si="7134"/>
        <v>0</v>
      </c>
      <c r="KE241" s="108"/>
      <c r="KF241" s="79"/>
      <c r="KG241" s="80">
        <f t="shared" si="7135"/>
        <v>0</v>
      </c>
      <c r="KH241" s="108"/>
      <c r="KI241" s="79"/>
      <c r="KJ241" s="80">
        <f t="shared" si="7136"/>
        <v>0</v>
      </c>
      <c r="KK241" s="108"/>
      <c r="KL241" s="79"/>
      <c r="KM241" s="80">
        <f t="shared" si="7137"/>
        <v>0</v>
      </c>
      <c r="KN241" s="108"/>
      <c r="KO241" s="79"/>
      <c r="KP241" s="80">
        <f t="shared" si="7138"/>
        <v>0</v>
      </c>
      <c r="KQ241" s="108"/>
      <c r="KR241" s="79"/>
      <c r="KS241" s="80">
        <f t="shared" si="7139"/>
        <v>0</v>
      </c>
      <c r="KT241" s="108"/>
      <c r="KU241" s="79"/>
      <c r="KV241" s="80">
        <f t="shared" si="7140"/>
        <v>0</v>
      </c>
      <c r="KW241" s="108"/>
      <c r="KX241" s="79"/>
      <c r="KY241" s="80">
        <f t="shared" si="7141"/>
        <v>0</v>
      </c>
      <c r="KZ241" s="108"/>
      <c r="LA241" s="79"/>
      <c r="LB241" s="80">
        <f t="shared" si="7142"/>
        <v>0</v>
      </c>
      <c r="LC241" s="108"/>
      <c r="LD241" s="79"/>
      <c r="LE241" s="80">
        <f t="shared" si="7143"/>
        <v>0</v>
      </c>
      <c r="LF241" s="108"/>
    </row>
    <row r="242" spans="1:318" s="784" customFormat="1">
      <c r="A242" s="25"/>
      <c r="B242" s="25"/>
      <c r="C242" s="25"/>
      <c r="D242" s="25"/>
      <c r="E242" s="25"/>
      <c r="F242" s="406"/>
      <c r="G242" s="406"/>
      <c r="H242" s="64"/>
      <c r="I242" s="50"/>
      <c r="J242" s="92"/>
      <c r="K242" s="432" t="str">
        <f>Idiomas!D466</f>
        <v>Equipos Final</v>
      </c>
      <c r="L242" s="433"/>
      <c r="M242" s="432" t="str">
        <f>"Max: "&amp;$D$32*COUNT(T240:T241)</f>
        <v>Max: 120</v>
      </c>
      <c r="N242" s="25"/>
      <c r="O242" s="25"/>
      <c r="P242" s="25"/>
      <c r="Q242" s="25"/>
      <c r="R242" s="17"/>
      <c r="S242" s="797"/>
      <c r="T242" s="70">
        <f t="shared" ref="T242" si="7145">SUM(T240:T241)</f>
        <v>0</v>
      </c>
      <c r="U242" s="49"/>
      <c r="V242" s="83"/>
      <c r="W242" s="70">
        <f t="shared" ref="W242" si="7146">SUM(W240:W241)</f>
        <v>0</v>
      </c>
      <c r="X242" s="49"/>
      <c r="Y242" s="797"/>
      <c r="Z242" s="70">
        <f t="shared" ref="Z242" si="7147">SUM(Z240:Z241)</f>
        <v>0</v>
      </c>
      <c r="AA242" s="49"/>
      <c r="AB242" s="797"/>
      <c r="AC242" s="70">
        <f t="shared" ref="AC242" si="7148">SUM(AC240:AC241)</f>
        <v>0</v>
      </c>
      <c r="AD242" s="49"/>
      <c r="AE242" s="797"/>
      <c r="AF242" s="70">
        <f t="shared" ref="AF242" si="7149">SUM(AF240:AF241)</f>
        <v>0</v>
      </c>
      <c r="AG242" s="49"/>
      <c r="AH242" s="797"/>
      <c r="AI242" s="70">
        <f t="shared" ref="AI242" si="7150">SUM(AI240:AI241)</f>
        <v>0</v>
      </c>
      <c r="AJ242" s="49"/>
      <c r="AK242" s="802"/>
      <c r="AL242" s="70">
        <f t="shared" ref="AL242" si="7151">SUM(AL240:AL241)</f>
        <v>0</v>
      </c>
      <c r="AM242" s="49"/>
      <c r="AN242" s="797"/>
      <c r="AO242" s="70">
        <f t="shared" ref="AO242" si="7152">SUM(AO240:AO241)</f>
        <v>0</v>
      </c>
      <c r="AP242" s="49"/>
      <c r="AQ242" s="802"/>
      <c r="AR242" s="70">
        <f t="shared" ref="AR242" si="7153">SUM(AR240:AR241)</f>
        <v>0</v>
      </c>
      <c r="AS242" s="49"/>
      <c r="AT242" s="797"/>
      <c r="AU242" s="70">
        <f t="shared" ref="AU242" si="7154">SUM(AU240:AU241)</f>
        <v>0</v>
      </c>
      <c r="AV242" s="49"/>
      <c r="AW242" s="797"/>
      <c r="AX242" s="70">
        <f t="shared" ref="AX242" si="7155">SUM(AX240:AX241)</f>
        <v>0</v>
      </c>
      <c r="AY242" s="49"/>
      <c r="AZ242" s="797"/>
      <c r="BA242" s="70">
        <f t="shared" ref="BA242" si="7156">SUM(BA240:BA241)</f>
        <v>0</v>
      </c>
      <c r="BB242" s="49"/>
      <c r="BC242" s="797"/>
      <c r="BD242" s="70">
        <f t="shared" ref="BD242" si="7157">SUM(BD240:BD241)</f>
        <v>0</v>
      </c>
      <c r="BE242" s="49"/>
      <c r="BF242" s="797"/>
      <c r="BG242" s="70">
        <f t="shared" ref="BG242" si="7158">SUM(BG240:BG241)</f>
        <v>0</v>
      </c>
      <c r="BH242" s="49"/>
      <c r="BI242" s="797"/>
      <c r="BJ242" s="70">
        <f t="shared" ref="BJ242" si="7159">SUM(BJ240:BJ241)</f>
        <v>0</v>
      </c>
      <c r="BK242" s="49"/>
      <c r="BL242" s="797"/>
      <c r="BM242" s="70">
        <f t="shared" ref="BM242" si="7160">SUM(BM240:BM241)</f>
        <v>0</v>
      </c>
      <c r="BN242" s="49"/>
      <c r="BO242" s="812"/>
      <c r="BP242" s="70">
        <f t="shared" ref="BP242" si="7161">SUM(BP240:BP241)</f>
        <v>0</v>
      </c>
      <c r="BQ242" s="49"/>
      <c r="BR242" s="797"/>
      <c r="BS242" s="70">
        <f t="shared" ref="BS242" si="7162">SUM(BS240:BS241)</f>
        <v>0</v>
      </c>
      <c r="BT242" s="49"/>
      <c r="BU242" s="797"/>
      <c r="BV242" s="70">
        <f t="shared" ref="BV242" si="7163">SUM(BV240:BV241)</f>
        <v>0</v>
      </c>
      <c r="BW242" s="49"/>
      <c r="BX242" s="83"/>
      <c r="BY242" s="70">
        <f t="shared" ref="BY242" si="7164">SUM(BY240:BY241)</f>
        <v>0</v>
      </c>
      <c r="BZ242" s="49"/>
      <c r="CA242" s="812"/>
      <c r="CB242" s="70">
        <f t="shared" ref="CB242" si="7165">SUM(CB240:CB241)</f>
        <v>0</v>
      </c>
      <c r="CC242" s="49"/>
      <c r="CD242" s="821"/>
      <c r="CE242" s="70">
        <f t="shared" ref="CE242" si="7166">SUM(CE240:CE241)</f>
        <v>0</v>
      </c>
      <c r="CF242" s="49"/>
      <c r="CG242" s="797"/>
      <c r="CH242" s="70">
        <f t="shared" ref="CH242" si="7167">SUM(CH240:CH241)</f>
        <v>0</v>
      </c>
      <c r="CI242" s="49"/>
      <c r="CJ242" s="797"/>
      <c r="CK242" s="70">
        <f t="shared" ref="CK242" si="7168">SUM(CK240:CK241)</f>
        <v>0</v>
      </c>
      <c r="CL242" s="49"/>
      <c r="CM242" s="797"/>
      <c r="CN242" s="70">
        <f t="shared" ref="CN242" si="7169">SUM(CN240:CN241)</f>
        <v>0</v>
      </c>
      <c r="CO242" s="49"/>
      <c r="CP242" s="797"/>
      <c r="CQ242" s="70">
        <f t="shared" ref="CQ242" si="7170">SUM(CQ240:CQ241)</f>
        <v>0</v>
      </c>
      <c r="CR242" s="49"/>
      <c r="CS242" s="797"/>
      <c r="CT242" s="70">
        <f t="shared" ref="CT242" si="7171">SUM(CT240:CT241)</f>
        <v>0</v>
      </c>
      <c r="CU242" s="49"/>
      <c r="CV242" s="797"/>
      <c r="CW242" s="70">
        <f t="shared" ref="CW242" si="7172">SUM(CW240:CW241)</f>
        <v>0</v>
      </c>
      <c r="CX242" s="49"/>
      <c r="CY242" s="797"/>
      <c r="CZ242" s="70">
        <f t="shared" ref="CZ242" si="7173">SUM(CZ240:CZ241)</f>
        <v>0</v>
      </c>
      <c r="DA242" s="49"/>
      <c r="DB242" s="797"/>
      <c r="DC242" s="70">
        <f t="shared" ref="DC242" si="7174">SUM(DC240:DC241)</f>
        <v>0</v>
      </c>
      <c r="DD242" s="49"/>
      <c r="DE242" s="797"/>
      <c r="DF242" s="70">
        <f t="shared" ref="DF242" si="7175">SUM(DF240:DF241)</f>
        <v>0</v>
      </c>
      <c r="DG242" s="49"/>
      <c r="DH242" s="797"/>
      <c r="DI242" s="70">
        <f t="shared" ref="DI242" si="7176">SUM(DI240:DI241)</f>
        <v>0</v>
      </c>
      <c r="DJ242" s="49"/>
      <c r="DK242" s="797"/>
      <c r="DL242" s="70">
        <f t="shared" ref="DL242" si="7177">SUM(DL240:DL241)</f>
        <v>0</v>
      </c>
      <c r="DM242" s="49"/>
      <c r="DN242" s="83"/>
      <c r="DO242" s="70">
        <f t="shared" ref="DO242" si="7178">SUM(DO240:DO241)</f>
        <v>0</v>
      </c>
      <c r="DP242" s="49"/>
      <c r="DQ242" s="797"/>
      <c r="DR242" s="70">
        <f t="shared" ref="DR242" si="7179">SUM(DR240:DR241)</f>
        <v>0</v>
      </c>
      <c r="DS242" s="49"/>
      <c r="DT242" s="83"/>
      <c r="DU242" s="70">
        <f t="shared" ref="DU242" si="7180">SUM(DU240:DU241)</f>
        <v>0</v>
      </c>
      <c r="DV242" s="49"/>
      <c r="DW242" s="83"/>
      <c r="DX242" s="70">
        <f t="shared" ref="DX242" si="7181">SUM(DX240:DX241)</f>
        <v>0</v>
      </c>
      <c r="DY242" s="49"/>
      <c r="DZ242" s="83"/>
      <c r="EA242" s="70">
        <f t="shared" ref="EA242" si="7182">SUM(EA240:EA241)</f>
        <v>0</v>
      </c>
      <c r="EB242" s="49"/>
      <c r="EC242" s="83"/>
      <c r="ED242" s="70">
        <f t="shared" ref="ED242" si="7183">SUM(ED240:ED241)</f>
        <v>0</v>
      </c>
      <c r="EE242" s="49"/>
      <c r="EF242" s="83"/>
      <c r="EG242" s="70">
        <f t="shared" ref="EG242" si="7184">SUM(EG240:EG241)</f>
        <v>0</v>
      </c>
      <c r="EH242" s="49"/>
      <c r="EI242" s="83"/>
      <c r="EJ242" s="70">
        <f t="shared" ref="EJ242" si="7185">SUM(EJ240:EJ241)</f>
        <v>0</v>
      </c>
      <c r="EK242" s="49"/>
      <c r="EL242" s="83"/>
      <c r="EM242" s="70">
        <f t="shared" ref="EM242" si="7186">SUM(EM240:EM241)</f>
        <v>0</v>
      </c>
      <c r="EN242" s="49"/>
      <c r="EO242" s="83"/>
      <c r="EP242" s="70">
        <f t="shared" ref="EP242" si="7187">SUM(EP240:EP241)</f>
        <v>0</v>
      </c>
      <c r="EQ242" s="49"/>
      <c r="ER242" s="83"/>
      <c r="ES242" s="70">
        <f t="shared" ref="ES242" si="7188">SUM(ES240:ES241)</f>
        <v>0</v>
      </c>
      <c r="ET242" s="49"/>
      <c r="EU242" s="83"/>
      <c r="EV242" s="70">
        <f t="shared" ref="EV242" si="7189">SUM(EV240:EV241)</f>
        <v>0</v>
      </c>
      <c r="EW242" s="49"/>
      <c r="EX242" s="83"/>
      <c r="EY242" s="70">
        <f t="shared" ref="EY242" si="7190">SUM(EY240:EY241)</f>
        <v>0</v>
      </c>
      <c r="EZ242" s="49"/>
      <c r="FA242" s="83"/>
      <c r="FB242" s="70">
        <f t="shared" ref="FB242" si="7191">SUM(FB240:FB241)</f>
        <v>0</v>
      </c>
      <c r="FC242" s="49"/>
      <c r="FD242" s="83"/>
      <c r="FE242" s="70">
        <f t="shared" ref="FE242" si="7192">SUM(FE240:FE241)</f>
        <v>0</v>
      </c>
      <c r="FF242" s="49"/>
      <c r="FG242" s="83"/>
      <c r="FH242" s="70">
        <f t="shared" ref="FH242" si="7193">SUM(FH240:FH241)</f>
        <v>0</v>
      </c>
      <c r="FI242" s="49"/>
      <c r="FJ242" s="83"/>
      <c r="FK242" s="70">
        <f t="shared" ref="FK242" si="7194">SUM(FK240:FK241)</f>
        <v>0</v>
      </c>
      <c r="FL242" s="49"/>
      <c r="FM242" s="83"/>
      <c r="FN242" s="70">
        <f t="shared" ref="FN242" si="7195">SUM(FN240:FN241)</f>
        <v>0</v>
      </c>
      <c r="FO242" s="49"/>
      <c r="FP242" s="83"/>
      <c r="FQ242" s="70">
        <f t="shared" ref="FQ242" si="7196">SUM(FQ240:FQ241)</f>
        <v>0</v>
      </c>
      <c r="FR242" s="49"/>
      <c r="FS242" s="83"/>
      <c r="FT242" s="70">
        <f t="shared" ref="FT242" si="7197">SUM(FT240:FT241)</f>
        <v>0</v>
      </c>
      <c r="FU242" s="49"/>
      <c r="FV242" s="83"/>
      <c r="FW242" s="70">
        <f t="shared" ref="FW242" si="7198">SUM(FW240:FW241)</f>
        <v>0</v>
      </c>
      <c r="FX242" s="49"/>
      <c r="FY242" s="83"/>
      <c r="FZ242" s="70">
        <f t="shared" ref="FZ242" si="7199">SUM(FZ240:FZ241)</f>
        <v>0</v>
      </c>
      <c r="GA242" s="49"/>
      <c r="GB242" s="83"/>
      <c r="GC242" s="70">
        <f t="shared" ref="GC242" si="7200">SUM(GC240:GC241)</f>
        <v>0</v>
      </c>
      <c r="GD242" s="49"/>
      <c r="GE242" s="83"/>
      <c r="GF242" s="70">
        <f t="shared" ref="GF242" si="7201">SUM(GF240:GF241)</f>
        <v>0</v>
      </c>
      <c r="GG242" s="49"/>
      <c r="GH242" s="83"/>
      <c r="GI242" s="70">
        <f t="shared" ref="GI242" si="7202">SUM(GI240:GI241)</f>
        <v>0</v>
      </c>
      <c r="GJ242" s="49"/>
      <c r="GK242" s="83"/>
      <c r="GL242" s="70">
        <f t="shared" ref="GL242" si="7203">SUM(GL240:GL241)</f>
        <v>0</v>
      </c>
      <c r="GM242" s="49"/>
      <c r="GN242" s="83"/>
      <c r="GO242" s="70">
        <f t="shared" ref="GO242" si="7204">SUM(GO240:GO241)</f>
        <v>0</v>
      </c>
      <c r="GP242" s="49"/>
      <c r="GQ242" s="83"/>
      <c r="GR242" s="70">
        <f t="shared" ref="GR242" si="7205">SUM(GR240:GR241)</f>
        <v>0</v>
      </c>
      <c r="GS242" s="49"/>
      <c r="GT242" s="83"/>
      <c r="GU242" s="70">
        <f t="shared" ref="GU242" si="7206">SUM(GU240:GU241)</f>
        <v>0</v>
      </c>
      <c r="GV242" s="49"/>
      <c r="GW242" s="83"/>
      <c r="GX242" s="70">
        <f t="shared" ref="GX242" si="7207">SUM(GX240:GX241)</f>
        <v>0</v>
      </c>
      <c r="GY242" s="49"/>
      <c r="GZ242" s="83"/>
      <c r="HA242" s="70">
        <f t="shared" ref="HA242" si="7208">SUM(HA240:HA241)</f>
        <v>0</v>
      </c>
      <c r="HB242" s="49"/>
      <c r="HC242" s="83"/>
      <c r="HD242" s="70">
        <f t="shared" ref="HD242" si="7209">SUM(HD240:HD241)</f>
        <v>0</v>
      </c>
      <c r="HE242" s="49"/>
      <c r="HF242" s="83"/>
      <c r="HG242" s="70">
        <f t="shared" ref="HG242" si="7210">SUM(HG240:HG241)</f>
        <v>0</v>
      </c>
      <c r="HH242" s="49"/>
      <c r="HI242" s="83"/>
      <c r="HJ242" s="70">
        <f t="shared" ref="HJ242" si="7211">SUM(HJ240:HJ241)</f>
        <v>0</v>
      </c>
      <c r="HK242" s="49"/>
      <c r="HL242" s="83"/>
      <c r="HM242" s="70">
        <f t="shared" ref="HM242" si="7212">SUM(HM240:HM241)</f>
        <v>0</v>
      </c>
      <c r="HN242" s="49"/>
      <c r="HO242" s="83"/>
      <c r="HP242" s="70">
        <f t="shared" ref="HP242" si="7213">SUM(HP240:HP241)</f>
        <v>0</v>
      </c>
      <c r="HQ242" s="49"/>
      <c r="HR242" s="83"/>
      <c r="HS242" s="70">
        <f t="shared" ref="HS242" si="7214">SUM(HS240:HS241)</f>
        <v>0</v>
      </c>
      <c r="HT242" s="49"/>
      <c r="HU242" s="83"/>
      <c r="HV242" s="70">
        <f t="shared" ref="HV242" si="7215">SUM(HV240:HV241)</f>
        <v>0</v>
      </c>
      <c r="HW242" s="49"/>
      <c r="HX242" s="83"/>
      <c r="HY242" s="70">
        <f t="shared" ref="HY242" si="7216">SUM(HY240:HY241)</f>
        <v>0</v>
      </c>
      <c r="HZ242" s="49"/>
      <c r="IA242" s="83"/>
      <c r="IB242" s="70">
        <f t="shared" ref="IB242" si="7217">SUM(IB240:IB241)</f>
        <v>0</v>
      </c>
      <c r="IC242" s="49"/>
      <c r="ID242" s="83"/>
      <c r="IE242" s="70">
        <f t="shared" ref="IE242" si="7218">SUM(IE240:IE241)</f>
        <v>0</v>
      </c>
      <c r="IF242" s="49"/>
      <c r="IG242" s="83"/>
      <c r="IH242" s="70">
        <f t="shared" ref="IH242" si="7219">SUM(IH240:IH241)</f>
        <v>0</v>
      </c>
      <c r="II242" s="49"/>
      <c r="IJ242" s="83"/>
      <c r="IK242" s="70">
        <f t="shared" ref="IK242" si="7220">SUM(IK240:IK241)</f>
        <v>0</v>
      </c>
      <c r="IL242" s="49"/>
      <c r="IM242" s="83"/>
      <c r="IN242" s="70">
        <f t="shared" ref="IN242" si="7221">SUM(IN240:IN241)</f>
        <v>0</v>
      </c>
      <c r="IO242" s="49"/>
      <c r="IP242" s="83"/>
      <c r="IQ242" s="70">
        <f t="shared" ref="IQ242" si="7222">SUM(IQ240:IQ241)</f>
        <v>0</v>
      </c>
      <c r="IR242" s="49"/>
      <c r="IS242" s="83"/>
      <c r="IT242" s="70">
        <f t="shared" ref="IT242" si="7223">SUM(IT240:IT241)</f>
        <v>0</v>
      </c>
      <c r="IU242" s="49"/>
      <c r="IV242" s="83"/>
      <c r="IW242" s="70">
        <f t="shared" ref="IW242" si="7224">SUM(IW240:IW241)</f>
        <v>0</v>
      </c>
      <c r="IX242" s="49"/>
      <c r="IY242" s="83"/>
      <c r="IZ242" s="70">
        <f t="shared" ref="IZ242" si="7225">SUM(IZ240:IZ241)</f>
        <v>0</v>
      </c>
      <c r="JA242" s="49"/>
      <c r="JB242" s="83"/>
      <c r="JC242" s="70">
        <f t="shared" ref="JC242" si="7226">SUM(JC240:JC241)</f>
        <v>0</v>
      </c>
      <c r="JD242" s="49"/>
      <c r="JE242" s="83"/>
      <c r="JF242" s="70">
        <f t="shared" ref="JF242" si="7227">SUM(JF240:JF241)</f>
        <v>0</v>
      </c>
      <c r="JG242" s="49"/>
      <c r="JH242" s="83"/>
      <c r="JI242" s="70">
        <f t="shared" ref="JI242" si="7228">SUM(JI240:JI241)</f>
        <v>0</v>
      </c>
      <c r="JJ242" s="49"/>
      <c r="JK242" s="83"/>
      <c r="JL242" s="70">
        <f t="shared" ref="JL242" si="7229">SUM(JL240:JL241)</f>
        <v>0</v>
      </c>
      <c r="JM242" s="49"/>
      <c r="JN242" s="83"/>
      <c r="JO242" s="70">
        <f t="shared" ref="JO242" si="7230">SUM(JO240:JO241)</f>
        <v>0</v>
      </c>
      <c r="JP242" s="49"/>
      <c r="JQ242" s="83"/>
      <c r="JR242" s="70">
        <f t="shared" ref="JR242" si="7231">SUM(JR240:JR241)</f>
        <v>0</v>
      </c>
      <c r="JS242" s="49"/>
      <c r="JT242" s="83"/>
      <c r="JU242" s="70">
        <f t="shared" ref="JU242" si="7232">SUM(JU240:JU241)</f>
        <v>0</v>
      </c>
      <c r="JV242" s="49"/>
      <c r="JW242" s="83"/>
      <c r="JX242" s="70">
        <f t="shared" ref="JX242" si="7233">SUM(JX240:JX241)</f>
        <v>0</v>
      </c>
      <c r="JY242" s="49"/>
      <c r="JZ242" s="83"/>
      <c r="KA242" s="70">
        <f t="shared" ref="KA242" si="7234">SUM(KA240:KA241)</f>
        <v>0</v>
      </c>
      <c r="KB242" s="49"/>
      <c r="KC242" s="83"/>
      <c r="KD242" s="70">
        <f t="shared" ref="KD242" si="7235">SUM(KD240:KD241)</f>
        <v>0</v>
      </c>
      <c r="KE242" s="49"/>
      <c r="KF242" s="83"/>
      <c r="KG242" s="70">
        <f t="shared" ref="KG242" si="7236">SUM(KG240:KG241)</f>
        <v>0</v>
      </c>
      <c r="KH242" s="49"/>
      <c r="KI242" s="83"/>
      <c r="KJ242" s="70">
        <f t="shared" ref="KJ242" si="7237">SUM(KJ240:KJ241)</f>
        <v>0</v>
      </c>
      <c r="KK242" s="49"/>
      <c r="KL242" s="83"/>
      <c r="KM242" s="70">
        <f t="shared" ref="KM242" si="7238">SUM(KM240:KM241)</f>
        <v>0</v>
      </c>
      <c r="KN242" s="49"/>
      <c r="KO242" s="83"/>
      <c r="KP242" s="70">
        <f t="shared" ref="KP242" si="7239">SUM(KP240:KP241)</f>
        <v>0</v>
      </c>
      <c r="KQ242" s="49"/>
      <c r="KR242" s="83"/>
      <c r="KS242" s="70">
        <f t="shared" ref="KS242" si="7240">SUM(KS240:KS241)</f>
        <v>0</v>
      </c>
      <c r="KT242" s="49"/>
      <c r="KU242" s="83"/>
      <c r="KV242" s="70">
        <f t="shared" ref="KV242" si="7241">SUM(KV240:KV241)</f>
        <v>0</v>
      </c>
      <c r="KW242" s="49"/>
      <c r="KX242" s="83"/>
      <c r="KY242" s="70">
        <f t="shared" ref="KY242" si="7242">SUM(KY240:KY241)</f>
        <v>0</v>
      </c>
      <c r="KZ242" s="49"/>
      <c r="LA242" s="83"/>
      <c r="LB242" s="70">
        <f t="shared" ref="LB242" si="7243">SUM(LB240:LB241)</f>
        <v>0</v>
      </c>
      <c r="LC242" s="49"/>
      <c r="LD242" s="83"/>
      <c r="LE242" s="70">
        <f t="shared" ref="LE242" si="7244">SUM(LE240:LE241)</f>
        <v>0</v>
      </c>
      <c r="LF242" s="49"/>
    </row>
    <row r="243" spans="1:318" s="784" customFormat="1">
      <c r="A243" s="25"/>
      <c r="B243" s="25"/>
      <c r="C243" s="25"/>
      <c r="D243" s="25"/>
      <c r="E243" s="25"/>
      <c r="F243" s="406"/>
      <c r="G243" s="406"/>
      <c r="H243" s="64"/>
      <c r="I243" s="52" t="s">
        <v>1578</v>
      </c>
      <c r="J243" s="92"/>
      <c r="K243" s="111" t="str">
        <f>UPPER(Idiomas!D147)</f>
        <v>3º-4º PUESTO</v>
      </c>
      <c r="L243" s="50"/>
      <c r="M243" s="70"/>
      <c r="N243" s="25"/>
      <c r="O243" s="25"/>
      <c r="P243" s="25"/>
      <c r="Q243" s="25"/>
      <c r="R243" s="17"/>
      <c r="S243" s="797"/>
      <c r="T243" s="70"/>
      <c r="U243" s="49"/>
      <c r="V243" s="83"/>
      <c r="W243" s="70"/>
      <c r="X243" s="49"/>
      <c r="Y243" s="797"/>
      <c r="Z243" s="70"/>
      <c r="AA243" s="49"/>
      <c r="AB243" s="797"/>
      <c r="AC243" s="70"/>
      <c r="AD243" s="49"/>
      <c r="AE243" s="797"/>
      <c r="AF243" s="70"/>
      <c r="AG243" s="49"/>
      <c r="AH243" s="797"/>
      <c r="AI243" s="70"/>
      <c r="AJ243" s="49"/>
      <c r="AK243" s="802"/>
      <c r="AL243" s="70"/>
      <c r="AM243" s="49"/>
      <c r="AN243" s="797"/>
      <c r="AO243" s="70"/>
      <c r="AP243" s="49"/>
      <c r="AQ243" s="802"/>
      <c r="AR243" s="70"/>
      <c r="AS243" s="49"/>
      <c r="AT243" s="797"/>
      <c r="AU243" s="70"/>
      <c r="AV243" s="49"/>
      <c r="AW243" s="797"/>
      <c r="AX243" s="70"/>
      <c r="AY243" s="49"/>
      <c r="AZ243" s="797"/>
      <c r="BA243" s="70"/>
      <c r="BB243" s="49"/>
      <c r="BC243" s="797"/>
      <c r="BD243" s="70"/>
      <c r="BE243" s="49"/>
      <c r="BF243" s="797"/>
      <c r="BG243" s="70"/>
      <c r="BH243" s="49"/>
      <c r="BI243" s="797"/>
      <c r="BJ243" s="70"/>
      <c r="BK243" s="49"/>
      <c r="BL243" s="797"/>
      <c r="BM243" s="70"/>
      <c r="BN243" s="49"/>
      <c r="BO243" s="812"/>
      <c r="BP243" s="70"/>
      <c r="BQ243" s="49"/>
      <c r="BR243" s="797"/>
      <c r="BS243" s="70"/>
      <c r="BT243" s="49"/>
      <c r="BU243" s="797"/>
      <c r="BV243" s="70"/>
      <c r="BW243" s="49"/>
      <c r="BX243" s="83"/>
      <c r="BY243" s="70"/>
      <c r="BZ243" s="49"/>
      <c r="CA243" s="812"/>
      <c r="CB243" s="70"/>
      <c r="CC243" s="49"/>
      <c r="CD243" s="821"/>
      <c r="CE243" s="70"/>
      <c r="CF243" s="49"/>
      <c r="CG243" s="797"/>
      <c r="CH243" s="70"/>
      <c r="CI243" s="49"/>
      <c r="CJ243" s="797"/>
      <c r="CK243" s="70"/>
      <c r="CL243" s="49"/>
      <c r="CM243" s="797"/>
      <c r="CN243" s="70"/>
      <c r="CO243" s="49"/>
      <c r="CP243" s="797"/>
      <c r="CQ243" s="70"/>
      <c r="CR243" s="49"/>
      <c r="CS243" s="797"/>
      <c r="CT243" s="70"/>
      <c r="CU243" s="49"/>
      <c r="CV243" s="797"/>
      <c r="CW243" s="70"/>
      <c r="CX243" s="49"/>
      <c r="CY243" s="797"/>
      <c r="CZ243" s="70"/>
      <c r="DA243" s="49"/>
      <c r="DB243" s="797"/>
      <c r="DC243" s="70"/>
      <c r="DD243" s="49"/>
      <c r="DE243" s="797"/>
      <c r="DF243" s="70"/>
      <c r="DG243" s="49"/>
      <c r="DH243" s="797"/>
      <c r="DI243" s="70"/>
      <c r="DJ243" s="49"/>
      <c r="DK243" s="797"/>
      <c r="DL243" s="70"/>
      <c r="DM243" s="49"/>
      <c r="DN243" s="83"/>
      <c r="DO243" s="70"/>
      <c r="DP243" s="49"/>
      <c r="DQ243" s="797"/>
      <c r="DR243" s="70"/>
      <c r="DS243" s="49"/>
      <c r="DT243" s="83"/>
      <c r="DU243" s="70"/>
      <c r="DV243" s="49"/>
      <c r="DW243" s="83"/>
      <c r="DX243" s="70"/>
      <c r="DY243" s="49"/>
      <c r="DZ243" s="83"/>
      <c r="EA243" s="70"/>
      <c r="EB243" s="49"/>
      <c r="EC243" s="83"/>
      <c r="ED243" s="70"/>
      <c r="EE243" s="49"/>
      <c r="EF243" s="83"/>
      <c r="EG243" s="70"/>
      <c r="EH243" s="49"/>
      <c r="EI243" s="83"/>
      <c r="EJ243" s="70"/>
      <c r="EK243" s="49"/>
      <c r="EL243" s="83"/>
      <c r="EM243" s="70"/>
      <c r="EN243" s="49"/>
      <c r="EO243" s="83"/>
      <c r="EP243" s="70"/>
      <c r="EQ243" s="49"/>
      <c r="ER243" s="83"/>
      <c r="ES243" s="70"/>
      <c r="ET243" s="49"/>
      <c r="EU243" s="83"/>
      <c r="EV243" s="70"/>
      <c r="EW243" s="49"/>
      <c r="EX243" s="83"/>
      <c r="EY243" s="70"/>
      <c r="EZ243" s="49"/>
      <c r="FA243" s="83"/>
      <c r="FB243" s="70"/>
      <c r="FC243" s="49"/>
      <c r="FD243" s="83"/>
      <c r="FE243" s="70"/>
      <c r="FF243" s="49"/>
      <c r="FG243" s="83"/>
      <c r="FH243" s="70"/>
      <c r="FI243" s="49"/>
      <c r="FJ243" s="83"/>
      <c r="FK243" s="70"/>
      <c r="FL243" s="49"/>
      <c r="FM243" s="83"/>
      <c r="FN243" s="70"/>
      <c r="FO243" s="49"/>
      <c r="FP243" s="83"/>
      <c r="FQ243" s="70"/>
      <c r="FR243" s="49"/>
      <c r="FS243" s="83"/>
      <c r="FT243" s="70"/>
      <c r="FU243" s="49"/>
      <c r="FV243" s="83"/>
      <c r="FW243" s="70"/>
      <c r="FX243" s="49"/>
      <c r="FY243" s="83"/>
      <c r="FZ243" s="70"/>
      <c r="GA243" s="49"/>
      <c r="GB243" s="83"/>
      <c r="GC243" s="70"/>
      <c r="GD243" s="49"/>
      <c r="GE243" s="83"/>
      <c r="GF243" s="70"/>
      <c r="GG243" s="49"/>
      <c r="GH243" s="83"/>
      <c r="GI243" s="70"/>
      <c r="GJ243" s="49"/>
      <c r="GK243" s="83"/>
      <c r="GL243" s="70"/>
      <c r="GM243" s="49"/>
      <c r="GN243" s="83"/>
      <c r="GO243" s="70"/>
      <c r="GP243" s="49"/>
      <c r="GQ243" s="83"/>
      <c r="GR243" s="70"/>
      <c r="GS243" s="49"/>
      <c r="GT243" s="83"/>
      <c r="GU243" s="70"/>
      <c r="GV243" s="49"/>
      <c r="GW243" s="83"/>
      <c r="GX243" s="70"/>
      <c r="GY243" s="49"/>
      <c r="GZ243" s="83"/>
      <c r="HA243" s="70"/>
      <c r="HB243" s="49"/>
      <c r="HC243" s="83"/>
      <c r="HD243" s="70"/>
      <c r="HE243" s="49"/>
      <c r="HF243" s="83"/>
      <c r="HG243" s="70"/>
      <c r="HH243" s="49"/>
      <c r="HI243" s="83"/>
      <c r="HJ243" s="70"/>
      <c r="HK243" s="49"/>
      <c r="HL243" s="83"/>
      <c r="HM243" s="70"/>
      <c r="HN243" s="49"/>
      <c r="HO243" s="83"/>
      <c r="HP243" s="70"/>
      <c r="HQ243" s="49"/>
      <c r="HR243" s="83"/>
      <c r="HS243" s="70"/>
      <c r="HT243" s="49"/>
      <c r="HU243" s="83"/>
      <c r="HV243" s="70"/>
      <c r="HW243" s="49"/>
      <c r="HX243" s="83"/>
      <c r="HY243" s="70"/>
      <c r="HZ243" s="49"/>
      <c r="IA243" s="83"/>
      <c r="IB243" s="70"/>
      <c r="IC243" s="49"/>
      <c r="ID243" s="83"/>
      <c r="IE243" s="70"/>
      <c r="IF243" s="49"/>
      <c r="IG243" s="83"/>
      <c r="IH243" s="70"/>
      <c r="II243" s="49"/>
      <c r="IJ243" s="83"/>
      <c r="IK243" s="70"/>
      <c r="IL243" s="49"/>
      <c r="IM243" s="83"/>
      <c r="IN243" s="70"/>
      <c r="IO243" s="49"/>
      <c r="IP243" s="83"/>
      <c r="IQ243" s="70"/>
      <c r="IR243" s="49"/>
      <c r="IS243" s="83"/>
      <c r="IT243" s="70"/>
      <c r="IU243" s="49"/>
      <c r="IV243" s="83"/>
      <c r="IW243" s="70"/>
      <c r="IX243" s="49"/>
      <c r="IY243" s="83"/>
      <c r="IZ243" s="70"/>
      <c r="JA243" s="49"/>
      <c r="JB243" s="83"/>
      <c r="JC243" s="70"/>
      <c r="JD243" s="49"/>
      <c r="JE243" s="83"/>
      <c r="JF243" s="70"/>
      <c r="JG243" s="49"/>
      <c r="JH243" s="83"/>
      <c r="JI243" s="70"/>
      <c r="JJ243" s="49"/>
      <c r="JK243" s="83"/>
      <c r="JL243" s="70"/>
      <c r="JM243" s="49"/>
      <c r="JN243" s="83"/>
      <c r="JO243" s="70"/>
      <c r="JP243" s="49"/>
      <c r="JQ243" s="83"/>
      <c r="JR243" s="70"/>
      <c r="JS243" s="49"/>
      <c r="JT243" s="83"/>
      <c r="JU243" s="70"/>
      <c r="JV243" s="49"/>
      <c r="JW243" s="83"/>
      <c r="JX243" s="70"/>
      <c r="JY243" s="49"/>
      <c r="JZ243" s="83"/>
      <c r="KA243" s="70"/>
      <c r="KB243" s="49"/>
      <c r="KC243" s="83"/>
      <c r="KD243" s="70"/>
      <c r="KE243" s="49"/>
      <c r="KF243" s="83"/>
      <c r="KG243" s="70"/>
      <c r="KH243" s="49"/>
      <c r="KI243" s="83"/>
      <c r="KJ243" s="70"/>
      <c r="KK243" s="49"/>
      <c r="KL243" s="83"/>
      <c r="KM243" s="70"/>
      <c r="KN243" s="49"/>
      <c r="KO243" s="83"/>
      <c r="KP243" s="70"/>
      <c r="KQ243" s="49"/>
      <c r="KR243" s="83"/>
      <c r="KS243" s="70"/>
      <c r="KT243" s="49"/>
      <c r="KU243" s="83"/>
      <c r="KV243" s="70"/>
      <c r="KW243" s="49"/>
      <c r="KX243" s="83"/>
      <c r="KY243" s="70"/>
      <c r="KZ243" s="49"/>
      <c r="LA243" s="83"/>
      <c r="LB243" s="70"/>
      <c r="LC243" s="49"/>
      <c r="LD243" s="83"/>
      <c r="LE243" s="70"/>
      <c r="LF243" s="49"/>
    </row>
    <row r="244" spans="1:318" s="784" customFormat="1" ht="20.399999999999999">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6">
        <f>SUM($D$33:$D$35)*$I$244</f>
        <v>30</v>
      </c>
      <c r="G244" s="406">
        <f ca="1">VLOOKUP(H244,Equipos!$Q$1:$R$25,2,0)</f>
        <v>24</v>
      </c>
      <c r="H244" s="64" t="str">
        <f>Idiomas!$D$264</f>
        <v>3-4 &amp; Final</v>
      </c>
      <c r="I244" s="45">
        <v>1</v>
      </c>
      <c r="J244" s="96" t="s">
        <v>493</v>
      </c>
      <c r="K244" s="112" t="str">
        <f>CONCATENATE(WORLDCUP!AA143,"-",WORLDCUP!AF143)</f>
        <v>L101-L102</v>
      </c>
      <c r="L244" s="112" t="str">
        <f>IF(OR(WORLDCUP!AC143="",WORLDCUP!AD143=""),"PD",IF(WORLDCUP!AC143&gt;WORLDCUP!AD143,1,IF(WORLDCUP!AC143&lt;WORLDCUP!AD143,2,0)))</f>
        <v>PD</v>
      </c>
      <c r="M244" s="115" t="str">
        <f>IF(L244="PD","-",N244&amp;"-"&amp;O244)</f>
        <v>-</v>
      </c>
      <c r="N244" s="25">
        <f>WORLDCUP!AC143</f>
        <v>0</v>
      </c>
      <c r="O244" s="25">
        <f>WORLDCUP!AD143</f>
        <v>0</v>
      </c>
      <c r="P244" s="25">
        <f>+N244-O244</f>
        <v>0</v>
      </c>
      <c r="Q244" s="25">
        <f>+A244-B244</f>
        <v>0</v>
      </c>
      <c r="R244" s="17"/>
      <c r="S244" s="796" t="s">
        <v>1994</v>
      </c>
      <c r="T244" s="84">
        <f t="shared" ref="T244" si="7245">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1"/>
      <c r="V244" s="65" t="s">
        <v>2039</v>
      </c>
      <c r="W244" s="84">
        <f t="shared" ref="W244" si="7246">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08"/>
      <c r="Y244" s="796" t="s">
        <v>2082</v>
      </c>
      <c r="Z244" s="84">
        <f t="shared" ref="Z244" si="7247">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08"/>
      <c r="AB244" s="796" t="s">
        <v>2115</v>
      </c>
      <c r="AC244" s="84">
        <f t="shared" ref="AC244" si="7248">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08"/>
      <c r="AE244" s="796" t="s">
        <v>2150</v>
      </c>
      <c r="AF244" s="84">
        <f t="shared" ref="AF244" si="7249">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08"/>
      <c r="AH244" s="796" t="s">
        <v>2186</v>
      </c>
      <c r="AI244" s="84">
        <f t="shared" ref="AI244" si="7250">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441"/>
      <c r="AK244" s="806" t="s">
        <v>2223</v>
      </c>
      <c r="AL244" s="84">
        <f t="shared" ref="AL244" si="7251">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08"/>
      <c r="AN244" s="796" t="s">
        <v>2247</v>
      </c>
      <c r="AO244" s="84">
        <f t="shared" ref="AO244" si="7252">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08"/>
      <c r="AQ244" s="806" t="s">
        <v>2275</v>
      </c>
      <c r="AR244" s="84">
        <f t="shared" ref="AR244" si="7253">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08"/>
      <c r="AT244" s="796" t="s">
        <v>2164</v>
      </c>
      <c r="AU244" s="84">
        <f t="shared" ref="AU244" si="7254">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08"/>
      <c r="AW244" s="796" t="s">
        <v>2330</v>
      </c>
      <c r="AX244" s="84">
        <f t="shared" ref="AX244" si="7255">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441"/>
      <c r="AZ244" s="796" t="s">
        <v>2381</v>
      </c>
      <c r="BA244" s="84">
        <f t="shared" ref="BA244" si="7256">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08"/>
      <c r="BC244" s="796" t="s">
        <v>2412</v>
      </c>
      <c r="BD244" s="84">
        <f t="shared" ref="BD244" si="7257">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08"/>
      <c r="BF244" s="796" t="s">
        <v>2439</v>
      </c>
      <c r="BG244" s="84">
        <f t="shared" ref="BG244" si="7258">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08"/>
      <c r="BI244" s="796" t="s">
        <v>2182</v>
      </c>
      <c r="BJ244" s="84">
        <f t="shared" ref="BJ244" si="7259">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08"/>
      <c r="BL244" s="796" t="s">
        <v>2491</v>
      </c>
      <c r="BM244" s="84">
        <f t="shared" ref="BM244" si="7260">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441"/>
      <c r="BO244" s="816" t="s">
        <v>2512</v>
      </c>
      <c r="BP244" s="84">
        <f t="shared" ref="BP244" si="7261">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08"/>
      <c r="BR244" s="796" t="s">
        <v>2512</v>
      </c>
      <c r="BS244" s="84">
        <f t="shared" ref="BS244" si="7262">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08"/>
      <c r="BU244" s="796" t="s">
        <v>2551</v>
      </c>
      <c r="BV244" s="84">
        <f t="shared" ref="BV244" si="7263">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08"/>
      <c r="BX244" s="65" t="s">
        <v>2569</v>
      </c>
      <c r="BY244" s="84">
        <f t="shared" ref="BY244" si="7264">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08"/>
      <c r="CA244" s="816" t="s">
        <v>2182</v>
      </c>
      <c r="CB244" s="84">
        <f t="shared" ref="CB244" si="7265">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441"/>
      <c r="CD244" s="825" t="s">
        <v>2604</v>
      </c>
      <c r="CE244" s="84">
        <f t="shared" ref="CE244" si="7266">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08"/>
      <c r="CG244" s="796" t="s">
        <v>2292</v>
      </c>
      <c r="CH244" s="84">
        <f t="shared" ref="CH244" si="7267">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08"/>
      <c r="CJ244" s="796" t="s">
        <v>2224</v>
      </c>
      <c r="CK244" s="84">
        <f t="shared" ref="CK244" si="7268">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08"/>
      <c r="CM244" s="796" t="s">
        <v>2218</v>
      </c>
      <c r="CN244" s="84">
        <f t="shared" ref="CN244" si="7269">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08"/>
      <c r="CP244" s="796" t="s">
        <v>2687</v>
      </c>
      <c r="CQ244" s="84">
        <f t="shared" ref="CQ244" si="7270">IFERROR(IF(LEFT(CP244,FIND("·",CP244)-1)=$K$244,IF($L$244=IFERROR(VALUE(MID(CP244,FIND("·",CP244)+1,1)),0),($D$33+($M$244=MID(CP244,FIND("|",CP244)+1,10))*$D$35+MAX(0,IF($D$50=1,$D$34*(1-(ABS($P$244-(VALUE(MID(CP244,FIND("|",CP244)+1,FIND("-",CP244,FIND("|",CP244))-FIND("|",CP244)-1))-VALUE(MID(CP244,FIND("-",CP244,FIND("|",CP244))+1,10)))))*$D$50),$D$34*(1-(IF($L$244=0,ABS($N$244-VALUE(MID(CP244,FIND("|",CP244)+1,FIND("-",CP244,FIND("|",CP244))-FIND("|",CP244)-1))),ABS($P$244-(VALUE(MID(CP244,FIND("|",CP244)+1,FIND("-",CP244,FIND("|",CP244))-FIND("|",CP244)-1))-VALUE(MID(CP244,FIND("-",CP244,FIND("|",CP244))+1,10)))))*$D$50)))))*$I$244,0),0),0)
+IFERROR(IF(LEFT(CP244,FIND("·",CP244)-1)=$C$244,IF($D$244=IFERROR(VALUE(MID(CP244,FIND("·",CP244)+1,1)),0),($D$33+($E$244=MID(CP244,FIND("|",CP244)+1,10))*$D$35+MAX(0,IF($D$50=1,$D$34*(1-(ABS($Q$244-(VALUE(MID(CP244,FIND("|",CP244)+1,FIND("-",CP244,FIND("|",CP244))-FIND("|",CP244)-1))-VALUE(MID(CP244,FIND("-",CP244,FIND("|",CP244))+1,10)))))*$D$50),$D$34*(1-(IF($D$244=0,ABS($A$244-VALUE(MID(CP244,FIND("|",CP244)+1,FIND("-",CP244,FIND("|",CP244))-FIND("|",CP244)-1))),ABS($Q$244-(VALUE(MID(CP244,FIND("|",CP244)+1,FIND("-",CP244,FIND("|",CP244))-FIND("|",CP244)-1))-VALUE(MID(CP244,FIND("-",CP244,FIND("|",CP244))+1,10)))))*$D$50)))))*$I$244,0),0),0)</f>
        <v>0</v>
      </c>
      <c r="CR244" s="441"/>
      <c r="CS244" s="796" t="s">
        <v>2182</v>
      </c>
      <c r="CT244" s="84">
        <f t="shared" ref="CT244" si="7271">IFERROR(IF(LEFT(CS244,FIND("·",CS244)-1)=$K$244,IF($L$244=IFERROR(VALUE(MID(CS244,FIND("·",CS244)+1,1)),0),($D$33+($M$244=MID(CS244,FIND("|",CS244)+1,10))*$D$35+MAX(0,IF($D$50=1,$D$34*(1-(ABS($P$244-(VALUE(MID(CS244,FIND("|",CS244)+1,FIND("-",CS244,FIND("|",CS244))-FIND("|",CS244)-1))-VALUE(MID(CS244,FIND("-",CS244,FIND("|",CS244))+1,10)))))*$D$50),$D$34*(1-(IF($L$244=0,ABS($N$244-VALUE(MID(CS244,FIND("|",CS244)+1,FIND("-",CS244,FIND("|",CS244))-FIND("|",CS244)-1))),ABS($P$244-(VALUE(MID(CS244,FIND("|",CS244)+1,FIND("-",CS244,FIND("|",CS244))-FIND("|",CS244)-1))-VALUE(MID(CS244,FIND("-",CS244,FIND("|",CS244))+1,10)))))*$D$50)))))*$I$244,0),0),0)
+IFERROR(IF(LEFT(CS244,FIND("·",CS244)-1)=$C$244,IF($D$244=IFERROR(VALUE(MID(CS244,FIND("·",CS244)+1,1)),0),($D$33+($E$244=MID(CS244,FIND("|",CS244)+1,10))*$D$35+MAX(0,IF($D$50=1,$D$34*(1-(ABS($Q$244-(VALUE(MID(CS244,FIND("|",CS244)+1,FIND("-",CS244,FIND("|",CS244))-FIND("|",CS244)-1))-VALUE(MID(CS244,FIND("-",CS244,FIND("|",CS244))+1,10)))))*$D$50),$D$34*(1-(IF($D$244=0,ABS($A$244-VALUE(MID(CS244,FIND("|",CS244)+1,FIND("-",CS244,FIND("|",CS244))-FIND("|",CS244)-1))),ABS($Q$244-(VALUE(MID(CS244,FIND("|",CS244)+1,FIND("-",CS244,FIND("|",CS244))-FIND("|",CS244)-1))-VALUE(MID(CS244,FIND("-",CS244,FIND("|",CS244))+1,10)))))*$D$50)))))*$I$244,0),0),0)</f>
        <v>0</v>
      </c>
      <c r="CU244" s="108"/>
      <c r="CV244" s="796" t="s">
        <v>2740</v>
      </c>
      <c r="CW244" s="84">
        <f t="shared" ref="CW244" si="7272">IFERROR(IF(LEFT(CV244,FIND("·",CV244)-1)=$K$244,IF($L$244=IFERROR(VALUE(MID(CV244,FIND("·",CV244)+1,1)),0),($D$33+($M$244=MID(CV244,FIND("|",CV244)+1,10))*$D$35+MAX(0,IF($D$50=1,$D$34*(1-(ABS($P$244-(VALUE(MID(CV244,FIND("|",CV244)+1,FIND("-",CV244,FIND("|",CV244))-FIND("|",CV244)-1))-VALUE(MID(CV244,FIND("-",CV244,FIND("|",CV244))+1,10)))))*$D$50),$D$34*(1-(IF($L$244=0,ABS($N$244-VALUE(MID(CV244,FIND("|",CV244)+1,FIND("-",CV244,FIND("|",CV244))-FIND("|",CV244)-1))),ABS($P$244-(VALUE(MID(CV244,FIND("|",CV244)+1,FIND("-",CV244,FIND("|",CV244))-FIND("|",CV244)-1))-VALUE(MID(CV244,FIND("-",CV244,FIND("|",CV244))+1,10)))))*$D$50)))))*$I$244,0),0),0)
+IFERROR(IF(LEFT(CV244,FIND("·",CV244)-1)=$C$244,IF($D$244=IFERROR(VALUE(MID(CV244,FIND("·",CV244)+1,1)),0),($D$33+($E$244=MID(CV244,FIND("|",CV244)+1,10))*$D$35+MAX(0,IF($D$50=1,$D$34*(1-(ABS($Q$244-(VALUE(MID(CV244,FIND("|",CV244)+1,FIND("-",CV244,FIND("|",CV244))-FIND("|",CV244)-1))-VALUE(MID(CV244,FIND("-",CV244,FIND("|",CV244))+1,10)))))*$D$50),$D$34*(1-(IF($D$244=0,ABS($A$244-VALUE(MID(CV244,FIND("|",CV244)+1,FIND("-",CV244,FIND("|",CV244))-FIND("|",CV244)-1))),ABS($Q$244-(VALUE(MID(CV244,FIND("|",CV244)+1,FIND("-",CV244,FIND("|",CV244))-FIND("|",CV244)-1))-VALUE(MID(CV244,FIND("-",CV244,FIND("|",CV244))+1,10)))))*$D$50)))))*$I$244,0),0),0)</f>
        <v>0</v>
      </c>
      <c r="CX244" s="108"/>
      <c r="CY244" s="796" t="s">
        <v>2760</v>
      </c>
      <c r="CZ244" s="84">
        <f t="shared" ref="CZ244" si="7273">IFERROR(IF(LEFT(CY244,FIND("·",CY244)-1)=$K$244,IF($L$244=IFERROR(VALUE(MID(CY244,FIND("·",CY244)+1,1)),0),($D$33+($M$244=MID(CY244,FIND("|",CY244)+1,10))*$D$35+MAX(0,IF($D$50=1,$D$34*(1-(ABS($P$244-(VALUE(MID(CY244,FIND("|",CY244)+1,FIND("-",CY244,FIND("|",CY244))-FIND("|",CY244)-1))-VALUE(MID(CY244,FIND("-",CY244,FIND("|",CY244))+1,10)))))*$D$50),$D$34*(1-(IF($L$244=0,ABS($N$244-VALUE(MID(CY244,FIND("|",CY244)+1,FIND("-",CY244,FIND("|",CY244))-FIND("|",CY244)-1))),ABS($P$244-(VALUE(MID(CY244,FIND("|",CY244)+1,FIND("-",CY244,FIND("|",CY244))-FIND("|",CY244)-1))-VALUE(MID(CY244,FIND("-",CY244,FIND("|",CY244))+1,10)))))*$D$50)))))*$I$244,0),0),0)
+IFERROR(IF(LEFT(CY244,FIND("·",CY244)-1)=$C$244,IF($D$244=IFERROR(VALUE(MID(CY244,FIND("·",CY244)+1,1)),0),($D$33+($E$244=MID(CY244,FIND("|",CY244)+1,10))*$D$35+MAX(0,IF($D$50=1,$D$34*(1-(ABS($Q$244-(VALUE(MID(CY244,FIND("|",CY244)+1,FIND("-",CY244,FIND("|",CY244))-FIND("|",CY244)-1))-VALUE(MID(CY244,FIND("-",CY244,FIND("|",CY244))+1,10)))))*$D$50),$D$34*(1-(IF($D$244=0,ABS($A$244-VALUE(MID(CY244,FIND("|",CY244)+1,FIND("-",CY244,FIND("|",CY244))-FIND("|",CY244)-1))),ABS($Q$244-(VALUE(MID(CY244,FIND("|",CY244)+1,FIND("-",CY244,FIND("|",CY244))-FIND("|",CY244)-1))-VALUE(MID(CY244,FIND("-",CY244,FIND("|",CY244))+1,10)))))*$D$50)))))*$I$244,0),0),0)</f>
        <v>0</v>
      </c>
      <c r="DA244" s="108"/>
      <c r="DB244" s="796" t="s">
        <v>2787</v>
      </c>
      <c r="DC244" s="84">
        <f t="shared" ref="DC244" si="7274">IFERROR(IF(LEFT(DB244,FIND("·",DB244)-1)=$K$244,IF($L$244=IFERROR(VALUE(MID(DB244,FIND("·",DB244)+1,1)),0),($D$33+($M$244=MID(DB244,FIND("|",DB244)+1,10))*$D$35+MAX(0,IF($D$50=1,$D$34*(1-(ABS($P$244-(VALUE(MID(DB244,FIND("|",DB244)+1,FIND("-",DB244,FIND("|",DB244))-FIND("|",DB244)-1))-VALUE(MID(DB244,FIND("-",DB244,FIND("|",DB244))+1,10)))))*$D$50),$D$34*(1-(IF($L$244=0,ABS($N$244-VALUE(MID(DB244,FIND("|",DB244)+1,FIND("-",DB244,FIND("|",DB244))-FIND("|",DB244)-1))),ABS($P$244-(VALUE(MID(DB244,FIND("|",DB244)+1,FIND("-",DB244,FIND("|",DB244))-FIND("|",DB244)-1))-VALUE(MID(DB244,FIND("-",DB244,FIND("|",DB244))+1,10)))))*$D$50)))))*$I$244,0),0),0)
+IFERROR(IF(LEFT(DB244,FIND("·",DB244)-1)=$C$244,IF($D$244=IFERROR(VALUE(MID(DB244,FIND("·",DB244)+1,1)),0),($D$33+($E$244=MID(DB244,FIND("|",DB244)+1,10))*$D$35+MAX(0,IF($D$50=1,$D$34*(1-(ABS($Q$244-(VALUE(MID(DB244,FIND("|",DB244)+1,FIND("-",DB244,FIND("|",DB244))-FIND("|",DB244)-1))-VALUE(MID(DB244,FIND("-",DB244,FIND("|",DB244))+1,10)))))*$D$50),$D$34*(1-(IF($D$244=0,ABS($A$244-VALUE(MID(DB244,FIND("|",DB244)+1,FIND("-",DB244,FIND("|",DB244))-FIND("|",DB244)-1))),ABS($Q$244-(VALUE(MID(DB244,FIND("|",DB244)+1,FIND("-",DB244,FIND("|",DB244))-FIND("|",DB244)-1))-VALUE(MID(DB244,FIND("-",DB244,FIND("|",DB244))+1,10)))))*$D$50)))))*$I$244,0),0),0)</f>
        <v>0</v>
      </c>
      <c r="DD244" s="108"/>
      <c r="DE244" s="796" t="s">
        <v>2805</v>
      </c>
      <c r="DF244" s="84">
        <f>IFERROR(IF(LEFT(DE244,FIND("·",DE244)-1)=$K$244,IF($L$244=IFERROR(VALUE(MID(DE244,FIND("·",DE244)+1,1)),0),($D$33+($M$244=MID(DE244,FIND("|",DE244)+1,10))*$D$35+MAX(0,IF($D$50=1,$D$34*(1-(ABS($P$244-(VALUE(MID(DE244,FIND("|",DE244)+1,FIND("-",DE244,FIND("|",DE244))-FIND("|",DE244)-1))-VALUE(MID(DE244,FIND("-",DE244,FIND("|",DE244))+1,10)))))*$D$50),$D$34*(1-(IF($L$244=0,ABS($N$244-VALUE(MID(DE244,FIND("|",DE244)+1,FIND("-",DE244,FIND("|",DE244))-FIND("|",DE244)-1))),ABS($P$244-(VALUE(MID(DE244,FIND("|",DE244)+1,FIND("-",DE244,FIND("|",DE244))-FIND("|",DE244)-1))-VALUE(MID(DE244,FIND("-",DE244,FIND("|",DE244))+1,10)))))*$D$50)))))*$I$244,0),0),0)
+IFERROR(IF(LEFT(DE244,FIND("·",DE244)-1)=$C$244,IF($D$244=IFERROR(VALUE(MID(DE244,FIND("·",DE244)+1,1)),0),($D$33+($E$244=MID(DE244,FIND("|",DE244)+1,10))*$D$35+MAX(0,IF($D$50=1,$D$34*(1-(ABS($Q$244-(VALUE(MID(DE244,FIND("|",DE244)+1,FIND("-",DE244,FIND("|",DE244))-FIND("|",DE244)-1))-VALUE(MID(DE244,FIND("-",DE244,FIND("|",DE244))+1,10)))))*$D$50),$D$34*(1-(IF($D$244=0,ABS($A$244-VALUE(MID(DE244,FIND("|",DE244)+1,FIND("-",DE244,FIND("|",DE244))-FIND("|",DE244)-1))),ABS($Q$244-(VALUE(MID(DE244,FIND("|",DE244)+1,FIND("-",DE244,FIND("|",DE244))-FIND("|",DE244)-1))-VALUE(MID(DE244,FIND("-",DE244,FIND("|",DE244))+1,10)))))*$D$50)))))*$I$244,0),0),0)</f>
        <v>0</v>
      </c>
      <c r="DG244" s="441"/>
      <c r="DH244" s="796" t="s">
        <v>2621</v>
      </c>
      <c r="DI244" s="84">
        <f>IFERROR(IF(LEFT(DH244,FIND("·",DH244)-1)=$K$244,IF($L$244=IFERROR(VALUE(MID(DH244,FIND("·",DH244)+1,1)),0),($D$33+($M$244=MID(DH244,FIND("|",DH244)+1,10))*$D$35+MAX(0,IF($D$50=1,$D$34*(1-(ABS($P$244-(VALUE(MID(DH244,FIND("|",DH244)+1,FIND("-",DH244,FIND("|",DH244))-FIND("|",DH244)-1))-VALUE(MID(DH244,FIND("-",DH244,FIND("|",DH244))+1,10)))))*$D$50),$D$34*(1-(IF($L$244=0,ABS($N$244-VALUE(MID(DH244,FIND("|",DH244)+1,FIND("-",DH244,FIND("|",DH244))-FIND("|",DH244)-1))),ABS($P$244-(VALUE(MID(DH244,FIND("|",DH244)+1,FIND("-",DH244,FIND("|",DH244))-FIND("|",DH244)-1))-VALUE(MID(DH244,FIND("-",DH244,FIND("|",DH244))+1,10)))))*$D$50)))))*$I$244,0),0),0)
+IFERROR(IF(LEFT(DH244,FIND("·",DH244)-1)=$C$244,IF($D$244=IFERROR(VALUE(MID(DH244,FIND("·",DH244)+1,1)),0),($D$33+($E$244=MID(DH244,FIND("|",DH244)+1,10))*$D$35+MAX(0,IF($D$50=1,$D$34*(1-(ABS($Q$244-(VALUE(MID(DH244,FIND("|",DH244)+1,FIND("-",DH244,FIND("|",DH244))-FIND("|",DH244)-1))-VALUE(MID(DH244,FIND("-",DH244,FIND("|",DH244))+1,10)))))*$D$50),$D$34*(1-(IF($D$244=0,ABS($A$244-VALUE(MID(DH244,FIND("|",DH244)+1,FIND("-",DH244,FIND("|",DH244))-FIND("|",DH244)-1))),ABS($Q$244-(VALUE(MID(DH244,FIND("|",DH244)+1,FIND("-",DH244,FIND("|",DH244))-FIND("|",DH244)-1))-VALUE(MID(DH244,FIND("-",DH244,FIND("|",DH244))+1,10)))))*$D$50)))))*$I$244,0),0),0)</f>
        <v>0</v>
      </c>
      <c r="DJ244" s="108"/>
      <c r="DK244" s="796" t="s">
        <v>2661</v>
      </c>
      <c r="DL244" s="84">
        <f>IFERROR(IF(LEFT(DK244,FIND("·",DK244)-1)=$K$244,IF($L$244=IFERROR(VALUE(MID(DK244,FIND("·",DK244)+1,1)),0),($D$33+($M$244=MID(DK244,FIND("|",DK244)+1,10))*$D$35+MAX(0,IF($D$50=1,$D$34*(1-(ABS($P$244-(VALUE(MID(DK244,FIND("|",DK244)+1,FIND("-",DK244,FIND("|",DK244))-FIND("|",DK244)-1))-VALUE(MID(DK244,FIND("-",DK244,FIND("|",DK244))+1,10)))))*$D$50),$D$34*(1-(IF($L$244=0,ABS($N$244-VALUE(MID(DK244,FIND("|",DK244)+1,FIND("-",DK244,FIND("|",DK244))-FIND("|",DK244)-1))),ABS($P$244-(VALUE(MID(DK244,FIND("|",DK244)+1,FIND("-",DK244,FIND("|",DK244))-FIND("|",DK244)-1))-VALUE(MID(DK244,FIND("-",DK244,FIND("|",DK244))+1,10)))))*$D$50)))))*$I$244,0),0),0)
+IFERROR(IF(LEFT(DK244,FIND("·",DK244)-1)=$C$244,IF($D$244=IFERROR(VALUE(MID(DK244,FIND("·",DK244)+1,1)),0),($D$33+($E$244=MID(DK244,FIND("|",DK244)+1,10))*$D$35+MAX(0,IF($D$50=1,$D$34*(1-(ABS($Q$244-(VALUE(MID(DK244,FIND("|",DK244)+1,FIND("-",DK244,FIND("|",DK244))-FIND("|",DK244)-1))-VALUE(MID(DK244,FIND("-",DK244,FIND("|",DK244))+1,10)))))*$D$50),$D$34*(1-(IF($D$244=0,ABS($A$244-VALUE(MID(DK244,FIND("|",DK244)+1,FIND("-",DK244,FIND("|",DK244))-FIND("|",DK244)-1))),ABS($Q$244-(VALUE(MID(DK244,FIND("|",DK244)+1,FIND("-",DK244,FIND("|",DK244))-FIND("|",DK244)-1))-VALUE(MID(DK244,FIND("-",DK244,FIND("|",DK244))+1,10)))))*$D$50)))))*$I$244,0),0),0)</f>
        <v>0</v>
      </c>
      <c r="DM244" s="108"/>
      <c r="DN244" s="65" t="str">
        <f>Idiomas!$D$371</f>
        <v>Pegar valores 3º-4º puesto y Final</v>
      </c>
      <c r="DO244" s="84">
        <f t="shared" ref="DO244" si="7275">IFERROR(IF(LEFT(DN244,FIND("·",DN244)-1)=$K$244,IF($L$244=IFERROR(VALUE(MID(DN244,FIND("·",DN244)+1,1)),0),($D$33+($M$244=MID(DN244,FIND("|",DN244)+1,10))*$D$35+MAX(0,IF($D$50=1,$D$34*(1-(ABS($P$244-(VALUE(MID(DN244,FIND("|",DN244)+1,FIND("-",DN244,FIND("|",DN244))-FIND("|",DN244)-1))-VALUE(MID(DN244,FIND("-",DN244,FIND("|",DN244))+1,10)))))*$D$50),$D$34*(1-(IF($L$244=0,ABS($N$244-VALUE(MID(DN244,FIND("|",DN244)+1,FIND("-",DN244,FIND("|",DN244))-FIND("|",DN244)-1))),ABS($P$244-(VALUE(MID(DN244,FIND("|",DN244)+1,FIND("-",DN244,FIND("|",DN244))-FIND("|",DN244)-1))-VALUE(MID(DN244,FIND("-",DN244,FIND("|",DN244))+1,10)))))*$D$50)))))*$I$244,0),0),0)
+IFERROR(IF(LEFT(DN244,FIND("·",DN244)-1)=$C$244,IF($D$244=IFERROR(VALUE(MID(DN244,FIND("·",DN244)+1,1)),0),($D$33+($E$244=MID(DN244,FIND("|",DN244)+1,10))*$D$35+MAX(0,IF($D$50=1,$D$34*(1-(ABS($Q$244-(VALUE(MID(DN244,FIND("|",DN244)+1,FIND("-",DN244,FIND("|",DN244))-FIND("|",DN244)-1))-VALUE(MID(DN244,FIND("-",DN244,FIND("|",DN244))+1,10)))))*$D$50),$D$34*(1-(IF($D$244=0,ABS($A$244-VALUE(MID(DN244,FIND("|",DN244)+1,FIND("-",DN244,FIND("|",DN244))-FIND("|",DN244)-1))),ABS($Q$244-(VALUE(MID(DN244,FIND("|",DN244)+1,FIND("-",DN244,FIND("|",DN244))-FIND("|",DN244)-1))-VALUE(MID(DN244,FIND("-",DN244,FIND("|",DN244))+1,10)))))*$D$50)))))*$I$244,0),0),0)</f>
        <v>0</v>
      </c>
      <c r="DP244" s="108"/>
      <c r="DQ244" s="796" t="s">
        <v>2844</v>
      </c>
      <c r="DR244" s="84">
        <f t="shared" ref="DR244" si="7276">IFERROR(IF(LEFT(DQ244,FIND("·",DQ244)-1)=$K$244,IF($L$244=IFERROR(VALUE(MID(DQ244,FIND("·",DQ244)+1,1)),0),($D$33+($M$244=MID(DQ244,FIND("|",DQ244)+1,10))*$D$35+MAX(0,IF($D$50=1,$D$34*(1-(ABS($P$244-(VALUE(MID(DQ244,FIND("|",DQ244)+1,FIND("-",DQ244,FIND("|",DQ244))-FIND("|",DQ244)-1))-VALUE(MID(DQ244,FIND("-",DQ244,FIND("|",DQ244))+1,10)))))*$D$50),$D$34*(1-(IF($L$244=0,ABS($N$244-VALUE(MID(DQ244,FIND("|",DQ244)+1,FIND("-",DQ244,FIND("|",DQ244))-FIND("|",DQ244)-1))),ABS($P$244-(VALUE(MID(DQ244,FIND("|",DQ244)+1,FIND("-",DQ244,FIND("|",DQ244))-FIND("|",DQ244)-1))-VALUE(MID(DQ244,FIND("-",DQ244,FIND("|",DQ244))+1,10)))))*$D$50)))))*$I$244,0),0),0)
+IFERROR(IF(LEFT(DQ244,FIND("·",DQ244)-1)=$C$244,IF($D$244=IFERROR(VALUE(MID(DQ244,FIND("·",DQ244)+1,1)),0),($D$33+($E$244=MID(DQ244,FIND("|",DQ244)+1,10))*$D$35+MAX(0,IF($D$50=1,$D$34*(1-(ABS($Q$244-(VALUE(MID(DQ244,FIND("|",DQ244)+1,FIND("-",DQ244,FIND("|",DQ244))-FIND("|",DQ244)-1))-VALUE(MID(DQ244,FIND("-",DQ244,FIND("|",DQ244))+1,10)))))*$D$50),$D$34*(1-(IF($D$244=0,ABS($A$244-VALUE(MID(DQ244,FIND("|",DQ244)+1,FIND("-",DQ244,FIND("|",DQ244))-FIND("|",DQ244)-1))),ABS($Q$244-(VALUE(MID(DQ244,FIND("|",DQ244)+1,FIND("-",DQ244,FIND("|",DQ244))-FIND("|",DQ244)-1))-VALUE(MID(DQ244,FIND("-",DQ244,FIND("|",DQ244))+1,10)))))*$D$50)))))*$I$244,0),0),0)</f>
        <v>0</v>
      </c>
      <c r="DS244" s="108"/>
      <c r="DT244" s="65" t="s">
        <v>2874</v>
      </c>
      <c r="DU244" s="84">
        <f t="shared" ref="DU244" si="7277">IFERROR(IF(LEFT(DT244,FIND("·",DT244)-1)=$K$244,IF($L$244=IFERROR(VALUE(MID(DT244,FIND("·",DT244)+1,1)),0),($D$33+($M$244=MID(DT244,FIND("|",DT244)+1,10))*$D$35+MAX(0,IF($D$50=1,$D$34*(1-(ABS($P$244-(VALUE(MID(DT244,FIND("|",DT244)+1,FIND("-",DT244,FIND("|",DT244))-FIND("|",DT244)-1))-VALUE(MID(DT244,FIND("-",DT244,FIND("|",DT244))+1,10)))))*$D$50),$D$34*(1-(IF($L$244=0,ABS($N$244-VALUE(MID(DT244,FIND("|",DT244)+1,FIND("-",DT244,FIND("|",DT244))-FIND("|",DT244)-1))),ABS($P$244-(VALUE(MID(DT244,FIND("|",DT244)+1,FIND("-",DT244,FIND("|",DT244))-FIND("|",DT244)-1))-VALUE(MID(DT244,FIND("-",DT244,FIND("|",DT244))+1,10)))))*$D$50)))))*$I$244,0),0),0)
+IFERROR(IF(LEFT(DT244,FIND("·",DT244)-1)=$C$244,IF($D$244=IFERROR(VALUE(MID(DT244,FIND("·",DT244)+1,1)),0),($D$33+($E$244=MID(DT244,FIND("|",DT244)+1,10))*$D$35+MAX(0,IF($D$50=1,$D$34*(1-(ABS($Q$244-(VALUE(MID(DT244,FIND("|",DT244)+1,FIND("-",DT244,FIND("|",DT244))-FIND("|",DT244)-1))-VALUE(MID(DT244,FIND("-",DT244,FIND("|",DT244))+1,10)))))*$D$50),$D$34*(1-(IF($D$244=0,ABS($A$244-VALUE(MID(DT244,FIND("|",DT244)+1,FIND("-",DT244,FIND("|",DT244))-FIND("|",DT244)-1))),ABS($Q$244-(VALUE(MID(DT244,FIND("|",DT244)+1,FIND("-",DT244,FIND("|",DT244))-FIND("|",DT244)-1))-VALUE(MID(DT244,FIND("-",DT244,FIND("|",DT244))+1,10)))))*$D$50)))))*$I$244,0),0),0)</f>
        <v>0</v>
      </c>
      <c r="DV244" s="441"/>
      <c r="DW244" s="65" t="str">
        <f>Idiomas!$D$371</f>
        <v>Pegar valores 3º-4º puesto y Final</v>
      </c>
      <c r="DX244" s="84">
        <f t="shared" ref="DX244" si="7278">IFERROR(IF(LEFT(DW244,FIND("·",DW244)-1)=$K$244,IF($L$244=IFERROR(VALUE(MID(DW244,FIND("·",DW244)+1,1)),0),($D$33+($M$244=MID(DW244,FIND("|",DW244)+1,10))*$D$35+MAX(0,IF($D$50=1,$D$34*(1-(ABS($P$244-(VALUE(MID(DW244,FIND("|",DW244)+1,FIND("-",DW244,FIND("|",DW244))-FIND("|",DW244)-1))-VALUE(MID(DW244,FIND("-",DW244,FIND("|",DW244))+1,10)))))*$D$50),$D$34*(1-(IF($L$244=0,ABS($N$244-VALUE(MID(DW244,FIND("|",DW244)+1,FIND("-",DW244,FIND("|",DW244))-FIND("|",DW244)-1))),ABS($P$244-(VALUE(MID(DW244,FIND("|",DW244)+1,FIND("-",DW244,FIND("|",DW244))-FIND("|",DW244)-1))-VALUE(MID(DW244,FIND("-",DW244,FIND("|",DW244))+1,10)))))*$D$50)))))*$I$244,0),0),0)
+IFERROR(IF(LEFT(DW244,FIND("·",DW244)-1)=$C$244,IF($D$244=IFERROR(VALUE(MID(DW244,FIND("·",DW244)+1,1)),0),($D$33+($E$244=MID(DW244,FIND("|",DW244)+1,10))*$D$35+MAX(0,IF($D$50=1,$D$34*(1-(ABS($Q$244-(VALUE(MID(DW244,FIND("|",DW244)+1,FIND("-",DW244,FIND("|",DW244))-FIND("|",DW244)-1))-VALUE(MID(DW244,FIND("-",DW244,FIND("|",DW244))+1,10)))))*$D$50),$D$34*(1-(IF($D$244=0,ABS($A$244-VALUE(MID(DW244,FIND("|",DW244)+1,FIND("-",DW244,FIND("|",DW244))-FIND("|",DW244)-1))),ABS($Q$244-(VALUE(MID(DW244,FIND("|",DW244)+1,FIND("-",DW244,FIND("|",DW244))-FIND("|",DW244)-1))-VALUE(MID(DW244,FIND("-",DW244,FIND("|",DW244))+1,10)))))*$D$50)))))*$I$244,0),0),0)</f>
        <v>0</v>
      </c>
      <c r="DY244" s="108"/>
      <c r="DZ244" s="65" t="str">
        <f>Idiomas!$D$371</f>
        <v>Pegar valores 3º-4º puesto y Final</v>
      </c>
      <c r="EA244" s="84">
        <f>IFERROR(IF(LEFT(DZ244,FIND("·",DZ244)-1)=$K$244,IF($L$244=IFERROR(VALUE(MID(DZ244,FIND("·",DZ244)+1,1)),0),($D$33+($M$244=MID(DZ244,FIND("|",DZ244)+1,10))*$D$35+MAX(0,IF($D$50=1,$D$34*(1-(ABS($P$244-(VALUE(MID(DZ244,FIND("|",DZ244)+1,FIND("-",DZ244,FIND("|",DZ244))-FIND("|",DZ244)-1))-VALUE(MID(DZ244,FIND("-",DZ244,FIND("|",DZ244))+1,10)))))*$D$50),$D$34*(1-(IF($L$244=0,ABS($N$244-VALUE(MID(DZ244,FIND("|",DZ244)+1,FIND("-",DZ244,FIND("|",DZ244))-FIND("|",DZ244)-1))),ABS($P$244-(VALUE(MID(DZ244,FIND("|",DZ244)+1,FIND("-",DZ244,FIND("|",DZ244))-FIND("|",DZ244)-1))-VALUE(MID(DZ244,FIND("-",DZ244,FIND("|",DZ244))+1,10)))))*$D$50)))))*$I$244,0),0),0)
+IFERROR(IF(LEFT(DZ244,FIND("·",DZ244)-1)=$C$244,IF($D$244=IFERROR(VALUE(MID(DZ244,FIND("·",DZ244)+1,1)),0),($D$33+($E$244=MID(DZ244,FIND("|",DZ244)+1,10))*$D$35+MAX(0,IF($D$50=1,$D$34*(1-(ABS($Q$244-(VALUE(MID(DZ244,FIND("|",DZ244)+1,FIND("-",DZ244,FIND("|",DZ244))-FIND("|",DZ244)-1))-VALUE(MID(DZ244,FIND("-",DZ244,FIND("|",DZ244))+1,10)))))*$D$50),$D$34*(1-(IF($D$244=0,ABS($A$244-VALUE(MID(DZ244,FIND("|",DZ244)+1,FIND("-",DZ244,FIND("|",DZ244))-FIND("|",DZ244)-1))),ABS($Q$244-(VALUE(MID(DZ244,FIND("|",DZ244)+1,FIND("-",DZ244,FIND("|",DZ244))-FIND("|",DZ244)-1))-VALUE(MID(DZ244,FIND("-",DZ244,FIND("|",DZ244))+1,10)))))*$D$50)))))*$I$244,0),0),0)</f>
        <v>0</v>
      </c>
      <c r="EB244" s="108"/>
      <c r="EC244" s="65" t="str">
        <f>Idiomas!$D$371</f>
        <v>Pegar valores 3º-4º puesto y Final</v>
      </c>
      <c r="ED244" s="84">
        <f t="shared" ref="ED244" si="7279">IFERROR(IF(LEFT(EC244,FIND("·",EC244)-1)=$K$244,IF($L$244=IFERROR(VALUE(MID(EC244,FIND("·",EC244)+1,1)),0),($D$33+($M$244=MID(EC244,FIND("|",EC244)+1,10))*$D$35+MAX(0,IF($D$50=1,$D$34*(1-(ABS($P$244-(VALUE(MID(EC244,FIND("|",EC244)+1,FIND("-",EC244,FIND("|",EC244))-FIND("|",EC244)-1))-VALUE(MID(EC244,FIND("-",EC244,FIND("|",EC244))+1,10)))))*$D$50),$D$34*(1-(IF($L$244=0,ABS($N$244-VALUE(MID(EC244,FIND("|",EC244)+1,FIND("-",EC244,FIND("|",EC244))-FIND("|",EC244)-1))),ABS($P$244-(VALUE(MID(EC244,FIND("|",EC244)+1,FIND("-",EC244,FIND("|",EC244))-FIND("|",EC244)-1))-VALUE(MID(EC244,FIND("-",EC244,FIND("|",EC244))+1,10)))))*$D$50)))))*$I$244,0),0),0)
+IFERROR(IF(LEFT(EC244,FIND("·",EC244)-1)=$C$244,IF($D$244=IFERROR(VALUE(MID(EC244,FIND("·",EC244)+1,1)),0),($D$33+($E$244=MID(EC244,FIND("|",EC244)+1,10))*$D$35+MAX(0,IF($D$50=1,$D$34*(1-(ABS($Q$244-(VALUE(MID(EC244,FIND("|",EC244)+1,FIND("-",EC244,FIND("|",EC244))-FIND("|",EC244)-1))-VALUE(MID(EC244,FIND("-",EC244,FIND("|",EC244))+1,10)))))*$D$50),$D$34*(1-(IF($D$244=0,ABS($A$244-VALUE(MID(EC244,FIND("|",EC244)+1,FIND("-",EC244,FIND("|",EC244))-FIND("|",EC244)-1))),ABS($Q$244-(VALUE(MID(EC244,FIND("|",EC244)+1,FIND("-",EC244,FIND("|",EC244))-FIND("|",EC244)-1))-VALUE(MID(EC244,FIND("-",EC244,FIND("|",EC244))+1,10)))))*$D$50)))))*$I$244,0),0),0)</f>
        <v>0</v>
      </c>
      <c r="EE244" s="108"/>
      <c r="EF244" s="65" t="str">
        <f>Idiomas!$D$371</f>
        <v>Pegar valores 3º-4º puesto y Final</v>
      </c>
      <c r="EG244" s="84">
        <f t="shared" ref="EG244" si="7280">IFERROR(IF(LEFT(EF244,FIND("·",EF244)-1)=$K$244,IF($L$244=IFERROR(VALUE(MID(EF244,FIND("·",EF244)+1,1)),0),($D$33+($M$244=MID(EF244,FIND("|",EF244)+1,10))*$D$35+MAX(0,IF($D$50=1,$D$34*(1-(ABS($P$244-(VALUE(MID(EF244,FIND("|",EF244)+1,FIND("-",EF244,FIND("|",EF244))-FIND("|",EF244)-1))-VALUE(MID(EF244,FIND("-",EF244,FIND("|",EF244))+1,10)))))*$D$50),$D$34*(1-(IF($L$244=0,ABS($N$244-VALUE(MID(EF244,FIND("|",EF244)+1,FIND("-",EF244,FIND("|",EF244))-FIND("|",EF244)-1))),ABS($P$244-(VALUE(MID(EF244,FIND("|",EF244)+1,FIND("-",EF244,FIND("|",EF244))-FIND("|",EF244)-1))-VALUE(MID(EF244,FIND("-",EF244,FIND("|",EF244))+1,10)))))*$D$50)))))*$I$244,0),0),0)
+IFERROR(IF(LEFT(EF244,FIND("·",EF244)-1)=$C$244,IF($D$244=IFERROR(VALUE(MID(EF244,FIND("·",EF244)+1,1)),0),($D$33+($E$244=MID(EF244,FIND("|",EF244)+1,10))*$D$35+MAX(0,IF($D$50=1,$D$34*(1-(ABS($Q$244-(VALUE(MID(EF244,FIND("|",EF244)+1,FIND("-",EF244,FIND("|",EF244))-FIND("|",EF244)-1))-VALUE(MID(EF244,FIND("-",EF244,FIND("|",EF244))+1,10)))))*$D$50),$D$34*(1-(IF($D$244=0,ABS($A$244-VALUE(MID(EF244,FIND("|",EF244)+1,FIND("-",EF244,FIND("|",EF244))-FIND("|",EF244)-1))),ABS($Q$244-(VALUE(MID(EF244,FIND("|",EF244)+1,FIND("-",EF244,FIND("|",EF244))-FIND("|",EF244)-1))-VALUE(MID(EF244,FIND("-",EF244,FIND("|",EF244))+1,10)))))*$D$50)))))*$I$244,0),0),0)</f>
        <v>0</v>
      </c>
      <c r="EH244" s="108"/>
      <c r="EI244" s="65" t="str">
        <f>Idiomas!$D$371</f>
        <v>Pegar valores 3º-4º puesto y Final</v>
      </c>
      <c r="EJ244" s="84">
        <f t="shared" ref="EJ244" si="7281">IFERROR(IF(LEFT(EI244,FIND("·",EI244)-1)=$K$244,IF($L$244=IFERROR(VALUE(MID(EI244,FIND("·",EI244)+1,1)),0),($D$33+($M$244=MID(EI244,FIND("|",EI244)+1,10))*$D$35+MAX(0,IF($D$50=1,$D$34*(1-(ABS($P$244-(VALUE(MID(EI244,FIND("|",EI244)+1,FIND("-",EI244,FIND("|",EI244))-FIND("|",EI244)-1))-VALUE(MID(EI244,FIND("-",EI244,FIND("|",EI244))+1,10)))))*$D$50),$D$34*(1-(IF($L$244=0,ABS($N$244-VALUE(MID(EI244,FIND("|",EI244)+1,FIND("-",EI244,FIND("|",EI244))-FIND("|",EI244)-1))),ABS($P$244-(VALUE(MID(EI244,FIND("|",EI244)+1,FIND("-",EI244,FIND("|",EI244))-FIND("|",EI244)-1))-VALUE(MID(EI244,FIND("-",EI244,FIND("|",EI244))+1,10)))))*$D$50)))))*$I$244,0),0),0)
+IFERROR(IF(LEFT(EI244,FIND("·",EI244)-1)=$C$244,IF($D$244=IFERROR(VALUE(MID(EI244,FIND("·",EI244)+1,1)),0),($D$33+($E$244=MID(EI244,FIND("|",EI244)+1,10))*$D$35+MAX(0,IF($D$50=1,$D$34*(1-(ABS($Q$244-(VALUE(MID(EI244,FIND("|",EI244)+1,FIND("-",EI244,FIND("|",EI244))-FIND("|",EI244)-1))-VALUE(MID(EI244,FIND("-",EI244,FIND("|",EI244))+1,10)))))*$D$50),$D$34*(1-(IF($D$244=0,ABS($A$244-VALUE(MID(EI244,FIND("|",EI244)+1,FIND("-",EI244,FIND("|",EI244))-FIND("|",EI244)-1))),ABS($Q$244-(VALUE(MID(EI244,FIND("|",EI244)+1,FIND("-",EI244,FIND("|",EI244))-FIND("|",EI244)-1))-VALUE(MID(EI244,FIND("-",EI244,FIND("|",EI244))+1,10)))))*$D$50)))))*$I$244,0),0),0)</f>
        <v>0</v>
      </c>
      <c r="EK244" s="441"/>
      <c r="EL244" s="65" t="str">
        <f>Idiomas!$D$371</f>
        <v>Pegar valores 3º-4º puesto y Final</v>
      </c>
      <c r="EM244" s="84">
        <f t="shared" ref="EM244" si="7282">IFERROR(IF(LEFT(EL244,FIND("·",EL244)-1)=$K$244,IF($L$244=IFERROR(VALUE(MID(EL244,FIND("·",EL244)+1,1)),0),($D$33+($M$244=MID(EL244,FIND("|",EL244)+1,10))*$D$35+MAX(0,IF($D$50=1,$D$34*(1-(ABS($P$244-(VALUE(MID(EL244,FIND("|",EL244)+1,FIND("-",EL244,FIND("|",EL244))-FIND("|",EL244)-1))-VALUE(MID(EL244,FIND("-",EL244,FIND("|",EL244))+1,10)))))*$D$50),$D$34*(1-(IF($L$244=0,ABS($N$244-VALUE(MID(EL244,FIND("|",EL244)+1,FIND("-",EL244,FIND("|",EL244))-FIND("|",EL244)-1))),ABS($P$244-(VALUE(MID(EL244,FIND("|",EL244)+1,FIND("-",EL244,FIND("|",EL244))-FIND("|",EL244)-1))-VALUE(MID(EL244,FIND("-",EL244,FIND("|",EL244))+1,10)))))*$D$50)))))*$I$244,0),0),0)
+IFERROR(IF(LEFT(EL244,FIND("·",EL244)-1)=$C$244,IF($D$244=IFERROR(VALUE(MID(EL244,FIND("·",EL244)+1,1)),0),($D$33+($E$244=MID(EL244,FIND("|",EL244)+1,10))*$D$35+MAX(0,IF($D$50=1,$D$34*(1-(ABS($Q$244-(VALUE(MID(EL244,FIND("|",EL244)+1,FIND("-",EL244,FIND("|",EL244))-FIND("|",EL244)-1))-VALUE(MID(EL244,FIND("-",EL244,FIND("|",EL244))+1,10)))))*$D$50),$D$34*(1-(IF($D$244=0,ABS($A$244-VALUE(MID(EL244,FIND("|",EL244)+1,FIND("-",EL244,FIND("|",EL244))-FIND("|",EL244)-1))),ABS($Q$244-(VALUE(MID(EL244,FIND("|",EL244)+1,FIND("-",EL244,FIND("|",EL244))-FIND("|",EL244)-1))-VALUE(MID(EL244,FIND("-",EL244,FIND("|",EL244))+1,10)))))*$D$50)))))*$I$244,0),0),0)</f>
        <v>0</v>
      </c>
      <c r="EN244" s="108"/>
      <c r="EO244" s="65" t="str">
        <f>Idiomas!$D$371</f>
        <v>Pegar valores 3º-4º puesto y Final</v>
      </c>
      <c r="EP244" s="84">
        <f t="shared" ref="EP244" si="7283">IFERROR(IF(LEFT(EO244,FIND("·",EO244)-1)=$K$244,IF($L$244=IFERROR(VALUE(MID(EO244,FIND("·",EO244)+1,1)),0),($D$33+($M$244=MID(EO244,FIND("|",EO244)+1,10))*$D$35+MAX(0,IF($D$50=1,$D$34*(1-(ABS($P$244-(VALUE(MID(EO244,FIND("|",EO244)+1,FIND("-",EO244,FIND("|",EO244))-FIND("|",EO244)-1))-VALUE(MID(EO244,FIND("-",EO244,FIND("|",EO244))+1,10)))))*$D$50),$D$34*(1-(IF($L$244=0,ABS($N$244-VALUE(MID(EO244,FIND("|",EO244)+1,FIND("-",EO244,FIND("|",EO244))-FIND("|",EO244)-1))),ABS($P$244-(VALUE(MID(EO244,FIND("|",EO244)+1,FIND("-",EO244,FIND("|",EO244))-FIND("|",EO244)-1))-VALUE(MID(EO244,FIND("-",EO244,FIND("|",EO244))+1,10)))))*$D$50)))))*$I$244,0),0),0)
+IFERROR(IF(LEFT(EO244,FIND("·",EO244)-1)=$C$244,IF($D$244=IFERROR(VALUE(MID(EO244,FIND("·",EO244)+1,1)),0),($D$33+($E$244=MID(EO244,FIND("|",EO244)+1,10))*$D$35+MAX(0,IF($D$50=1,$D$34*(1-(ABS($Q$244-(VALUE(MID(EO244,FIND("|",EO244)+1,FIND("-",EO244,FIND("|",EO244))-FIND("|",EO244)-1))-VALUE(MID(EO244,FIND("-",EO244,FIND("|",EO244))+1,10)))))*$D$50),$D$34*(1-(IF($D$244=0,ABS($A$244-VALUE(MID(EO244,FIND("|",EO244)+1,FIND("-",EO244,FIND("|",EO244))-FIND("|",EO244)-1))),ABS($Q$244-(VALUE(MID(EO244,FIND("|",EO244)+1,FIND("-",EO244,FIND("|",EO244))-FIND("|",EO244)-1))-VALUE(MID(EO244,FIND("-",EO244,FIND("|",EO244))+1,10)))))*$D$50)))))*$I$244,0),0),0)</f>
        <v>0</v>
      </c>
      <c r="EQ244" s="108"/>
      <c r="ER244" s="65" t="str">
        <f>Idiomas!$D$371</f>
        <v>Pegar valores 3º-4º puesto y Final</v>
      </c>
      <c r="ES244" s="84">
        <f t="shared" ref="ES244" si="7284">IFERROR(IF(LEFT(ER244,FIND("·",ER244)-1)=$K$244,IF($L$244=IFERROR(VALUE(MID(ER244,FIND("·",ER244)+1,1)),0),($D$33+($M$244=MID(ER244,FIND("|",ER244)+1,10))*$D$35+MAX(0,IF($D$50=1,$D$34*(1-(ABS($P$244-(VALUE(MID(ER244,FIND("|",ER244)+1,FIND("-",ER244,FIND("|",ER244))-FIND("|",ER244)-1))-VALUE(MID(ER244,FIND("-",ER244,FIND("|",ER244))+1,10)))))*$D$50),$D$34*(1-(IF($L$244=0,ABS($N$244-VALUE(MID(ER244,FIND("|",ER244)+1,FIND("-",ER244,FIND("|",ER244))-FIND("|",ER244)-1))),ABS($P$244-(VALUE(MID(ER244,FIND("|",ER244)+1,FIND("-",ER244,FIND("|",ER244))-FIND("|",ER244)-1))-VALUE(MID(ER244,FIND("-",ER244,FIND("|",ER244))+1,10)))))*$D$50)))))*$I$244,0),0),0)
+IFERROR(IF(LEFT(ER244,FIND("·",ER244)-1)=$C$244,IF($D$244=IFERROR(VALUE(MID(ER244,FIND("·",ER244)+1,1)),0),($D$33+($E$244=MID(ER244,FIND("|",ER244)+1,10))*$D$35+MAX(0,IF($D$50=1,$D$34*(1-(ABS($Q$244-(VALUE(MID(ER244,FIND("|",ER244)+1,FIND("-",ER244,FIND("|",ER244))-FIND("|",ER244)-1))-VALUE(MID(ER244,FIND("-",ER244,FIND("|",ER244))+1,10)))))*$D$50),$D$34*(1-(IF($D$244=0,ABS($A$244-VALUE(MID(ER244,FIND("|",ER244)+1,FIND("-",ER244,FIND("|",ER244))-FIND("|",ER244)-1))),ABS($Q$244-(VALUE(MID(ER244,FIND("|",ER244)+1,FIND("-",ER244,FIND("|",ER244))-FIND("|",ER244)-1))-VALUE(MID(ER244,FIND("-",ER244,FIND("|",ER244))+1,10)))))*$D$50)))))*$I$244,0),0),0)</f>
        <v>0</v>
      </c>
      <c r="ET244" s="108"/>
      <c r="EU244" s="65" t="str">
        <f>Idiomas!$D$371</f>
        <v>Pegar valores 3º-4º puesto y Final</v>
      </c>
      <c r="EV244" s="84">
        <f t="shared" ref="EV244" si="7285">IFERROR(IF(LEFT(EU244,FIND("·",EU244)-1)=$K$244,IF($L$244=IFERROR(VALUE(MID(EU244,FIND("·",EU244)+1,1)),0),($D$33+($M$244=MID(EU244,FIND("|",EU244)+1,10))*$D$35+MAX(0,IF($D$50=1,$D$34*(1-(ABS($P$244-(VALUE(MID(EU244,FIND("|",EU244)+1,FIND("-",EU244,FIND("|",EU244))-FIND("|",EU244)-1))-VALUE(MID(EU244,FIND("-",EU244,FIND("|",EU244))+1,10)))))*$D$50),$D$34*(1-(IF($L$244=0,ABS($N$244-VALUE(MID(EU244,FIND("|",EU244)+1,FIND("-",EU244,FIND("|",EU244))-FIND("|",EU244)-1))),ABS($P$244-(VALUE(MID(EU244,FIND("|",EU244)+1,FIND("-",EU244,FIND("|",EU244))-FIND("|",EU244)-1))-VALUE(MID(EU244,FIND("-",EU244,FIND("|",EU244))+1,10)))))*$D$50)))))*$I$244,0),0),0)
+IFERROR(IF(LEFT(EU244,FIND("·",EU244)-1)=$C$244,IF($D$244=IFERROR(VALUE(MID(EU244,FIND("·",EU244)+1,1)),0),($D$33+($E$244=MID(EU244,FIND("|",EU244)+1,10))*$D$35+MAX(0,IF($D$50=1,$D$34*(1-(ABS($Q$244-(VALUE(MID(EU244,FIND("|",EU244)+1,FIND("-",EU244,FIND("|",EU244))-FIND("|",EU244)-1))-VALUE(MID(EU244,FIND("-",EU244,FIND("|",EU244))+1,10)))))*$D$50),$D$34*(1-(IF($D$244=0,ABS($A$244-VALUE(MID(EU244,FIND("|",EU244)+1,FIND("-",EU244,FIND("|",EU244))-FIND("|",EU244)-1))),ABS($Q$244-(VALUE(MID(EU244,FIND("|",EU244)+1,FIND("-",EU244,FIND("|",EU244))-FIND("|",EU244)-1))-VALUE(MID(EU244,FIND("-",EU244,FIND("|",EU244))+1,10)))))*$D$50)))))*$I$244,0),0),0)</f>
        <v>0</v>
      </c>
      <c r="EW244" s="108"/>
      <c r="EX244" s="65" t="str">
        <f>Idiomas!$D$371</f>
        <v>Pegar valores 3º-4º puesto y Final</v>
      </c>
      <c r="EY244" s="84">
        <f t="shared" ref="EY244" si="7286">IFERROR(IF(LEFT(EX244,FIND("·",EX244)-1)=$K$244,IF($L$244=IFERROR(VALUE(MID(EX244,FIND("·",EX244)+1,1)),0),($D$33+($M$244=MID(EX244,FIND("|",EX244)+1,10))*$D$35+MAX(0,IF($D$50=1,$D$34*(1-(ABS($P$244-(VALUE(MID(EX244,FIND("|",EX244)+1,FIND("-",EX244,FIND("|",EX244))-FIND("|",EX244)-1))-VALUE(MID(EX244,FIND("-",EX244,FIND("|",EX244))+1,10)))))*$D$50),$D$34*(1-(IF($L$244=0,ABS($N$244-VALUE(MID(EX244,FIND("|",EX244)+1,FIND("-",EX244,FIND("|",EX244))-FIND("|",EX244)-1))),ABS($P$244-(VALUE(MID(EX244,FIND("|",EX244)+1,FIND("-",EX244,FIND("|",EX244))-FIND("|",EX244)-1))-VALUE(MID(EX244,FIND("-",EX244,FIND("|",EX244))+1,10)))))*$D$50)))))*$I$244,0),0),0)
+IFERROR(IF(LEFT(EX244,FIND("·",EX244)-1)=$C$244,IF($D$244=IFERROR(VALUE(MID(EX244,FIND("·",EX244)+1,1)),0),($D$33+($E$244=MID(EX244,FIND("|",EX244)+1,10))*$D$35+MAX(0,IF($D$50=1,$D$34*(1-(ABS($Q$244-(VALUE(MID(EX244,FIND("|",EX244)+1,FIND("-",EX244,FIND("|",EX244))-FIND("|",EX244)-1))-VALUE(MID(EX244,FIND("-",EX244,FIND("|",EX244))+1,10)))))*$D$50),$D$34*(1-(IF($D$244=0,ABS($A$244-VALUE(MID(EX244,FIND("|",EX244)+1,FIND("-",EX244,FIND("|",EX244))-FIND("|",EX244)-1))),ABS($Q$244-(VALUE(MID(EX244,FIND("|",EX244)+1,FIND("-",EX244,FIND("|",EX244))-FIND("|",EX244)-1))-VALUE(MID(EX244,FIND("-",EX244,FIND("|",EX244))+1,10)))))*$D$50)))))*$I$244,0),0),0)</f>
        <v>0</v>
      </c>
      <c r="EZ244" s="441"/>
      <c r="FA244" s="65" t="str">
        <f>Idiomas!$D$371</f>
        <v>Pegar valores 3º-4º puesto y Final</v>
      </c>
      <c r="FB244" s="84">
        <f t="shared" ref="FB244" si="7287">IFERROR(IF(LEFT(FA244,FIND("·",FA244)-1)=$K$244,IF($L$244=IFERROR(VALUE(MID(FA244,FIND("·",FA244)+1,1)),0),($D$33+($M$244=MID(FA244,FIND("|",FA244)+1,10))*$D$35+MAX(0,IF($D$50=1,$D$34*(1-(ABS($P$244-(VALUE(MID(FA244,FIND("|",FA244)+1,FIND("-",FA244,FIND("|",FA244))-FIND("|",FA244)-1))-VALUE(MID(FA244,FIND("-",FA244,FIND("|",FA244))+1,10)))))*$D$50),$D$34*(1-(IF($L$244=0,ABS($N$244-VALUE(MID(FA244,FIND("|",FA244)+1,FIND("-",FA244,FIND("|",FA244))-FIND("|",FA244)-1))),ABS($P$244-(VALUE(MID(FA244,FIND("|",FA244)+1,FIND("-",FA244,FIND("|",FA244))-FIND("|",FA244)-1))-VALUE(MID(FA244,FIND("-",FA244,FIND("|",FA244))+1,10)))))*$D$50)))))*$I$244,0),0),0)
+IFERROR(IF(LEFT(FA244,FIND("·",FA244)-1)=$C$244,IF($D$244=IFERROR(VALUE(MID(FA244,FIND("·",FA244)+1,1)),0),($D$33+($E$244=MID(FA244,FIND("|",FA244)+1,10))*$D$35+MAX(0,IF($D$50=1,$D$34*(1-(ABS($Q$244-(VALUE(MID(FA244,FIND("|",FA244)+1,FIND("-",FA244,FIND("|",FA244))-FIND("|",FA244)-1))-VALUE(MID(FA244,FIND("-",FA244,FIND("|",FA244))+1,10)))))*$D$50),$D$34*(1-(IF($D$244=0,ABS($A$244-VALUE(MID(FA244,FIND("|",FA244)+1,FIND("-",FA244,FIND("|",FA244))-FIND("|",FA244)-1))),ABS($Q$244-(VALUE(MID(FA244,FIND("|",FA244)+1,FIND("-",FA244,FIND("|",FA244))-FIND("|",FA244)-1))-VALUE(MID(FA244,FIND("-",FA244,FIND("|",FA244))+1,10)))))*$D$50)))))*$I$244,0),0),0)</f>
        <v>0</v>
      </c>
      <c r="FC244" s="108"/>
      <c r="FD244" s="65" t="str">
        <f>Idiomas!$D$371</f>
        <v>Pegar valores 3º-4º puesto y Final</v>
      </c>
      <c r="FE244" s="84">
        <f t="shared" ref="FE244" si="7288">IFERROR(IF(LEFT(FD244,FIND("·",FD244)-1)=$K$244,IF($L$244=IFERROR(VALUE(MID(FD244,FIND("·",FD244)+1,1)),0),($D$33+($M$244=MID(FD244,FIND("|",FD244)+1,10))*$D$35+MAX(0,IF($D$50=1,$D$34*(1-(ABS($P$244-(VALUE(MID(FD244,FIND("|",FD244)+1,FIND("-",FD244,FIND("|",FD244))-FIND("|",FD244)-1))-VALUE(MID(FD244,FIND("-",FD244,FIND("|",FD244))+1,10)))))*$D$50),$D$34*(1-(IF($L$244=0,ABS($N$244-VALUE(MID(FD244,FIND("|",FD244)+1,FIND("-",FD244,FIND("|",FD244))-FIND("|",FD244)-1))),ABS($P$244-(VALUE(MID(FD244,FIND("|",FD244)+1,FIND("-",FD244,FIND("|",FD244))-FIND("|",FD244)-1))-VALUE(MID(FD244,FIND("-",FD244,FIND("|",FD244))+1,10)))))*$D$50)))))*$I$244,0),0),0)
+IFERROR(IF(LEFT(FD244,FIND("·",FD244)-1)=$C$244,IF($D$244=IFERROR(VALUE(MID(FD244,FIND("·",FD244)+1,1)),0),($D$33+($E$244=MID(FD244,FIND("|",FD244)+1,10))*$D$35+MAX(0,IF($D$50=1,$D$34*(1-(ABS($Q$244-(VALUE(MID(FD244,FIND("|",FD244)+1,FIND("-",FD244,FIND("|",FD244))-FIND("|",FD244)-1))-VALUE(MID(FD244,FIND("-",FD244,FIND("|",FD244))+1,10)))))*$D$50),$D$34*(1-(IF($D$244=0,ABS($A$244-VALUE(MID(FD244,FIND("|",FD244)+1,FIND("-",FD244,FIND("|",FD244))-FIND("|",FD244)-1))),ABS($Q$244-(VALUE(MID(FD244,FIND("|",FD244)+1,FIND("-",FD244,FIND("|",FD244))-FIND("|",FD244)-1))-VALUE(MID(FD244,FIND("-",FD244,FIND("|",FD244))+1,10)))))*$D$50)))))*$I$244,0),0),0)</f>
        <v>0</v>
      </c>
      <c r="FF244" s="108"/>
      <c r="FG244" s="65" t="str">
        <f>Idiomas!$D$371</f>
        <v>Pegar valores 3º-4º puesto y Final</v>
      </c>
      <c r="FH244" s="84">
        <f t="shared" ref="FH244" si="7289">IFERROR(IF(LEFT(FG244,FIND("·",FG244)-1)=$K$244,IF($L$244=IFERROR(VALUE(MID(FG244,FIND("·",FG244)+1,1)),0),($D$33+($M$244=MID(FG244,FIND("|",FG244)+1,10))*$D$35+MAX(0,IF($D$50=1,$D$34*(1-(ABS($P$244-(VALUE(MID(FG244,FIND("|",FG244)+1,FIND("-",FG244,FIND("|",FG244))-FIND("|",FG244)-1))-VALUE(MID(FG244,FIND("-",FG244,FIND("|",FG244))+1,10)))))*$D$50),$D$34*(1-(IF($L$244=0,ABS($N$244-VALUE(MID(FG244,FIND("|",FG244)+1,FIND("-",FG244,FIND("|",FG244))-FIND("|",FG244)-1))),ABS($P$244-(VALUE(MID(FG244,FIND("|",FG244)+1,FIND("-",FG244,FIND("|",FG244))-FIND("|",FG244)-1))-VALUE(MID(FG244,FIND("-",FG244,FIND("|",FG244))+1,10)))))*$D$50)))))*$I$244,0),0),0)
+IFERROR(IF(LEFT(FG244,FIND("·",FG244)-1)=$C$244,IF($D$244=IFERROR(VALUE(MID(FG244,FIND("·",FG244)+1,1)),0),($D$33+($E$244=MID(FG244,FIND("|",FG244)+1,10))*$D$35+MAX(0,IF($D$50=1,$D$34*(1-(ABS($Q$244-(VALUE(MID(FG244,FIND("|",FG244)+1,FIND("-",FG244,FIND("|",FG244))-FIND("|",FG244)-1))-VALUE(MID(FG244,FIND("-",FG244,FIND("|",FG244))+1,10)))))*$D$50),$D$34*(1-(IF($D$244=0,ABS($A$244-VALUE(MID(FG244,FIND("|",FG244)+1,FIND("-",FG244,FIND("|",FG244))-FIND("|",FG244)-1))),ABS($Q$244-(VALUE(MID(FG244,FIND("|",FG244)+1,FIND("-",FG244,FIND("|",FG244))-FIND("|",FG244)-1))-VALUE(MID(FG244,FIND("-",FG244,FIND("|",FG244))+1,10)))))*$D$50)))))*$I$244,0),0),0)</f>
        <v>0</v>
      </c>
      <c r="FI244" s="108"/>
      <c r="FJ244" s="65" t="str">
        <f>Idiomas!$D$371</f>
        <v>Pegar valores 3º-4º puesto y Final</v>
      </c>
      <c r="FK244" s="84">
        <f t="shared" ref="FK244" si="7290">IFERROR(IF(LEFT(FJ244,FIND("·",FJ244)-1)=$K$244,IF($L$244=IFERROR(VALUE(MID(FJ244,FIND("·",FJ244)+1,1)),0),($D$33+($M$244=MID(FJ244,FIND("|",FJ244)+1,10))*$D$35+MAX(0,IF($D$50=1,$D$34*(1-(ABS($P$244-(VALUE(MID(FJ244,FIND("|",FJ244)+1,FIND("-",FJ244,FIND("|",FJ244))-FIND("|",FJ244)-1))-VALUE(MID(FJ244,FIND("-",FJ244,FIND("|",FJ244))+1,10)))))*$D$50),$D$34*(1-(IF($L$244=0,ABS($N$244-VALUE(MID(FJ244,FIND("|",FJ244)+1,FIND("-",FJ244,FIND("|",FJ244))-FIND("|",FJ244)-1))),ABS($P$244-(VALUE(MID(FJ244,FIND("|",FJ244)+1,FIND("-",FJ244,FIND("|",FJ244))-FIND("|",FJ244)-1))-VALUE(MID(FJ244,FIND("-",FJ244,FIND("|",FJ244))+1,10)))))*$D$50)))))*$I$244,0),0),0)
+IFERROR(IF(LEFT(FJ244,FIND("·",FJ244)-1)=$C$244,IF($D$244=IFERROR(VALUE(MID(FJ244,FIND("·",FJ244)+1,1)),0),($D$33+($E$244=MID(FJ244,FIND("|",FJ244)+1,10))*$D$35+MAX(0,IF($D$50=1,$D$34*(1-(ABS($Q$244-(VALUE(MID(FJ244,FIND("|",FJ244)+1,FIND("-",FJ244,FIND("|",FJ244))-FIND("|",FJ244)-1))-VALUE(MID(FJ244,FIND("-",FJ244,FIND("|",FJ244))+1,10)))))*$D$50),$D$34*(1-(IF($D$244=0,ABS($A$244-VALUE(MID(FJ244,FIND("|",FJ244)+1,FIND("-",FJ244,FIND("|",FJ244))-FIND("|",FJ244)-1))),ABS($Q$244-(VALUE(MID(FJ244,FIND("|",FJ244)+1,FIND("-",FJ244,FIND("|",FJ244))-FIND("|",FJ244)-1))-VALUE(MID(FJ244,FIND("-",FJ244,FIND("|",FJ244))+1,10)))))*$D$50)))))*$I$244,0),0),0)</f>
        <v>0</v>
      </c>
      <c r="FL244" s="108"/>
      <c r="FM244" s="65" t="str">
        <f>Idiomas!$D$371</f>
        <v>Pegar valores 3º-4º puesto y Final</v>
      </c>
      <c r="FN244" s="84">
        <f t="shared" ref="FN244" si="7291">IFERROR(IF(LEFT(FM244,FIND("·",FM244)-1)=$K$244,IF($L$244=IFERROR(VALUE(MID(FM244,FIND("·",FM244)+1,1)),0),($D$33+($M$244=MID(FM244,FIND("|",FM244)+1,10))*$D$35+MAX(0,IF($D$50=1,$D$34*(1-(ABS($P$244-(VALUE(MID(FM244,FIND("|",FM244)+1,FIND("-",FM244,FIND("|",FM244))-FIND("|",FM244)-1))-VALUE(MID(FM244,FIND("-",FM244,FIND("|",FM244))+1,10)))))*$D$50),$D$34*(1-(IF($L$244=0,ABS($N$244-VALUE(MID(FM244,FIND("|",FM244)+1,FIND("-",FM244,FIND("|",FM244))-FIND("|",FM244)-1))),ABS($P$244-(VALUE(MID(FM244,FIND("|",FM244)+1,FIND("-",FM244,FIND("|",FM244))-FIND("|",FM244)-1))-VALUE(MID(FM244,FIND("-",FM244,FIND("|",FM244))+1,10)))))*$D$50)))))*$I$244,0),0),0)
+IFERROR(IF(LEFT(FM244,FIND("·",FM244)-1)=$C$244,IF($D$244=IFERROR(VALUE(MID(FM244,FIND("·",FM244)+1,1)),0),($D$33+($E$244=MID(FM244,FIND("|",FM244)+1,10))*$D$35+MAX(0,IF($D$50=1,$D$34*(1-(ABS($Q$244-(VALUE(MID(FM244,FIND("|",FM244)+1,FIND("-",FM244,FIND("|",FM244))-FIND("|",FM244)-1))-VALUE(MID(FM244,FIND("-",FM244,FIND("|",FM244))+1,10)))))*$D$50),$D$34*(1-(IF($D$244=0,ABS($A$244-VALUE(MID(FM244,FIND("|",FM244)+1,FIND("-",FM244,FIND("|",FM244))-FIND("|",FM244)-1))),ABS($Q$244-(VALUE(MID(FM244,FIND("|",FM244)+1,FIND("-",FM244,FIND("|",FM244))-FIND("|",FM244)-1))-VALUE(MID(FM244,FIND("-",FM244,FIND("|",FM244))+1,10)))))*$D$50)))))*$I$244,0),0),0)</f>
        <v>0</v>
      </c>
      <c r="FO244" s="441"/>
      <c r="FP244" s="65" t="str">
        <f>Idiomas!$D$371</f>
        <v>Pegar valores 3º-4º puesto y Final</v>
      </c>
      <c r="FQ244" s="84">
        <f t="shared" ref="FQ244" si="7292">IFERROR(IF(LEFT(FP244,FIND("·",FP244)-1)=$K$244,IF($L$244=IFERROR(VALUE(MID(FP244,FIND("·",FP244)+1,1)),0),($D$33+($M$244=MID(FP244,FIND("|",FP244)+1,10))*$D$35+MAX(0,IF($D$50=1,$D$34*(1-(ABS($P$244-(VALUE(MID(FP244,FIND("|",FP244)+1,FIND("-",FP244,FIND("|",FP244))-FIND("|",FP244)-1))-VALUE(MID(FP244,FIND("-",FP244,FIND("|",FP244))+1,10)))))*$D$50),$D$34*(1-(IF($L$244=0,ABS($N$244-VALUE(MID(FP244,FIND("|",FP244)+1,FIND("-",FP244,FIND("|",FP244))-FIND("|",FP244)-1))),ABS($P$244-(VALUE(MID(FP244,FIND("|",FP244)+1,FIND("-",FP244,FIND("|",FP244))-FIND("|",FP244)-1))-VALUE(MID(FP244,FIND("-",FP244,FIND("|",FP244))+1,10)))))*$D$50)))))*$I$244,0),0),0)
+IFERROR(IF(LEFT(FP244,FIND("·",FP244)-1)=$C$244,IF($D$244=IFERROR(VALUE(MID(FP244,FIND("·",FP244)+1,1)),0),($D$33+($E$244=MID(FP244,FIND("|",FP244)+1,10))*$D$35+MAX(0,IF($D$50=1,$D$34*(1-(ABS($Q$244-(VALUE(MID(FP244,FIND("|",FP244)+1,FIND("-",FP244,FIND("|",FP244))-FIND("|",FP244)-1))-VALUE(MID(FP244,FIND("-",FP244,FIND("|",FP244))+1,10)))))*$D$50),$D$34*(1-(IF($D$244=0,ABS($A$244-VALUE(MID(FP244,FIND("|",FP244)+1,FIND("-",FP244,FIND("|",FP244))-FIND("|",FP244)-1))),ABS($Q$244-(VALUE(MID(FP244,FIND("|",FP244)+1,FIND("-",FP244,FIND("|",FP244))-FIND("|",FP244)-1))-VALUE(MID(FP244,FIND("-",FP244,FIND("|",FP244))+1,10)))))*$D$50)))))*$I$244,0),0),0)</f>
        <v>0</v>
      </c>
      <c r="FR244" s="108"/>
      <c r="FS244" s="65" t="str">
        <f>Idiomas!$D$371</f>
        <v>Pegar valores 3º-4º puesto y Final</v>
      </c>
      <c r="FT244" s="84">
        <f t="shared" ref="FT244" si="7293">IFERROR(IF(LEFT(FS244,FIND("·",FS244)-1)=$K$244,IF($L$244=IFERROR(VALUE(MID(FS244,FIND("·",FS244)+1,1)),0),($D$33+($M$244=MID(FS244,FIND("|",FS244)+1,10))*$D$35+MAX(0,IF($D$50=1,$D$34*(1-(ABS($P$244-(VALUE(MID(FS244,FIND("|",FS244)+1,FIND("-",FS244,FIND("|",FS244))-FIND("|",FS244)-1))-VALUE(MID(FS244,FIND("-",FS244,FIND("|",FS244))+1,10)))))*$D$50),$D$34*(1-(IF($L$244=0,ABS($N$244-VALUE(MID(FS244,FIND("|",FS244)+1,FIND("-",FS244,FIND("|",FS244))-FIND("|",FS244)-1))),ABS($P$244-(VALUE(MID(FS244,FIND("|",FS244)+1,FIND("-",FS244,FIND("|",FS244))-FIND("|",FS244)-1))-VALUE(MID(FS244,FIND("-",FS244,FIND("|",FS244))+1,10)))))*$D$50)))))*$I$244,0),0),0)
+IFERROR(IF(LEFT(FS244,FIND("·",FS244)-1)=$C$244,IF($D$244=IFERROR(VALUE(MID(FS244,FIND("·",FS244)+1,1)),0),($D$33+($E$244=MID(FS244,FIND("|",FS244)+1,10))*$D$35+MAX(0,IF($D$50=1,$D$34*(1-(ABS($Q$244-(VALUE(MID(FS244,FIND("|",FS244)+1,FIND("-",FS244,FIND("|",FS244))-FIND("|",FS244)-1))-VALUE(MID(FS244,FIND("-",FS244,FIND("|",FS244))+1,10)))))*$D$50),$D$34*(1-(IF($D$244=0,ABS($A$244-VALUE(MID(FS244,FIND("|",FS244)+1,FIND("-",FS244,FIND("|",FS244))-FIND("|",FS244)-1))),ABS($Q$244-(VALUE(MID(FS244,FIND("|",FS244)+1,FIND("-",FS244,FIND("|",FS244))-FIND("|",FS244)-1))-VALUE(MID(FS244,FIND("-",FS244,FIND("|",FS244))+1,10)))))*$D$50)))))*$I$244,0),0),0)</f>
        <v>0</v>
      </c>
      <c r="FU244" s="108"/>
      <c r="FV244" s="65" t="str">
        <f>Idiomas!$D$371</f>
        <v>Pegar valores 3º-4º puesto y Final</v>
      </c>
      <c r="FW244" s="84">
        <f t="shared" ref="FW244" si="7294">IFERROR(IF(LEFT(FV244,FIND("·",FV244)-1)=$K$244,IF($L$244=IFERROR(VALUE(MID(FV244,FIND("·",FV244)+1,1)),0),($D$33+($M$244=MID(FV244,FIND("|",FV244)+1,10))*$D$35+MAX(0,IF($D$50=1,$D$34*(1-(ABS($P$244-(VALUE(MID(FV244,FIND("|",FV244)+1,FIND("-",FV244,FIND("|",FV244))-FIND("|",FV244)-1))-VALUE(MID(FV244,FIND("-",FV244,FIND("|",FV244))+1,10)))))*$D$50),$D$34*(1-(IF($L$244=0,ABS($N$244-VALUE(MID(FV244,FIND("|",FV244)+1,FIND("-",FV244,FIND("|",FV244))-FIND("|",FV244)-1))),ABS($P$244-(VALUE(MID(FV244,FIND("|",FV244)+1,FIND("-",FV244,FIND("|",FV244))-FIND("|",FV244)-1))-VALUE(MID(FV244,FIND("-",FV244,FIND("|",FV244))+1,10)))))*$D$50)))))*$I$244,0),0),0)
+IFERROR(IF(LEFT(FV244,FIND("·",FV244)-1)=$C$244,IF($D$244=IFERROR(VALUE(MID(FV244,FIND("·",FV244)+1,1)),0),($D$33+($E$244=MID(FV244,FIND("|",FV244)+1,10))*$D$35+MAX(0,IF($D$50=1,$D$34*(1-(ABS($Q$244-(VALUE(MID(FV244,FIND("|",FV244)+1,FIND("-",FV244,FIND("|",FV244))-FIND("|",FV244)-1))-VALUE(MID(FV244,FIND("-",FV244,FIND("|",FV244))+1,10)))))*$D$50),$D$34*(1-(IF($D$244=0,ABS($A$244-VALUE(MID(FV244,FIND("|",FV244)+1,FIND("-",FV244,FIND("|",FV244))-FIND("|",FV244)-1))),ABS($Q$244-(VALUE(MID(FV244,FIND("|",FV244)+1,FIND("-",FV244,FIND("|",FV244))-FIND("|",FV244)-1))-VALUE(MID(FV244,FIND("-",FV244,FIND("|",FV244))+1,10)))))*$D$50)))))*$I$244,0),0),0)</f>
        <v>0</v>
      </c>
      <c r="FX244" s="108"/>
      <c r="FY244" s="65" t="str">
        <f>Idiomas!$D$371</f>
        <v>Pegar valores 3º-4º puesto y Final</v>
      </c>
      <c r="FZ244" s="84">
        <f t="shared" ref="FZ244" si="7295">IFERROR(IF(LEFT(FY244,FIND("·",FY244)-1)=$K$244,IF($L$244=IFERROR(VALUE(MID(FY244,FIND("·",FY244)+1,1)),0),($D$33+($M$244=MID(FY244,FIND("|",FY244)+1,10))*$D$35+MAX(0,IF($D$50=1,$D$34*(1-(ABS($P$244-(VALUE(MID(FY244,FIND("|",FY244)+1,FIND("-",FY244,FIND("|",FY244))-FIND("|",FY244)-1))-VALUE(MID(FY244,FIND("-",FY244,FIND("|",FY244))+1,10)))))*$D$50),$D$34*(1-(IF($L$244=0,ABS($N$244-VALUE(MID(FY244,FIND("|",FY244)+1,FIND("-",FY244,FIND("|",FY244))-FIND("|",FY244)-1))),ABS($P$244-(VALUE(MID(FY244,FIND("|",FY244)+1,FIND("-",FY244,FIND("|",FY244))-FIND("|",FY244)-1))-VALUE(MID(FY244,FIND("-",FY244,FIND("|",FY244))+1,10)))))*$D$50)))))*$I$244,0),0),0)
+IFERROR(IF(LEFT(FY244,FIND("·",FY244)-1)=$C$244,IF($D$244=IFERROR(VALUE(MID(FY244,FIND("·",FY244)+1,1)),0),($D$33+($E$244=MID(FY244,FIND("|",FY244)+1,10))*$D$35+MAX(0,IF($D$50=1,$D$34*(1-(ABS($Q$244-(VALUE(MID(FY244,FIND("|",FY244)+1,FIND("-",FY244,FIND("|",FY244))-FIND("|",FY244)-1))-VALUE(MID(FY244,FIND("-",FY244,FIND("|",FY244))+1,10)))))*$D$50),$D$34*(1-(IF($D$244=0,ABS($A$244-VALUE(MID(FY244,FIND("|",FY244)+1,FIND("-",FY244,FIND("|",FY244))-FIND("|",FY244)-1))),ABS($Q$244-(VALUE(MID(FY244,FIND("|",FY244)+1,FIND("-",FY244,FIND("|",FY244))-FIND("|",FY244)-1))-VALUE(MID(FY244,FIND("-",FY244,FIND("|",FY244))+1,10)))))*$D$50)))))*$I$244,0),0),0)</f>
        <v>0</v>
      </c>
      <c r="GA244" s="108"/>
      <c r="GB244" s="65" t="str">
        <f>Idiomas!$D$371</f>
        <v>Pegar valores 3º-4º puesto y Final</v>
      </c>
      <c r="GC244" s="84">
        <f t="shared" ref="GC244" si="7296">IFERROR(IF(LEFT(GB244,FIND("·",GB244)-1)=$K$244,IF($L$244=IFERROR(VALUE(MID(GB244,FIND("·",GB244)+1,1)),0),($D$33+($M$244=MID(GB244,FIND("|",GB244)+1,10))*$D$35+MAX(0,IF($D$50=1,$D$34*(1-(ABS($P$244-(VALUE(MID(GB244,FIND("|",GB244)+1,FIND("-",GB244,FIND("|",GB244))-FIND("|",GB244)-1))-VALUE(MID(GB244,FIND("-",GB244,FIND("|",GB244))+1,10)))))*$D$50),$D$34*(1-(IF($L$244=0,ABS($N$244-VALUE(MID(GB244,FIND("|",GB244)+1,FIND("-",GB244,FIND("|",GB244))-FIND("|",GB244)-1))),ABS($P$244-(VALUE(MID(GB244,FIND("|",GB244)+1,FIND("-",GB244,FIND("|",GB244))-FIND("|",GB244)-1))-VALUE(MID(GB244,FIND("-",GB244,FIND("|",GB244))+1,10)))))*$D$50)))))*$I$244,0),0),0)
+IFERROR(IF(LEFT(GB244,FIND("·",GB244)-1)=$C$244,IF($D$244=IFERROR(VALUE(MID(GB244,FIND("·",GB244)+1,1)),0),($D$33+($E$244=MID(GB244,FIND("|",GB244)+1,10))*$D$35+MAX(0,IF($D$50=1,$D$34*(1-(ABS($Q$244-(VALUE(MID(GB244,FIND("|",GB244)+1,FIND("-",GB244,FIND("|",GB244))-FIND("|",GB244)-1))-VALUE(MID(GB244,FIND("-",GB244,FIND("|",GB244))+1,10)))))*$D$50),$D$34*(1-(IF($D$244=0,ABS($A$244-VALUE(MID(GB244,FIND("|",GB244)+1,FIND("-",GB244,FIND("|",GB244))-FIND("|",GB244)-1))),ABS($Q$244-(VALUE(MID(GB244,FIND("|",GB244)+1,FIND("-",GB244,FIND("|",GB244))-FIND("|",GB244)-1))-VALUE(MID(GB244,FIND("-",GB244,FIND("|",GB244))+1,10)))))*$D$50)))))*$I$244,0),0),0)</f>
        <v>0</v>
      </c>
      <c r="GD244" s="441"/>
      <c r="GE244" s="65" t="str">
        <f>Idiomas!$D$371</f>
        <v>Pegar valores 3º-4º puesto y Final</v>
      </c>
      <c r="GF244" s="84">
        <f t="shared" ref="GF244" si="7297">IFERROR(IF(LEFT(GE244,FIND("·",GE244)-1)=$K$244,IF($L$244=IFERROR(VALUE(MID(GE244,FIND("·",GE244)+1,1)),0),($D$33+($M$244=MID(GE244,FIND("|",GE244)+1,10))*$D$35+MAX(0,IF($D$50=1,$D$34*(1-(ABS($P$244-(VALUE(MID(GE244,FIND("|",GE244)+1,FIND("-",GE244,FIND("|",GE244))-FIND("|",GE244)-1))-VALUE(MID(GE244,FIND("-",GE244,FIND("|",GE244))+1,10)))))*$D$50),$D$34*(1-(IF($L$244=0,ABS($N$244-VALUE(MID(GE244,FIND("|",GE244)+1,FIND("-",GE244,FIND("|",GE244))-FIND("|",GE244)-1))),ABS($P$244-(VALUE(MID(GE244,FIND("|",GE244)+1,FIND("-",GE244,FIND("|",GE244))-FIND("|",GE244)-1))-VALUE(MID(GE244,FIND("-",GE244,FIND("|",GE244))+1,10)))))*$D$50)))))*$I$244,0),0),0)
+IFERROR(IF(LEFT(GE244,FIND("·",GE244)-1)=$C$244,IF($D$244=IFERROR(VALUE(MID(GE244,FIND("·",GE244)+1,1)),0),($D$33+($E$244=MID(GE244,FIND("|",GE244)+1,10))*$D$35+MAX(0,IF($D$50=1,$D$34*(1-(ABS($Q$244-(VALUE(MID(GE244,FIND("|",GE244)+1,FIND("-",GE244,FIND("|",GE244))-FIND("|",GE244)-1))-VALUE(MID(GE244,FIND("-",GE244,FIND("|",GE244))+1,10)))))*$D$50),$D$34*(1-(IF($D$244=0,ABS($A$244-VALUE(MID(GE244,FIND("|",GE244)+1,FIND("-",GE244,FIND("|",GE244))-FIND("|",GE244)-1))),ABS($Q$244-(VALUE(MID(GE244,FIND("|",GE244)+1,FIND("-",GE244,FIND("|",GE244))-FIND("|",GE244)-1))-VALUE(MID(GE244,FIND("-",GE244,FIND("|",GE244))+1,10)))))*$D$50)))))*$I$244,0),0),0)</f>
        <v>0</v>
      </c>
      <c r="GG244" s="108"/>
      <c r="GH244" s="65" t="str">
        <f>Idiomas!$D$371</f>
        <v>Pegar valores 3º-4º puesto y Final</v>
      </c>
      <c r="GI244" s="84">
        <f t="shared" ref="GI244" si="7298">IFERROR(IF(LEFT(GH244,FIND("·",GH244)-1)=$K$244,IF($L$244=IFERROR(VALUE(MID(GH244,FIND("·",GH244)+1,1)),0),($D$33+($M$244=MID(GH244,FIND("|",GH244)+1,10))*$D$35+MAX(0,IF($D$50=1,$D$34*(1-(ABS($P$244-(VALUE(MID(GH244,FIND("|",GH244)+1,FIND("-",GH244,FIND("|",GH244))-FIND("|",GH244)-1))-VALUE(MID(GH244,FIND("-",GH244,FIND("|",GH244))+1,10)))))*$D$50),$D$34*(1-(IF($L$244=0,ABS($N$244-VALUE(MID(GH244,FIND("|",GH244)+1,FIND("-",GH244,FIND("|",GH244))-FIND("|",GH244)-1))),ABS($P$244-(VALUE(MID(GH244,FIND("|",GH244)+1,FIND("-",GH244,FIND("|",GH244))-FIND("|",GH244)-1))-VALUE(MID(GH244,FIND("-",GH244,FIND("|",GH244))+1,10)))))*$D$50)))))*$I$244,0),0),0)
+IFERROR(IF(LEFT(GH244,FIND("·",GH244)-1)=$C$244,IF($D$244=IFERROR(VALUE(MID(GH244,FIND("·",GH244)+1,1)),0),($D$33+($E$244=MID(GH244,FIND("|",GH244)+1,10))*$D$35+MAX(0,IF($D$50=1,$D$34*(1-(ABS($Q$244-(VALUE(MID(GH244,FIND("|",GH244)+1,FIND("-",GH244,FIND("|",GH244))-FIND("|",GH244)-1))-VALUE(MID(GH244,FIND("-",GH244,FIND("|",GH244))+1,10)))))*$D$50),$D$34*(1-(IF($D$244=0,ABS($A$244-VALUE(MID(GH244,FIND("|",GH244)+1,FIND("-",GH244,FIND("|",GH244))-FIND("|",GH244)-1))),ABS($Q$244-(VALUE(MID(GH244,FIND("|",GH244)+1,FIND("-",GH244,FIND("|",GH244))-FIND("|",GH244)-1))-VALUE(MID(GH244,FIND("-",GH244,FIND("|",GH244))+1,10)))))*$D$50)))))*$I$244,0),0),0)</f>
        <v>0</v>
      </c>
      <c r="GJ244" s="108"/>
      <c r="GK244" s="65" t="str">
        <f>Idiomas!$D$371</f>
        <v>Pegar valores 3º-4º puesto y Final</v>
      </c>
      <c r="GL244" s="84">
        <f t="shared" ref="GL244" si="7299">IFERROR(IF(LEFT(GK244,FIND("·",GK244)-1)=$K$244,IF($L$244=IFERROR(VALUE(MID(GK244,FIND("·",GK244)+1,1)),0),($D$33+($M$244=MID(GK244,FIND("|",GK244)+1,10))*$D$35+MAX(0,IF($D$50=1,$D$34*(1-(ABS($P$244-(VALUE(MID(GK244,FIND("|",GK244)+1,FIND("-",GK244,FIND("|",GK244))-FIND("|",GK244)-1))-VALUE(MID(GK244,FIND("-",GK244,FIND("|",GK244))+1,10)))))*$D$50),$D$34*(1-(IF($L$244=0,ABS($N$244-VALUE(MID(GK244,FIND("|",GK244)+1,FIND("-",GK244,FIND("|",GK244))-FIND("|",GK244)-1))),ABS($P$244-(VALUE(MID(GK244,FIND("|",GK244)+1,FIND("-",GK244,FIND("|",GK244))-FIND("|",GK244)-1))-VALUE(MID(GK244,FIND("-",GK244,FIND("|",GK244))+1,10)))))*$D$50)))))*$I$244,0),0),0)
+IFERROR(IF(LEFT(GK244,FIND("·",GK244)-1)=$C$244,IF($D$244=IFERROR(VALUE(MID(GK244,FIND("·",GK244)+1,1)),0),($D$33+($E$244=MID(GK244,FIND("|",GK244)+1,10))*$D$35+MAX(0,IF($D$50=1,$D$34*(1-(ABS($Q$244-(VALUE(MID(GK244,FIND("|",GK244)+1,FIND("-",GK244,FIND("|",GK244))-FIND("|",GK244)-1))-VALUE(MID(GK244,FIND("-",GK244,FIND("|",GK244))+1,10)))))*$D$50),$D$34*(1-(IF($D$244=0,ABS($A$244-VALUE(MID(GK244,FIND("|",GK244)+1,FIND("-",GK244,FIND("|",GK244))-FIND("|",GK244)-1))),ABS($Q$244-(VALUE(MID(GK244,FIND("|",GK244)+1,FIND("-",GK244,FIND("|",GK244))-FIND("|",GK244)-1))-VALUE(MID(GK244,FIND("-",GK244,FIND("|",GK244))+1,10)))))*$D$50)))))*$I$244,0),0),0)</f>
        <v>0</v>
      </c>
      <c r="GM244" s="108"/>
      <c r="GN244" s="65" t="str">
        <f>Idiomas!$D$371</f>
        <v>Pegar valores 3º-4º puesto y Final</v>
      </c>
      <c r="GO244" s="84">
        <f t="shared" ref="GO244" si="7300">IFERROR(IF(LEFT(GN244,FIND("·",GN244)-1)=$K$244,IF($L$244=IFERROR(VALUE(MID(GN244,FIND("·",GN244)+1,1)),0),($D$33+($M$244=MID(GN244,FIND("|",GN244)+1,10))*$D$35+MAX(0,IF($D$50=1,$D$34*(1-(ABS($P$244-(VALUE(MID(GN244,FIND("|",GN244)+1,FIND("-",GN244,FIND("|",GN244))-FIND("|",GN244)-1))-VALUE(MID(GN244,FIND("-",GN244,FIND("|",GN244))+1,10)))))*$D$50),$D$34*(1-(IF($L$244=0,ABS($N$244-VALUE(MID(GN244,FIND("|",GN244)+1,FIND("-",GN244,FIND("|",GN244))-FIND("|",GN244)-1))),ABS($P$244-(VALUE(MID(GN244,FIND("|",GN244)+1,FIND("-",GN244,FIND("|",GN244))-FIND("|",GN244)-1))-VALUE(MID(GN244,FIND("-",GN244,FIND("|",GN244))+1,10)))))*$D$50)))))*$I$244,0),0),0)
+IFERROR(IF(LEFT(GN244,FIND("·",GN244)-1)=$C$244,IF($D$244=IFERROR(VALUE(MID(GN244,FIND("·",GN244)+1,1)),0),($D$33+($E$244=MID(GN244,FIND("|",GN244)+1,10))*$D$35+MAX(0,IF($D$50=1,$D$34*(1-(ABS($Q$244-(VALUE(MID(GN244,FIND("|",GN244)+1,FIND("-",GN244,FIND("|",GN244))-FIND("|",GN244)-1))-VALUE(MID(GN244,FIND("-",GN244,FIND("|",GN244))+1,10)))))*$D$50),$D$34*(1-(IF($D$244=0,ABS($A$244-VALUE(MID(GN244,FIND("|",GN244)+1,FIND("-",GN244,FIND("|",GN244))-FIND("|",GN244)-1))),ABS($Q$244-(VALUE(MID(GN244,FIND("|",GN244)+1,FIND("-",GN244,FIND("|",GN244))-FIND("|",GN244)-1))-VALUE(MID(GN244,FIND("-",GN244,FIND("|",GN244))+1,10)))))*$D$50)))))*$I$244,0),0),0)</f>
        <v>0</v>
      </c>
      <c r="GP244" s="108"/>
      <c r="GQ244" s="65" t="str">
        <f>Idiomas!$D$371</f>
        <v>Pegar valores 3º-4º puesto y Final</v>
      </c>
      <c r="GR244" s="84">
        <f t="shared" ref="GR244" si="7301">IFERROR(IF(LEFT(GQ244,FIND("·",GQ244)-1)=$K$244,IF($L$244=IFERROR(VALUE(MID(GQ244,FIND("·",GQ244)+1,1)),0),($D$33+($M$244=MID(GQ244,FIND("|",GQ244)+1,10))*$D$35+MAX(0,IF($D$50=1,$D$34*(1-(ABS($P$244-(VALUE(MID(GQ244,FIND("|",GQ244)+1,FIND("-",GQ244,FIND("|",GQ244))-FIND("|",GQ244)-1))-VALUE(MID(GQ244,FIND("-",GQ244,FIND("|",GQ244))+1,10)))))*$D$50),$D$34*(1-(IF($L$244=0,ABS($N$244-VALUE(MID(GQ244,FIND("|",GQ244)+1,FIND("-",GQ244,FIND("|",GQ244))-FIND("|",GQ244)-1))),ABS($P$244-(VALUE(MID(GQ244,FIND("|",GQ244)+1,FIND("-",GQ244,FIND("|",GQ244))-FIND("|",GQ244)-1))-VALUE(MID(GQ244,FIND("-",GQ244,FIND("|",GQ244))+1,10)))))*$D$50)))))*$I$244,0),0),0)
+IFERROR(IF(LEFT(GQ244,FIND("·",GQ244)-1)=$C$244,IF($D$244=IFERROR(VALUE(MID(GQ244,FIND("·",GQ244)+1,1)),0),($D$33+($E$244=MID(GQ244,FIND("|",GQ244)+1,10))*$D$35+MAX(0,IF($D$50=1,$D$34*(1-(ABS($Q$244-(VALUE(MID(GQ244,FIND("|",GQ244)+1,FIND("-",GQ244,FIND("|",GQ244))-FIND("|",GQ244)-1))-VALUE(MID(GQ244,FIND("-",GQ244,FIND("|",GQ244))+1,10)))))*$D$50),$D$34*(1-(IF($D$244=0,ABS($A$244-VALUE(MID(GQ244,FIND("|",GQ244)+1,FIND("-",GQ244,FIND("|",GQ244))-FIND("|",GQ244)-1))),ABS($Q$244-(VALUE(MID(GQ244,FIND("|",GQ244)+1,FIND("-",GQ244,FIND("|",GQ244))-FIND("|",GQ244)-1))-VALUE(MID(GQ244,FIND("-",GQ244,FIND("|",GQ244))+1,10)))))*$D$50)))))*$I$244,0),0),0)</f>
        <v>0</v>
      </c>
      <c r="GS244" s="441"/>
      <c r="GT244" s="65" t="str">
        <f>Idiomas!$D$371</f>
        <v>Pegar valores 3º-4º puesto y Final</v>
      </c>
      <c r="GU244" s="84">
        <f t="shared" ref="GU244" si="7302">IFERROR(IF(LEFT(GT244,FIND("·",GT244)-1)=$K$244,IF($L$244=IFERROR(VALUE(MID(GT244,FIND("·",GT244)+1,1)),0),($D$33+($M$244=MID(GT244,FIND("|",GT244)+1,10))*$D$35+MAX(0,IF($D$50=1,$D$34*(1-(ABS($P$244-(VALUE(MID(GT244,FIND("|",GT244)+1,FIND("-",GT244,FIND("|",GT244))-FIND("|",GT244)-1))-VALUE(MID(GT244,FIND("-",GT244,FIND("|",GT244))+1,10)))))*$D$50),$D$34*(1-(IF($L$244=0,ABS($N$244-VALUE(MID(GT244,FIND("|",GT244)+1,FIND("-",GT244,FIND("|",GT244))-FIND("|",GT244)-1))),ABS($P$244-(VALUE(MID(GT244,FIND("|",GT244)+1,FIND("-",GT244,FIND("|",GT244))-FIND("|",GT244)-1))-VALUE(MID(GT244,FIND("-",GT244,FIND("|",GT244))+1,10)))))*$D$50)))))*$I$244,0),0),0)
+IFERROR(IF(LEFT(GT244,FIND("·",GT244)-1)=$C$244,IF($D$244=IFERROR(VALUE(MID(GT244,FIND("·",GT244)+1,1)),0),($D$33+($E$244=MID(GT244,FIND("|",GT244)+1,10))*$D$35+MAX(0,IF($D$50=1,$D$34*(1-(ABS($Q$244-(VALUE(MID(GT244,FIND("|",GT244)+1,FIND("-",GT244,FIND("|",GT244))-FIND("|",GT244)-1))-VALUE(MID(GT244,FIND("-",GT244,FIND("|",GT244))+1,10)))))*$D$50),$D$34*(1-(IF($D$244=0,ABS($A$244-VALUE(MID(GT244,FIND("|",GT244)+1,FIND("-",GT244,FIND("|",GT244))-FIND("|",GT244)-1))),ABS($Q$244-(VALUE(MID(GT244,FIND("|",GT244)+1,FIND("-",GT244,FIND("|",GT244))-FIND("|",GT244)-1))-VALUE(MID(GT244,FIND("-",GT244,FIND("|",GT244))+1,10)))))*$D$50)))))*$I$244,0),0),0)</f>
        <v>0</v>
      </c>
      <c r="GV244" s="108"/>
      <c r="GW244" s="65" t="str">
        <f>Idiomas!$D$371</f>
        <v>Pegar valores 3º-4º puesto y Final</v>
      </c>
      <c r="GX244" s="84">
        <f t="shared" ref="GX244" si="7303">IFERROR(IF(LEFT(GW244,FIND("·",GW244)-1)=$K$244,IF($L$244=IFERROR(VALUE(MID(GW244,FIND("·",GW244)+1,1)),0),($D$33+($M$244=MID(GW244,FIND("|",GW244)+1,10))*$D$35+MAX(0,IF($D$50=1,$D$34*(1-(ABS($P$244-(VALUE(MID(GW244,FIND("|",GW244)+1,FIND("-",GW244,FIND("|",GW244))-FIND("|",GW244)-1))-VALUE(MID(GW244,FIND("-",GW244,FIND("|",GW244))+1,10)))))*$D$50),$D$34*(1-(IF($L$244=0,ABS($N$244-VALUE(MID(GW244,FIND("|",GW244)+1,FIND("-",GW244,FIND("|",GW244))-FIND("|",GW244)-1))),ABS($P$244-(VALUE(MID(GW244,FIND("|",GW244)+1,FIND("-",GW244,FIND("|",GW244))-FIND("|",GW244)-1))-VALUE(MID(GW244,FIND("-",GW244,FIND("|",GW244))+1,10)))))*$D$50)))))*$I$244,0),0),0)
+IFERROR(IF(LEFT(GW244,FIND("·",GW244)-1)=$C$244,IF($D$244=IFERROR(VALUE(MID(GW244,FIND("·",GW244)+1,1)),0),($D$33+($E$244=MID(GW244,FIND("|",GW244)+1,10))*$D$35+MAX(0,IF($D$50=1,$D$34*(1-(ABS($Q$244-(VALUE(MID(GW244,FIND("|",GW244)+1,FIND("-",GW244,FIND("|",GW244))-FIND("|",GW244)-1))-VALUE(MID(GW244,FIND("-",GW244,FIND("|",GW244))+1,10)))))*$D$50),$D$34*(1-(IF($D$244=0,ABS($A$244-VALUE(MID(GW244,FIND("|",GW244)+1,FIND("-",GW244,FIND("|",GW244))-FIND("|",GW244)-1))),ABS($Q$244-(VALUE(MID(GW244,FIND("|",GW244)+1,FIND("-",GW244,FIND("|",GW244))-FIND("|",GW244)-1))-VALUE(MID(GW244,FIND("-",GW244,FIND("|",GW244))+1,10)))))*$D$50)))))*$I$244,0),0),0)</f>
        <v>0</v>
      </c>
      <c r="GY244" s="108"/>
      <c r="GZ244" s="65" t="str">
        <f>Idiomas!$D$371</f>
        <v>Pegar valores 3º-4º puesto y Final</v>
      </c>
      <c r="HA244" s="84">
        <f t="shared" ref="HA244" si="7304">IFERROR(IF(LEFT(GZ244,FIND("·",GZ244)-1)=$K$244,IF($L$244=IFERROR(VALUE(MID(GZ244,FIND("·",GZ244)+1,1)),0),($D$33+($M$244=MID(GZ244,FIND("|",GZ244)+1,10))*$D$35+MAX(0,IF($D$50=1,$D$34*(1-(ABS($P$244-(VALUE(MID(GZ244,FIND("|",GZ244)+1,FIND("-",GZ244,FIND("|",GZ244))-FIND("|",GZ244)-1))-VALUE(MID(GZ244,FIND("-",GZ244,FIND("|",GZ244))+1,10)))))*$D$50),$D$34*(1-(IF($L$244=0,ABS($N$244-VALUE(MID(GZ244,FIND("|",GZ244)+1,FIND("-",GZ244,FIND("|",GZ244))-FIND("|",GZ244)-1))),ABS($P$244-(VALUE(MID(GZ244,FIND("|",GZ244)+1,FIND("-",GZ244,FIND("|",GZ244))-FIND("|",GZ244)-1))-VALUE(MID(GZ244,FIND("-",GZ244,FIND("|",GZ244))+1,10)))))*$D$50)))))*$I$244,0),0),0)
+IFERROR(IF(LEFT(GZ244,FIND("·",GZ244)-1)=$C$244,IF($D$244=IFERROR(VALUE(MID(GZ244,FIND("·",GZ244)+1,1)),0),($D$33+($E$244=MID(GZ244,FIND("|",GZ244)+1,10))*$D$35+MAX(0,IF($D$50=1,$D$34*(1-(ABS($Q$244-(VALUE(MID(GZ244,FIND("|",GZ244)+1,FIND("-",GZ244,FIND("|",GZ244))-FIND("|",GZ244)-1))-VALUE(MID(GZ244,FIND("-",GZ244,FIND("|",GZ244))+1,10)))))*$D$50),$D$34*(1-(IF($D$244=0,ABS($A$244-VALUE(MID(GZ244,FIND("|",GZ244)+1,FIND("-",GZ244,FIND("|",GZ244))-FIND("|",GZ244)-1))),ABS($Q$244-(VALUE(MID(GZ244,FIND("|",GZ244)+1,FIND("-",GZ244,FIND("|",GZ244))-FIND("|",GZ244)-1))-VALUE(MID(GZ244,FIND("-",GZ244,FIND("|",GZ244))+1,10)))))*$D$50)))))*$I$244,0),0),0)</f>
        <v>0</v>
      </c>
      <c r="HB244" s="108"/>
      <c r="HC244" s="65" t="str">
        <f>Idiomas!$D$371</f>
        <v>Pegar valores 3º-4º puesto y Final</v>
      </c>
      <c r="HD244" s="84">
        <f t="shared" ref="HD244" si="7305">IFERROR(IF(LEFT(HC244,FIND("·",HC244)-1)=$K$244,IF($L$244=IFERROR(VALUE(MID(HC244,FIND("·",HC244)+1,1)),0),($D$33+($M$244=MID(HC244,FIND("|",HC244)+1,10))*$D$35+MAX(0,IF($D$50=1,$D$34*(1-(ABS($P$244-(VALUE(MID(HC244,FIND("|",HC244)+1,FIND("-",HC244,FIND("|",HC244))-FIND("|",HC244)-1))-VALUE(MID(HC244,FIND("-",HC244,FIND("|",HC244))+1,10)))))*$D$50),$D$34*(1-(IF($L$244=0,ABS($N$244-VALUE(MID(HC244,FIND("|",HC244)+1,FIND("-",HC244,FIND("|",HC244))-FIND("|",HC244)-1))),ABS($P$244-(VALUE(MID(HC244,FIND("|",HC244)+1,FIND("-",HC244,FIND("|",HC244))-FIND("|",HC244)-1))-VALUE(MID(HC244,FIND("-",HC244,FIND("|",HC244))+1,10)))))*$D$50)))))*$I$244,0),0),0)
+IFERROR(IF(LEFT(HC244,FIND("·",HC244)-1)=$C$244,IF($D$244=IFERROR(VALUE(MID(HC244,FIND("·",HC244)+1,1)),0),($D$33+($E$244=MID(HC244,FIND("|",HC244)+1,10))*$D$35+MAX(0,IF($D$50=1,$D$34*(1-(ABS($Q$244-(VALUE(MID(HC244,FIND("|",HC244)+1,FIND("-",HC244,FIND("|",HC244))-FIND("|",HC244)-1))-VALUE(MID(HC244,FIND("-",HC244,FIND("|",HC244))+1,10)))))*$D$50),$D$34*(1-(IF($D$244=0,ABS($A$244-VALUE(MID(HC244,FIND("|",HC244)+1,FIND("-",HC244,FIND("|",HC244))-FIND("|",HC244)-1))),ABS($Q$244-(VALUE(MID(HC244,FIND("|",HC244)+1,FIND("-",HC244,FIND("|",HC244))-FIND("|",HC244)-1))-VALUE(MID(HC244,FIND("-",HC244,FIND("|",HC244))+1,10)))))*$D$50)))))*$I$244,0),0),0)</f>
        <v>0</v>
      </c>
      <c r="HE244" s="108"/>
      <c r="HF244" s="65" t="str">
        <f>Idiomas!$D$371</f>
        <v>Pegar valores 3º-4º puesto y Final</v>
      </c>
      <c r="HG244" s="84">
        <f t="shared" ref="HG244" si="7306">IFERROR(IF(LEFT(HF244,FIND("·",HF244)-1)=$K$244,IF($L$244=IFERROR(VALUE(MID(HF244,FIND("·",HF244)+1,1)),0),($D$33+($M$244=MID(HF244,FIND("|",HF244)+1,10))*$D$35+MAX(0,IF($D$50=1,$D$34*(1-(ABS($P$244-(VALUE(MID(HF244,FIND("|",HF244)+1,FIND("-",HF244,FIND("|",HF244))-FIND("|",HF244)-1))-VALUE(MID(HF244,FIND("-",HF244,FIND("|",HF244))+1,10)))))*$D$50),$D$34*(1-(IF($L$244=0,ABS($N$244-VALUE(MID(HF244,FIND("|",HF244)+1,FIND("-",HF244,FIND("|",HF244))-FIND("|",HF244)-1))),ABS($P$244-(VALUE(MID(HF244,FIND("|",HF244)+1,FIND("-",HF244,FIND("|",HF244))-FIND("|",HF244)-1))-VALUE(MID(HF244,FIND("-",HF244,FIND("|",HF244))+1,10)))))*$D$50)))))*$I$244,0),0),0)
+IFERROR(IF(LEFT(HF244,FIND("·",HF244)-1)=$C$244,IF($D$244=IFERROR(VALUE(MID(HF244,FIND("·",HF244)+1,1)),0),($D$33+($E$244=MID(HF244,FIND("|",HF244)+1,10))*$D$35+MAX(0,IF($D$50=1,$D$34*(1-(ABS($Q$244-(VALUE(MID(HF244,FIND("|",HF244)+1,FIND("-",HF244,FIND("|",HF244))-FIND("|",HF244)-1))-VALUE(MID(HF244,FIND("-",HF244,FIND("|",HF244))+1,10)))))*$D$50),$D$34*(1-(IF($D$244=0,ABS($A$244-VALUE(MID(HF244,FIND("|",HF244)+1,FIND("-",HF244,FIND("|",HF244))-FIND("|",HF244)-1))),ABS($Q$244-(VALUE(MID(HF244,FIND("|",HF244)+1,FIND("-",HF244,FIND("|",HF244))-FIND("|",HF244)-1))-VALUE(MID(HF244,FIND("-",HF244,FIND("|",HF244))+1,10)))))*$D$50)))))*$I$244,0),0),0)</f>
        <v>0</v>
      </c>
      <c r="HH244" s="441"/>
      <c r="HI244" s="65" t="str">
        <f>Idiomas!$D$371</f>
        <v>Pegar valores 3º-4º puesto y Final</v>
      </c>
      <c r="HJ244" s="84">
        <f t="shared" ref="HJ244" si="7307">IFERROR(IF(LEFT(HI244,FIND("·",HI244)-1)=$K$244,IF($L$244=IFERROR(VALUE(MID(HI244,FIND("·",HI244)+1,1)),0),($D$33+($M$244=MID(HI244,FIND("|",HI244)+1,10))*$D$35+MAX(0,IF($D$50=1,$D$34*(1-(ABS($P$244-(VALUE(MID(HI244,FIND("|",HI244)+1,FIND("-",HI244,FIND("|",HI244))-FIND("|",HI244)-1))-VALUE(MID(HI244,FIND("-",HI244,FIND("|",HI244))+1,10)))))*$D$50),$D$34*(1-(IF($L$244=0,ABS($N$244-VALUE(MID(HI244,FIND("|",HI244)+1,FIND("-",HI244,FIND("|",HI244))-FIND("|",HI244)-1))),ABS($P$244-(VALUE(MID(HI244,FIND("|",HI244)+1,FIND("-",HI244,FIND("|",HI244))-FIND("|",HI244)-1))-VALUE(MID(HI244,FIND("-",HI244,FIND("|",HI244))+1,10)))))*$D$50)))))*$I$244,0),0),0)
+IFERROR(IF(LEFT(HI244,FIND("·",HI244)-1)=$C$244,IF($D$244=IFERROR(VALUE(MID(HI244,FIND("·",HI244)+1,1)),0),($D$33+($E$244=MID(HI244,FIND("|",HI244)+1,10))*$D$35+MAX(0,IF($D$50=1,$D$34*(1-(ABS($Q$244-(VALUE(MID(HI244,FIND("|",HI244)+1,FIND("-",HI244,FIND("|",HI244))-FIND("|",HI244)-1))-VALUE(MID(HI244,FIND("-",HI244,FIND("|",HI244))+1,10)))))*$D$50),$D$34*(1-(IF($D$244=0,ABS($A$244-VALUE(MID(HI244,FIND("|",HI244)+1,FIND("-",HI244,FIND("|",HI244))-FIND("|",HI244)-1))),ABS($Q$244-(VALUE(MID(HI244,FIND("|",HI244)+1,FIND("-",HI244,FIND("|",HI244))-FIND("|",HI244)-1))-VALUE(MID(HI244,FIND("-",HI244,FIND("|",HI244))+1,10)))))*$D$50)))))*$I$244,0),0),0)</f>
        <v>0</v>
      </c>
      <c r="HK244" s="108"/>
      <c r="HL244" s="65" t="str">
        <f>Idiomas!$D$371</f>
        <v>Pegar valores 3º-4º puesto y Final</v>
      </c>
      <c r="HM244" s="84">
        <f t="shared" ref="HM244" si="7308">IFERROR(IF(LEFT(HL244,FIND("·",HL244)-1)=$K$244,IF($L$244=IFERROR(VALUE(MID(HL244,FIND("·",HL244)+1,1)),0),($D$33+($M$244=MID(HL244,FIND("|",HL244)+1,10))*$D$35+MAX(0,IF($D$50=1,$D$34*(1-(ABS($P$244-(VALUE(MID(HL244,FIND("|",HL244)+1,FIND("-",HL244,FIND("|",HL244))-FIND("|",HL244)-1))-VALUE(MID(HL244,FIND("-",HL244,FIND("|",HL244))+1,10)))))*$D$50),$D$34*(1-(IF($L$244=0,ABS($N$244-VALUE(MID(HL244,FIND("|",HL244)+1,FIND("-",HL244,FIND("|",HL244))-FIND("|",HL244)-1))),ABS($P$244-(VALUE(MID(HL244,FIND("|",HL244)+1,FIND("-",HL244,FIND("|",HL244))-FIND("|",HL244)-1))-VALUE(MID(HL244,FIND("-",HL244,FIND("|",HL244))+1,10)))))*$D$50)))))*$I$244,0),0),0)
+IFERROR(IF(LEFT(HL244,FIND("·",HL244)-1)=$C$244,IF($D$244=IFERROR(VALUE(MID(HL244,FIND("·",HL244)+1,1)),0),($D$33+($E$244=MID(HL244,FIND("|",HL244)+1,10))*$D$35+MAX(0,IF($D$50=1,$D$34*(1-(ABS($Q$244-(VALUE(MID(HL244,FIND("|",HL244)+1,FIND("-",HL244,FIND("|",HL244))-FIND("|",HL244)-1))-VALUE(MID(HL244,FIND("-",HL244,FIND("|",HL244))+1,10)))))*$D$50),$D$34*(1-(IF($D$244=0,ABS($A$244-VALUE(MID(HL244,FIND("|",HL244)+1,FIND("-",HL244,FIND("|",HL244))-FIND("|",HL244)-1))),ABS($Q$244-(VALUE(MID(HL244,FIND("|",HL244)+1,FIND("-",HL244,FIND("|",HL244))-FIND("|",HL244)-1))-VALUE(MID(HL244,FIND("-",HL244,FIND("|",HL244))+1,10)))))*$D$50)))))*$I$244,0),0),0)</f>
        <v>0</v>
      </c>
      <c r="HN244" s="108"/>
      <c r="HO244" s="65" t="str">
        <f>Idiomas!$D$371</f>
        <v>Pegar valores 3º-4º puesto y Final</v>
      </c>
      <c r="HP244" s="84">
        <f t="shared" ref="HP244" si="7309">IFERROR(IF(LEFT(HO244,FIND("·",HO244)-1)=$K$244,IF($L$244=IFERROR(VALUE(MID(HO244,FIND("·",HO244)+1,1)),0),($D$33+($M$244=MID(HO244,FIND("|",HO244)+1,10))*$D$35+MAX(0,IF($D$50=1,$D$34*(1-(ABS($P$244-(VALUE(MID(HO244,FIND("|",HO244)+1,FIND("-",HO244,FIND("|",HO244))-FIND("|",HO244)-1))-VALUE(MID(HO244,FIND("-",HO244,FIND("|",HO244))+1,10)))))*$D$50),$D$34*(1-(IF($L$244=0,ABS($N$244-VALUE(MID(HO244,FIND("|",HO244)+1,FIND("-",HO244,FIND("|",HO244))-FIND("|",HO244)-1))),ABS($P$244-(VALUE(MID(HO244,FIND("|",HO244)+1,FIND("-",HO244,FIND("|",HO244))-FIND("|",HO244)-1))-VALUE(MID(HO244,FIND("-",HO244,FIND("|",HO244))+1,10)))))*$D$50)))))*$I$244,0),0),0)
+IFERROR(IF(LEFT(HO244,FIND("·",HO244)-1)=$C$244,IF($D$244=IFERROR(VALUE(MID(HO244,FIND("·",HO244)+1,1)),0),($D$33+($E$244=MID(HO244,FIND("|",HO244)+1,10))*$D$35+MAX(0,IF($D$50=1,$D$34*(1-(ABS($Q$244-(VALUE(MID(HO244,FIND("|",HO244)+1,FIND("-",HO244,FIND("|",HO244))-FIND("|",HO244)-1))-VALUE(MID(HO244,FIND("-",HO244,FIND("|",HO244))+1,10)))))*$D$50),$D$34*(1-(IF($D$244=0,ABS($A$244-VALUE(MID(HO244,FIND("|",HO244)+1,FIND("-",HO244,FIND("|",HO244))-FIND("|",HO244)-1))),ABS($Q$244-(VALUE(MID(HO244,FIND("|",HO244)+1,FIND("-",HO244,FIND("|",HO244))-FIND("|",HO244)-1))-VALUE(MID(HO244,FIND("-",HO244,FIND("|",HO244))+1,10)))))*$D$50)))))*$I$244,0),0),0)</f>
        <v>0</v>
      </c>
      <c r="HQ244" s="108"/>
      <c r="HR244" s="65" t="str">
        <f>Idiomas!$D$371</f>
        <v>Pegar valores 3º-4º puesto y Final</v>
      </c>
      <c r="HS244" s="84">
        <f t="shared" ref="HS244" si="7310">IFERROR(IF(LEFT(HR244,FIND("·",HR244)-1)=$K$244,IF($L$244=IFERROR(VALUE(MID(HR244,FIND("·",HR244)+1,1)),0),($D$33+($M$244=MID(HR244,FIND("|",HR244)+1,10))*$D$35+MAX(0,IF($D$50=1,$D$34*(1-(ABS($P$244-(VALUE(MID(HR244,FIND("|",HR244)+1,FIND("-",HR244,FIND("|",HR244))-FIND("|",HR244)-1))-VALUE(MID(HR244,FIND("-",HR244,FIND("|",HR244))+1,10)))))*$D$50),$D$34*(1-(IF($L$244=0,ABS($N$244-VALUE(MID(HR244,FIND("|",HR244)+1,FIND("-",HR244,FIND("|",HR244))-FIND("|",HR244)-1))),ABS($P$244-(VALUE(MID(HR244,FIND("|",HR244)+1,FIND("-",HR244,FIND("|",HR244))-FIND("|",HR244)-1))-VALUE(MID(HR244,FIND("-",HR244,FIND("|",HR244))+1,10)))))*$D$50)))))*$I$244,0),0),0)
+IFERROR(IF(LEFT(HR244,FIND("·",HR244)-1)=$C$244,IF($D$244=IFERROR(VALUE(MID(HR244,FIND("·",HR244)+1,1)),0),($D$33+($E$244=MID(HR244,FIND("|",HR244)+1,10))*$D$35+MAX(0,IF($D$50=1,$D$34*(1-(ABS($Q$244-(VALUE(MID(HR244,FIND("|",HR244)+1,FIND("-",HR244,FIND("|",HR244))-FIND("|",HR244)-1))-VALUE(MID(HR244,FIND("-",HR244,FIND("|",HR244))+1,10)))))*$D$50),$D$34*(1-(IF($D$244=0,ABS($A$244-VALUE(MID(HR244,FIND("|",HR244)+1,FIND("-",HR244,FIND("|",HR244))-FIND("|",HR244)-1))),ABS($Q$244-(VALUE(MID(HR244,FIND("|",HR244)+1,FIND("-",HR244,FIND("|",HR244))-FIND("|",HR244)-1))-VALUE(MID(HR244,FIND("-",HR244,FIND("|",HR244))+1,10)))))*$D$50)))))*$I$244,0),0),0)</f>
        <v>0</v>
      </c>
      <c r="HT244" s="108"/>
      <c r="HU244" s="65" t="str">
        <f>Idiomas!$D$371</f>
        <v>Pegar valores 3º-4º puesto y Final</v>
      </c>
      <c r="HV244" s="84">
        <f t="shared" ref="HV244" si="7311">IFERROR(IF(LEFT(HU244,FIND("·",HU244)-1)=$K$244,IF($L$244=IFERROR(VALUE(MID(HU244,FIND("·",HU244)+1,1)),0),($D$33+($M$244=MID(HU244,FIND("|",HU244)+1,10))*$D$35+MAX(0,IF($D$50=1,$D$34*(1-(ABS($P$244-(VALUE(MID(HU244,FIND("|",HU244)+1,FIND("-",HU244,FIND("|",HU244))-FIND("|",HU244)-1))-VALUE(MID(HU244,FIND("-",HU244,FIND("|",HU244))+1,10)))))*$D$50),$D$34*(1-(IF($L$244=0,ABS($N$244-VALUE(MID(HU244,FIND("|",HU244)+1,FIND("-",HU244,FIND("|",HU244))-FIND("|",HU244)-1))),ABS($P$244-(VALUE(MID(HU244,FIND("|",HU244)+1,FIND("-",HU244,FIND("|",HU244))-FIND("|",HU244)-1))-VALUE(MID(HU244,FIND("-",HU244,FIND("|",HU244))+1,10)))))*$D$50)))))*$I$244,0),0),0)
+IFERROR(IF(LEFT(HU244,FIND("·",HU244)-1)=$C$244,IF($D$244=IFERROR(VALUE(MID(HU244,FIND("·",HU244)+1,1)),0),($D$33+($E$244=MID(HU244,FIND("|",HU244)+1,10))*$D$35+MAX(0,IF($D$50=1,$D$34*(1-(ABS($Q$244-(VALUE(MID(HU244,FIND("|",HU244)+1,FIND("-",HU244,FIND("|",HU244))-FIND("|",HU244)-1))-VALUE(MID(HU244,FIND("-",HU244,FIND("|",HU244))+1,10)))))*$D$50),$D$34*(1-(IF($D$244=0,ABS($A$244-VALUE(MID(HU244,FIND("|",HU244)+1,FIND("-",HU244,FIND("|",HU244))-FIND("|",HU244)-1))),ABS($Q$244-(VALUE(MID(HU244,FIND("|",HU244)+1,FIND("-",HU244,FIND("|",HU244))-FIND("|",HU244)-1))-VALUE(MID(HU244,FIND("-",HU244,FIND("|",HU244))+1,10)))))*$D$50)))))*$I$244,0),0),0)</f>
        <v>0</v>
      </c>
      <c r="HW244" s="441"/>
      <c r="HX244" s="65" t="str">
        <f>Idiomas!$D$371</f>
        <v>Pegar valores 3º-4º puesto y Final</v>
      </c>
      <c r="HY244" s="84">
        <f t="shared" ref="HY244" si="7312">IFERROR(IF(LEFT(HX244,FIND("·",HX244)-1)=$K$244,IF($L$244=IFERROR(VALUE(MID(HX244,FIND("·",HX244)+1,1)),0),($D$33+($M$244=MID(HX244,FIND("|",HX244)+1,10))*$D$35+MAX(0,IF($D$50=1,$D$34*(1-(ABS($P$244-(VALUE(MID(HX244,FIND("|",HX244)+1,FIND("-",HX244,FIND("|",HX244))-FIND("|",HX244)-1))-VALUE(MID(HX244,FIND("-",HX244,FIND("|",HX244))+1,10)))))*$D$50),$D$34*(1-(IF($L$244=0,ABS($N$244-VALUE(MID(HX244,FIND("|",HX244)+1,FIND("-",HX244,FIND("|",HX244))-FIND("|",HX244)-1))),ABS($P$244-(VALUE(MID(HX244,FIND("|",HX244)+1,FIND("-",HX244,FIND("|",HX244))-FIND("|",HX244)-1))-VALUE(MID(HX244,FIND("-",HX244,FIND("|",HX244))+1,10)))))*$D$50)))))*$I$244,0),0),0)
+IFERROR(IF(LEFT(HX244,FIND("·",HX244)-1)=$C$244,IF($D$244=IFERROR(VALUE(MID(HX244,FIND("·",HX244)+1,1)),0),($D$33+($E$244=MID(HX244,FIND("|",HX244)+1,10))*$D$35+MAX(0,IF($D$50=1,$D$34*(1-(ABS($Q$244-(VALUE(MID(HX244,FIND("|",HX244)+1,FIND("-",HX244,FIND("|",HX244))-FIND("|",HX244)-1))-VALUE(MID(HX244,FIND("-",HX244,FIND("|",HX244))+1,10)))))*$D$50),$D$34*(1-(IF($D$244=0,ABS($A$244-VALUE(MID(HX244,FIND("|",HX244)+1,FIND("-",HX244,FIND("|",HX244))-FIND("|",HX244)-1))),ABS($Q$244-(VALUE(MID(HX244,FIND("|",HX244)+1,FIND("-",HX244,FIND("|",HX244))-FIND("|",HX244)-1))-VALUE(MID(HX244,FIND("-",HX244,FIND("|",HX244))+1,10)))))*$D$50)))))*$I$244,0),0),0)</f>
        <v>0</v>
      </c>
      <c r="HZ244" s="108"/>
      <c r="IA244" s="65" t="str">
        <f>Idiomas!$D$371</f>
        <v>Pegar valores 3º-4º puesto y Final</v>
      </c>
      <c r="IB244" s="84">
        <f t="shared" ref="IB244" si="7313">IFERROR(IF(LEFT(IA244,FIND("·",IA244)-1)=$K$244,IF($L$244=IFERROR(VALUE(MID(IA244,FIND("·",IA244)+1,1)),0),($D$33+($M$244=MID(IA244,FIND("|",IA244)+1,10))*$D$35+MAX(0,IF($D$50=1,$D$34*(1-(ABS($P$244-(VALUE(MID(IA244,FIND("|",IA244)+1,FIND("-",IA244,FIND("|",IA244))-FIND("|",IA244)-1))-VALUE(MID(IA244,FIND("-",IA244,FIND("|",IA244))+1,10)))))*$D$50),$D$34*(1-(IF($L$244=0,ABS($N$244-VALUE(MID(IA244,FIND("|",IA244)+1,FIND("-",IA244,FIND("|",IA244))-FIND("|",IA244)-1))),ABS($P$244-(VALUE(MID(IA244,FIND("|",IA244)+1,FIND("-",IA244,FIND("|",IA244))-FIND("|",IA244)-1))-VALUE(MID(IA244,FIND("-",IA244,FIND("|",IA244))+1,10)))))*$D$50)))))*$I$244,0),0),0)
+IFERROR(IF(LEFT(IA244,FIND("·",IA244)-1)=$C$244,IF($D$244=IFERROR(VALUE(MID(IA244,FIND("·",IA244)+1,1)),0),($D$33+($E$244=MID(IA244,FIND("|",IA244)+1,10))*$D$35+MAX(0,IF($D$50=1,$D$34*(1-(ABS($Q$244-(VALUE(MID(IA244,FIND("|",IA244)+1,FIND("-",IA244,FIND("|",IA244))-FIND("|",IA244)-1))-VALUE(MID(IA244,FIND("-",IA244,FIND("|",IA244))+1,10)))))*$D$50),$D$34*(1-(IF($D$244=0,ABS($A$244-VALUE(MID(IA244,FIND("|",IA244)+1,FIND("-",IA244,FIND("|",IA244))-FIND("|",IA244)-1))),ABS($Q$244-(VALUE(MID(IA244,FIND("|",IA244)+1,FIND("-",IA244,FIND("|",IA244))-FIND("|",IA244)-1))-VALUE(MID(IA244,FIND("-",IA244,FIND("|",IA244))+1,10)))))*$D$50)))))*$I$244,0),0),0)</f>
        <v>0</v>
      </c>
      <c r="IC244" s="108"/>
      <c r="ID244" s="65" t="str">
        <f>Idiomas!$D$371</f>
        <v>Pegar valores 3º-4º puesto y Final</v>
      </c>
      <c r="IE244" s="84">
        <f t="shared" ref="IE244" si="7314">IFERROR(IF(LEFT(ID244,FIND("·",ID244)-1)=$K$244,IF($L$244=IFERROR(VALUE(MID(ID244,FIND("·",ID244)+1,1)),0),($D$33+($M$244=MID(ID244,FIND("|",ID244)+1,10))*$D$35+MAX(0,IF($D$50=1,$D$34*(1-(ABS($P$244-(VALUE(MID(ID244,FIND("|",ID244)+1,FIND("-",ID244,FIND("|",ID244))-FIND("|",ID244)-1))-VALUE(MID(ID244,FIND("-",ID244,FIND("|",ID244))+1,10)))))*$D$50),$D$34*(1-(IF($L$244=0,ABS($N$244-VALUE(MID(ID244,FIND("|",ID244)+1,FIND("-",ID244,FIND("|",ID244))-FIND("|",ID244)-1))),ABS($P$244-(VALUE(MID(ID244,FIND("|",ID244)+1,FIND("-",ID244,FIND("|",ID244))-FIND("|",ID244)-1))-VALUE(MID(ID244,FIND("-",ID244,FIND("|",ID244))+1,10)))))*$D$50)))))*$I$244,0),0),0)
+IFERROR(IF(LEFT(ID244,FIND("·",ID244)-1)=$C$244,IF($D$244=IFERROR(VALUE(MID(ID244,FIND("·",ID244)+1,1)),0),($D$33+($E$244=MID(ID244,FIND("|",ID244)+1,10))*$D$35+MAX(0,IF($D$50=1,$D$34*(1-(ABS($Q$244-(VALUE(MID(ID244,FIND("|",ID244)+1,FIND("-",ID244,FIND("|",ID244))-FIND("|",ID244)-1))-VALUE(MID(ID244,FIND("-",ID244,FIND("|",ID244))+1,10)))))*$D$50),$D$34*(1-(IF($D$244=0,ABS($A$244-VALUE(MID(ID244,FIND("|",ID244)+1,FIND("-",ID244,FIND("|",ID244))-FIND("|",ID244)-1))),ABS($Q$244-(VALUE(MID(ID244,FIND("|",ID244)+1,FIND("-",ID244,FIND("|",ID244))-FIND("|",ID244)-1))-VALUE(MID(ID244,FIND("-",ID244,FIND("|",ID244))+1,10)))))*$D$50)))))*$I$244,0),0),0)</f>
        <v>0</v>
      </c>
      <c r="IF244" s="108"/>
      <c r="IG244" s="65" t="str">
        <f>Idiomas!$D$371</f>
        <v>Pegar valores 3º-4º puesto y Final</v>
      </c>
      <c r="IH244" s="84">
        <f t="shared" ref="IH244" si="7315">IFERROR(IF(LEFT(IG244,FIND("·",IG244)-1)=$K$244,IF($L$244=IFERROR(VALUE(MID(IG244,FIND("·",IG244)+1,1)),0),($D$33+($M$244=MID(IG244,FIND("|",IG244)+1,10))*$D$35+MAX(0,IF($D$50=1,$D$34*(1-(ABS($P$244-(VALUE(MID(IG244,FIND("|",IG244)+1,FIND("-",IG244,FIND("|",IG244))-FIND("|",IG244)-1))-VALUE(MID(IG244,FIND("-",IG244,FIND("|",IG244))+1,10)))))*$D$50),$D$34*(1-(IF($L$244=0,ABS($N$244-VALUE(MID(IG244,FIND("|",IG244)+1,FIND("-",IG244,FIND("|",IG244))-FIND("|",IG244)-1))),ABS($P$244-(VALUE(MID(IG244,FIND("|",IG244)+1,FIND("-",IG244,FIND("|",IG244))-FIND("|",IG244)-1))-VALUE(MID(IG244,FIND("-",IG244,FIND("|",IG244))+1,10)))))*$D$50)))))*$I$244,0),0),0)
+IFERROR(IF(LEFT(IG244,FIND("·",IG244)-1)=$C$244,IF($D$244=IFERROR(VALUE(MID(IG244,FIND("·",IG244)+1,1)),0),($D$33+($E$244=MID(IG244,FIND("|",IG244)+1,10))*$D$35+MAX(0,IF($D$50=1,$D$34*(1-(ABS($Q$244-(VALUE(MID(IG244,FIND("|",IG244)+1,FIND("-",IG244,FIND("|",IG244))-FIND("|",IG244)-1))-VALUE(MID(IG244,FIND("-",IG244,FIND("|",IG244))+1,10)))))*$D$50),$D$34*(1-(IF($D$244=0,ABS($A$244-VALUE(MID(IG244,FIND("|",IG244)+1,FIND("-",IG244,FIND("|",IG244))-FIND("|",IG244)-1))),ABS($Q$244-(VALUE(MID(IG244,FIND("|",IG244)+1,FIND("-",IG244,FIND("|",IG244))-FIND("|",IG244)-1))-VALUE(MID(IG244,FIND("-",IG244,FIND("|",IG244))+1,10)))))*$D$50)))))*$I$244,0),0),0)</f>
        <v>0</v>
      </c>
      <c r="II244" s="108"/>
      <c r="IJ244" s="65" t="str">
        <f>Idiomas!$D$371</f>
        <v>Pegar valores 3º-4º puesto y Final</v>
      </c>
      <c r="IK244" s="84">
        <f t="shared" ref="IK244" si="7316">IFERROR(IF(LEFT(IJ244,FIND("·",IJ244)-1)=$K$244,IF($L$244=IFERROR(VALUE(MID(IJ244,FIND("·",IJ244)+1,1)),0),($D$33+($M$244=MID(IJ244,FIND("|",IJ244)+1,10))*$D$35+MAX(0,IF($D$50=1,$D$34*(1-(ABS($P$244-(VALUE(MID(IJ244,FIND("|",IJ244)+1,FIND("-",IJ244,FIND("|",IJ244))-FIND("|",IJ244)-1))-VALUE(MID(IJ244,FIND("-",IJ244,FIND("|",IJ244))+1,10)))))*$D$50),$D$34*(1-(IF($L$244=0,ABS($N$244-VALUE(MID(IJ244,FIND("|",IJ244)+1,FIND("-",IJ244,FIND("|",IJ244))-FIND("|",IJ244)-1))),ABS($P$244-(VALUE(MID(IJ244,FIND("|",IJ244)+1,FIND("-",IJ244,FIND("|",IJ244))-FIND("|",IJ244)-1))-VALUE(MID(IJ244,FIND("-",IJ244,FIND("|",IJ244))+1,10)))))*$D$50)))))*$I$244,0),0),0)
+IFERROR(IF(LEFT(IJ244,FIND("·",IJ244)-1)=$C$244,IF($D$244=IFERROR(VALUE(MID(IJ244,FIND("·",IJ244)+1,1)),0),($D$33+($E$244=MID(IJ244,FIND("|",IJ244)+1,10))*$D$35+MAX(0,IF($D$50=1,$D$34*(1-(ABS($Q$244-(VALUE(MID(IJ244,FIND("|",IJ244)+1,FIND("-",IJ244,FIND("|",IJ244))-FIND("|",IJ244)-1))-VALUE(MID(IJ244,FIND("-",IJ244,FIND("|",IJ244))+1,10)))))*$D$50),$D$34*(1-(IF($D$244=0,ABS($A$244-VALUE(MID(IJ244,FIND("|",IJ244)+1,FIND("-",IJ244,FIND("|",IJ244))-FIND("|",IJ244)-1))),ABS($Q$244-(VALUE(MID(IJ244,FIND("|",IJ244)+1,FIND("-",IJ244,FIND("|",IJ244))-FIND("|",IJ244)-1))-VALUE(MID(IJ244,FIND("-",IJ244,FIND("|",IJ244))+1,10)))))*$D$50)))))*$I$244,0),0),0)</f>
        <v>0</v>
      </c>
      <c r="IL244" s="441"/>
      <c r="IM244" s="65" t="str">
        <f>Idiomas!$D$371</f>
        <v>Pegar valores 3º-4º puesto y Final</v>
      </c>
      <c r="IN244" s="84">
        <f t="shared" ref="IN244" si="7317">IFERROR(IF(LEFT(IM244,FIND("·",IM244)-1)=$K$244,IF($L$244=IFERROR(VALUE(MID(IM244,FIND("·",IM244)+1,1)),0),($D$33+($M$244=MID(IM244,FIND("|",IM244)+1,10))*$D$35+MAX(0,IF($D$50=1,$D$34*(1-(ABS($P$244-(VALUE(MID(IM244,FIND("|",IM244)+1,FIND("-",IM244,FIND("|",IM244))-FIND("|",IM244)-1))-VALUE(MID(IM244,FIND("-",IM244,FIND("|",IM244))+1,10)))))*$D$50),$D$34*(1-(IF($L$244=0,ABS($N$244-VALUE(MID(IM244,FIND("|",IM244)+1,FIND("-",IM244,FIND("|",IM244))-FIND("|",IM244)-1))),ABS($P$244-(VALUE(MID(IM244,FIND("|",IM244)+1,FIND("-",IM244,FIND("|",IM244))-FIND("|",IM244)-1))-VALUE(MID(IM244,FIND("-",IM244,FIND("|",IM244))+1,10)))))*$D$50)))))*$I$244,0),0),0)
+IFERROR(IF(LEFT(IM244,FIND("·",IM244)-1)=$C$244,IF($D$244=IFERROR(VALUE(MID(IM244,FIND("·",IM244)+1,1)),0),($D$33+($E$244=MID(IM244,FIND("|",IM244)+1,10))*$D$35+MAX(0,IF($D$50=1,$D$34*(1-(ABS($Q$244-(VALUE(MID(IM244,FIND("|",IM244)+1,FIND("-",IM244,FIND("|",IM244))-FIND("|",IM244)-1))-VALUE(MID(IM244,FIND("-",IM244,FIND("|",IM244))+1,10)))))*$D$50),$D$34*(1-(IF($D$244=0,ABS($A$244-VALUE(MID(IM244,FIND("|",IM244)+1,FIND("-",IM244,FIND("|",IM244))-FIND("|",IM244)-1))),ABS($Q$244-(VALUE(MID(IM244,FIND("|",IM244)+1,FIND("-",IM244,FIND("|",IM244))-FIND("|",IM244)-1))-VALUE(MID(IM244,FIND("-",IM244,FIND("|",IM244))+1,10)))))*$D$50)))))*$I$244,0),0),0)</f>
        <v>0</v>
      </c>
      <c r="IO244" s="108"/>
      <c r="IP244" s="65" t="str">
        <f>Idiomas!$D$371</f>
        <v>Pegar valores 3º-4º puesto y Final</v>
      </c>
      <c r="IQ244" s="84">
        <f t="shared" ref="IQ244" si="7318">IFERROR(IF(LEFT(IP244,FIND("·",IP244)-1)=$K$244,IF($L$244=IFERROR(VALUE(MID(IP244,FIND("·",IP244)+1,1)),0),($D$33+($M$244=MID(IP244,FIND("|",IP244)+1,10))*$D$35+MAX(0,IF($D$50=1,$D$34*(1-(ABS($P$244-(VALUE(MID(IP244,FIND("|",IP244)+1,FIND("-",IP244,FIND("|",IP244))-FIND("|",IP244)-1))-VALUE(MID(IP244,FIND("-",IP244,FIND("|",IP244))+1,10)))))*$D$50),$D$34*(1-(IF($L$244=0,ABS($N$244-VALUE(MID(IP244,FIND("|",IP244)+1,FIND("-",IP244,FIND("|",IP244))-FIND("|",IP244)-1))),ABS($P$244-(VALUE(MID(IP244,FIND("|",IP244)+1,FIND("-",IP244,FIND("|",IP244))-FIND("|",IP244)-1))-VALUE(MID(IP244,FIND("-",IP244,FIND("|",IP244))+1,10)))))*$D$50)))))*$I$244,0),0),0)
+IFERROR(IF(LEFT(IP244,FIND("·",IP244)-1)=$C$244,IF($D$244=IFERROR(VALUE(MID(IP244,FIND("·",IP244)+1,1)),0),($D$33+($E$244=MID(IP244,FIND("|",IP244)+1,10))*$D$35+MAX(0,IF($D$50=1,$D$34*(1-(ABS($Q$244-(VALUE(MID(IP244,FIND("|",IP244)+1,FIND("-",IP244,FIND("|",IP244))-FIND("|",IP244)-1))-VALUE(MID(IP244,FIND("-",IP244,FIND("|",IP244))+1,10)))))*$D$50),$D$34*(1-(IF($D$244=0,ABS($A$244-VALUE(MID(IP244,FIND("|",IP244)+1,FIND("-",IP244,FIND("|",IP244))-FIND("|",IP244)-1))),ABS($Q$244-(VALUE(MID(IP244,FIND("|",IP244)+1,FIND("-",IP244,FIND("|",IP244))-FIND("|",IP244)-1))-VALUE(MID(IP244,FIND("-",IP244,FIND("|",IP244))+1,10)))))*$D$50)))))*$I$244,0),0),0)</f>
        <v>0</v>
      </c>
      <c r="IR244" s="108"/>
      <c r="IS244" s="65" t="str">
        <f>Idiomas!$D$371</f>
        <v>Pegar valores 3º-4º puesto y Final</v>
      </c>
      <c r="IT244" s="84">
        <f t="shared" ref="IT244" si="7319">IFERROR(IF(LEFT(IS244,FIND("·",IS244)-1)=$K$244,IF($L$244=IFERROR(VALUE(MID(IS244,FIND("·",IS244)+1,1)),0),($D$33+($M$244=MID(IS244,FIND("|",IS244)+1,10))*$D$35+MAX(0,IF($D$50=1,$D$34*(1-(ABS($P$244-(VALUE(MID(IS244,FIND("|",IS244)+1,FIND("-",IS244,FIND("|",IS244))-FIND("|",IS244)-1))-VALUE(MID(IS244,FIND("-",IS244,FIND("|",IS244))+1,10)))))*$D$50),$D$34*(1-(IF($L$244=0,ABS($N$244-VALUE(MID(IS244,FIND("|",IS244)+1,FIND("-",IS244,FIND("|",IS244))-FIND("|",IS244)-1))),ABS($P$244-(VALUE(MID(IS244,FIND("|",IS244)+1,FIND("-",IS244,FIND("|",IS244))-FIND("|",IS244)-1))-VALUE(MID(IS244,FIND("-",IS244,FIND("|",IS244))+1,10)))))*$D$50)))))*$I$244,0),0),0)
+IFERROR(IF(LEFT(IS244,FIND("·",IS244)-1)=$C$244,IF($D$244=IFERROR(VALUE(MID(IS244,FIND("·",IS244)+1,1)),0),($D$33+($E$244=MID(IS244,FIND("|",IS244)+1,10))*$D$35+MAX(0,IF($D$50=1,$D$34*(1-(ABS($Q$244-(VALUE(MID(IS244,FIND("|",IS244)+1,FIND("-",IS244,FIND("|",IS244))-FIND("|",IS244)-1))-VALUE(MID(IS244,FIND("-",IS244,FIND("|",IS244))+1,10)))))*$D$50),$D$34*(1-(IF($D$244=0,ABS($A$244-VALUE(MID(IS244,FIND("|",IS244)+1,FIND("-",IS244,FIND("|",IS244))-FIND("|",IS244)-1))),ABS($Q$244-(VALUE(MID(IS244,FIND("|",IS244)+1,FIND("-",IS244,FIND("|",IS244))-FIND("|",IS244)-1))-VALUE(MID(IS244,FIND("-",IS244,FIND("|",IS244))+1,10)))))*$D$50)))))*$I$244,0),0),0)</f>
        <v>0</v>
      </c>
      <c r="IU244" s="108"/>
      <c r="IV244" s="65" t="str">
        <f>Idiomas!$D$371</f>
        <v>Pegar valores 3º-4º puesto y Final</v>
      </c>
      <c r="IW244" s="84">
        <f t="shared" ref="IW244" si="7320">IFERROR(IF(LEFT(IV244,FIND("·",IV244)-1)=$K$244,IF($L$244=IFERROR(VALUE(MID(IV244,FIND("·",IV244)+1,1)),0),($D$33+($M$244=MID(IV244,FIND("|",IV244)+1,10))*$D$35+MAX(0,IF($D$50=1,$D$34*(1-(ABS($P$244-(VALUE(MID(IV244,FIND("|",IV244)+1,FIND("-",IV244,FIND("|",IV244))-FIND("|",IV244)-1))-VALUE(MID(IV244,FIND("-",IV244,FIND("|",IV244))+1,10)))))*$D$50),$D$34*(1-(IF($L$244=0,ABS($N$244-VALUE(MID(IV244,FIND("|",IV244)+1,FIND("-",IV244,FIND("|",IV244))-FIND("|",IV244)-1))),ABS($P$244-(VALUE(MID(IV244,FIND("|",IV244)+1,FIND("-",IV244,FIND("|",IV244))-FIND("|",IV244)-1))-VALUE(MID(IV244,FIND("-",IV244,FIND("|",IV244))+1,10)))))*$D$50)))))*$I$244,0),0),0)
+IFERROR(IF(LEFT(IV244,FIND("·",IV244)-1)=$C$244,IF($D$244=IFERROR(VALUE(MID(IV244,FIND("·",IV244)+1,1)),0),($D$33+($E$244=MID(IV244,FIND("|",IV244)+1,10))*$D$35+MAX(0,IF($D$50=1,$D$34*(1-(ABS($Q$244-(VALUE(MID(IV244,FIND("|",IV244)+1,FIND("-",IV244,FIND("|",IV244))-FIND("|",IV244)-1))-VALUE(MID(IV244,FIND("-",IV244,FIND("|",IV244))+1,10)))))*$D$50),$D$34*(1-(IF($D$244=0,ABS($A$244-VALUE(MID(IV244,FIND("|",IV244)+1,FIND("-",IV244,FIND("|",IV244))-FIND("|",IV244)-1))),ABS($Q$244-(VALUE(MID(IV244,FIND("|",IV244)+1,FIND("-",IV244,FIND("|",IV244))-FIND("|",IV244)-1))-VALUE(MID(IV244,FIND("-",IV244,FIND("|",IV244))+1,10)))))*$D$50)))))*$I$244,0),0),0)</f>
        <v>0</v>
      </c>
      <c r="IX244" s="108"/>
      <c r="IY244" s="65" t="str">
        <f>Idiomas!$D$371</f>
        <v>Pegar valores 3º-4º puesto y Final</v>
      </c>
      <c r="IZ244" s="84">
        <f t="shared" ref="IZ244" si="7321">IFERROR(IF(LEFT(IY244,FIND("·",IY244)-1)=$K$244,IF($L$244=IFERROR(VALUE(MID(IY244,FIND("·",IY244)+1,1)),0),($D$33+($M$244=MID(IY244,FIND("|",IY244)+1,10))*$D$35+MAX(0,IF($D$50=1,$D$34*(1-(ABS($P$244-(VALUE(MID(IY244,FIND("|",IY244)+1,FIND("-",IY244,FIND("|",IY244))-FIND("|",IY244)-1))-VALUE(MID(IY244,FIND("-",IY244,FIND("|",IY244))+1,10)))))*$D$50),$D$34*(1-(IF($L$244=0,ABS($N$244-VALUE(MID(IY244,FIND("|",IY244)+1,FIND("-",IY244,FIND("|",IY244))-FIND("|",IY244)-1))),ABS($P$244-(VALUE(MID(IY244,FIND("|",IY244)+1,FIND("-",IY244,FIND("|",IY244))-FIND("|",IY244)-1))-VALUE(MID(IY244,FIND("-",IY244,FIND("|",IY244))+1,10)))))*$D$50)))))*$I$244,0),0),0)
+IFERROR(IF(LEFT(IY244,FIND("·",IY244)-1)=$C$244,IF($D$244=IFERROR(VALUE(MID(IY244,FIND("·",IY244)+1,1)),0),($D$33+($E$244=MID(IY244,FIND("|",IY244)+1,10))*$D$35+MAX(0,IF($D$50=1,$D$34*(1-(ABS($Q$244-(VALUE(MID(IY244,FIND("|",IY244)+1,FIND("-",IY244,FIND("|",IY244))-FIND("|",IY244)-1))-VALUE(MID(IY244,FIND("-",IY244,FIND("|",IY244))+1,10)))))*$D$50),$D$34*(1-(IF($D$244=0,ABS($A$244-VALUE(MID(IY244,FIND("|",IY244)+1,FIND("-",IY244,FIND("|",IY244))-FIND("|",IY244)-1))),ABS($Q$244-(VALUE(MID(IY244,FIND("|",IY244)+1,FIND("-",IY244,FIND("|",IY244))-FIND("|",IY244)-1))-VALUE(MID(IY244,FIND("-",IY244,FIND("|",IY244))+1,10)))))*$D$50)))))*$I$244,0),0),0)</f>
        <v>0</v>
      </c>
      <c r="JA244" s="441"/>
      <c r="JB244" s="65" t="str">
        <f>Idiomas!$D$371</f>
        <v>Pegar valores 3º-4º puesto y Final</v>
      </c>
      <c r="JC244" s="84">
        <f t="shared" ref="JC244" si="7322">IFERROR(IF(LEFT(JB244,FIND("·",JB244)-1)=$K$244,IF($L$244=IFERROR(VALUE(MID(JB244,FIND("·",JB244)+1,1)),0),($D$33+($M$244=MID(JB244,FIND("|",JB244)+1,10))*$D$35+MAX(0,IF($D$50=1,$D$34*(1-(ABS($P$244-(VALUE(MID(JB244,FIND("|",JB244)+1,FIND("-",JB244,FIND("|",JB244))-FIND("|",JB244)-1))-VALUE(MID(JB244,FIND("-",JB244,FIND("|",JB244))+1,10)))))*$D$50),$D$34*(1-(IF($L$244=0,ABS($N$244-VALUE(MID(JB244,FIND("|",JB244)+1,FIND("-",JB244,FIND("|",JB244))-FIND("|",JB244)-1))),ABS($P$244-(VALUE(MID(JB244,FIND("|",JB244)+1,FIND("-",JB244,FIND("|",JB244))-FIND("|",JB244)-1))-VALUE(MID(JB244,FIND("-",JB244,FIND("|",JB244))+1,10)))))*$D$50)))))*$I$244,0),0),0)
+IFERROR(IF(LEFT(JB244,FIND("·",JB244)-1)=$C$244,IF($D$244=IFERROR(VALUE(MID(JB244,FIND("·",JB244)+1,1)),0),($D$33+($E$244=MID(JB244,FIND("|",JB244)+1,10))*$D$35+MAX(0,IF($D$50=1,$D$34*(1-(ABS($Q$244-(VALUE(MID(JB244,FIND("|",JB244)+1,FIND("-",JB244,FIND("|",JB244))-FIND("|",JB244)-1))-VALUE(MID(JB244,FIND("-",JB244,FIND("|",JB244))+1,10)))))*$D$50),$D$34*(1-(IF($D$244=0,ABS($A$244-VALUE(MID(JB244,FIND("|",JB244)+1,FIND("-",JB244,FIND("|",JB244))-FIND("|",JB244)-1))),ABS($Q$244-(VALUE(MID(JB244,FIND("|",JB244)+1,FIND("-",JB244,FIND("|",JB244))-FIND("|",JB244)-1))-VALUE(MID(JB244,FIND("-",JB244,FIND("|",JB244))+1,10)))))*$D$50)))))*$I$244,0),0),0)</f>
        <v>0</v>
      </c>
      <c r="JD244" s="108"/>
      <c r="JE244" s="65" t="str">
        <f>Idiomas!$D$371</f>
        <v>Pegar valores 3º-4º puesto y Final</v>
      </c>
      <c r="JF244" s="84">
        <f t="shared" ref="JF244" si="7323">IFERROR(IF(LEFT(JE244,FIND("·",JE244)-1)=$K$244,IF($L$244=IFERROR(VALUE(MID(JE244,FIND("·",JE244)+1,1)),0),($D$33+($M$244=MID(JE244,FIND("|",JE244)+1,10))*$D$35+MAX(0,IF($D$50=1,$D$34*(1-(ABS($P$244-(VALUE(MID(JE244,FIND("|",JE244)+1,FIND("-",JE244,FIND("|",JE244))-FIND("|",JE244)-1))-VALUE(MID(JE244,FIND("-",JE244,FIND("|",JE244))+1,10)))))*$D$50),$D$34*(1-(IF($L$244=0,ABS($N$244-VALUE(MID(JE244,FIND("|",JE244)+1,FIND("-",JE244,FIND("|",JE244))-FIND("|",JE244)-1))),ABS($P$244-(VALUE(MID(JE244,FIND("|",JE244)+1,FIND("-",JE244,FIND("|",JE244))-FIND("|",JE244)-1))-VALUE(MID(JE244,FIND("-",JE244,FIND("|",JE244))+1,10)))))*$D$50)))))*$I$244,0),0),0)
+IFERROR(IF(LEFT(JE244,FIND("·",JE244)-1)=$C$244,IF($D$244=IFERROR(VALUE(MID(JE244,FIND("·",JE244)+1,1)),0),($D$33+($E$244=MID(JE244,FIND("|",JE244)+1,10))*$D$35+MAX(0,IF($D$50=1,$D$34*(1-(ABS($Q$244-(VALUE(MID(JE244,FIND("|",JE244)+1,FIND("-",JE244,FIND("|",JE244))-FIND("|",JE244)-1))-VALUE(MID(JE244,FIND("-",JE244,FIND("|",JE244))+1,10)))))*$D$50),$D$34*(1-(IF($D$244=0,ABS($A$244-VALUE(MID(JE244,FIND("|",JE244)+1,FIND("-",JE244,FIND("|",JE244))-FIND("|",JE244)-1))),ABS($Q$244-(VALUE(MID(JE244,FIND("|",JE244)+1,FIND("-",JE244,FIND("|",JE244))-FIND("|",JE244)-1))-VALUE(MID(JE244,FIND("-",JE244,FIND("|",JE244))+1,10)))))*$D$50)))))*$I$244,0),0),0)</f>
        <v>0</v>
      </c>
      <c r="JG244" s="108"/>
      <c r="JH244" s="65" t="str">
        <f>Idiomas!$D$371</f>
        <v>Pegar valores 3º-4º puesto y Final</v>
      </c>
      <c r="JI244" s="84">
        <f t="shared" ref="JI244" si="7324">IFERROR(IF(LEFT(JH244,FIND("·",JH244)-1)=$K$244,IF($L$244=IFERROR(VALUE(MID(JH244,FIND("·",JH244)+1,1)),0),($D$33+($M$244=MID(JH244,FIND("|",JH244)+1,10))*$D$35+MAX(0,IF($D$50=1,$D$34*(1-(ABS($P$244-(VALUE(MID(JH244,FIND("|",JH244)+1,FIND("-",JH244,FIND("|",JH244))-FIND("|",JH244)-1))-VALUE(MID(JH244,FIND("-",JH244,FIND("|",JH244))+1,10)))))*$D$50),$D$34*(1-(IF($L$244=0,ABS($N$244-VALUE(MID(JH244,FIND("|",JH244)+1,FIND("-",JH244,FIND("|",JH244))-FIND("|",JH244)-1))),ABS($P$244-(VALUE(MID(JH244,FIND("|",JH244)+1,FIND("-",JH244,FIND("|",JH244))-FIND("|",JH244)-1))-VALUE(MID(JH244,FIND("-",JH244,FIND("|",JH244))+1,10)))))*$D$50)))))*$I$244,0),0),0)
+IFERROR(IF(LEFT(JH244,FIND("·",JH244)-1)=$C$244,IF($D$244=IFERROR(VALUE(MID(JH244,FIND("·",JH244)+1,1)),0),($D$33+($E$244=MID(JH244,FIND("|",JH244)+1,10))*$D$35+MAX(0,IF($D$50=1,$D$34*(1-(ABS($Q$244-(VALUE(MID(JH244,FIND("|",JH244)+1,FIND("-",JH244,FIND("|",JH244))-FIND("|",JH244)-1))-VALUE(MID(JH244,FIND("-",JH244,FIND("|",JH244))+1,10)))))*$D$50),$D$34*(1-(IF($D$244=0,ABS($A$244-VALUE(MID(JH244,FIND("|",JH244)+1,FIND("-",JH244,FIND("|",JH244))-FIND("|",JH244)-1))),ABS($Q$244-(VALUE(MID(JH244,FIND("|",JH244)+1,FIND("-",JH244,FIND("|",JH244))-FIND("|",JH244)-1))-VALUE(MID(JH244,FIND("-",JH244,FIND("|",JH244))+1,10)))))*$D$50)))))*$I$244,0),0),0)</f>
        <v>0</v>
      </c>
      <c r="JJ244" s="108"/>
      <c r="JK244" s="65" t="str">
        <f>Idiomas!$D$371</f>
        <v>Pegar valores 3º-4º puesto y Final</v>
      </c>
      <c r="JL244" s="84">
        <f t="shared" ref="JL244" si="7325">IFERROR(IF(LEFT(JK244,FIND("·",JK244)-1)=$K$244,IF($L$244=IFERROR(VALUE(MID(JK244,FIND("·",JK244)+1,1)),0),($D$33+($M$244=MID(JK244,FIND("|",JK244)+1,10))*$D$35+MAX(0,IF($D$50=1,$D$34*(1-(ABS($P$244-(VALUE(MID(JK244,FIND("|",JK244)+1,FIND("-",JK244,FIND("|",JK244))-FIND("|",JK244)-1))-VALUE(MID(JK244,FIND("-",JK244,FIND("|",JK244))+1,10)))))*$D$50),$D$34*(1-(IF($L$244=0,ABS($N$244-VALUE(MID(JK244,FIND("|",JK244)+1,FIND("-",JK244,FIND("|",JK244))-FIND("|",JK244)-1))),ABS($P$244-(VALUE(MID(JK244,FIND("|",JK244)+1,FIND("-",JK244,FIND("|",JK244))-FIND("|",JK244)-1))-VALUE(MID(JK244,FIND("-",JK244,FIND("|",JK244))+1,10)))))*$D$50)))))*$I$244,0),0),0)
+IFERROR(IF(LEFT(JK244,FIND("·",JK244)-1)=$C$244,IF($D$244=IFERROR(VALUE(MID(JK244,FIND("·",JK244)+1,1)),0),($D$33+($E$244=MID(JK244,FIND("|",JK244)+1,10))*$D$35+MAX(0,IF($D$50=1,$D$34*(1-(ABS($Q$244-(VALUE(MID(JK244,FIND("|",JK244)+1,FIND("-",JK244,FIND("|",JK244))-FIND("|",JK244)-1))-VALUE(MID(JK244,FIND("-",JK244,FIND("|",JK244))+1,10)))))*$D$50),$D$34*(1-(IF($D$244=0,ABS($A$244-VALUE(MID(JK244,FIND("|",JK244)+1,FIND("-",JK244,FIND("|",JK244))-FIND("|",JK244)-1))),ABS($Q$244-(VALUE(MID(JK244,FIND("|",JK244)+1,FIND("-",JK244,FIND("|",JK244))-FIND("|",JK244)-1))-VALUE(MID(JK244,FIND("-",JK244,FIND("|",JK244))+1,10)))))*$D$50)))))*$I$244,0),0),0)</f>
        <v>0</v>
      </c>
      <c r="JM244" s="108"/>
      <c r="JN244" s="65" t="str">
        <f>Idiomas!$D$371</f>
        <v>Pegar valores 3º-4º puesto y Final</v>
      </c>
      <c r="JO244" s="84">
        <f t="shared" ref="JO244" si="7326">IFERROR(IF(LEFT(JN244,FIND("·",JN244)-1)=$K$244,IF($L$244=IFERROR(VALUE(MID(JN244,FIND("·",JN244)+1,1)),0),($D$33+($M$244=MID(JN244,FIND("|",JN244)+1,10))*$D$35+MAX(0,IF($D$50=1,$D$34*(1-(ABS($P$244-(VALUE(MID(JN244,FIND("|",JN244)+1,FIND("-",JN244,FIND("|",JN244))-FIND("|",JN244)-1))-VALUE(MID(JN244,FIND("-",JN244,FIND("|",JN244))+1,10)))))*$D$50),$D$34*(1-(IF($L$244=0,ABS($N$244-VALUE(MID(JN244,FIND("|",JN244)+1,FIND("-",JN244,FIND("|",JN244))-FIND("|",JN244)-1))),ABS($P$244-(VALUE(MID(JN244,FIND("|",JN244)+1,FIND("-",JN244,FIND("|",JN244))-FIND("|",JN244)-1))-VALUE(MID(JN244,FIND("-",JN244,FIND("|",JN244))+1,10)))))*$D$50)))))*$I$244,0),0),0)
+IFERROR(IF(LEFT(JN244,FIND("·",JN244)-1)=$C$244,IF($D$244=IFERROR(VALUE(MID(JN244,FIND("·",JN244)+1,1)),0),($D$33+($E$244=MID(JN244,FIND("|",JN244)+1,10))*$D$35+MAX(0,IF($D$50=1,$D$34*(1-(ABS($Q$244-(VALUE(MID(JN244,FIND("|",JN244)+1,FIND("-",JN244,FIND("|",JN244))-FIND("|",JN244)-1))-VALUE(MID(JN244,FIND("-",JN244,FIND("|",JN244))+1,10)))))*$D$50),$D$34*(1-(IF($D$244=0,ABS($A$244-VALUE(MID(JN244,FIND("|",JN244)+1,FIND("-",JN244,FIND("|",JN244))-FIND("|",JN244)-1))),ABS($Q$244-(VALUE(MID(JN244,FIND("|",JN244)+1,FIND("-",JN244,FIND("|",JN244))-FIND("|",JN244)-1))-VALUE(MID(JN244,FIND("-",JN244,FIND("|",JN244))+1,10)))))*$D$50)))))*$I$244,0),0),0)</f>
        <v>0</v>
      </c>
      <c r="JP244" s="441"/>
      <c r="JQ244" s="65" t="str">
        <f>Idiomas!$D$371</f>
        <v>Pegar valores 3º-4º puesto y Final</v>
      </c>
      <c r="JR244" s="84">
        <f t="shared" ref="JR244" si="7327">IFERROR(IF(LEFT(JQ244,FIND("·",JQ244)-1)=$K$244,IF($L$244=IFERROR(VALUE(MID(JQ244,FIND("·",JQ244)+1,1)),0),($D$33+($M$244=MID(JQ244,FIND("|",JQ244)+1,10))*$D$35+MAX(0,IF($D$50=1,$D$34*(1-(ABS($P$244-(VALUE(MID(JQ244,FIND("|",JQ244)+1,FIND("-",JQ244,FIND("|",JQ244))-FIND("|",JQ244)-1))-VALUE(MID(JQ244,FIND("-",JQ244,FIND("|",JQ244))+1,10)))))*$D$50),$D$34*(1-(IF($L$244=0,ABS($N$244-VALUE(MID(JQ244,FIND("|",JQ244)+1,FIND("-",JQ244,FIND("|",JQ244))-FIND("|",JQ244)-1))),ABS($P$244-(VALUE(MID(JQ244,FIND("|",JQ244)+1,FIND("-",JQ244,FIND("|",JQ244))-FIND("|",JQ244)-1))-VALUE(MID(JQ244,FIND("-",JQ244,FIND("|",JQ244))+1,10)))))*$D$50)))))*$I$244,0),0),0)
+IFERROR(IF(LEFT(JQ244,FIND("·",JQ244)-1)=$C$244,IF($D$244=IFERROR(VALUE(MID(JQ244,FIND("·",JQ244)+1,1)),0),($D$33+($E$244=MID(JQ244,FIND("|",JQ244)+1,10))*$D$35+MAX(0,IF($D$50=1,$D$34*(1-(ABS($Q$244-(VALUE(MID(JQ244,FIND("|",JQ244)+1,FIND("-",JQ244,FIND("|",JQ244))-FIND("|",JQ244)-1))-VALUE(MID(JQ244,FIND("-",JQ244,FIND("|",JQ244))+1,10)))))*$D$50),$D$34*(1-(IF($D$244=0,ABS($A$244-VALUE(MID(JQ244,FIND("|",JQ244)+1,FIND("-",JQ244,FIND("|",JQ244))-FIND("|",JQ244)-1))),ABS($Q$244-(VALUE(MID(JQ244,FIND("|",JQ244)+1,FIND("-",JQ244,FIND("|",JQ244))-FIND("|",JQ244)-1))-VALUE(MID(JQ244,FIND("-",JQ244,FIND("|",JQ244))+1,10)))))*$D$50)))))*$I$244,0),0),0)</f>
        <v>0</v>
      </c>
      <c r="JS244" s="108"/>
      <c r="JT244" s="65" t="str">
        <f>Idiomas!$D$371</f>
        <v>Pegar valores 3º-4º puesto y Final</v>
      </c>
      <c r="JU244" s="84">
        <f t="shared" ref="JU244" si="7328">IFERROR(IF(LEFT(JT244,FIND("·",JT244)-1)=$K$244,IF($L$244=IFERROR(VALUE(MID(JT244,FIND("·",JT244)+1,1)),0),($D$33+($M$244=MID(JT244,FIND("|",JT244)+1,10))*$D$35+MAX(0,IF($D$50=1,$D$34*(1-(ABS($P$244-(VALUE(MID(JT244,FIND("|",JT244)+1,FIND("-",JT244,FIND("|",JT244))-FIND("|",JT244)-1))-VALUE(MID(JT244,FIND("-",JT244,FIND("|",JT244))+1,10)))))*$D$50),$D$34*(1-(IF($L$244=0,ABS($N$244-VALUE(MID(JT244,FIND("|",JT244)+1,FIND("-",JT244,FIND("|",JT244))-FIND("|",JT244)-1))),ABS($P$244-(VALUE(MID(JT244,FIND("|",JT244)+1,FIND("-",JT244,FIND("|",JT244))-FIND("|",JT244)-1))-VALUE(MID(JT244,FIND("-",JT244,FIND("|",JT244))+1,10)))))*$D$50)))))*$I$244,0),0),0)
+IFERROR(IF(LEFT(JT244,FIND("·",JT244)-1)=$C$244,IF($D$244=IFERROR(VALUE(MID(JT244,FIND("·",JT244)+1,1)),0),($D$33+($E$244=MID(JT244,FIND("|",JT244)+1,10))*$D$35+MAX(0,IF($D$50=1,$D$34*(1-(ABS($Q$244-(VALUE(MID(JT244,FIND("|",JT244)+1,FIND("-",JT244,FIND("|",JT244))-FIND("|",JT244)-1))-VALUE(MID(JT244,FIND("-",JT244,FIND("|",JT244))+1,10)))))*$D$50),$D$34*(1-(IF($D$244=0,ABS($A$244-VALUE(MID(JT244,FIND("|",JT244)+1,FIND("-",JT244,FIND("|",JT244))-FIND("|",JT244)-1))),ABS($Q$244-(VALUE(MID(JT244,FIND("|",JT244)+1,FIND("-",JT244,FIND("|",JT244))-FIND("|",JT244)-1))-VALUE(MID(JT244,FIND("-",JT244,FIND("|",JT244))+1,10)))))*$D$50)))))*$I$244,0),0),0)</f>
        <v>0</v>
      </c>
      <c r="JV244" s="108"/>
      <c r="JW244" s="65" t="str">
        <f>Idiomas!$D$371</f>
        <v>Pegar valores 3º-4º puesto y Final</v>
      </c>
      <c r="JX244" s="84">
        <f t="shared" ref="JX244" si="7329">IFERROR(IF(LEFT(JW244,FIND("·",JW244)-1)=$K$244,IF($L$244=IFERROR(VALUE(MID(JW244,FIND("·",JW244)+1,1)),0),($D$33+($M$244=MID(JW244,FIND("|",JW244)+1,10))*$D$35+MAX(0,IF($D$50=1,$D$34*(1-(ABS($P$244-(VALUE(MID(JW244,FIND("|",JW244)+1,FIND("-",JW244,FIND("|",JW244))-FIND("|",JW244)-1))-VALUE(MID(JW244,FIND("-",JW244,FIND("|",JW244))+1,10)))))*$D$50),$D$34*(1-(IF($L$244=0,ABS($N$244-VALUE(MID(JW244,FIND("|",JW244)+1,FIND("-",JW244,FIND("|",JW244))-FIND("|",JW244)-1))),ABS($P$244-(VALUE(MID(JW244,FIND("|",JW244)+1,FIND("-",JW244,FIND("|",JW244))-FIND("|",JW244)-1))-VALUE(MID(JW244,FIND("-",JW244,FIND("|",JW244))+1,10)))))*$D$50)))))*$I$244,0),0),0)
+IFERROR(IF(LEFT(JW244,FIND("·",JW244)-1)=$C$244,IF($D$244=IFERROR(VALUE(MID(JW244,FIND("·",JW244)+1,1)),0),($D$33+($E$244=MID(JW244,FIND("|",JW244)+1,10))*$D$35+MAX(0,IF($D$50=1,$D$34*(1-(ABS($Q$244-(VALUE(MID(JW244,FIND("|",JW244)+1,FIND("-",JW244,FIND("|",JW244))-FIND("|",JW244)-1))-VALUE(MID(JW244,FIND("-",JW244,FIND("|",JW244))+1,10)))))*$D$50),$D$34*(1-(IF($D$244=0,ABS($A$244-VALUE(MID(JW244,FIND("|",JW244)+1,FIND("-",JW244,FIND("|",JW244))-FIND("|",JW244)-1))),ABS($Q$244-(VALUE(MID(JW244,FIND("|",JW244)+1,FIND("-",JW244,FIND("|",JW244))-FIND("|",JW244)-1))-VALUE(MID(JW244,FIND("-",JW244,FIND("|",JW244))+1,10)))))*$D$50)))))*$I$244,0),0),0)</f>
        <v>0</v>
      </c>
      <c r="JY244" s="108"/>
      <c r="JZ244" s="65" t="str">
        <f>Idiomas!$D$371</f>
        <v>Pegar valores 3º-4º puesto y Final</v>
      </c>
      <c r="KA244" s="84">
        <f t="shared" ref="KA244" si="7330">IFERROR(IF(LEFT(JZ244,FIND("·",JZ244)-1)=$K$244,IF($L$244=IFERROR(VALUE(MID(JZ244,FIND("·",JZ244)+1,1)),0),($D$33+($M$244=MID(JZ244,FIND("|",JZ244)+1,10))*$D$35+MAX(0,IF($D$50=1,$D$34*(1-(ABS($P$244-(VALUE(MID(JZ244,FIND("|",JZ244)+1,FIND("-",JZ244,FIND("|",JZ244))-FIND("|",JZ244)-1))-VALUE(MID(JZ244,FIND("-",JZ244,FIND("|",JZ244))+1,10)))))*$D$50),$D$34*(1-(IF($L$244=0,ABS($N$244-VALUE(MID(JZ244,FIND("|",JZ244)+1,FIND("-",JZ244,FIND("|",JZ244))-FIND("|",JZ244)-1))),ABS($P$244-(VALUE(MID(JZ244,FIND("|",JZ244)+1,FIND("-",JZ244,FIND("|",JZ244))-FIND("|",JZ244)-1))-VALUE(MID(JZ244,FIND("-",JZ244,FIND("|",JZ244))+1,10)))))*$D$50)))))*$I$244,0),0),0)
+IFERROR(IF(LEFT(JZ244,FIND("·",JZ244)-1)=$C$244,IF($D$244=IFERROR(VALUE(MID(JZ244,FIND("·",JZ244)+1,1)),0),($D$33+($E$244=MID(JZ244,FIND("|",JZ244)+1,10))*$D$35+MAX(0,IF($D$50=1,$D$34*(1-(ABS($Q$244-(VALUE(MID(JZ244,FIND("|",JZ244)+1,FIND("-",JZ244,FIND("|",JZ244))-FIND("|",JZ244)-1))-VALUE(MID(JZ244,FIND("-",JZ244,FIND("|",JZ244))+1,10)))))*$D$50),$D$34*(1-(IF($D$244=0,ABS($A$244-VALUE(MID(JZ244,FIND("|",JZ244)+1,FIND("-",JZ244,FIND("|",JZ244))-FIND("|",JZ244)-1))),ABS($Q$244-(VALUE(MID(JZ244,FIND("|",JZ244)+1,FIND("-",JZ244,FIND("|",JZ244))-FIND("|",JZ244)-1))-VALUE(MID(JZ244,FIND("-",JZ244,FIND("|",JZ244))+1,10)))))*$D$50)))))*$I$244,0),0),0)</f>
        <v>0</v>
      </c>
      <c r="KB244" s="108"/>
      <c r="KC244" s="65" t="str">
        <f>Idiomas!$D$371</f>
        <v>Pegar valores 3º-4º puesto y Final</v>
      </c>
      <c r="KD244" s="84">
        <f t="shared" ref="KD244" si="7331">IFERROR(IF(LEFT(KC244,FIND("·",KC244)-1)=$K$244,IF($L$244=IFERROR(VALUE(MID(KC244,FIND("·",KC244)+1,1)),0),($D$33+($M$244=MID(KC244,FIND("|",KC244)+1,10))*$D$35+MAX(0,IF($D$50=1,$D$34*(1-(ABS($P$244-(VALUE(MID(KC244,FIND("|",KC244)+1,FIND("-",KC244,FIND("|",KC244))-FIND("|",KC244)-1))-VALUE(MID(KC244,FIND("-",KC244,FIND("|",KC244))+1,10)))))*$D$50),$D$34*(1-(IF($L$244=0,ABS($N$244-VALUE(MID(KC244,FIND("|",KC244)+1,FIND("-",KC244,FIND("|",KC244))-FIND("|",KC244)-1))),ABS($P$244-(VALUE(MID(KC244,FIND("|",KC244)+1,FIND("-",KC244,FIND("|",KC244))-FIND("|",KC244)-1))-VALUE(MID(KC244,FIND("-",KC244,FIND("|",KC244))+1,10)))))*$D$50)))))*$I$244,0),0),0)
+IFERROR(IF(LEFT(KC244,FIND("·",KC244)-1)=$C$244,IF($D$244=IFERROR(VALUE(MID(KC244,FIND("·",KC244)+1,1)),0),($D$33+($E$244=MID(KC244,FIND("|",KC244)+1,10))*$D$35+MAX(0,IF($D$50=1,$D$34*(1-(ABS($Q$244-(VALUE(MID(KC244,FIND("|",KC244)+1,FIND("-",KC244,FIND("|",KC244))-FIND("|",KC244)-1))-VALUE(MID(KC244,FIND("-",KC244,FIND("|",KC244))+1,10)))))*$D$50),$D$34*(1-(IF($D$244=0,ABS($A$244-VALUE(MID(KC244,FIND("|",KC244)+1,FIND("-",KC244,FIND("|",KC244))-FIND("|",KC244)-1))),ABS($Q$244-(VALUE(MID(KC244,FIND("|",KC244)+1,FIND("-",KC244,FIND("|",KC244))-FIND("|",KC244)-1))-VALUE(MID(KC244,FIND("-",KC244,FIND("|",KC244))+1,10)))))*$D$50)))))*$I$244,0),0),0)</f>
        <v>0</v>
      </c>
      <c r="KE244" s="441"/>
      <c r="KF244" s="65" t="str">
        <f>Idiomas!$D$371</f>
        <v>Pegar valores 3º-4º puesto y Final</v>
      </c>
      <c r="KG244" s="84">
        <f t="shared" ref="KG244" si="7332">IFERROR(IF(LEFT(KF244,FIND("·",KF244)-1)=$K$244,IF($L$244=IFERROR(VALUE(MID(KF244,FIND("·",KF244)+1,1)),0),($D$33+($M$244=MID(KF244,FIND("|",KF244)+1,10))*$D$35+MAX(0,IF($D$50=1,$D$34*(1-(ABS($P$244-(VALUE(MID(KF244,FIND("|",KF244)+1,FIND("-",KF244,FIND("|",KF244))-FIND("|",KF244)-1))-VALUE(MID(KF244,FIND("-",KF244,FIND("|",KF244))+1,10)))))*$D$50),$D$34*(1-(IF($L$244=0,ABS($N$244-VALUE(MID(KF244,FIND("|",KF244)+1,FIND("-",KF244,FIND("|",KF244))-FIND("|",KF244)-1))),ABS($P$244-(VALUE(MID(KF244,FIND("|",KF244)+1,FIND("-",KF244,FIND("|",KF244))-FIND("|",KF244)-1))-VALUE(MID(KF244,FIND("-",KF244,FIND("|",KF244))+1,10)))))*$D$50)))))*$I$244,0),0),0)
+IFERROR(IF(LEFT(KF244,FIND("·",KF244)-1)=$C$244,IF($D$244=IFERROR(VALUE(MID(KF244,FIND("·",KF244)+1,1)),0),($D$33+($E$244=MID(KF244,FIND("|",KF244)+1,10))*$D$35+MAX(0,IF($D$50=1,$D$34*(1-(ABS($Q$244-(VALUE(MID(KF244,FIND("|",KF244)+1,FIND("-",KF244,FIND("|",KF244))-FIND("|",KF244)-1))-VALUE(MID(KF244,FIND("-",KF244,FIND("|",KF244))+1,10)))))*$D$50),$D$34*(1-(IF($D$244=0,ABS($A$244-VALUE(MID(KF244,FIND("|",KF244)+1,FIND("-",KF244,FIND("|",KF244))-FIND("|",KF244)-1))),ABS($Q$244-(VALUE(MID(KF244,FIND("|",KF244)+1,FIND("-",KF244,FIND("|",KF244))-FIND("|",KF244)-1))-VALUE(MID(KF244,FIND("-",KF244,FIND("|",KF244))+1,10)))))*$D$50)))))*$I$244,0),0),0)</f>
        <v>0</v>
      </c>
      <c r="KH244" s="108"/>
      <c r="KI244" s="65" t="str">
        <f>Idiomas!$D$371</f>
        <v>Pegar valores 3º-4º puesto y Final</v>
      </c>
      <c r="KJ244" s="84">
        <f t="shared" ref="KJ244" si="7333">IFERROR(IF(LEFT(KI244,FIND("·",KI244)-1)=$K$244,IF($L$244=IFERROR(VALUE(MID(KI244,FIND("·",KI244)+1,1)),0),($D$33+($M$244=MID(KI244,FIND("|",KI244)+1,10))*$D$35+MAX(0,IF($D$50=1,$D$34*(1-(ABS($P$244-(VALUE(MID(KI244,FIND("|",KI244)+1,FIND("-",KI244,FIND("|",KI244))-FIND("|",KI244)-1))-VALUE(MID(KI244,FIND("-",KI244,FIND("|",KI244))+1,10)))))*$D$50),$D$34*(1-(IF($L$244=0,ABS($N$244-VALUE(MID(KI244,FIND("|",KI244)+1,FIND("-",KI244,FIND("|",KI244))-FIND("|",KI244)-1))),ABS($P$244-(VALUE(MID(KI244,FIND("|",KI244)+1,FIND("-",KI244,FIND("|",KI244))-FIND("|",KI244)-1))-VALUE(MID(KI244,FIND("-",KI244,FIND("|",KI244))+1,10)))))*$D$50)))))*$I$244,0),0),0)
+IFERROR(IF(LEFT(KI244,FIND("·",KI244)-1)=$C$244,IF($D$244=IFERROR(VALUE(MID(KI244,FIND("·",KI244)+1,1)),0),($D$33+($E$244=MID(KI244,FIND("|",KI244)+1,10))*$D$35+MAX(0,IF($D$50=1,$D$34*(1-(ABS($Q$244-(VALUE(MID(KI244,FIND("|",KI244)+1,FIND("-",KI244,FIND("|",KI244))-FIND("|",KI244)-1))-VALUE(MID(KI244,FIND("-",KI244,FIND("|",KI244))+1,10)))))*$D$50),$D$34*(1-(IF($D$244=0,ABS($A$244-VALUE(MID(KI244,FIND("|",KI244)+1,FIND("-",KI244,FIND("|",KI244))-FIND("|",KI244)-1))),ABS($Q$244-(VALUE(MID(KI244,FIND("|",KI244)+1,FIND("-",KI244,FIND("|",KI244))-FIND("|",KI244)-1))-VALUE(MID(KI244,FIND("-",KI244,FIND("|",KI244))+1,10)))))*$D$50)))))*$I$244,0),0),0)</f>
        <v>0</v>
      </c>
      <c r="KK244" s="108"/>
      <c r="KL244" s="65" t="str">
        <f>Idiomas!$D$371</f>
        <v>Pegar valores 3º-4º puesto y Final</v>
      </c>
      <c r="KM244" s="84">
        <f t="shared" ref="KM244" si="7334">IFERROR(IF(LEFT(KL244,FIND("·",KL244)-1)=$K$244,IF($L$244=IFERROR(VALUE(MID(KL244,FIND("·",KL244)+1,1)),0),($D$33+($M$244=MID(KL244,FIND("|",KL244)+1,10))*$D$35+MAX(0,IF($D$50=1,$D$34*(1-(ABS($P$244-(VALUE(MID(KL244,FIND("|",KL244)+1,FIND("-",KL244,FIND("|",KL244))-FIND("|",KL244)-1))-VALUE(MID(KL244,FIND("-",KL244,FIND("|",KL244))+1,10)))))*$D$50),$D$34*(1-(IF($L$244=0,ABS($N$244-VALUE(MID(KL244,FIND("|",KL244)+1,FIND("-",KL244,FIND("|",KL244))-FIND("|",KL244)-1))),ABS($P$244-(VALUE(MID(KL244,FIND("|",KL244)+1,FIND("-",KL244,FIND("|",KL244))-FIND("|",KL244)-1))-VALUE(MID(KL244,FIND("-",KL244,FIND("|",KL244))+1,10)))))*$D$50)))))*$I$244,0),0),0)
+IFERROR(IF(LEFT(KL244,FIND("·",KL244)-1)=$C$244,IF($D$244=IFERROR(VALUE(MID(KL244,FIND("·",KL244)+1,1)),0),($D$33+($E$244=MID(KL244,FIND("|",KL244)+1,10))*$D$35+MAX(0,IF($D$50=1,$D$34*(1-(ABS($Q$244-(VALUE(MID(KL244,FIND("|",KL244)+1,FIND("-",KL244,FIND("|",KL244))-FIND("|",KL244)-1))-VALUE(MID(KL244,FIND("-",KL244,FIND("|",KL244))+1,10)))))*$D$50),$D$34*(1-(IF($D$244=0,ABS($A$244-VALUE(MID(KL244,FIND("|",KL244)+1,FIND("-",KL244,FIND("|",KL244))-FIND("|",KL244)-1))),ABS($Q$244-(VALUE(MID(KL244,FIND("|",KL244)+1,FIND("-",KL244,FIND("|",KL244))-FIND("|",KL244)-1))-VALUE(MID(KL244,FIND("-",KL244,FIND("|",KL244))+1,10)))))*$D$50)))))*$I$244,0),0),0)</f>
        <v>0</v>
      </c>
      <c r="KN244" s="108"/>
      <c r="KO244" s="65" t="str">
        <f>Idiomas!$D$371</f>
        <v>Pegar valores 3º-4º puesto y Final</v>
      </c>
      <c r="KP244" s="84">
        <f t="shared" ref="KP244" si="7335">IFERROR(IF(LEFT(KO244,FIND("·",KO244)-1)=$K$244,IF($L$244=IFERROR(VALUE(MID(KO244,FIND("·",KO244)+1,1)),0),($D$33+($M$244=MID(KO244,FIND("|",KO244)+1,10))*$D$35+MAX(0,IF($D$50=1,$D$34*(1-(ABS($P$244-(VALUE(MID(KO244,FIND("|",KO244)+1,FIND("-",KO244,FIND("|",KO244))-FIND("|",KO244)-1))-VALUE(MID(KO244,FIND("-",KO244,FIND("|",KO244))+1,10)))))*$D$50),$D$34*(1-(IF($L$244=0,ABS($N$244-VALUE(MID(KO244,FIND("|",KO244)+1,FIND("-",KO244,FIND("|",KO244))-FIND("|",KO244)-1))),ABS($P$244-(VALUE(MID(KO244,FIND("|",KO244)+1,FIND("-",KO244,FIND("|",KO244))-FIND("|",KO244)-1))-VALUE(MID(KO244,FIND("-",KO244,FIND("|",KO244))+1,10)))))*$D$50)))))*$I$244,0),0),0)
+IFERROR(IF(LEFT(KO244,FIND("·",KO244)-1)=$C$244,IF($D$244=IFERROR(VALUE(MID(KO244,FIND("·",KO244)+1,1)),0),($D$33+($E$244=MID(KO244,FIND("|",KO244)+1,10))*$D$35+MAX(0,IF($D$50=1,$D$34*(1-(ABS($Q$244-(VALUE(MID(KO244,FIND("|",KO244)+1,FIND("-",KO244,FIND("|",KO244))-FIND("|",KO244)-1))-VALUE(MID(KO244,FIND("-",KO244,FIND("|",KO244))+1,10)))))*$D$50),$D$34*(1-(IF($D$244=0,ABS($A$244-VALUE(MID(KO244,FIND("|",KO244)+1,FIND("-",KO244,FIND("|",KO244))-FIND("|",KO244)-1))),ABS($Q$244-(VALUE(MID(KO244,FIND("|",KO244)+1,FIND("-",KO244,FIND("|",KO244))-FIND("|",KO244)-1))-VALUE(MID(KO244,FIND("-",KO244,FIND("|",KO244))+1,10)))))*$D$50)))))*$I$244,0),0),0)</f>
        <v>0</v>
      </c>
      <c r="KQ244" s="108"/>
      <c r="KR244" s="65" t="str">
        <f>Idiomas!$D$371</f>
        <v>Pegar valores 3º-4º puesto y Final</v>
      </c>
      <c r="KS244" s="84">
        <f t="shared" ref="KS244" si="7336">IFERROR(IF(LEFT(KR244,FIND("·",KR244)-1)=$K$244,IF($L$244=IFERROR(VALUE(MID(KR244,FIND("·",KR244)+1,1)),0),($D$33+($M$244=MID(KR244,FIND("|",KR244)+1,10))*$D$35+MAX(0,IF($D$50=1,$D$34*(1-(ABS($P$244-(VALUE(MID(KR244,FIND("|",KR244)+1,FIND("-",KR244,FIND("|",KR244))-FIND("|",KR244)-1))-VALUE(MID(KR244,FIND("-",KR244,FIND("|",KR244))+1,10)))))*$D$50),$D$34*(1-(IF($L$244=0,ABS($N$244-VALUE(MID(KR244,FIND("|",KR244)+1,FIND("-",KR244,FIND("|",KR244))-FIND("|",KR244)-1))),ABS($P$244-(VALUE(MID(KR244,FIND("|",KR244)+1,FIND("-",KR244,FIND("|",KR244))-FIND("|",KR244)-1))-VALUE(MID(KR244,FIND("-",KR244,FIND("|",KR244))+1,10)))))*$D$50)))))*$I$244,0),0),0)
+IFERROR(IF(LEFT(KR244,FIND("·",KR244)-1)=$C$244,IF($D$244=IFERROR(VALUE(MID(KR244,FIND("·",KR244)+1,1)),0),($D$33+($E$244=MID(KR244,FIND("|",KR244)+1,10))*$D$35+MAX(0,IF($D$50=1,$D$34*(1-(ABS($Q$244-(VALUE(MID(KR244,FIND("|",KR244)+1,FIND("-",KR244,FIND("|",KR244))-FIND("|",KR244)-1))-VALUE(MID(KR244,FIND("-",KR244,FIND("|",KR244))+1,10)))))*$D$50),$D$34*(1-(IF($D$244=0,ABS($A$244-VALUE(MID(KR244,FIND("|",KR244)+1,FIND("-",KR244,FIND("|",KR244))-FIND("|",KR244)-1))),ABS($Q$244-(VALUE(MID(KR244,FIND("|",KR244)+1,FIND("-",KR244,FIND("|",KR244))-FIND("|",KR244)-1))-VALUE(MID(KR244,FIND("-",KR244,FIND("|",KR244))+1,10)))))*$D$50)))))*$I$244,0),0),0)</f>
        <v>0</v>
      </c>
      <c r="KT244" s="441"/>
      <c r="KU244" s="65" t="str">
        <f>Idiomas!$D$371</f>
        <v>Pegar valores 3º-4º puesto y Final</v>
      </c>
      <c r="KV244" s="84">
        <f t="shared" ref="KV244" si="7337">IFERROR(IF(LEFT(KU244,FIND("·",KU244)-1)=$K$244,IF($L$244=IFERROR(VALUE(MID(KU244,FIND("·",KU244)+1,1)),0),($D$33+($M$244=MID(KU244,FIND("|",KU244)+1,10))*$D$35+MAX(0,IF($D$50=1,$D$34*(1-(ABS($P$244-(VALUE(MID(KU244,FIND("|",KU244)+1,FIND("-",KU244,FIND("|",KU244))-FIND("|",KU244)-1))-VALUE(MID(KU244,FIND("-",KU244,FIND("|",KU244))+1,10)))))*$D$50),$D$34*(1-(IF($L$244=0,ABS($N$244-VALUE(MID(KU244,FIND("|",KU244)+1,FIND("-",KU244,FIND("|",KU244))-FIND("|",KU244)-1))),ABS($P$244-(VALUE(MID(KU244,FIND("|",KU244)+1,FIND("-",KU244,FIND("|",KU244))-FIND("|",KU244)-1))-VALUE(MID(KU244,FIND("-",KU244,FIND("|",KU244))+1,10)))))*$D$50)))))*$I$244,0),0),0)
+IFERROR(IF(LEFT(KU244,FIND("·",KU244)-1)=$C$244,IF($D$244=IFERROR(VALUE(MID(KU244,FIND("·",KU244)+1,1)),0),($D$33+($E$244=MID(KU244,FIND("|",KU244)+1,10))*$D$35+MAX(0,IF($D$50=1,$D$34*(1-(ABS($Q$244-(VALUE(MID(KU244,FIND("|",KU244)+1,FIND("-",KU244,FIND("|",KU244))-FIND("|",KU244)-1))-VALUE(MID(KU244,FIND("-",KU244,FIND("|",KU244))+1,10)))))*$D$50),$D$34*(1-(IF($D$244=0,ABS($A$244-VALUE(MID(KU244,FIND("|",KU244)+1,FIND("-",KU244,FIND("|",KU244))-FIND("|",KU244)-1))),ABS($Q$244-(VALUE(MID(KU244,FIND("|",KU244)+1,FIND("-",KU244,FIND("|",KU244))-FIND("|",KU244)-1))-VALUE(MID(KU244,FIND("-",KU244,FIND("|",KU244))+1,10)))))*$D$50)))))*$I$244,0),0),0)</f>
        <v>0</v>
      </c>
      <c r="KW244" s="108"/>
      <c r="KX244" s="65" t="str">
        <f>Idiomas!$D$371</f>
        <v>Pegar valores 3º-4º puesto y Final</v>
      </c>
      <c r="KY244" s="84">
        <f t="shared" ref="KY244" si="7338">IFERROR(IF(LEFT(KX244,FIND("·",KX244)-1)=$K$244,IF($L$244=IFERROR(VALUE(MID(KX244,FIND("·",KX244)+1,1)),0),($D$33+($M$244=MID(KX244,FIND("|",KX244)+1,10))*$D$35+MAX(0,IF($D$50=1,$D$34*(1-(ABS($P$244-(VALUE(MID(KX244,FIND("|",KX244)+1,FIND("-",KX244,FIND("|",KX244))-FIND("|",KX244)-1))-VALUE(MID(KX244,FIND("-",KX244,FIND("|",KX244))+1,10)))))*$D$50),$D$34*(1-(IF($L$244=0,ABS($N$244-VALUE(MID(KX244,FIND("|",KX244)+1,FIND("-",KX244,FIND("|",KX244))-FIND("|",KX244)-1))),ABS($P$244-(VALUE(MID(KX244,FIND("|",KX244)+1,FIND("-",KX244,FIND("|",KX244))-FIND("|",KX244)-1))-VALUE(MID(KX244,FIND("-",KX244,FIND("|",KX244))+1,10)))))*$D$50)))))*$I$244,0),0),0)
+IFERROR(IF(LEFT(KX244,FIND("·",KX244)-1)=$C$244,IF($D$244=IFERROR(VALUE(MID(KX244,FIND("·",KX244)+1,1)),0),($D$33+($E$244=MID(KX244,FIND("|",KX244)+1,10))*$D$35+MAX(0,IF($D$50=1,$D$34*(1-(ABS($Q$244-(VALUE(MID(KX244,FIND("|",KX244)+1,FIND("-",KX244,FIND("|",KX244))-FIND("|",KX244)-1))-VALUE(MID(KX244,FIND("-",KX244,FIND("|",KX244))+1,10)))))*$D$50),$D$34*(1-(IF($D$244=0,ABS($A$244-VALUE(MID(KX244,FIND("|",KX244)+1,FIND("-",KX244,FIND("|",KX244))-FIND("|",KX244)-1))),ABS($Q$244-(VALUE(MID(KX244,FIND("|",KX244)+1,FIND("-",KX244,FIND("|",KX244))-FIND("|",KX244)-1))-VALUE(MID(KX244,FIND("-",KX244,FIND("|",KX244))+1,10)))))*$D$50)))))*$I$244,0),0),0)</f>
        <v>0</v>
      </c>
      <c r="KZ244" s="108"/>
      <c r="LA244" s="65" t="str">
        <f>Idiomas!$D$371</f>
        <v>Pegar valores 3º-4º puesto y Final</v>
      </c>
      <c r="LB244" s="84">
        <f t="shared" ref="LB244" si="7339">IFERROR(IF(LEFT(LA244,FIND("·",LA244)-1)=$K$244,IF($L$244=IFERROR(VALUE(MID(LA244,FIND("·",LA244)+1,1)),0),($D$33+($M$244=MID(LA244,FIND("|",LA244)+1,10))*$D$35+MAX(0,IF($D$50=1,$D$34*(1-(ABS($P$244-(VALUE(MID(LA244,FIND("|",LA244)+1,FIND("-",LA244,FIND("|",LA244))-FIND("|",LA244)-1))-VALUE(MID(LA244,FIND("-",LA244,FIND("|",LA244))+1,10)))))*$D$50),$D$34*(1-(IF($L$244=0,ABS($N$244-VALUE(MID(LA244,FIND("|",LA244)+1,FIND("-",LA244,FIND("|",LA244))-FIND("|",LA244)-1))),ABS($P$244-(VALUE(MID(LA244,FIND("|",LA244)+1,FIND("-",LA244,FIND("|",LA244))-FIND("|",LA244)-1))-VALUE(MID(LA244,FIND("-",LA244,FIND("|",LA244))+1,10)))))*$D$50)))))*$I$244,0),0),0)
+IFERROR(IF(LEFT(LA244,FIND("·",LA244)-1)=$C$244,IF($D$244=IFERROR(VALUE(MID(LA244,FIND("·",LA244)+1,1)),0),($D$33+($E$244=MID(LA244,FIND("|",LA244)+1,10))*$D$35+MAX(0,IF($D$50=1,$D$34*(1-(ABS($Q$244-(VALUE(MID(LA244,FIND("|",LA244)+1,FIND("-",LA244,FIND("|",LA244))-FIND("|",LA244)-1))-VALUE(MID(LA244,FIND("-",LA244,FIND("|",LA244))+1,10)))))*$D$50),$D$34*(1-(IF($D$244=0,ABS($A$244-VALUE(MID(LA244,FIND("|",LA244)+1,FIND("-",LA244,FIND("|",LA244))-FIND("|",LA244)-1))),ABS($Q$244-(VALUE(MID(LA244,FIND("|",LA244)+1,FIND("-",LA244,FIND("|",LA244))-FIND("|",LA244)-1))-VALUE(MID(LA244,FIND("-",LA244,FIND("|",LA244))+1,10)))))*$D$50)))))*$I$244,0),0),0)</f>
        <v>0</v>
      </c>
      <c r="LC244" s="108"/>
      <c r="LD244" s="65" t="str">
        <f>Idiomas!$D$371</f>
        <v>Pegar valores 3º-4º puesto y Final</v>
      </c>
      <c r="LE244" s="84">
        <f t="shared" ref="LE244" si="7340">IFERROR(IF(LEFT(LD244,FIND("·",LD244)-1)=$K$244,IF($L$244=IFERROR(VALUE(MID(LD244,FIND("·",LD244)+1,1)),0),($D$33+($M$244=MID(LD244,FIND("|",LD244)+1,10))*$D$35+MAX(0,IF($D$50=1,$D$34*(1-(ABS($P$244-(VALUE(MID(LD244,FIND("|",LD244)+1,FIND("-",LD244,FIND("|",LD244))-FIND("|",LD244)-1))-VALUE(MID(LD244,FIND("-",LD244,FIND("|",LD244))+1,10)))))*$D$50),$D$34*(1-(IF($L$244=0,ABS($N$244-VALUE(MID(LD244,FIND("|",LD244)+1,FIND("-",LD244,FIND("|",LD244))-FIND("|",LD244)-1))),ABS($P$244-(VALUE(MID(LD244,FIND("|",LD244)+1,FIND("-",LD244,FIND("|",LD244))-FIND("|",LD244)-1))-VALUE(MID(LD244,FIND("-",LD244,FIND("|",LD244))+1,10)))))*$D$50)))))*$I$244,0),0),0)
+IFERROR(IF(LEFT(LD244,FIND("·",LD244)-1)=$C$244,IF($D$244=IFERROR(VALUE(MID(LD244,FIND("·",LD244)+1,1)),0),($D$33+($E$244=MID(LD244,FIND("|",LD244)+1,10))*$D$35+MAX(0,IF($D$50=1,$D$34*(1-(ABS($Q$244-(VALUE(MID(LD244,FIND("|",LD244)+1,FIND("-",LD244,FIND("|",LD244))-FIND("|",LD244)-1))-VALUE(MID(LD244,FIND("-",LD244,FIND("|",LD244))+1,10)))))*$D$50),$D$34*(1-(IF($D$244=0,ABS($A$244-VALUE(MID(LD244,FIND("|",LD244)+1,FIND("-",LD244,FIND("|",LD244))-FIND("|",LD244)-1))),ABS($Q$244-(VALUE(MID(LD244,FIND("|",LD244)+1,FIND("-",LD244,FIND("|",LD244))-FIND("|",LD244)-1))-VALUE(MID(LD244,FIND("-",LD244,FIND("|",LD244))+1,10)))))*$D$50)))))*$I$244,0),0),0)</f>
        <v>0</v>
      </c>
      <c r="LF244" s="108"/>
    </row>
    <row r="245" spans="1:318" s="784" customFormat="1">
      <c r="A245" s="25"/>
      <c r="B245" s="25"/>
      <c r="C245" s="25"/>
      <c r="D245" s="25"/>
      <c r="E245" s="25"/>
      <c r="F245" s="406"/>
      <c r="G245" s="406"/>
      <c r="H245" s="64"/>
      <c r="I245" s="50"/>
      <c r="J245" s="97"/>
      <c r="K245" s="432" t="str">
        <f>Idiomas!D467</f>
        <v>Partido 3-4</v>
      </c>
      <c r="L245" s="433"/>
      <c r="M245" s="432" t="str">
        <f>"Max: "&amp;SUM($D$33:$D$35)*$I$244</f>
        <v>Max: 30</v>
      </c>
      <c r="N245" s="25"/>
      <c r="O245" s="25"/>
      <c r="P245" s="25"/>
      <c r="Q245" s="25"/>
      <c r="R245" s="17"/>
      <c r="S245" s="797"/>
      <c r="T245" s="82">
        <f t="shared" ref="T245" si="7341">T244</f>
        <v>0</v>
      </c>
      <c r="U245" s="108"/>
      <c r="V245" s="83"/>
      <c r="W245" s="82">
        <f t="shared" ref="W245" si="7342">W244</f>
        <v>0</v>
      </c>
      <c r="X245" s="108"/>
      <c r="Y245" s="797"/>
      <c r="Z245" s="82">
        <f t="shared" ref="Z245" si="7343">Z244</f>
        <v>0</v>
      </c>
      <c r="AA245" s="108"/>
      <c r="AB245" s="797"/>
      <c r="AC245" s="82">
        <f t="shared" ref="AC245" si="7344">AC244</f>
        <v>0</v>
      </c>
      <c r="AD245" s="108"/>
      <c r="AE245" s="797"/>
      <c r="AF245" s="82">
        <f t="shared" ref="AF245" si="7345">AF244</f>
        <v>0</v>
      </c>
      <c r="AG245" s="108"/>
      <c r="AH245" s="797"/>
      <c r="AI245" s="82">
        <f t="shared" ref="AI245" si="7346">AI244</f>
        <v>0</v>
      </c>
      <c r="AJ245" s="108"/>
      <c r="AK245" s="802"/>
      <c r="AL245" s="82">
        <f t="shared" ref="AL245" si="7347">AL244</f>
        <v>0</v>
      </c>
      <c r="AM245" s="108"/>
      <c r="AN245" s="797"/>
      <c r="AO245" s="82">
        <f t="shared" ref="AO245" si="7348">AO244</f>
        <v>0</v>
      </c>
      <c r="AP245" s="108"/>
      <c r="AQ245" s="802"/>
      <c r="AR245" s="82">
        <f t="shared" ref="AR245" si="7349">AR244</f>
        <v>0</v>
      </c>
      <c r="AS245" s="108"/>
      <c r="AT245" s="797"/>
      <c r="AU245" s="82">
        <f t="shared" ref="AU245" si="7350">AU244</f>
        <v>0</v>
      </c>
      <c r="AV245" s="108"/>
      <c r="AW245" s="797"/>
      <c r="AX245" s="82">
        <f t="shared" ref="AX245" si="7351">AX244</f>
        <v>0</v>
      </c>
      <c r="AY245" s="108"/>
      <c r="AZ245" s="797"/>
      <c r="BA245" s="82">
        <f t="shared" ref="BA245" si="7352">BA244</f>
        <v>0</v>
      </c>
      <c r="BB245" s="108"/>
      <c r="BC245" s="797"/>
      <c r="BD245" s="82">
        <f t="shared" ref="BD245" si="7353">BD244</f>
        <v>0</v>
      </c>
      <c r="BE245" s="108"/>
      <c r="BF245" s="797"/>
      <c r="BG245" s="82">
        <f t="shared" ref="BG245" si="7354">BG244</f>
        <v>0</v>
      </c>
      <c r="BH245" s="108"/>
      <c r="BI245" s="797"/>
      <c r="BJ245" s="82">
        <f t="shared" ref="BJ245" si="7355">BJ244</f>
        <v>0</v>
      </c>
      <c r="BK245" s="108"/>
      <c r="BL245" s="797"/>
      <c r="BM245" s="82">
        <f t="shared" ref="BM245" si="7356">BM244</f>
        <v>0</v>
      </c>
      <c r="BN245" s="108"/>
      <c r="BO245" s="812"/>
      <c r="BP245" s="82">
        <f t="shared" ref="BP245" si="7357">BP244</f>
        <v>0</v>
      </c>
      <c r="BQ245" s="108"/>
      <c r="BR245" s="797"/>
      <c r="BS245" s="82">
        <f t="shared" ref="BS245" si="7358">BS244</f>
        <v>0</v>
      </c>
      <c r="BT245" s="108"/>
      <c r="BU245" s="797"/>
      <c r="BV245" s="82">
        <f t="shared" ref="BV245" si="7359">BV244</f>
        <v>0</v>
      </c>
      <c r="BW245" s="108"/>
      <c r="BX245" s="83"/>
      <c r="BY245" s="82">
        <f t="shared" ref="BY245" si="7360">BY244</f>
        <v>0</v>
      </c>
      <c r="BZ245" s="108"/>
      <c r="CA245" s="812"/>
      <c r="CB245" s="82">
        <f t="shared" ref="CB245" si="7361">CB244</f>
        <v>0</v>
      </c>
      <c r="CC245" s="108"/>
      <c r="CD245" s="821"/>
      <c r="CE245" s="82">
        <f t="shared" ref="CE245" si="7362">CE244</f>
        <v>0</v>
      </c>
      <c r="CF245" s="108"/>
      <c r="CG245" s="797"/>
      <c r="CH245" s="82">
        <f t="shared" ref="CH245" si="7363">CH244</f>
        <v>0</v>
      </c>
      <c r="CI245" s="108"/>
      <c r="CJ245" s="797"/>
      <c r="CK245" s="82">
        <f t="shared" ref="CK245" si="7364">CK244</f>
        <v>0</v>
      </c>
      <c r="CL245" s="108"/>
      <c r="CM245" s="797"/>
      <c r="CN245" s="82">
        <f t="shared" ref="CN245" si="7365">CN244</f>
        <v>0</v>
      </c>
      <c r="CO245" s="108"/>
      <c r="CP245" s="797"/>
      <c r="CQ245" s="82">
        <f t="shared" ref="CQ245" si="7366">CQ244</f>
        <v>0</v>
      </c>
      <c r="CR245" s="108"/>
      <c r="CS245" s="797"/>
      <c r="CT245" s="82">
        <f t="shared" ref="CT245" si="7367">CT244</f>
        <v>0</v>
      </c>
      <c r="CU245" s="108"/>
      <c r="CV245" s="797"/>
      <c r="CW245" s="82">
        <f t="shared" ref="CW245" si="7368">CW244</f>
        <v>0</v>
      </c>
      <c r="CX245" s="108"/>
      <c r="CY245" s="797"/>
      <c r="CZ245" s="82">
        <f t="shared" ref="CZ245" si="7369">CZ244</f>
        <v>0</v>
      </c>
      <c r="DA245" s="108"/>
      <c r="DB245" s="797"/>
      <c r="DC245" s="82">
        <f t="shared" ref="DC245" si="7370">DC244</f>
        <v>0</v>
      </c>
      <c r="DD245" s="108"/>
      <c r="DE245" s="797"/>
      <c r="DF245" s="82">
        <f t="shared" ref="DF245" si="7371">DF244</f>
        <v>0</v>
      </c>
      <c r="DG245" s="108"/>
      <c r="DH245" s="797"/>
      <c r="DI245" s="82">
        <f t="shared" ref="DI245" si="7372">DI244</f>
        <v>0</v>
      </c>
      <c r="DJ245" s="108"/>
      <c r="DK245" s="797"/>
      <c r="DL245" s="82">
        <f t="shared" ref="DL245" si="7373">DL244</f>
        <v>0</v>
      </c>
      <c r="DM245" s="108"/>
      <c r="DN245" s="83"/>
      <c r="DO245" s="82">
        <f t="shared" ref="DO245" si="7374">DO244</f>
        <v>0</v>
      </c>
      <c r="DP245" s="108"/>
      <c r="DQ245" s="797"/>
      <c r="DR245" s="82">
        <f t="shared" ref="DR245" si="7375">DR244</f>
        <v>0</v>
      </c>
      <c r="DS245" s="108"/>
      <c r="DT245" s="83"/>
      <c r="DU245" s="82">
        <f t="shared" ref="DU245" si="7376">DU244</f>
        <v>0</v>
      </c>
      <c r="DV245" s="108"/>
      <c r="DW245" s="83"/>
      <c r="DX245" s="82">
        <f t="shared" ref="DX245" si="7377">DX244</f>
        <v>0</v>
      </c>
      <c r="DY245" s="108"/>
      <c r="DZ245" s="83"/>
      <c r="EA245" s="82">
        <f t="shared" ref="EA245" si="7378">EA244</f>
        <v>0</v>
      </c>
      <c r="EB245" s="108"/>
      <c r="EC245" s="81"/>
      <c r="ED245" s="82">
        <f t="shared" ref="ED245" si="7379">ED244</f>
        <v>0</v>
      </c>
      <c r="EE245" s="108"/>
      <c r="EF245" s="83"/>
      <c r="EG245" s="82">
        <f t="shared" ref="EG245" si="7380">EG244</f>
        <v>0</v>
      </c>
      <c r="EH245" s="108"/>
      <c r="EI245" s="83"/>
      <c r="EJ245" s="82">
        <f t="shared" ref="EJ245" si="7381">EJ244</f>
        <v>0</v>
      </c>
      <c r="EK245" s="108"/>
      <c r="EL245" s="83"/>
      <c r="EM245" s="82">
        <f t="shared" ref="EM245" si="7382">EM244</f>
        <v>0</v>
      </c>
      <c r="EN245" s="108"/>
      <c r="EO245" s="83"/>
      <c r="EP245" s="82">
        <f t="shared" ref="EP245" si="7383">EP244</f>
        <v>0</v>
      </c>
      <c r="EQ245" s="108"/>
      <c r="ER245" s="81"/>
      <c r="ES245" s="82">
        <f t="shared" ref="ES245" si="7384">ES244</f>
        <v>0</v>
      </c>
      <c r="ET245" s="108"/>
      <c r="EU245" s="83"/>
      <c r="EV245" s="82">
        <f t="shared" ref="EV245" si="7385">EV244</f>
        <v>0</v>
      </c>
      <c r="EW245" s="108"/>
      <c r="EX245" s="83"/>
      <c r="EY245" s="82">
        <f t="shared" ref="EY245" si="7386">EY244</f>
        <v>0</v>
      </c>
      <c r="EZ245" s="108"/>
      <c r="FA245" s="83"/>
      <c r="FB245" s="82">
        <f t="shared" ref="FB245" si="7387">FB244</f>
        <v>0</v>
      </c>
      <c r="FC245" s="108"/>
      <c r="FD245" s="83"/>
      <c r="FE245" s="82">
        <f t="shared" ref="FE245" si="7388">FE244</f>
        <v>0</v>
      </c>
      <c r="FF245" s="108"/>
      <c r="FG245" s="81"/>
      <c r="FH245" s="82">
        <f t="shared" ref="FH245" si="7389">FH244</f>
        <v>0</v>
      </c>
      <c r="FI245" s="108"/>
      <c r="FJ245" s="83"/>
      <c r="FK245" s="82">
        <f t="shared" ref="FK245" si="7390">FK244</f>
        <v>0</v>
      </c>
      <c r="FL245" s="108"/>
      <c r="FM245" s="83"/>
      <c r="FN245" s="82">
        <f t="shared" ref="FN245" si="7391">FN244</f>
        <v>0</v>
      </c>
      <c r="FO245" s="108"/>
      <c r="FP245" s="83"/>
      <c r="FQ245" s="82">
        <f t="shared" ref="FQ245" si="7392">FQ244</f>
        <v>0</v>
      </c>
      <c r="FR245" s="108"/>
      <c r="FS245" s="83"/>
      <c r="FT245" s="82">
        <f t="shared" ref="FT245" si="7393">FT244</f>
        <v>0</v>
      </c>
      <c r="FU245" s="108"/>
      <c r="FV245" s="81"/>
      <c r="FW245" s="82">
        <f t="shared" ref="FW245" si="7394">FW244</f>
        <v>0</v>
      </c>
      <c r="FX245" s="108"/>
      <c r="FY245" s="83"/>
      <c r="FZ245" s="82">
        <f t="shared" ref="FZ245" si="7395">FZ244</f>
        <v>0</v>
      </c>
      <c r="GA245" s="108"/>
      <c r="GB245" s="83"/>
      <c r="GC245" s="82">
        <f t="shared" ref="GC245" si="7396">GC244</f>
        <v>0</v>
      </c>
      <c r="GD245" s="108"/>
      <c r="GE245" s="83"/>
      <c r="GF245" s="82">
        <f t="shared" ref="GF245" si="7397">GF244</f>
        <v>0</v>
      </c>
      <c r="GG245" s="108"/>
      <c r="GH245" s="83"/>
      <c r="GI245" s="82">
        <f t="shared" ref="GI245" si="7398">GI244</f>
        <v>0</v>
      </c>
      <c r="GJ245" s="108"/>
      <c r="GK245" s="81"/>
      <c r="GL245" s="82">
        <f t="shared" ref="GL245" si="7399">GL244</f>
        <v>0</v>
      </c>
      <c r="GM245" s="108"/>
      <c r="GN245" s="83"/>
      <c r="GO245" s="82">
        <f t="shared" ref="GO245" si="7400">GO244</f>
        <v>0</v>
      </c>
      <c r="GP245" s="108"/>
      <c r="GQ245" s="83"/>
      <c r="GR245" s="82">
        <f t="shared" ref="GR245" si="7401">GR244</f>
        <v>0</v>
      </c>
      <c r="GS245" s="108"/>
      <c r="GT245" s="83"/>
      <c r="GU245" s="82">
        <f t="shared" ref="GU245" si="7402">GU244</f>
        <v>0</v>
      </c>
      <c r="GV245" s="108"/>
      <c r="GW245" s="83"/>
      <c r="GX245" s="82">
        <f t="shared" ref="GX245" si="7403">GX244</f>
        <v>0</v>
      </c>
      <c r="GY245" s="108"/>
      <c r="GZ245" s="81"/>
      <c r="HA245" s="82">
        <f t="shared" ref="HA245" si="7404">HA244</f>
        <v>0</v>
      </c>
      <c r="HB245" s="108"/>
      <c r="HC245" s="83"/>
      <c r="HD245" s="82">
        <f t="shared" ref="HD245" si="7405">HD244</f>
        <v>0</v>
      </c>
      <c r="HE245" s="108"/>
      <c r="HF245" s="83"/>
      <c r="HG245" s="82">
        <f t="shared" ref="HG245" si="7406">HG244</f>
        <v>0</v>
      </c>
      <c r="HH245" s="108"/>
      <c r="HI245" s="83"/>
      <c r="HJ245" s="82">
        <f t="shared" ref="HJ245" si="7407">HJ244</f>
        <v>0</v>
      </c>
      <c r="HK245" s="108"/>
      <c r="HL245" s="83"/>
      <c r="HM245" s="82">
        <f t="shared" ref="HM245" si="7408">HM244</f>
        <v>0</v>
      </c>
      <c r="HN245" s="108"/>
      <c r="HO245" s="81"/>
      <c r="HP245" s="82">
        <f t="shared" ref="HP245" si="7409">HP244</f>
        <v>0</v>
      </c>
      <c r="HQ245" s="108"/>
      <c r="HR245" s="83"/>
      <c r="HS245" s="82">
        <f t="shared" ref="HS245" si="7410">HS244</f>
        <v>0</v>
      </c>
      <c r="HT245" s="108"/>
      <c r="HU245" s="83"/>
      <c r="HV245" s="82">
        <f t="shared" ref="HV245" si="7411">HV244</f>
        <v>0</v>
      </c>
      <c r="HW245" s="108"/>
      <c r="HX245" s="83"/>
      <c r="HY245" s="82">
        <f t="shared" ref="HY245" si="7412">HY244</f>
        <v>0</v>
      </c>
      <c r="HZ245" s="108"/>
      <c r="IA245" s="83"/>
      <c r="IB245" s="82">
        <f t="shared" ref="IB245" si="7413">IB244</f>
        <v>0</v>
      </c>
      <c r="IC245" s="108"/>
      <c r="ID245" s="81"/>
      <c r="IE245" s="82">
        <f t="shared" ref="IE245" si="7414">IE244</f>
        <v>0</v>
      </c>
      <c r="IF245" s="108"/>
      <c r="IG245" s="83"/>
      <c r="IH245" s="82">
        <f t="shared" ref="IH245" si="7415">IH244</f>
        <v>0</v>
      </c>
      <c r="II245" s="108"/>
      <c r="IJ245" s="83"/>
      <c r="IK245" s="82">
        <f t="shared" ref="IK245" si="7416">IK244</f>
        <v>0</v>
      </c>
      <c r="IL245" s="108"/>
      <c r="IM245" s="83"/>
      <c r="IN245" s="82">
        <f t="shared" ref="IN245" si="7417">IN244</f>
        <v>0</v>
      </c>
      <c r="IO245" s="108"/>
      <c r="IP245" s="83"/>
      <c r="IQ245" s="82">
        <f t="shared" ref="IQ245" si="7418">IQ244</f>
        <v>0</v>
      </c>
      <c r="IR245" s="108"/>
      <c r="IS245" s="81"/>
      <c r="IT245" s="82">
        <f t="shared" ref="IT245" si="7419">IT244</f>
        <v>0</v>
      </c>
      <c r="IU245" s="108"/>
      <c r="IV245" s="83"/>
      <c r="IW245" s="82">
        <f t="shared" ref="IW245" si="7420">IW244</f>
        <v>0</v>
      </c>
      <c r="IX245" s="108"/>
      <c r="IY245" s="83"/>
      <c r="IZ245" s="82">
        <f t="shared" ref="IZ245" si="7421">IZ244</f>
        <v>0</v>
      </c>
      <c r="JA245" s="108"/>
      <c r="JB245" s="83"/>
      <c r="JC245" s="82">
        <f t="shared" ref="JC245" si="7422">JC244</f>
        <v>0</v>
      </c>
      <c r="JD245" s="108"/>
      <c r="JE245" s="83"/>
      <c r="JF245" s="82">
        <f t="shared" ref="JF245" si="7423">JF244</f>
        <v>0</v>
      </c>
      <c r="JG245" s="108"/>
      <c r="JH245" s="81"/>
      <c r="JI245" s="82">
        <f t="shared" ref="JI245" si="7424">JI244</f>
        <v>0</v>
      </c>
      <c r="JJ245" s="108"/>
      <c r="JK245" s="83"/>
      <c r="JL245" s="82">
        <f t="shared" ref="JL245" si="7425">JL244</f>
        <v>0</v>
      </c>
      <c r="JM245" s="108"/>
      <c r="JN245" s="83"/>
      <c r="JO245" s="82">
        <f t="shared" ref="JO245" si="7426">JO244</f>
        <v>0</v>
      </c>
      <c r="JP245" s="108"/>
      <c r="JQ245" s="83"/>
      <c r="JR245" s="82">
        <f t="shared" ref="JR245" si="7427">JR244</f>
        <v>0</v>
      </c>
      <c r="JS245" s="108"/>
      <c r="JT245" s="83"/>
      <c r="JU245" s="82">
        <f t="shared" ref="JU245" si="7428">JU244</f>
        <v>0</v>
      </c>
      <c r="JV245" s="108"/>
      <c r="JW245" s="81"/>
      <c r="JX245" s="82">
        <f t="shared" ref="JX245" si="7429">JX244</f>
        <v>0</v>
      </c>
      <c r="JY245" s="108"/>
      <c r="JZ245" s="83"/>
      <c r="KA245" s="82">
        <f t="shared" ref="KA245" si="7430">KA244</f>
        <v>0</v>
      </c>
      <c r="KB245" s="108"/>
      <c r="KC245" s="83"/>
      <c r="KD245" s="82">
        <f t="shared" ref="KD245" si="7431">KD244</f>
        <v>0</v>
      </c>
      <c r="KE245" s="108"/>
      <c r="KF245" s="83"/>
      <c r="KG245" s="82">
        <f t="shared" ref="KG245" si="7432">KG244</f>
        <v>0</v>
      </c>
      <c r="KH245" s="108"/>
      <c r="KI245" s="83"/>
      <c r="KJ245" s="82">
        <f t="shared" ref="KJ245" si="7433">KJ244</f>
        <v>0</v>
      </c>
      <c r="KK245" s="108"/>
      <c r="KL245" s="81"/>
      <c r="KM245" s="82">
        <f t="shared" ref="KM245" si="7434">KM244</f>
        <v>0</v>
      </c>
      <c r="KN245" s="108"/>
      <c r="KO245" s="83"/>
      <c r="KP245" s="82">
        <f t="shared" ref="KP245" si="7435">KP244</f>
        <v>0</v>
      </c>
      <c r="KQ245" s="108"/>
      <c r="KR245" s="83"/>
      <c r="KS245" s="82">
        <f t="shared" ref="KS245" si="7436">KS244</f>
        <v>0</v>
      </c>
      <c r="KT245" s="108"/>
      <c r="KU245" s="83"/>
      <c r="KV245" s="82">
        <f t="shared" ref="KV245" si="7437">KV244</f>
        <v>0</v>
      </c>
      <c r="KW245" s="108"/>
      <c r="KX245" s="83"/>
      <c r="KY245" s="82">
        <f t="shared" ref="KY245" si="7438">KY244</f>
        <v>0</v>
      </c>
      <c r="KZ245" s="108"/>
      <c r="LA245" s="81"/>
      <c r="LB245" s="82">
        <f t="shared" ref="LB245" si="7439">LB244</f>
        <v>0</v>
      </c>
      <c r="LC245" s="108"/>
      <c r="LD245" s="83"/>
      <c r="LE245" s="82">
        <f t="shared" ref="LE245" si="7440">LE244</f>
        <v>0</v>
      </c>
      <c r="LF245" s="108"/>
    </row>
    <row r="246" spans="1:318" s="784" customFormat="1">
      <c r="A246" s="25"/>
      <c r="B246" s="25"/>
      <c r="C246" s="25"/>
      <c r="D246" s="25"/>
      <c r="E246" s="25"/>
      <c r="F246" s="406"/>
      <c r="G246" s="406"/>
      <c r="H246" s="64"/>
      <c r="I246" s="52" t="s">
        <v>1578</v>
      </c>
      <c r="J246" s="97"/>
      <c r="K246" s="111" t="str">
        <f>Idiomas!D148</f>
        <v>ENFRENTAMIENTO FINAL</v>
      </c>
      <c r="L246" s="50"/>
      <c r="M246" s="70"/>
      <c r="N246" s="25"/>
      <c r="O246" s="25"/>
      <c r="P246" s="25"/>
      <c r="Q246" s="25"/>
      <c r="R246" s="17"/>
      <c r="S246" s="797"/>
      <c r="T246" s="82"/>
      <c r="U246" s="108"/>
      <c r="V246" s="83"/>
      <c r="W246" s="82"/>
      <c r="X246" s="108"/>
      <c r="Y246" s="797"/>
      <c r="Z246" s="82"/>
      <c r="AA246" s="108"/>
      <c r="AB246" s="797"/>
      <c r="AC246" s="82"/>
      <c r="AD246" s="108"/>
      <c r="AE246" s="797"/>
      <c r="AF246" s="82"/>
      <c r="AG246" s="108"/>
      <c r="AH246" s="797"/>
      <c r="AI246" s="82"/>
      <c r="AJ246" s="108"/>
      <c r="AK246" s="802"/>
      <c r="AL246" s="82"/>
      <c r="AM246" s="108"/>
      <c r="AN246" s="797"/>
      <c r="AO246" s="82"/>
      <c r="AP246" s="108"/>
      <c r="AQ246" s="802"/>
      <c r="AR246" s="82"/>
      <c r="AS246" s="108"/>
      <c r="AT246" s="797"/>
      <c r="AU246" s="82"/>
      <c r="AV246" s="108"/>
      <c r="AW246" s="797"/>
      <c r="AX246" s="82"/>
      <c r="AY246" s="108"/>
      <c r="AZ246" s="797"/>
      <c r="BA246" s="82"/>
      <c r="BB246" s="108"/>
      <c r="BC246" s="797"/>
      <c r="BD246" s="82"/>
      <c r="BE246" s="108"/>
      <c r="BF246" s="797"/>
      <c r="BG246" s="82"/>
      <c r="BH246" s="108"/>
      <c r="BI246" s="797"/>
      <c r="BJ246" s="82"/>
      <c r="BK246" s="108"/>
      <c r="BL246" s="797"/>
      <c r="BM246" s="82"/>
      <c r="BN246" s="108"/>
      <c r="BO246" s="812"/>
      <c r="BP246" s="82"/>
      <c r="BQ246" s="108"/>
      <c r="BR246" s="797"/>
      <c r="BS246" s="82"/>
      <c r="BT246" s="108"/>
      <c r="BU246" s="797"/>
      <c r="BV246" s="82"/>
      <c r="BW246" s="108"/>
      <c r="BX246" s="83"/>
      <c r="BY246" s="82"/>
      <c r="BZ246" s="108"/>
      <c r="CA246" s="812"/>
      <c r="CB246" s="82"/>
      <c r="CC246" s="108"/>
      <c r="CD246" s="821"/>
      <c r="CE246" s="82"/>
      <c r="CF246" s="108"/>
      <c r="CG246" s="797"/>
      <c r="CH246" s="82"/>
      <c r="CI246" s="108"/>
      <c r="CJ246" s="797"/>
      <c r="CK246" s="82"/>
      <c r="CL246" s="108"/>
      <c r="CM246" s="797"/>
      <c r="CN246" s="82"/>
      <c r="CO246" s="108"/>
      <c r="CP246" s="797"/>
      <c r="CQ246" s="82"/>
      <c r="CR246" s="108"/>
      <c r="CS246" s="797"/>
      <c r="CT246" s="82"/>
      <c r="CU246" s="108"/>
      <c r="CV246" s="797"/>
      <c r="CW246" s="82"/>
      <c r="CX246" s="108"/>
      <c r="CY246" s="797"/>
      <c r="CZ246" s="82"/>
      <c r="DA246" s="108"/>
      <c r="DB246" s="797"/>
      <c r="DC246" s="82"/>
      <c r="DD246" s="108"/>
      <c r="DE246" s="797"/>
      <c r="DF246" s="82"/>
      <c r="DG246" s="108"/>
      <c r="DH246" s="797"/>
      <c r="DI246" s="82"/>
      <c r="DJ246" s="108"/>
      <c r="DK246" s="797"/>
      <c r="DL246" s="82"/>
      <c r="DM246" s="108"/>
      <c r="DN246" s="83"/>
      <c r="DO246" s="82"/>
      <c r="DP246" s="108"/>
      <c r="DQ246" s="797"/>
      <c r="DR246" s="82"/>
      <c r="DS246" s="108"/>
      <c r="DT246" s="83"/>
      <c r="DU246" s="82"/>
      <c r="DV246" s="108"/>
      <c r="DW246" s="83"/>
      <c r="DX246" s="82"/>
      <c r="DY246" s="108"/>
      <c r="DZ246" s="83"/>
      <c r="EA246" s="82"/>
      <c r="EB246" s="108"/>
      <c r="EC246" s="83"/>
      <c r="ED246" s="82"/>
      <c r="EE246" s="108"/>
      <c r="EF246" s="83"/>
      <c r="EG246" s="82"/>
      <c r="EH246" s="108"/>
      <c r="EI246" s="83"/>
      <c r="EJ246" s="82"/>
      <c r="EK246" s="108"/>
      <c r="EL246" s="83"/>
      <c r="EM246" s="82"/>
      <c r="EN246" s="108"/>
      <c r="EO246" s="83"/>
      <c r="EP246" s="82"/>
      <c r="EQ246" s="108"/>
      <c r="ER246" s="83"/>
      <c r="ES246" s="82"/>
      <c r="ET246" s="108"/>
      <c r="EU246" s="83"/>
      <c r="EV246" s="82"/>
      <c r="EW246" s="108"/>
      <c r="EX246" s="83"/>
      <c r="EY246" s="82"/>
      <c r="EZ246" s="108"/>
      <c r="FA246" s="83"/>
      <c r="FB246" s="82"/>
      <c r="FC246" s="108"/>
      <c r="FD246" s="83"/>
      <c r="FE246" s="82"/>
      <c r="FF246" s="108"/>
      <c r="FG246" s="83"/>
      <c r="FH246" s="82"/>
      <c r="FI246" s="108"/>
      <c r="FJ246" s="83"/>
      <c r="FK246" s="82"/>
      <c r="FL246" s="108"/>
      <c r="FM246" s="83"/>
      <c r="FN246" s="82"/>
      <c r="FO246" s="108"/>
      <c r="FP246" s="83"/>
      <c r="FQ246" s="82"/>
      <c r="FR246" s="108"/>
      <c r="FS246" s="83"/>
      <c r="FT246" s="82"/>
      <c r="FU246" s="108"/>
      <c r="FV246" s="83"/>
      <c r="FW246" s="82"/>
      <c r="FX246" s="108"/>
      <c r="FY246" s="83"/>
      <c r="FZ246" s="82"/>
      <c r="GA246" s="108"/>
      <c r="GB246" s="83"/>
      <c r="GC246" s="82"/>
      <c r="GD246" s="108"/>
      <c r="GE246" s="83"/>
      <c r="GF246" s="82"/>
      <c r="GG246" s="108"/>
      <c r="GH246" s="83"/>
      <c r="GI246" s="82"/>
      <c r="GJ246" s="108"/>
      <c r="GK246" s="83"/>
      <c r="GL246" s="82"/>
      <c r="GM246" s="108"/>
      <c r="GN246" s="83"/>
      <c r="GO246" s="82"/>
      <c r="GP246" s="108"/>
      <c r="GQ246" s="83"/>
      <c r="GR246" s="82"/>
      <c r="GS246" s="108"/>
      <c r="GT246" s="83"/>
      <c r="GU246" s="82"/>
      <c r="GV246" s="108"/>
      <c r="GW246" s="83"/>
      <c r="GX246" s="82"/>
      <c r="GY246" s="108"/>
      <c r="GZ246" s="83"/>
      <c r="HA246" s="82"/>
      <c r="HB246" s="108"/>
      <c r="HC246" s="83"/>
      <c r="HD246" s="82"/>
      <c r="HE246" s="108"/>
      <c r="HF246" s="83"/>
      <c r="HG246" s="82"/>
      <c r="HH246" s="108"/>
      <c r="HI246" s="83"/>
      <c r="HJ246" s="82"/>
      <c r="HK246" s="108"/>
      <c r="HL246" s="83"/>
      <c r="HM246" s="82"/>
      <c r="HN246" s="108"/>
      <c r="HO246" s="83"/>
      <c r="HP246" s="82"/>
      <c r="HQ246" s="108"/>
      <c r="HR246" s="83"/>
      <c r="HS246" s="82"/>
      <c r="HT246" s="108"/>
      <c r="HU246" s="83"/>
      <c r="HV246" s="82"/>
      <c r="HW246" s="108"/>
      <c r="HX246" s="83"/>
      <c r="HY246" s="82"/>
      <c r="HZ246" s="108"/>
      <c r="IA246" s="83"/>
      <c r="IB246" s="82"/>
      <c r="IC246" s="108"/>
      <c r="ID246" s="83"/>
      <c r="IE246" s="82"/>
      <c r="IF246" s="108"/>
      <c r="IG246" s="83"/>
      <c r="IH246" s="82"/>
      <c r="II246" s="108"/>
      <c r="IJ246" s="83"/>
      <c r="IK246" s="82"/>
      <c r="IL246" s="108"/>
      <c r="IM246" s="83"/>
      <c r="IN246" s="82"/>
      <c r="IO246" s="108"/>
      <c r="IP246" s="83"/>
      <c r="IQ246" s="82"/>
      <c r="IR246" s="108"/>
      <c r="IS246" s="83"/>
      <c r="IT246" s="82"/>
      <c r="IU246" s="108"/>
      <c r="IV246" s="83"/>
      <c r="IW246" s="82"/>
      <c r="IX246" s="108"/>
      <c r="IY246" s="83"/>
      <c r="IZ246" s="82"/>
      <c r="JA246" s="108"/>
      <c r="JB246" s="83"/>
      <c r="JC246" s="82"/>
      <c r="JD246" s="108"/>
      <c r="JE246" s="83"/>
      <c r="JF246" s="82"/>
      <c r="JG246" s="108"/>
      <c r="JH246" s="83"/>
      <c r="JI246" s="82"/>
      <c r="JJ246" s="108"/>
      <c r="JK246" s="83"/>
      <c r="JL246" s="82"/>
      <c r="JM246" s="108"/>
      <c r="JN246" s="83"/>
      <c r="JO246" s="82"/>
      <c r="JP246" s="108"/>
      <c r="JQ246" s="83"/>
      <c r="JR246" s="82"/>
      <c r="JS246" s="108"/>
      <c r="JT246" s="83"/>
      <c r="JU246" s="82"/>
      <c r="JV246" s="108"/>
      <c r="JW246" s="83"/>
      <c r="JX246" s="82"/>
      <c r="JY246" s="108"/>
      <c r="JZ246" s="83"/>
      <c r="KA246" s="82"/>
      <c r="KB246" s="108"/>
      <c r="KC246" s="83"/>
      <c r="KD246" s="82"/>
      <c r="KE246" s="108"/>
      <c r="KF246" s="83"/>
      <c r="KG246" s="82"/>
      <c r="KH246" s="108"/>
      <c r="KI246" s="83"/>
      <c r="KJ246" s="82"/>
      <c r="KK246" s="108"/>
      <c r="KL246" s="83"/>
      <c r="KM246" s="82"/>
      <c r="KN246" s="108"/>
      <c r="KO246" s="83"/>
      <c r="KP246" s="82"/>
      <c r="KQ246" s="108"/>
      <c r="KR246" s="83"/>
      <c r="KS246" s="82"/>
      <c r="KT246" s="108"/>
      <c r="KU246" s="83"/>
      <c r="KV246" s="82"/>
      <c r="KW246" s="108"/>
      <c r="KX246" s="83"/>
      <c r="KY246" s="82"/>
      <c r="KZ246" s="108"/>
      <c r="LA246" s="83"/>
      <c r="LB246" s="82"/>
      <c r="LC246" s="108"/>
      <c r="LD246" s="83"/>
      <c r="LE246" s="82"/>
      <c r="LF246" s="108"/>
    </row>
    <row r="247" spans="1:318" s="784" customFormat="1" ht="20.399999999999999">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6">
        <f>SUM($D$36:$D$38)*$I$247</f>
        <v>30</v>
      </c>
      <c r="G247" s="406">
        <f ca="1">VLOOKUP(H247,Equipos!$Q$1:$R$25,2,0)</f>
        <v>24</v>
      </c>
      <c r="H247" s="64" t="str">
        <f>Idiomas!$D$264</f>
        <v>3-4 &amp; Final</v>
      </c>
      <c r="I247" s="45">
        <v>1</v>
      </c>
      <c r="J247" s="96" t="s">
        <v>4</v>
      </c>
      <c r="K247" s="112" t="str">
        <f>CONCATENATE(WORLDCUP!AA147,"-",WORLDCUP!AF147)</f>
        <v>W101-W102</v>
      </c>
      <c r="L247" s="112" t="str">
        <f>IF(OR(WORLDCUP!AC147="",WORLDCUP!AD147=""),"PD",IF(WORLDCUP!AC147&gt;WORLDCUP!AD147,1,IF(WORLDCUP!AC147&lt;WORLDCUP!AD147,2,0)))</f>
        <v>PD</v>
      </c>
      <c r="M247" s="115" t="str">
        <f>IF(L247="PD","-",N247&amp;"-"&amp;O247)</f>
        <v>-</v>
      </c>
      <c r="N247" s="25">
        <f>WORLDCUP!AC147</f>
        <v>0</v>
      </c>
      <c r="O247" s="25">
        <f>WORLDCUP!AD147</f>
        <v>0</v>
      </c>
      <c r="P247" s="25">
        <f>+N247-O247</f>
        <v>0</v>
      </c>
      <c r="Q247" s="25">
        <f>+A247-B247</f>
        <v>0</v>
      </c>
      <c r="R247" s="17"/>
      <c r="S247" s="798" t="s">
        <v>1995</v>
      </c>
      <c r="T247" s="84">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08"/>
      <c r="V247" s="65" t="s">
        <v>2040</v>
      </c>
      <c r="W247" s="84">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08"/>
      <c r="Y247" s="798" t="s">
        <v>2083</v>
      </c>
      <c r="Z247" s="84">
        <f t="shared" ref="Z247" si="7441">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08"/>
      <c r="AB247" s="798" t="s">
        <v>2116</v>
      </c>
      <c r="AC247" s="84">
        <f t="shared" ref="AC247" si="7442">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08"/>
      <c r="AE247" s="798" t="s">
        <v>2151</v>
      </c>
      <c r="AF247" s="84">
        <f t="shared" ref="AF247" si="7443">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08"/>
      <c r="AH247" s="798" t="s">
        <v>2187</v>
      </c>
      <c r="AI247" s="84">
        <f>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08"/>
      <c r="AK247" s="806" t="s">
        <v>2224</v>
      </c>
      <c r="AL247" s="84">
        <f>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08"/>
      <c r="AN247" s="798" t="s">
        <v>2248</v>
      </c>
      <c r="AO247" s="84">
        <f t="shared" ref="AO247" si="7444">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08"/>
      <c r="AQ247" s="806" t="s">
        <v>2276</v>
      </c>
      <c r="AR247" s="84">
        <f t="shared" ref="AR247" si="7445">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08"/>
      <c r="AT247" s="798" t="s">
        <v>2187</v>
      </c>
      <c r="AU247" s="84">
        <f t="shared" ref="AU247" si="7446">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08"/>
      <c r="AW247" s="798" t="s">
        <v>2331</v>
      </c>
      <c r="AX247" s="84">
        <f>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08"/>
      <c r="AZ247" s="798" t="s">
        <v>2382</v>
      </c>
      <c r="BA247" s="84">
        <f>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08"/>
      <c r="BC247" s="798" t="s">
        <v>2413</v>
      </c>
      <c r="BD247" s="84">
        <f t="shared" ref="BD247" si="7447">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08"/>
      <c r="BF247" s="798" t="s">
        <v>2440</v>
      </c>
      <c r="BG247" s="84">
        <f t="shared" ref="BG247" si="7448">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08"/>
      <c r="BI247" s="798" t="s">
        <v>2471</v>
      </c>
      <c r="BJ247" s="84">
        <f t="shared" ref="BJ247" si="7449">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08"/>
      <c r="BL247" s="798" t="s">
        <v>2040</v>
      </c>
      <c r="BM247" s="84">
        <f>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08"/>
      <c r="BO247" s="816" t="s">
        <v>2185</v>
      </c>
      <c r="BP247" s="84">
        <f>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08"/>
      <c r="BR247" s="798" t="s">
        <v>2040</v>
      </c>
      <c r="BS247" s="84">
        <f t="shared" ref="BS247" si="7450">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08"/>
      <c r="BU247" s="798" t="s">
        <v>2552</v>
      </c>
      <c r="BV247" s="84">
        <f t="shared" ref="BV247" si="7451">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08"/>
      <c r="BX247" s="65" t="s">
        <v>2570</v>
      </c>
      <c r="BY247" s="84">
        <f t="shared" ref="BY247" si="7452">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08"/>
      <c r="CA247" s="816" t="s">
        <v>2588</v>
      </c>
      <c r="CB247" s="84">
        <f>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08"/>
      <c r="CD247" s="825" t="s">
        <v>2151</v>
      </c>
      <c r="CE247" s="84">
        <f>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08"/>
      <c r="CG247" s="798" t="s">
        <v>2471</v>
      </c>
      <c r="CH247" s="84">
        <f t="shared" ref="CH247" si="745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08"/>
      <c r="CJ247" s="798" t="s">
        <v>2636</v>
      </c>
      <c r="CK247" s="84">
        <f t="shared" ref="CK247" si="745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08"/>
      <c r="CM247" s="798" t="s">
        <v>2714</v>
      </c>
      <c r="CN247" s="84">
        <f t="shared" ref="CN247" si="745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08"/>
      <c r="CP247" s="798" t="s">
        <v>2688</v>
      </c>
      <c r="CQ247" s="84">
        <f>IFERROR(IF(LEFT(CP247,FIND("·",CP247)-1)=$K$247,IF($L$247=IFERROR(VALUE(MID(CP247,FIND("·",CP247)+1,1)),0),($D$36+($M$247=MID(CP247,FIND("|",CP247)+1,10))*$D$38+MAX(0,IF($D$50=1,$D$37*(1-(ABS($P$247-(VALUE(MID(CP247,FIND("|",CP247)+1,FIND("-",CP247,FIND("|",CP247))-FIND("|",CP247)-1))-VALUE(MID(CP247,FIND("-",CP247,FIND("|",CP247))+1,10)))))*$D$50),$D$37*(1-(IF($L$247=0,ABS($N$247-VALUE(MID(CP247,FIND("|",CP247)+1,FIND("-",CP247,FIND("|",CP247))-FIND("|",CP247)-1))),ABS($P$247-(VALUE(MID(CP247,FIND("|",CP247)+1,FIND("-",CP247,FIND("|",CP247))-FIND("|",CP247)-1))-VALUE(MID(CP247,FIND("-",CP247,FIND("|",CP247))+1,10)))))*$D$50)))))*$I$247,0),0),0)
+IFERROR(IF(LEFT(CP247,FIND("·",CP247)-1)=$C$247,IF($D$247=IFERROR(VALUE(MID(CP247,FIND("·",CP247)+1,1)),0),($D$36+($E$247=MID(CP247,FIND("|",CP247)+1,10))*$D$38+MAX(0,IF($D$50=1,$D$37*(1-(ABS($Q$247-(VALUE(MID(CP247,FIND("|",CP247)+1,FIND("-",CP247,FIND("|",CP247))-FIND("|",CP247)-1))-VALUE(MID(CP247,FIND("-",CP247,FIND("|",CP247))+1,10)))))*$D$50),$D$37*(1-(IF($D$247=0,ABS($A$247-VALUE(MID(CP247,FIND("|",CP247)+1,FIND("-",CP247,FIND("|",CP247))-FIND("|",CP247)-1))),ABS($Q$247-(VALUE(MID(CP247,FIND("|",CP247)+1,FIND("-",CP247,FIND("|",CP247))-FIND("|",CP247)-1))-VALUE(MID(CP247,FIND("-",CP247,FIND("|",CP247))+1,10)))))*$D$50)))))*$I$247,0),0),0)</f>
        <v>0</v>
      </c>
      <c r="CR247" s="108"/>
      <c r="CS247" s="798" t="s">
        <v>2706</v>
      </c>
      <c r="CT247" s="84">
        <f>IFERROR(IF(LEFT(CS247,FIND("·",CS247)-1)=$K$247,IF($L$247=IFERROR(VALUE(MID(CS247,FIND("·",CS247)+1,1)),0),($D$36+($M$247=MID(CS247,FIND("|",CS247)+1,10))*$D$38+MAX(0,IF($D$50=1,$D$37*(1-(ABS($P$247-(VALUE(MID(CS247,FIND("|",CS247)+1,FIND("-",CS247,FIND("|",CS247))-FIND("|",CS247)-1))-VALUE(MID(CS247,FIND("-",CS247,FIND("|",CS247))+1,10)))))*$D$50),$D$37*(1-(IF($L$247=0,ABS($N$247-VALUE(MID(CS247,FIND("|",CS247)+1,FIND("-",CS247,FIND("|",CS247))-FIND("|",CS247)-1))),ABS($P$247-(VALUE(MID(CS247,FIND("|",CS247)+1,FIND("-",CS247,FIND("|",CS247))-FIND("|",CS247)-1))-VALUE(MID(CS247,FIND("-",CS247,FIND("|",CS247))+1,10)))))*$D$50)))))*$I$247,0),0),0)
+IFERROR(IF(LEFT(CS247,FIND("·",CS247)-1)=$C$247,IF($D$247=IFERROR(VALUE(MID(CS247,FIND("·",CS247)+1,1)),0),($D$36+($E$247=MID(CS247,FIND("|",CS247)+1,10))*$D$38+MAX(0,IF($D$50=1,$D$37*(1-(ABS($Q$247-(VALUE(MID(CS247,FIND("|",CS247)+1,FIND("-",CS247,FIND("|",CS247))-FIND("|",CS247)-1))-VALUE(MID(CS247,FIND("-",CS247,FIND("|",CS247))+1,10)))))*$D$50),$D$37*(1-(IF($D$247=0,ABS($A$247-VALUE(MID(CS247,FIND("|",CS247)+1,FIND("-",CS247,FIND("|",CS247))-FIND("|",CS247)-1))),ABS($Q$247-(VALUE(MID(CS247,FIND("|",CS247)+1,FIND("-",CS247,FIND("|",CS247))-FIND("|",CS247)-1))-VALUE(MID(CS247,FIND("-",CS247,FIND("|",CS247))+1,10)))))*$D$50)))))*$I$247,0),0),0)</f>
        <v>0</v>
      </c>
      <c r="CU247" s="108"/>
      <c r="CV247" s="798" t="s">
        <v>2741</v>
      </c>
      <c r="CW247" s="84">
        <f t="shared" ref="CW247" si="7456">IFERROR(IF(LEFT(CV247,FIND("·",CV247)-1)=$K$247,IF($L$247=IFERROR(VALUE(MID(CV247,FIND("·",CV247)+1,1)),0),($D$36+($M$247=MID(CV247,FIND("|",CV247)+1,10))*$D$38+MAX(0,IF($D$50=1,$D$37*(1-(ABS($P$247-(VALUE(MID(CV247,FIND("|",CV247)+1,FIND("-",CV247,FIND("|",CV247))-FIND("|",CV247)-1))-VALUE(MID(CV247,FIND("-",CV247,FIND("|",CV247))+1,10)))))*$D$50),$D$37*(1-(IF($L$247=0,ABS($N$247-VALUE(MID(CV247,FIND("|",CV247)+1,FIND("-",CV247,FIND("|",CV247))-FIND("|",CV247)-1))),ABS($P$247-(VALUE(MID(CV247,FIND("|",CV247)+1,FIND("-",CV247,FIND("|",CV247))-FIND("|",CV247)-1))-VALUE(MID(CV247,FIND("-",CV247,FIND("|",CV247))+1,10)))))*$D$50)))))*$I$247,0),0),0)
+IFERROR(IF(LEFT(CV247,FIND("·",CV247)-1)=$C$247,IF($D$247=IFERROR(VALUE(MID(CV247,FIND("·",CV247)+1,1)),0),($D$36+($E$247=MID(CV247,FIND("|",CV247)+1,10))*$D$38+MAX(0,IF($D$50=1,$D$37*(1-(ABS($Q$247-(VALUE(MID(CV247,FIND("|",CV247)+1,FIND("-",CV247,FIND("|",CV247))-FIND("|",CV247)-1))-VALUE(MID(CV247,FIND("-",CV247,FIND("|",CV247))+1,10)))))*$D$50),$D$37*(1-(IF($D$247=0,ABS($A$247-VALUE(MID(CV247,FIND("|",CV247)+1,FIND("-",CV247,FIND("|",CV247))-FIND("|",CV247)-1))),ABS($Q$247-(VALUE(MID(CV247,FIND("|",CV247)+1,FIND("-",CV247,FIND("|",CV247))-FIND("|",CV247)-1))-VALUE(MID(CV247,FIND("-",CV247,FIND("|",CV247))+1,10)))))*$D$50)))))*$I$247,0),0),0)</f>
        <v>0</v>
      </c>
      <c r="CX247" s="108"/>
      <c r="CY247" s="798" t="s">
        <v>2276</v>
      </c>
      <c r="CZ247" s="84">
        <f t="shared" ref="CZ247" si="7457">IFERROR(IF(LEFT(CY247,FIND("·",CY247)-1)=$K$247,IF($L$247=IFERROR(VALUE(MID(CY247,FIND("·",CY247)+1,1)),0),($D$36+($M$247=MID(CY247,FIND("|",CY247)+1,10))*$D$38+MAX(0,IF($D$50=1,$D$37*(1-(ABS($P$247-(VALUE(MID(CY247,FIND("|",CY247)+1,FIND("-",CY247,FIND("|",CY247))-FIND("|",CY247)-1))-VALUE(MID(CY247,FIND("-",CY247,FIND("|",CY247))+1,10)))))*$D$50),$D$37*(1-(IF($L$247=0,ABS($N$247-VALUE(MID(CY247,FIND("|",CY247)+1,FIND("-",CY247,FIND("|",CY247))-FIND("|",CY247)-1))),ABS($P$247-(VALUE(MID(CY247,FIND("|",CY247)+1,FIND("-",CY247,FIND("|",CY247))-FIND("|",CY247)-1))-VALUE(MID(CY247,FIND("-",CY247,FIND("|",CY247))+1,10)))))*$D$50)))))*$I$247,0),0),0)
+IFERROR(IF(LEFT(CY247,FIND("·",CY247)-1)=$C$247,IF($D$247=IFERROR(VALUE(MID(CY247,FIND("·",CY247)+1,1)),0),($D$36+($E$247=MID(CY247,FIND("|",CY247)+1,10))*$D$38+MAX(0,IF($D$50=1,$D$37*(1-(ABS($Q$247-(VALUE(MID(CY247,FIND("|",CY247)+1,FIND("-",CY247,FIND("|",CY247))-FIND("|",CY247)-1))-VALUE(MID(CY247,FIND("-",CY247,FIND("|",CY247))+1,10)))))*$D$50),$D$37*(1-(IF($D$247=0,ABS($A$247-VALUE(MID(CY247,FIND("|",CY247)+1,FIND("-",CY247,FIND("|",CY247))-FIND("|",CY247)-1))),ABS($Q$247-(VALUE(MID(CY247,FIND("|",CY247)+1,FIND("-",CY247,FIND("|",CY247))-FIND("|",CY247)-1))-VALUE(MID(CY247,FIND("-",CY247,FIND("|",CY247))+1,10)))))*$D$50)))))*$I$247,0),0),0)</f>
        <v>0</v>
      </c>
      <c r="DA247" s="108"/>
      <c r="DB247" s="798" t="s">
        <v>2788</v>
      </c>
      <c r="DC247" s="84">
        <f t="shared" ref="DC247" si="7458">IFERROR(IF(LEFT(DB247,FIND("·",DB247)-1)=$K$247,IF($L$247=IFERROR(VALUE(MID(DB247,FIND("·",DB247)+1,1)),0),($D$36+($M$247=MID(DB247,FIND("|",DB247)+1,10))*$D$38+MAX(0,IF($D$50=1,$D$37*(1-(ABS($P$247-(VALUE(MID(DB247,FIND("|",DB247)+1,FIND("-",DB247,FIND("|",DB247))-FIND("|",DB247)-1))-VALUE(MID(DB247,FIND("-",DB247,FIND("|",DB247))+1,10)))))*$D$50),$D$37*(1-(IF($L$247=0,ABS($N$247-VALUE(MID(DB247,FIND("|",DB247)+1,FIND("-",DB247,FIND("|",DB247))-FIND("|",DB247)-1))),ABS($P$247-(VALUE(MID(DB247,FIND("|",DB247)+1,FIND("-",DB247,FIND("|",DB247))-FIND("|",DB247)-1))-VALUE(MID(DB247,FIND("-",DB247,FIND("|",DB247))+1,10)))))*$D$50)))))*$I$247,0),0),0)
+IFERROR(IF(LEFT(DB247,FIND("·",DB247)-1)=$C$247,IF($D$247=IFERROR(VALUE(MID(DB247,FIND("·",DB247)+1,1)),0),($D$36+($E$247=MID(DB247,FIND("|",DB247)+1,10))*$D$38+MAX(0,IF($D$50=1,$D$37*(1-(ABS($Q$247-(VALUE(MID(DB247,FIND("|",DB247)+1,FIND("-",DB247,FIND("|",DB247))-FIND("|",DB247)-1))-VALUE(MID(DB247,FIND("-",DB247,FIND("|",DB247))+1,10)))))*$D$50),$D$37*(1-(IF($D$247=0,ABS($A$247-VALUE(MID(DB247,FIND("|",DB247)+1,FIND("-",DB247,FIND("|",DB247))-FIND("|",DB247)-1))),ABS($Q$247-(VALUE(MID(DB247,FIND("|",DB247)+1,FIND("-",DB247,FIND("|",DB247))-FIND("|",DB247)-1))-VALUE(MID(DB247,FIND("-",DB247,FIND("|",DB247))+1,10)))))*$D$50)))))*$I$247,0),0),0)</f>
        <v>0</v>
      </c>
      <c r="DD247" s="108"/>
      <c r="DE247" s="798" t="s">
        <v>2248</v>
      </c>
      <c r="DF247" s="84">
        <f>IFERROR(IF(LEFT(DE247,FIND("·",DE247)-1)=$K$247,IF($L$247=IFERROR(VALUE(MID(DE247,FIND("·",DE247)+1,1)),0),($D$36+($M$247=MID(DE247,FIND("|",DE247)+1,10))*$D$38+MAX(0,IF($D$50=1,$D$37*(1-(ABS($P$247-(VALUE(MID(DE247,FIND("|",DE247)+1,FIND("-",DE247,FIND("|",DE247))-FIND("|",DE247)-1))-VALUE(MID(DE247,FIND("-",DE247,FIND("|",DE247))+1,10)))))*$D$50),$D$37*(1-(IF($L$247=0,ABS($N$247-VALUE(MID(DE247,FIND("|",DE247)+1,FIND("-",DE247,FIND("|",DE247))-FIND("|",DE247)-1))),ABS($P$247-(VALUE(MID(DE247,FIND("|",DE247)+1,FIND("-",DE247,FIND("|",DE247))-FIND("|",DE247)-1))-VALUE(MID(DE247,FIND("-",DE247,FIND("|",DE247))+1,10)))))*$D$50)))))*$I$247,0),0),0)
+IFERROR(IF(LEFT(DE247,FIND("·",DE247)-1)=$C$247,IF($D$247=IFERROR(VALUE(MID(DE247,FIND("·",DE247)+1,1)),0),($D$36+($E$247=MID(DE247,FIND("|",DE247)+1,10))*$D$38+MAX(0,IF($D$50=1,$D$37*(1-(ABS($Q$247-(VALUE(MID(DE247,FIND("|",DE247)+1,FIND("-",DE247,FIND("|",DE247))-FIND("|",DE247)-1))-VALUE(MID(DE247,FIND("-",DE247,FIND("|",DE247))+1,10)))))*$D$50),$D$37*(1-(IF($D$247=0,ABS($A$247-VALUE(MID(DE247,FIND("|",DE247)+1,FIND("-",DE247,FIND("|",DE247))-FIND("|",DE247)-1))),ABS($Q$247-(VALUE(MID(DE247,FIND("|",DE247)+1,FIND("-",DE247,FIND("|",DE247))-FIND("|",DE247)-1))-VALUE(MID(DE247,FIND("-",DE247,FIND("|",DE247))+1,10)))))*$D$50)))))*$I$247,0),0),0)</f>
        <v>0</v>
      </c>
      <c r="DG247" s="108"/>
      <c r="DH247" s="798" t="s">
        <v>2248</v>
      </c>
      <c r="DI247" s="84">
        <f>IFERROR(IF(LEFT(DH247,FIND("·",DH247)-1)=$K$247,IF($L$247=IFERROR(VALUE(MID(DH247,FIND("·",DH247)+1,1)),0),($D$36+($M$247=MID(DH247,FIND("|",DH247)+1,10))*$D$38+MAX(0,IF($D$50=1,$D$37*(1-(ABS($P$247-(VALUE(MID(DH247,FIND("|",DH247)+1,FIND("-",DH247,FIND("|",DH247))-FIND("|",DH247)-1))-VALUE(MID(DH247,FIND("-",DH247,FIND("|",DH247))+1,10)))))*$D$50),$D$37*(1-(IF($L$247=0,ABS($N$247-VALUE(MID(DH247,FIND("|",DH247)+1,FIND("-",DH247,FIND("|",DH247))-FIND("|",DH247)-1))),ABS($P$247-(VALUE(MID(DH247,FIND("|",DH247)+1,FIND("-",DH247,FIND("|",DH247))-FIND("|",DH247)-1))-VALUE(MID(DH247,FIND("-",DH247,FIND("|",DH247))+1,10)))))*$D$50)))))*$I$247,0),0),0)
+IFERROR(IF(LEFT(DH247,FIND("·",DH247)-1)=$C$247,IF($D$247=IFERROR(VALUE(MID(DH247,FIND("·",DH247)+1,1)),0),($D$36+($E$247=MID(DH247,FIND("|",DH247)+1,10))*$D$38+MAX(0,IF($D$50=1,$D$37*(1-(ABS($Q$247-(VALUE(MID(DH247,FIND("|",DH247)+1,FIND("-",DH247,FIND("|",DH247))-FIND("|",DH247)-1))-VALUE(MID(DH247,FIND("-",DH247,FIND("|",DH247))+1,10)))))*$D$50),$D$37*(1-(IF($D$247=0,ABS($A$247-VALUE(MID(DH247,FIND("|",DH247)+1,FIND("-",DH247,FIND("|",DH247))-FIND("|",DH247)-1))),ABS($Q$247-(VALUE(MID(DH247,FIND("|",DH247)+1,FIND("-",DH247,FIND("|",DH247))-FIND("|",DH247)-1))-VALUE(MID(DH247,FIND("-",DH247,FIND("|",DH247))+1,10)))))*$D$50)))))*$I$247,0),0),0)</f>
        <v>0</v>
      </c>
      <c r="DJ247" s="108"/>
      <c r="DK247" s="798" t="s">
        <v>2822</v>
      </c>
      <c r="DL247" s="84">
        <f>IFERROR(IF(LEFT(DK247,FIND("·",DK247)-1)=$K$247,IF($L$247=IFERROR(VALUE(MID(DK247,FIND("·",DK247)+1,1)),0),($D$36+($M$247=MID(DK247,FIND("|",DK247)+1,10))*$D$38+MAX(0,IF($D$50=1,$D$37*(1-(ABS($P$247-(VALUE(MID(DK247,FIND("|",DK247)+1,FIND("-",DK247,FIND("|",DK247))-FIND("|",DK247)-1))-VALUE(MID(DK247,FIND("-",DK247,FIND("|",DK247))+1,10)))))*$D$50),$D$37*(1-(IF($L$247=0,ABS($N$247-VALUE(MID(DK247,FIND("|",DK247)+1,FIND("-",DK247,FIND("|",DK247))-FIND("|",DK247)-1))),ABS($P$247-(VALUE(MID(DK247,FIND("|",DK247)+1,FIND("-",DK247,FIND("|",DK247))-FIND("|",DK247)-1))-VALUE(MID(DK247,FIND("-",DK247,FIND("|",DK247))+1,10)))))*$D$50)))))*$I$247,0),0),0)
+IFERROR(IF(LEFT(DK247,FIND("·",DK247)-1)=$C$247,IF($D$247=IFERROR(VALUE(MID(DK247,FIND("·",DK247)+1,1)),0),($D$36+($E$247=MID(DK247,FIND("|",DK247)+1,10))*$D$38+MAX(0,IF($D$50=1,$D$37*(1-(ABS($Q$247-(VALUE(MID(DK247,FIND("|",DK247)+1,FIND("-",DK247,FIND("|",DK247))-FIND("|",DK247)-1))-VALUE(MID(DK247,FIND("-",DK247,FIND("|",DK247))+1,10)))))*$D$50),$D$37*(1-(IF($D$247=0,ABS($A$247-VALUE(MID(DK247,FIND("|",DK247)+1,FIND("-",DK247,FIND("|",DK247))-FIND("|",DK247)-1))),ABS($Q$247-(VALUE(MID(DK247,FIND("|",DK247)+1,FIND("-",DK247,FIND("|",DK247))-FIND("|",DK247)-1))-VALUE(MID(DK247,FIND("-",DK247,FIND("|",DK247))+1,10)))))*$D$50)))))*$I$247,0),0),0)</f>
        <v>0</v>
      </c>
      <c r="DM247" s="108"/>
      <c r="DN247" s="65"/>
      <c r="DO247" s="84">
        <f t="shared" ref="DO247" si="7459">IFERROR(IF(LEFT(DN247,FIND("·",DN247)-1)=$K$247,IF($L$247=IFERROR(VALUE(MID(DN247,FIND("·",DN247)+1,1)),0),($D$36+($M$247=MID(DN247,FIND("|",DN247)+1,10))*$D$38+MAX(0,IF($D$50=1,$D$37*(1-(ABS($P$247-(VALUE(MID(DN247,FIND("|",DN247)+1,FIND("-",DN247,FIND("|",DN247))-FIND("|",DN247)-1))-VALUE(MID(DN247,FIND("-",DN247,FIND("|",DN247))+1,10)))))*$D$50),$D$37*(1-(IF($L$247=0,ABS($N$247-VALUE(MID(DN247,FIND("|",DN247)+1,FIND("-",DN247,FIND("|",DN247))-FIND("|",DN247)-1))),ABS($P$247-(VALUE(MID(DN247,FIND("|",DN247)+1,FIND("-",DN247,FIND("|",DN247))-FIND("|",DN247)-1))-VALUE(MID(DN247,FIND("-",DN247,FIND("|",DN247))+1,10)))))*$D$50)))))*$I$247,0),0),0)
+IFERROR(IF(LEFT(DN247,FIND("·",DN247)-1)=$C$247,IF($D$247=IFERROR(VALUE(MID(DN247,FIND("·",DN247)+1,1)),0),($D$36+($E$247=MID(DN247,FIND("|",DN247)+1,10))*$D$38+MAX(0,IF($D$50=1,$D$37*(1-(ABS($Q$247-(VALUE(MID(DN247,FIND("|",DN247)+1,FIND("-",DN247,FIND("|",DN247))-FIND("|",DN247)-1))-VALUE(MID(DN247,FIND("-",DN247,FIND("|",DN247))+1,10)))))*$D$50),$D$37*(1-(IF($D$247=0,ABS($A$247-VALUE(MID(DN247,FIND("|",DN247)+1,FIND("-",DN247,FIND("|",DN247))-FIND("|",DN247)-1))),ABS($Q$247-(VALUE(MID(DN247,FIND("|",DN247)+1,FIND("-",DN247,FIND("|",DN247))-FIND("|",DN247)-1))-VALUE(MID(DN247,FIND("-",DN247,FIND("|",DN247))+1,10)))))*$D$50)))))*$I$247,0),0),0)</f>
        <v>0</v>
      </c>
      <c r="DP247" s="108"/>
      <c r="DQ247" s="798" t="s">
        <v>2845</v>
      </c>
      <c r="DR247" s="84">
        <f t="shared" ref="DR247" si="7460">IFERROR(IF(LEFT(DQ247,FIND("·",DQ247)-1)=$K$247,IF($L$247=IFERROR(VALUE(MID(DQ247,FIND("·",DQ247)+1,1)),0),($D$36+($M$247=MID(DQ247,FIND("|",DQ247)+1,10))*$D$38+MAX(0,IF($D$50=1,$D$37*(1-(ABS($P$247-(VALUE(MID(DQ247,FIND("|",DQ247)+1,FIND("-",DQ247,FIND("|",DQ247))-FIND("|",DQ247)-1))-VALUE(MID(DQ247,FIND("-",DQ247,FIND("|",DQ247))+1,10)))))*$D$50),$D$37*(1-(IF($L$247=0,ABS($N$247-VALUE(MID(DQ247,FIND("|",DQ247)+1,FIND("-",DQ247,FIND("|",DQ247))-FIND("|",DQ247)-1))),ABS($P$247-(VALUE(MID(DQ247,FIND("|",DQ247)+1,FIND("-",DQ247,FIND("|",DQ247))-FIND("|",DQ247)-1))-VALUE(MID(DQ247,FIND("-",DQ247,FIND("|",DQ247))+1,10)))))*$D$50)))))*$I$247,0),0),0)
+IFERROR(IF(LEFT(DQ247,FIND("·",DQ247)-1)=$C$247,IF($D$247=IFERROR(VALUE(MID(DQ247,FIND("·",DQ247)+1,1)),0),($D$36+($E$247=MID(DQ247,FIND("|",DQ247)+1,10))*$D$38+MAX(0,IF($D$50=1,$D$37*(1-(ABS($Q$247-(VALUE(MID(DQ247,FIND("|",DQ247)+1,FIND("-",DQ247,FIND("|",DQ247))-FIND("|",DQ247)-1))-VALUE(MID(DQ247,FIND("-",DQ247,FIND("|",DQ247))+1,10)))))*$D$50),$D$37*(1-(IF($D$247=0,ABS($A$247-VALUE(MID(DQ247,FIND("|",DQ247)+1,FIND("-",DQ247,FIND("|",DQ247))-FIND("|",DQ247)-1))),ABS($Q$247-(VALUE(MID(DQ247,FIND("|",DQ247)+1,FIND("-",DQ247,FIND("|",DQ247))-FIND("|",DQ247)-1))-VALUE(MID(DQ247,FIND("-",DQ247,FIND("|",DQ247))+1,10)))))*$D$50)))))*$I$247,0),0),0)</f>
        <v>0</v>
      </c>
      <c r="DS247" s="108"/>
      <c r="DT247" s="65" t="s">
        <v>2875</v>
      </c>
      <c r="DU247" s="84">
        <f>IFERROR(IF(LEFT(DT247,FIND("·",DT247)-1)=$K$247,IF($L$247=IFERROR(VALUE(MID(DT247,FIND("·",DT247)+1,1)),0),($D$36+($M$247=MID(DT247,FIND("|",DT247)+1,10))*$D$38+MAX(0,IF($D$50=1,$D$37*(1-(ABS($P$247-(VALUE(MID(DT247,FIND("|",DT247)+1,FIND("-",DT247,FIND("|",DT247))-FIND("|",DT247)-1))-VALUE(MID(DT247,FIND("-",DT247,FIND("|",DT247))+1,10)))))*$D$50),$D$37*(1-(IF($L$247=0,ABS($N$247-VALUE(MID(DT247,FIND("|",DT247)+1,FIND("-",DT247,FIND("|",DT247))-FIND("|",DT247)-1))),ABS($P$247-(VALUE(MID(DT247,FIND("|",DT247)+1,FIND("-",DT247,FIND("|",DT247))-FIND("|",DT247)-1))-VALUE(MID(DT247,FIND("-",DT247,FIND("|",DT247))+1,10)))))*$D$50)))))*$I$247,0),0),0)
+IFERROR(IF(LEFT(DT247,FIND("·",DT247)-1)=$C$247,IF($D$247=IFERROR(VALUE(MID(DT247,FIND("·",DT247)+1,1)),0),($D$36+($E$247=MID(DT247,FIND("|",DT247)+1,10))*$D$38+MAX(0,IF($D$50=1,$D$37*(1-(ABS($Q$247-(VALUE(MID(DT247,FIND("|",DT247)+1,FIND("-",DT247,FIND("|",DT247))-FIND("|",DT247)-1))-VALUE(MID(DT247,FIND("-",DT247,FIND("|",DT247))+1,10)))))*$D$50),$D$37*(1-(IF($D$247=0,ABS($A$247-VALUE(MID(DT247,FIND("|",DT247)+1,FIND("-",DT247,FIND("|",DT247))-FIND("|",DT247)-1))),ABS($Q$247-(VALUE(MID(DT247,FIND("|",DT247)+1,FIND("-",DT247,FIND("|",DT247))-FIND("|",DT247)-1))-VALUE(MID(DT247,FIND("-",DT247,FIND("|",DT247))+1,10)))))*$D$50)))))*$I$247,0),0),0)</f>
        <v>0</v>
      </c>
      <c r="DV247" s="108"/>
      <c r="DW247" s="65"/>
      <c r="DX247" s="84">
        <f>IFERROR(IF(LEFT(DW247,FIND("·",DW247)-1)=$K$247,IF($L$247=IFERROR(VALUE(MID(DW247,FIND("·",DW247)+1,1)),0),($D$36+($M$247=MID(DW247,FIND("|",DW247)+1,10))*$D$38+MAX(0,IF($D$50=1,$D$37*(1-(ABS($P$247-(VALUE(MID(DW247,FIND("|",DW247)+1,FIND("-",DW247,FIND("|",DW247))-FIND("|",DW247)-1))-VALUE(MID(DW247,FIND("-",DW247,FIND("|",DW247))+1,10)))))*$D$50),$D$37*(1-(IF($L$247=0,ABS($N$247-VALUE(MID(DW247,FIND("|",DW247)+1,FIND("-",DW247,FIND("|",DW247))-FIND("|",DW247)-1))),ABS($P$247-(VALUE(MID(DW247,FIND("|",DW247)+1,FIND("-",DW247,FIND("|",DW247))-FIND("|",DW247)-1))-VALUE(MID(DW247,FIND("-",DW247,FIND("|",DW247))+1,10)))))*$D$50)))))*$I$247,0),0),0)
+IFERROR(IF(LEFT(DW247,FIND("·",DW247)-1)=$C$247,IF($D$247=IFERROR(VALUE(MID(DW247,FIND("·",DW247)+1,1)),0),($D$36+($E$247=MID(DW247,FIND("|",DW247)+1,10))*$D$38+MAX(0,IF($D$50=1,$D$37*(1-(ABS($Q$247-(VALUE(MID(DW247,FIND("|",DW247)+1,FIND("-",DW247,FIND("|",DW247))-FIND("|",DW247)-1))-VALUE(MID(DW247,FIND("-",DW247,FIND("|",DW247))+1,10)))))*$D$50),$D$37*(1-(IF($D$247=0,ABS($A$247-VALUE(MID(DW247,FIND("|",DW247)+1,FIND("-",DW247,FIND("|",DW247))-FIND("|",DW247)-1))),ABS($Q$247-(VALUE(MID(DW247,FIND("|",DW247)+1,FIND("-",DW247,FIND("|",DW247))-FIND("|",DW247)-1))-VALUE(MID(DW247,FIND("-",DW247,FIND("|",DW247))+1,10)))))*$D$50)))))*$I$247,0),0),0)</f>
        <v>0</v>
      </c>
      <c r="DY247" s="108"/>
      <c r="DZ247" s="65"/>
      <c r="EA247" s="84">
        <f>IFERROR(IF(LEFT(DZ247,FIND("·",DZ247)-1)=$K$247,IF($L$247=IFERROR(VALUE(MID(DZ247,FIND("·",DZ247)+1,1)),0),($D$36+($M$247=MID(DZ247,FIND("|",DZ247)+1,10))*$D$38+MAX(0,IF($D$50=1,$D$37*(1-(ABS($P$247-(VALUE(MID(DZ247,FIND("|",DZ247)+1,FIND("-",DZ247,FIND("|",DZ247))-FIND("|",DZ247)-1))-VALUE(MID(DZ247,FIND("-",DZ247,FIND("|",DZ247))+1,10)))))*$D$50),$D$37*(1-(IF($L$247=0,ABS($N$247-VALUE(MID(DZ247,FIND("|",DZ247)+1,FIND("-",DZ247,FIND("|",DZ247))-FIND("|",DZ247)-1))),ABS($P$247-(VALUE(MID(DZ247,FIND("|",DZ247)+1,FIND("-",DZ247,FIND("|",DZ247))-FIND("|",DZ247)-1))-VALUE(MID(DZ247,FIND("-",DZ247,FIND("|",DZ247))+1,10)))))*$D$50)))))*$I$247,0),0),0)
+IFERROR(IF(LEFT(DZ247,FIND("·",DZ247)-1)=$C$247,IF($D$247=IFERROR(VALUE(MID(DZ247,FIND("·",DZ247)+1,1)),0),($D$36+($E$247=MID(DZ247,FIND("|",DZ247)+1,10))*$D$38+MAX(0,IF($D$50=1,$D$37*(1-(ABS($Q$247-(VALUE(MID(DZ247,FIND("|",DZ247)+1,FIND("-",DZ247,FIND("|",DZ247))-FIND("|",DZ247)-1))-VALUE(MID(DZ247,FIND("-",DZ247,FIND("|",DZ247))+1,10)))))*$D$50),$D$37*(1-(IF($D$247=0,ABS($A$247-VALUE(MID(DZ247,FIND("|",DZ247)+1,FIND("-",DZ247,FIND("|",DZ247))-FIND("|",DZ247)-1))),ABS($Q$247-(VALUE(MID(DZ247,FIND("|",DZ247)+1,FIND("-",DZ247,FIND("|",DZ247))-FIND("|",DZ247)-1))-VALUE(MID(DZ247,FIND("-",DZ247,FIND("|",DZ247))+1,10)))))*$D$50)))))*$I$247,0),0),0)</f>
        <v>0</v>
      </c>
      <c r="EB247" s="108"/>
      <c r="EC247" s="65"/>
      <c r="ED247" s="84">
        <f t="shared" ref="ED247" si="7461">IFERROR(IF(LEFT(EC247,FIND("·",EC247)-1)=$K$247,IF($L$247=IFERROR(VALUE(MID(EC247,FIND("·",EC247)+1,1)),0),($D$36+($M$247=MID(EC247,FIND("|",EC247)+1,10))*$D$38+MAX(0,IF($D$50=1,$D$37*(1-(ABS($P$247-(VALUE(MID(EC247,FIND("|",EC247)+1,FIND("-",EC247,FIND("|",EC247))-FIND("|",EC247)-1))-VALUE(MID(EC247,FIND("-",EC247,FIND("|",EC247))+1,10)))))*$D$50),$D$37*(1-(IF($L$247=0,ABS($N$247-VALUE(MID(EC247,FIND("|",EC247)+1,FIND("-",EC247,FIND("|",EC247))-FIND("|",EC247)-1))),ABS($P$247-(VALUE(MID(EC247,FIND("|",EC247)+1,FIND("-",EC247,FIND("|",EC247))-FIND("|",EC247)-1))-VALUE(MID(EC247,FIND("-",EC247,FIND("|",EC247))+1,10)))))*$D$50)))))*$I$247,0),0),0)
+IFERROR(IF(LEFT(EC247,FIND("·",EC247)-1)=$C$247,IF($D$247=IFERROR(VALUE(MID(EC247,FIND("·",EC247)+1,1)),0),($D$36+($E$247=MID(EC247,FIND("|",EC247)+1,10))*$D$38+MAX(0,IF($D$50=1,$D$37*(1-(ABS($Q$247-(VALUE(MID(EC247,FIND("|",EC247)+1,FIND("-",EC247,FIND("|",EC247))-FIND("|",EC247)-1))-VALUE(MID(EC247,FIND("-",EC247,FIND("|",EC247))+1,10)))))*$D$50),$D$37*(1-(IF($D$247=0,ABS($A$247-VALUE(MID(EC247,FIND("|",EC247)+1,FIND("-",EC247,FIND("|",EC247))-FIND("|",EC247)-1))),ABS($Q$247-(VALUE(MID(EC247,FIND("|",EC247)+1,FIND("-",EC247,FIND("|",EC247))-FIND("|",EC247)-1))-VALUE(MID(EC247,FIND("-",EC247,FIND("|",EC247))+1,10)))))*$D$50)))))*$I$247,0),0),0)</f>
        <v>0</v>
      </c>
      <c r="EE247" s="108"/>
      <c r="EF247" s="65"/>
      <c r="EG247" s="84">
        <f t="shared" ref="EG247" si="7462">IFERROR(IF(LEFT(EF247,FIND("·",EF247)-1)=$K$247,IF($L$247=IFERROR(VALUE(MID(EF247,FIND("·",EF247)+1,1)),0),($D$36+($M$247=MID(EF247,FIND("|",EF247)+1,10))*$D$38+MAX(0,IF($D$50=1,$D$37*(1-(ABS($P$247-(VALUE(MID(EF247,FIND("|",EF247)+1,FIND("-",EF247,FIND("|",EF247))-FIND("|",EF247)-1))-VALUE(MID(EF247,FIND("-",EF247,FIND("|",EF247))+1,10)))))*$D$50),$D$37*(1-(IF($L$247=0,ABS($N$247-VALUE(MID(EF247,FIND("|",EF247)+1,FIND("-",EF247,FIND("|",EF247))-FIND("|",EF247)-1))),ABS($P$247-(VALUE(MID(EF247,FIND("|",EF247)+1,FIND("-",EF247,FIND("|",EF247))-FIND("|",EF247)-1))-VALUE(MID(EF247,FIND("-",EF247,FIND("|",EF247))+1,10)))))*$D$50)))))*$I$247,0),0),0)
+IFERROR(IF(LEFT(EF247,FIND("·",EF247)-1)=$C$247,IF($D$247=IFERROR(VALUE(MID(EF247,FIND("·",EF247)+1,1)),0),($D$36+($E$247=MID(EF247,FIND("|",EF247)+1,10))*$D$38+MAX(0,IF($D$50=1,$D$37*(1-(ABS($Q$247-(VALUE(MID(EF247,FIND("|",EF247)+1,FIND("-",EF247,FIND("|",EF247))-FIND("|",EF247)-1))-VALUE(MID(EF247,FIND("-",EF247,FIND("|",EF247))+1,10)))))*$D$50),$D$37*(1-(IF($D$247=0,ABS($A$247-VALUE(MID(EF247,FIND("|",EF247)+1,FIND("-",EF247,FIND("|",EF247))-FIND("|",EF247)-1))),ABS($Q$247-(VALUE(MID(EF247,FIND("|",EF247)+1,FIND("-",EF247,FIND("|",EF247))-FIND("|",EF247)-1))-VALUE(MID(EF247,FIND("-",EF247,FIND("|",EF247))+1,10)))))*$D$50)))))*$I$247,0),0),0)</f>
        <v>0</v>
      </c>
      <c r="EH247" s="108"/>
      <c r="EI247" s="65"/>
      <c r="EJ247" s="84">
        <f>IFERROR(IF(LEFT(EI247,FIND("·",EI247)-1)=$K$247,IF($L$247=IFERROR(VALUE(MID(EI247,FIND("·",EI247)+1,1)),0),($D$36+($M$247=MID(EI247,FIND("|",EI247)+1,10))*$D$38+MAX(0,IF($D$50=1,$D$37*(1-(ABS($P$247-(VALUE(MID(EI247,FIND("|",EI247)+1,FIND("-",EI247,FIND("|",EI247))-FIND("|",EI247)-1))-VALUE(MID(EI247,FIND("-",EI247,FIND("|",EI247))+1,10)))))*$D$50),$D$37*(1-(IF($L$247=0,ABS($N$247-VALUE(MID(EI247,FIND("|",EI247)+1,FIND("-",EI247,FIND("|",EI247))-FIND("|",EI247)-1))),ABS($P$247-(VALUE(MID(EI247,FIND("|",EI247)+1,FIND("-",EI247,FIND("|",EI247))-FIND("|",EI247)-1))-VALUE(MID(EI247,FIND("-",EI247,FIND("|",EI247))+1,10)))))*$D$50)))))*$I$247,0),0),0)
+IFERROR(IF(LEFT(EI247,FIND("·",EI247)-1)=$C$247,IF($D$247=IFERROR(VALUE(MID(EI247,FIND("·",EI247)+1,1)),0),($D$36+($E$247=MID(EI247,FIND("|",EI247)+1,10))*$D$38+MAX(0,IF($D$50=1,$D$37*(1-(ABS($Q$247-(VALUE(MID(EI247,FIND("|",EI247)+1,FIND("-",EI247,FIND("|",EI247))-FIND("|",EI247)-1))-VALUE(MID(EI247,FIND("-",EI247,FIND("|",EI247))+1,10)))))*$D$50),$D$37*(1-(IF($D$247=0,ABS($A$247-VALUE(MID(EI247,FIND("|",EI247)+1,FIND("-",EI247,FIND("|",EI247))-FIND("|",EI247)-1))),ABS($Q$247-(VALUE(MID(EI247,FIND("|",EI247)+1,FIND("-",EI247,FIND("|",EI247))-FIND("|",EI247)-1))-VALUE(MID(EI247,FIND("-",EI247,FIND("|",EI247))+1,10)))))*$D$50)))))*$I$247,0),0),0)</f>
        <v>0</v>
      </c>
      <c r="EK247" s="108"/>
      <c r="EL247" s="65"/>
      <c r="EM247" s="84">
        <f>IFERROR(IF(LEFT(EL247,FIND("·",EL247)-1)=$K$247,IF($L$247=IFERROR(VALUE(MID(EL247,FIND("·",EL247)+1,1)),0),($D$36+($M$247=MID(EL247,FIND("|",EL247)+1,10))*$D$38+MAX(0,IF($D$50=1,$D$37*(1-(ABS($P$247-(VALUE(MID(EL247,FIND("|",EL247)+1,FIND("-",EL247,FIND("|",EL247))-FIND("|",EL247)-1))-VALUE(MID(EL247,FIND("-",EL247,FIND("|",EL247))+1,10)))))*$D$50),$D$37*(1-(IF($L$247=0,ABS($N$247-VALUE(MID(EL247,FIND("|",EL247)+1,FIND("-",EL247,FIND("|",EL247))-FIND("|",EL247)-1))),ABS($P$247-(VALUE(MID(EL247,FIND("|",EL247)+1,FIND("-",EL247,FIND("|",EL247))-FIND("|",EL247)-1))-VALUE(MID(EL247,FIND("-",EL247,FIND("|",EL247))+1,10)))))*$D$50)))))*$I$247,0),0),0)
+IFERROR(IF(LEFT(EL247,FIND("·",EL247)-1)=$C$247,IF($D$247=IFERROR(VALUE(MID(EL247,FIND("·",EL247)+1,1)),0),($D$36+($E$247=MID(EL247,FIND("|",EL247)+1,10))*$D$38+MAX(0,IF($D$50=1,$D$37*(1-(ABS($Q$247-(VALUE(MID(EL247,FIND("|",EL247)+1,FIND("-",EL247,FIND("|",EL247))-FIND("|",EL247)-1))-VALUE(MID(EL247,FIND("-",EL247,FIND("|",EL247))+1,10)))))*$D$50),$D$37*(1-(IF($D$247=0,ABS($A$247-VALUE(MID(EL247,FIND("|",EL247)+1,FIND("-",EL247,FIND("|",EL247))-FIND("|",EL247)-1))),ABS($Q$247-(VALUE(MID(EL247,FIND("|",EL247)+1,FIND("-",EL247,FIND("|",EL247))-FIND("|",EL247)-1))-VALUE(MID(EL247,FIND("-",EL247,FIND("|",EL247))+1,10)))))*$D$50)))))*$I$247,0),0),0)</f>
        <v>0</v>
      </c>
      <c r="EN247" s="108"/>
      <c r="EO247" s="65"/>
      <c r="EP247" s="84">
        <f t="shared" ref="EP247" si="7463">IFERROR(IF(LEFT(EO247,FIND("·",EO247)-1)=$K$247,IF($L$247=IFERROR(VALUE(MID(EO247,FIND("·",EO247)+1,1)),0),($D$36+($M$247=MID(EO247,FIND("|",EO247)+1,10))*$D$38+MAX(0,IF($D$50=1,$D$37*(1-(ABS($P$247-(VALUE(MID(EO247,FIND("|",EO247)+1,FIND("-",EO247,FIND("|",EO247))-FIND("|",EO247)-1))-VALUE(MID(EO247,FIND("-",EO247,FIND("|",EO247))+1,10)))))*$D$50),$D$37*(1-(IF($L$247=0,ABS($N$247-VALUE(MID(EO247,FIND("|",EO247)+1,FIND("-",EO247,FIND("|",EO247))-FIND("|",EO247)-1))),ABS($P$247-(VALUE(MID(EO247,FIND("|",EO247)+1,FIND("-",EO247,FIND("|",EO247))-FIND("|",EO247)-1))-VALUE(MID(EO247,FIND("-",EO247,FIND("|",EO247))+1,10)))))*$D$50)))))*$I$247,0),0),0)
+IFERROR(IF(LEFT(EO247,FIND("·",EO247)-1)=$C$247,IF($D$247=IFERROR(VALUE(MID(EO247,FIND("·",EO247)+1,1)),0),($D$36+($E$247=MID(EO247,FIND("|",EO247)+1,10))*$D$38+MAX(0,IF($D$50=1,$D$37*(1-(ABS($Q$247-(VALUE(MID(EO247,FIND("|",EO247)+1,FIND("-",EO247,FIND("|",EO247))-FIND("|",EO247)-1))-VALUE(MID(EO247,FIND("-",EO247,FIND("|",EO247))+1,10)))))*$D$50),$D$37*(1-(IF($D$247=0,ABS($A$247-VALUE(MID(EO247,FIND("|",EO247)+1,FIND("-",EO247,FIND("|",EO247))-FIND("|",EO247)-1))),ABS($Q$247-(VALUE(MID(EO247,FIND("|",EO247)+1,FIND("-",EO247,FIND("|",EO247))-FIND("|",EO247)-1))-VALUE(MID(EO247,FIND("-",EO247,FIND("|",EO247))+1,10)))))*$D$50)))))*$I$247,0),0),0)</f>
        <v>0</v>
      </c>
      <c r="EQ247" s="108"/>
      <c r="ER247" s="65"/>
      <c r="ES247" s="84">
        <f t="shared" ref="ES247" si="7464">IFERROR(IF(LEFT(ER247,FIND("·",ER247)-1)=$K$247,IF($L$247=IFERROR(VALUE(MID(ER247,FIND("·",ER247)+1,1)),0),($D$36+($M$247=MID(ER247,FIND("|",ER247)+1,10))*$D$38+MAX(0,IF($D$50=1,$D$37*(1-(ABS($P$247-(VALUE(MID(ER247,FIND("|",ER247)+1,FIND("-",ER247,FIND("|",ER247))-FIND("|",ER247)-1))-VALUE(MID(ER247,FIND("-",ER247,FIND("|",ER247))+1,10)))))*$D$50),$D$37*(1-(IF($L$247=0,ABS($N$247-VALUE(MID(ER247,FIND("|",ER247)+1,FIND("-",ER247,FIND("|",ER247))-FIND("|",ER247)-1))),ABS($P$247-(VALUE(MID(ER247,FIND("|",ER247)+1,FIND("-",ER247,FIND("|",ER247))-FIND("|",ER247)-1))-VALUE(MID(ER247,FIND("-",ER247,FIND("|",ER247))+1,10)))))*$D$50)))))*$I$247,0),0),0)
+IFERROR(IF(LEFT(ER247,FIND("·",ER247)-1)=$C$247,IF($D$247=IFERROR(VALUE(MID(ER247,FIND("·",ER247)+1,1)),0),($D$36+($E$247=MID(ER247,FIND("|",ER247)+1,10))*$D$38+MAX(0,IF($D$50=1,$D$37*(1-(ABS($Q$247-(VALUE(MID(ER247,FIND("|",ER247)+1,FIND("-",ER247,FIND("|",ER247))-FIND("|",ER247)-1))-VALUE(MID(ER247,FIND("-",ER247,FIND("|",ER247))+1,10)))))*$D$50),$D$37*(1-(IF($D$247=0,ABS($A$247-VALUE(MID(ER247,FIND("|",ER247)+1,FIND("-",ER247,FIND("|",ER247))-FIND("|",ER247)-1))),ABS($Q$247-(VALUE(MID(ER247,FIND("|",ER247)+1,FIND("-",ER247,FIND("|",ER247))-FIND("|",ER247)-1))-VALUE(MID(ER247,FIND("-",ER247,FIND("|",ER247))+1,10)))))*$D$50)))))*$I$247,0),0),0)</f>
        <v>0</v>
      </c>
      <c r="ET247" s="108"/>
      <c r="EU247" s="65"/>
      <c r="EV247" s="84">
        <f t="shared" ref="EV247" si="7465">IFERROR(IF(LEFT(EU247,FIND("·",EU247)-1)=$K$247,IF($L$247=IFERROR(VALUE(MID(EU247,FIND("·",EU247)+1,1)),0),($D$36+($M$247=MID(EU247,FIND("|",EU247)+1,10))*$D$38+MAX(0,IF($D$50=1,$D$37*(1-(ABS($P$247-(VALUE(MID(EU247,FIND("|",EU247)+1,FIND("-",EU247,FIND("|",EU247))-FIND("|",EU247)-1))-VALUE(MID(EU247,FIND("-",EU247,FIND("|",EU247))+1,10)))))*$D$50),$D$37*(1-(IF($L$247=0,ABS($N$247-VALUE(MID(EU247,FIND("|",EU247)+1,FIND("-",EU247,FIND("|",EU247))-FIND("|",EU247)-1))),ABS($P$247-(VALUE(MID(EU247,FIND("|",EU247)+1,FIND("-",EU247,FIND("|",EU247))-FIND("|",EU247)-1))-VALUE(MID(EU247,FIND("-",EU247,FIND("|",EU247))+1,10)))))*$D$50)))))*$I$247,0),0),0)
+IFERROR(IF(LEFT(EU247,FIND("·",EU247)-1)=$C$247,IF($D$247=IFERROR(VALUE(MID(EU247,FIND("·",EU247)+1,1)),0),($D$36+($E$247=MID(EU247,FIND("|",EU247)+1,10))*$D$38+MAX(0,IF($D$50=1,$D$37*(1-(ABS($Q$247-(VALUE(MID(EU247,FIND("|",EU247)+1,FIND("-",EU247,FIND("|",EU247))-FIND("|",EU247)-1))-VALUE(MID(EU247,FIND("-",EU247,FIND("|",EU247))+1,10)))))*$D$50),$D$37*(1-(IF($D$247=0,ABS($A$247-VALUE(MID(EU247,FIND("|",EU247)+1,FIND("-",EU247,FIND("|",EU247))-FIND("|",EU247)-1))),ABS($Q$247-(VALUE(MID(EU247,FIND("|",EU247)+1,FIND("-",EU247,FIND("|",EU247))-FIND("|",EU247)-1))-VALUE(MID(EU247,FIND("-",EU247,FIND("|",EU247))+1,10)))))*$D$50)))))*$I$247,0),0),0)</f>
        <v>0</v>
      </c>
      <c r="EW247" s="108"/>
      <c r="EX247" s="65"/>
      <c r="EY247" s="84">
        <f>IFERROR(IF(LEFT(EX247,FIND("·",EX247)-1)=$K$247,IF($L$247=IFERROR(VALUE(MID(EX247,FIND("·",EX247)+1,1)),0),($D$36+($M$247=MID(EX247,FIND("|",EX247)+1,10))*$D$38+MAX(0,IF($D$50=1,$D$37*(1-(ABS($P$247-(VALUE(MID(EX247,FIND("|",EX247)+1,FIND("-",EX247,FIND("|",EX247))-FIND("|",EX247)-1))-VALUE(MID(EX247,FIND("-",EX247,FIND("|",EX247))+1,10)))))*$D$50),$D$37*(1-(IF($L$247=0,ABS($N$247-VALUE(MID(EX247,FIND("|",EX247)+1,FIND("-",EX247,FIND("|",EX247))-FIND("|",EX247)-1))),ABS($P$247-(VALUE(MID(EX247,FIND("|",EX247)+1,FIND("-",EX247,FIND("|",EX247))-FIND("|",EX247)-1))-VALUE(MID(EX247,FIND("-",EX247,FIND("|",EX247))+1,10)))))*$D$50)))))*$I$247,0),0),0)
+IFERROR(IF(LEFT(EX247,FIND("·",EX247)-1)=$C$247,IF($D$247=IFERROR(VALUE(MID(EX247,FIND("·",EX247)+1,1)),0),($D$36+($E$247=MID(EX247,FIND("|",EX247)+1,10))*$D$38+MAX(0,IF($D$50=1,$D$37*(1-(ABS($Q$247-(VALUE(MID(EX247,FIND("|",EX247)+1,FIND("-",EX247,FIND("|",EX247))-FIND("|",EX247)-1))-VALUE(MID(EX247,FIND("-",EX247,FIND("|",EX247))+1,10)))))*$D$50),$D$37*(1-(IF($D$247=0,ABS($A$247-VALUE(MID(EX247,FIND("|",EX247)+1,FIND("-",EX247,FIND("|",EX247))-FIND("|",EX247)-1))),ABS($Q$247-(VALUE(MID(EX247,FIND("|",EX247)+1,FIND("-",EX247,FIND("|",EX247))-FIND("|",EX247)-1))-VALUE(MID(EX247,FIND("-",EX247,FIND("|",EX247))+1,10)))))*$D$50)))))*$I$247,0),0),0)</f>
        <v>0</v>
      </c>
      <c r="EZ247" s="108"/>
      <c r="FA247" s="65"/>
      <c r="FB247" s="84">
        <f>IFERROR(IF(LEFT(FA247,FIND("·",FA247)-1)=$K$247,IF($L$247=IFERROR(VALUE(MID(FA247,FIND("·",FA247)+1,1)),0),($D$36+($M$247=MID(FA247,FIND("|",FA247)+1,10))*$D$38+MAX(0,IF($D$50=1,$D$37*(1-(ABS($P$247-(VALUE(MID(FA247,FIND("|",FA247)+1,FIND("-",FA247,FIND("|",FA247))-FIND("|",FA247)-1))-VALUE(MID(FA247,FIND("-",FA247,FIND("|",FA247))+1,10)))))*$D$50),$D$37*(1-(IF($L$247=0,ABS($N$247-VALUE(MID(FA247,FIND("|",FA247)+1,FIND("-",FA247,FIND("|",FA247))-FIND("|",FA247)-1))),ABS($P$247-(VALUE(MID(FA247,FIND("|",FA247)+1,FIND("-",FA247,FIND("|",FA247))-FIND("|",FA247)-1))-VALUE(MID(FA247,FIND("-",FA247,FIND("|",FA247))+1,10)))))*$D$50)))))*$I$247,0),0),0)
+IFERROR(IF(LEFT(FA247,FIND("·",FA247)-1)=$C$247,IF($D$247=IFERROR(VALUE(MID(FA247,FIND("·",FA247)+1,1)),0),($D$36+($E$247=MID(FA247,FIND("|",FA247)+1,10))*$D$38+MAX(0,IF($D$50=1,$D$37*(1-(ABS($Q$247-(VALUE(MID(FA247,FIND("|",FA247)+1,FIND("-",FA247,FIND("|",FA247))-FIND("|",FA247)-1))-VALUE(MID(FA247,FIND("-",FA247,FIND("|",FA247))+1,10)))))*$D$50),$D$37*(1-(IF($D$247=0,ABS($A$247-VALUE(MID(FA247,FIND("|",FA247)+1,FIND("-",FA247,FIND("|",FA247))-FIND("|",FA247)-1))),ABS($Q$247-(VALUE(MID(FA247,FIND("|",FA247)+1,FIND("-",FA247,FIND("|",FA247))-FIND("|",FA247)-1))-VALUE(MID(FA247,FIND("-",FA247,FIND("|",FA247))+1,10)))))*$D$50)))))*$I$247,0),0),0)</f>
        <v>0</v>
      </c>
      <c r="FC247" s="108"/>
      <c r="FD247" s="65"/>
      <c r="FE247" s="84">
        <f t="shared" ref="FE247" si="7466">IFERROR(IF(LEFT(FD247,FIND("·",FD247)-1)=$K$247,IF($L$247=IFERROR(VALUE(MID(FD247,FIND("·",FD247)+1,1)),0),($D$36+($M$247=MID(FD247,FIND("|",FD247)+1,10))*$D$38+MAX(0,IF($D$50=1,$D$37*(1-(ABS($P$247-(VALUE(MID(FD247,FIND("|",FD247)+1,FIND("-",FD247,FIND("|",FD247))-FIND("|",FD247)-1))-VALUE(MID(FD247,FIND("-",FD247,FIND("|",FD247))+1,10)))))*$D$50),$D$37*(1-(IF($L$247=0,ABS($N$247-VALUE(MID(FD247,FIND("|",FD247)+1,FIND("-",FD247,FIND("|",FD247))-FIND("|",FD247)-1))),ABS($P$247-(VALUE(MID(FD247,FIND("|",FD247)+1,FIND("-",FD247,FIND("|",FD247))-FIND("|",FD247)-1))-VALUE(MID(FD247,FIND("-",FD247,FIND("|",FD247))+1,10)))))*$D$50)))))*$I$247,0),0),0)
+IFERROR(IF(LEFT(FD247,FIND("·",FD247)-1)=$C$247,IF($D$247=IFERROR(VALUE(MID(FD247,FIND("·",FD247)+1,1)),0),($D$36+($E$247=MID(FD247,FIND("|",FD247)+1,10))*$D$38+MAX(0,IF($D$50=1,$D$37*(1-(ABS($Q$247-(VALUE(MID(FD247,FIND("|",FD247)+1,FIND("-",FD247,FIND("|",FD247))-FIND("|",FD247)-1))-VALUE(MID(FD247,FIND("-",FD247,FIND("|",FD247))+1,10)))))*$D$50),$D$37*(1-(IF($D$247=0,ABS($A$247-VALUE(MID(FD247,FIND("|",FD247)+1,FIND("-",FD247,FIND("|",FD247))-FIND("|",FD247)-1))),ABS($Q$247-(VALUE(MID(FD247,FIND("|",FD247)+1,FIND("-",FD247,FIND("|",FD247))-FIND("|",FD247)-1))-VALUE(MID(FD247,FIND("-",FD247,FIND("|",FD247))+1,10)))))*$D$50)))))*$I$247,0),0),0)</f>
        <v>0</v>
      </c>
      <c r="FF247" s="108"/>
      <c r="FG247" s="65"/>
      <c r="FH247" s="84">
        <f t="shared" ref="FH247" si="7467">IFERROR(IF(LEFT(FG247,FIND("·",FG247)-1)=$K$247,IF($L$247=IFERROR(VALUE(MID(FG247,FIND("·",FG247)+1,1)),0),($D$36+($M$247=MID(FG247,FIND("|",FG247)+1,10))*$D$38+MAX(0,IF($D$50=1,$D$37*(1-(ABS($P$247-(VALUE(MID(FG247,FIND("|",FG247)+1,FIND("-",FG247,FIND("|",FG247))-FIND("|",FG247)-1))-VALUE(MID(FG247,FIND("-",FG247,FIND("|",FG247))+1,10)))))*$D$50),$D$37*(1-(IF($L$247=0,ABS($N$247-VALUE(MID(FG247,FIND("|",FG247)+1,FIND("-",FG247,FIND("|",FG247))-FIND("|",FG247)-1))),ABS($P$247-(VALUE(MID(FG247,FIND("|",FG247)+1,FIND("-",FG247,FIND("|",FG247))-FIND("|",FG247)-1))-VALUE(MID(FG247,FIND("-",FG247,FIND("|",FG247))+1,10)))))*$D$50)))))*$I$247,0),0),0)
+IFERROR(IF(LEFT(FG247,FIND("·",FG247)-1)=$C$247,IF($D$247=IFERROR(VALUE(MID(FG247,FIND("·",FG247)+1,1)),0),($D$36+($E$247=MID(FG247,FIND("|",FG247)+1,10))*$D$38+MAX(0,IF($D$50=1,$D$37*(1-(ABS($Q$247-(VALUE(MID(FG247,FIND("|",FG247)+1,FIND("-",FG247,FIND("|",FG247))-FIND("|",FG247)-1))-VALUE(MID(FG247,FIND("-",FG247,FIND("|",FG247))+1,10)))))*$D$50),$D$37*(1-(IF($D$247=0,ABS($A$247-VALUE(MID(FG247,FIND("|",FG247)+1,FIND("-",FG247,FIND("|",FG247))-FIND("|",FG247)-1))),ABS($Q$247-(VALUE(MID(FG247,FIND("|",FG247)+1,FIND("-",FG247,FIND("|",FG247))-FIND("|",FG247)-1))-VALUE(MID(FG247,FIND("-",FG247,FIND("|",FG247))+1,10)))))*$D$50)))))*$I$247,0),0),0)</f>
        <v>0</v>
      </c>
      <c r="FI247" s="108"/>
      <c r="FJ247" s="65"/>
      <c r="FK247" s="84">
        <f t="shared" ref="FK247" si="7468">IFERROR(IF(LEFT(FJ247,FIND("·",FJ247)-1)=$K$247,IF($L$247=IFERROR(VALUE(MID(FJ247,FIND("·",FJ247)+1,1)),0),($D$36+($M$247=MID(FJ247,FIND("|",FJ247)+1,10))*$D$38+MAX(0,IF($D$50=1,$D$37*(1-(ABS($P$247-(VALUE(MID(FJ247,FIND("|",FJ247)+1,FIND("-",FJ247,FIND("|",FJ247))-FIND("|",FJ247)-1))-VALUE(MID(FJ247,FIND("-",FJ247,FIND("|",FJ247))+1,10)))))*$D$50),$D$37*(1-(IF($L$247=0,ABS($N$247-VALUE(MID(FJ247,FIND("|",FJ247)+1,FIND("-",FJ247,FIND("|",FJ247))-FIND("|",FJ247)-1))),ABS($P$247-(VALUE(MID(FJ247,FIND("|",FJ247)+1,FIND("-",FJ247,FIND("|",FJ247))-FIND("|",FJ247)-1))-VALUE(MID(FJ247,FIND("-",FJ247,FIND("|",FJ247))+1,10)))))*$D$50)))))*$I$247,0),0),0)
+IFERROR(IF(LEFT(FJ247,FIND("·",FJ247)-1)=$C$247,IF($D$247=IFERROR(VALUE(MID(FJ247,FIND("·",FJ247)+1,1)),0),($D$36+($E$247=MID(FJ247,FIND("|",FJ247)+1,10))*$D$38+MAX(0,IF($D$50=1,$D$37*(1-(ABS($Q$247-(VALUE(MID(FJ247,FIND("|",FJ247)+1,FIND("-",FJ247,FIND("|",FJ247))-FIND("|",FJ247)-1))-VALUE(MID(FJ247,FIND("-",FJ247,FIND("|",FJ247))+1,10)))))*$D$50),$D$37*(1-(IF($D$247=0,ABS($A$247-VALUE(MID(FJ247,FIND("|",FJ247)+1,FIND("-",FJ247,FIND("|",FJ247))-FIND("|",FJ247)-1))),ABS($Q$247-(VALUE(MID(FJ247,FIND("|",FJ247)+1,FIND("-",FJ247,FIND("|",FJ247))-FIND("|",FJ247)-1))-VALUE(MID(FJ247,FIND("-",FJ247,FIND("|",FJ247))+1,10)))))*$D$50)))))*$I$247,0),0),0)</f>
        <v>0</v>
      </c>
      <c r="FL247" s="108"/>
      <c r="FM247" s="65"/>
      <c r="FN247" s="84">
        <f>IFERROR(IF(LEFT(FM247,FIND("·",FM247)-1)=$K$247,IF($L$247=IFERROR(VALUE(MID(FM247,FIND("·",FM247)+1,1)),0),($D$36+($M$247=MID(FM247,FIND("|",FM247)+1,10))*$D$38+MAX(0,IF($D$50=1,$D$37*(1-(ABS($P$247-(VALUE(MID(FM247,FIND("|",FM247)+1,FIND("-",FM247,FIND("|",FM247))-FIND("|",FM247)-1))-VALUE(MID(FM247,FIND("-",FM247,FIND("|",FM247))+1,10)))))*$D$50),$D$37*(1-(IF($L$247=0,ABS($N$247-VALUE(MID(FM247,FIND("|",FM247)+1,FIND("-",FM247,FIND("|",FM247))-FIND("|",FM247)-1))),ABS($P$247-(VALUE(MID(FM247,FIND("|",FM247)+1,FIND("-",FM247,FIND("|",FM247))-FIND("|",FM247)-1))-VALUE(MID(FM247,FIND("-",FM247,FIND("|",FM247))+1,10)))))*$D$50)))))*$I$247,0),0),0)
+IFERROR(IF(LEFT(FM247,FIND("·",FM247)-1)=$C$247,IF($D$247=IFERROR(VALUE(MID(FM247,FIND("·",FM247)+1,1)),0),($D$36+($E$247=MID(FM247,FIND("|",FM247)+1,10))*$D$38+MAX(0,IF($D$50=1,$D$37*(1-(ABS($Q$247-(VALUE(MID(FM247,FIND("|",FM247)+1,FIND("-",FM247,FIND("|",FM247))-FIND("|",FM247)-1))-VALUE(MID(FM247,FIND("-",FM247,FIND("|",FM247))+1,10)))))*$D$50),$D$37*(1-(IF($D$247=0,ABS($A$247-VALUE(MID(FM247,FIND("|",FM247)+1,FIND("-",FM247,FIND("|",FM247))-FIND("|",FM247)-1))),ABS($Q$247-(VALUE(MID(FM247,FIND("|",FM247)+1,FIND("-",FM247,FIND("|",FM247))-FIND("|",FM247)-1))-VALUE(MID(FM247,FIND("-",FM247,FIND("|",FM247))+1,10)))))*$D$50)))))*$I$247,0),0),0)</f>
        <v>0</v>
      </c>
      <c r="FO247" s="108"/>
      <c r="FP247" s="65"/>
      <c r="FQ247" s="84">
        <f>IFERROR(IF(LEFT(FP247,FIND("·",FP247)-1)=$K$247,IF($L$247=IFERROR(VALUE(MID(FP247,FIND("·",FP247)+1,1)),0),($D$36+($M$247=MID(FP247,FIND("|",FP247)+1,10))*$D$38+MAX(0,IF($D$50=1,$D$37*(1-(ABS($P$247-(VALUE(MID(FP247,FIND("|",FP247)+1,FIND("-",FP247,FIND("|",FP247))-FIND("|",FP247)-1))-VALUE(MID(FP247,FIND("-",FP247,FIND("|",FP247))+1,10)))))*$D$50),$D$37*(1-(IF($L$247=0,ABS($N$247-VALUE(MID(FP247,FIND("|",FP247)+1,FIND("-",FP247,FIND("|",FP247))-FIND("|",FP247)-1))),ABS($P$247-(VALUE(MID(FP247,FIND("|",FP247)+1,FIND("-",FP247,FIND("|",FP247))-FIND("|",FP247)-1))-VALUE(MID(FP247,FIND("-",FP247,FIND("|",FP247))+1,10)))))*$D$50)))))*$I$247,0),0),0)
+IFERROR(IF(LEFT(FP247,FIND("·",FP247)-1)=$C$247,IF($D$247=IFERROR(VALUE(MID(FP247,FIND("·",FP247)+1,1)),0),($D$36+($E$247=MID(FP247,FIND("|",FP247)+1,10))*$D$38+MAX(0,IF($D$50=1,$D$37*(1-(ABS($Q$247-(VALUE(MID(FP247,FIND("|",FP247)+1,FIND("-",FP247,FIND("|",FP247))-FIND("|",FP247)-1))-VALUE(MID(FP247,FIND("-",FP247,FIND("|",FP247))+1,10)))))*$D$50),$D$37*(1-(IF($D$247=0,ABS($A$247-VALUE(MID(FP247,FIND("|",FP247)+1,FIND("-",FP247,FIND("|",FP247))-FIND("|",FP247)-1))),ABS($Q$247-(VALUE(MID(FP247,FIND("|",FP247)+1,FIND("-",FP247,FIND("|",FP247))-FIND("|",FP247)-1))-VALUE(MID(FP247,FIND("-",FP247,FIND("|",FP247))+1,10)))))*$D$50)))))*$I$247,0),0),0)</f>
        <v>0</v>
      </c>
      <c r="FR247" s="108"/>
      <c r="FS247" s="65"/>
      <c r="FT247" s="84">
        <f t="shared" ref="FT247" si="7469">IFERROR(IF(LEFT(FS247,FIND("·",FS247)-1)=$K$247,IF($L$247=IFERROR(VALUE(MID(FS247,FIND("·",FS247)+1,1)),0),($D$36+($M$247=MID(FS247,FIND("|",FS247)+1,10))*$D$38+MAX(0,IF($D$50=1,$D$37*(1-(ABS($P$247-(VALUE(MID(FS247,FIND("|",FS247)+1,FIND("-",FS247,FIND("|",FS247))-FIND("|",FS247)-1))-VALUE(MID(FS247,FIND("-",FS247,FIND("|",FS247))+1,10)))))*$D$50),$D$37*(1-(IF($L$247=0,ABS($N$247-VALUE(MID(FS247,FIND("|",FS247)+1,FIND("-",FS247,FIND("|",FS247))-FIND("|",FS247)-1))),ABS($P$247-(VALUE(MID(FS247,FIND("|",FS247)+1,FIND("-",FS247,FIND("|",FS247))-FIND("|",FS247)-1))-VALUE(MID(FS247,FIND("-",FS247,FIND("|",FS247))+1,10)))))*$D$50)))))*$I$247,0),0),0)
+IFERROR(IF(LEFT(FS247,FIND("·",FS247)-1)=$C$247,IF($D$247=IFERROR(VALUE(MID(FS247,FIND("·",FS247)+1,1)),0),($D$36+($E$247=MID(FS247,FIND("|",FS247)+1,10))*$D$38+MAX(0,IF($D$50=1,$D$37*(1-(ABS($Q$247-(VALUE(MID(FS247,FIND("|",FS247)+1,FIND("-",FS247,FIND("|",FS247))-FIND("|",FS247)-1))-VALUE(MID(FS247,FIND("-",FS247,FIND("|",FS247))+1,10)))))*$D$50),$D$37*(1-(IF($D$247=0,ABS($A$247-VALUE(MID(FS247,FIND("|",FS247)+1,FIND("-",FS247,FIND("|",FS247))-FIND("|",FS247)-1))),ABS($Q$247-(VALUE(MID(FS247,FIND("|",FS247)+1,FIND("-",FS247,FIND("|",FS247))-FIND("|",FS247)-1))-VALUE(MID(FS247,FIND("-",FS247,FIND("|",FS247))+1,10)))))*$D$50)))))*$I$247,0),0),0)</f>
        <v>0</v>
      </c>
      <c r="FU247" s="108"/>
      <c r="FV247" s="65"/>
      <c r="FW247" s="84">
        <f t="shared" ref="FW247" si="7470">IFERROR(IF(LEFT(FV247,FIND("·",FV247)-1)=$K$247,IF($L$247=IFERROR(VALUE(MID(FV247,FIND("·",FV247)+1,1)),0),($D$36+($M$247=MID(FV247,FIND("|",FV247)+1,10))*$D$38+MAX(0,IF($D$50=1,$D$37*(1-(ABS($P$247-(VALUE(MID(FV247,FIND("|",FV247)+1,FIND("-",FV247,FIND("|",FV247))-FIND("|",FV247)-1))-VALUE(MID(FV247,FIND("-",FV247,FIND("|",FV247))+1,10)))))*$D$50),$D$37*(1-(IF($L$247=0,ABS($N$247-VALUE(MID(FV247,FIND("|",FV247)+1,FIND("-",FV247,FIND("|",FV247))-FIND("|",FV247)-1))),ABS($P$247-(VALUE(MID(FV247,FIND("|",FV247)+1,FIND("-",FV247,FIND("|",FV247))-FIND("|",FV247)-1))-VALUE(MID(FV247,FIND("-",FV247,FIND("|",FV247))+1,10)))))*$D$50)))))*$I$247,0),0),0)
+IFERROR(IF(LEFT(FV247,FIND("·",FV247)-1)=$C$247,IF($D$247=IFERROR(VALUE(MID(FV247,FIND("·",FV247)+1,1)),0),($D$36+($E$247=MID(FV247,FIND("|",FV247)+1,10))*$D$38+MAX(0,IF($D$50=1,$D$37*(1-(ABS($Q$247-(VALUE(MID(FV247,FIND("|",FV247)+1,FIND("-",FV247,FIND("|",FV247))-FIND("|",FV247)-1))-VALUE(MID(FV247,FIND("-",FV247,FIND("|",FV247))+1,10)))))*$D$50),$D$37*(1-(IF($D$247=0,ABS($A$247-VALUE(MID(FV247,FIND("|",FV247)+1,FIND("-",FV247,FIND("|",FV247))-FIND("|",FV247)-1))),ABS($Q$247-(VALUE(MID(FV247,FIND("|",FV247)+1,FIND("-",FV247,FIND("|",FV247))-FIND("|",FV247)-1))-VALUE(MID(FV247,FIND("-",FV247,FIND("|",FV247))+1,10)))))*$D$50)))))*$I$247,0),0),0)</f>
        <v>0</v>
      </c>
      <c r="FX247" s="108"/>
      <c r="FY247" s="65"/>
      <c r="FZ247" s="84">
        <f t="shared" ref="FZ247" si="7471">IFERROR(IF(LEFT(FY247,FIND("·",FY247)-1)=$K$247,IF($L$247=IFERROR(VALUE(MID(FY247,FIND("·",FY247)+1,1)),0),($D$36+($M$247=MID(FY247,FIND("|",FY247)+1,10))*$D$38+MAX(0,IF($D$50=1,$D$37*(1-(ABS($P$247-(VALUE(MID(FY247,FIND("|",FY247)+1,FIND("-",FY247,FIND("|",FY247))-FIND("|",FY247)-1))-VALUE(MID(FY247,FIND("-",FY247,FIND("|",FY247))+1,10)))))*$D$50),$D$37*(1-(IF($L$247=0,ABS($N$247-VALUE(MID(FY247,FIND("|",FY247)+1,FIND("-",FY247,FIND("|",FY247))-FIND("|",FY247)-1))),ABS($P$247-(VALUE(MID(FY247,FIND("|",FY247)+1,FIND("-",FY247,FIND("|",FY247))-FIND("|",FY247)-1))-VALUE(MID(FY247,FIND("-",FY247,FIND("|",FY247))+1,10)))))*$D$50)))))*$I$247,0),0),0)
+IFERROR(IF(LEFT(FY247,FIND("·",FY247)-1)=$C$247,IF($D$247=IFERROR(VALUE(MID(FY247,FIND("·",FY247)+1,1)),0),($D$36+($E$247=MID(FY247,FIND("|",FY247)+1,10))*$D$38+MAX(0,IF($D$50=1,$D$37*(1-(ABS($Q$247-(VALUE(MID(FY247,FIND("|",FY247)+1,FIND("-",FY247,FIND("|",FY247))-FIND("|",FY247)-1))-VALUE(MID(FY247,FIND("-",FY247,FIND("|",FY247))+1,10)))))*$D$50),$D$37*(1-(IF($D$247=0,ABS($A$247-VALUE(MID(FY247,FIND("|",FY247)+1,FIND("-",FY247,FIND("|",FY247))-FIND("|",FY247)-1))),ABS($Q$247-(VALUE(MID(FY247,FIND("|",FY247)+1,FIND("-",FY247,FIND("|",FY247))-FIND("|",FY247)-1))-VALUE(MID(FY247,FIND("-",FY247,FIND("|",FY247))+1,10)))))*$D$50)))))*$I$247,0),0),0)</f>
        <v>0</v>
      </c>
      <c r="GA247" s="108"/>
      <c r="GB247" s="65"/>
      <c r="GC247" s="84">
        <f>IFERROR(IF(LEFT(GB247,FIND("·",GB247)-1)=$K$247,IF($L$247=IFERROR(VALUE(MID(GB247,FIND("·",GB247)+1,1)),0),($D$36+($M$247=MID(GB247,FIND("|",GB247)+1,10))*$D$38+MAX(0,IF($D$50=1,$D$37*(1-(ABS($P$247-(VALUE(MID(GB247,FIND("|",GB247)+1,FIND("-",GB247,FIND("|",GB247))-FIND("|",GB247)-1))-VALUE(MID(GB247,FIND("-",GB247,FIND("|",GB247))+1,10)))))*$D$50),$D$37*(1-(IF($L$247=0,ABS($N$247-VALUE(MID(GB247,FIND("|",GB247)+1,FIND("-",GB247,FIND("|",GB247))-FIND("|",GB247)-1))),ABS($P$247-(VALUE(MID(GB247,FIND("|",GB247)+1,FIND("-",GB247,FIND("|",GB247))-FIND("|",GB247)-1))-VALUE(MID(GB247,FIND("-",GB247,FIND("|",GB247))+1,10)))))*$D$50)))))*$I$247,0),0),0)
+IFERROR(IF(LEFT(GB247,FIND("·",GB247)-1)=$C$247,IF($D$247=IFERROR(VALUE(MID(GB247,FIND("·",GB247)+1,1)),0),($D$36+($E$247=MID(GB247,FIND("|",GB247)+1,10))*$D$38+MAX(0,IF($D$50=1,$D$37*(1-(ABS($Q$247-(VALUE(MID(GB247,FIND("|",GB247)+1,FIND("-",GB247,FIND("|",GB247))-FIND("|",GB247)-1))-VALUE(MID(GB247,FIND("-",GB247,FIND("|",GB247))+1,10)))))*$D$50),$D$37*(1-(IF($D$247=0,ABS($A$247-VALUE(MID(GB247,FIND("|",GB247)+1,FIND("-",GB247,FIND("|",GB247))-FIND("|",GB247)-1))),ABS($Q$247-(VALUE(MID(GB247,FIND("|",GB247)+1,FIND("-",GB247,FIND("|",GB247))-FIND("|",GB247)-1))-VALUE(MID(GB247,FIND("-",GB247,FIND("|",GB247))+1,10)))))*$D$50)))))*$I$247,0),0),0)</f>
        <v>0</v>
      </c>
      <c r="GD247" s="108"/>
      <c r="GE247" s="65"/>
      <c r="GF247" s="84">
        <f>IFERROR(IF(LEFT(GE247,FIND("·",GE247)-1)=$K$247,IF($L$247=IFERROR(VALUE(MID(GE247,FIND("·",GE247)+1,1)),0),($D$36+($M$247=MID(GE247,FIND("|",GE247)+1,10))*$D$38+MAX(0,IF($D$50=1,$D$37*(1-(ABS($P$247-(VALUE(MID(GE247,FIND("|",GE247)+1,FIND("-",GE247,FIND("|",GE247))-FIND("|",GE247)-1))-VALUE(MID(GE247,FIND("-",GE247,FIND("|",GE247))+1,10)))))*$D$50),$D$37*(1-(IF($L$247=0,ABS($N$247-VALUE(MID(GE247,FIND("|",GE247)+1,FIND("-",GE247,FIND("|",GE247))-FIND("|",GE247)-1))),ABS($P$247-(VALUE(MID(GE247,FIND("|",GE247)+1,FIND("-",GE247,FIND("|",GE247))-FIND("|",GE247)-1))-VALUE(MID(GE247,FIND("-",GE247,FIND("|",GE247))+1,10)))))*$D$50)))))*$I$247,0),0),0)
+IFERROR(IF(LEFT(GE247,FIND("·",GE247)-1)=$C$247,IF($D$247=IFERROR(VALUE(MID(GE247,FIND("·",GE247)+1,1)),0),($D$36+($E$247=MID(GE247,FIND("|",GE247)+1,10))*$D$38+MAX(0,IF($D$50=1,$D$37*(1-(ABS($Q$247-(VALUE(MID(GE247,FIND("|",GE247)+1,FIND("-",GE247,FIND("|",GE247))-FIND("|",GE247)-1))-VALUE(MID(GE247,FIND("-",GE247,FIND("|",GE247))+1,10)))))*$D$50),$D$37*(1-(IF($D$247=0,ABS($A$247-VALUE(MID(GE247,FIND("|",GE247)+1,FIND("-",GE247,FIND("|",GE247))-FIND("|",GE247)-1))),ABS($Q$247-(VALUE(MID(GE247,FIND("|",GE247)+1,FIND("-",GE247,FIND("|",GE247))-FIND("|",GE247)-1))-VALUE(MID(GE247,FIND("-",GE247,FIND("|",GE247))+1,10)))))*$D$50)))))*$I$247,0),0),0)</f>
        <v>0</v>
      </c>
      <c r="GG247" s="108"/>
      <c r="GH247" s="65"/>
      <c r="GI247" s="84">
        <f t="shared" ref="GI247" si="7472">IFERROR(IF(LEFT(GH247,FIND("·",GH247)-1)=$K$247,IF($L$247=IFERROR(VALUE(MID(GH247,FIND("·",GH247)+1,1)),0),($D$36+($M$247=MID(GH247,FIND("|",GH247)+1,10))*$D$38+MAX(0,IF($D$50=1,$D$37*(1-(ABS($P$247-(VALUE(MID(GH247,FIND("|",GH247)+1,FIND("-",GH247,FIND("|",GH247))-FIND("|",GH247)-1))-VALUE(MID(GH247,FIND("-",GH247,FIND("|",GH247))+1,10)))))*$D$50),$D$37*(1-(IF($L$247=0,ABS($N$247-VALUE(MID(GH247,FIND("|",GH247)+1,FIND("-",GH247,FIND("|",GH247))-FIND("|",GH247)-1))),ABS($P$247-(VALUE(MID(GH247,FIND("|",GH247)+1,FIND("-",GH247,FIND("|",GH247))-FIND("|",GH247)-1))-VALUE(MID(GH247,FIND("-",GH247,FIND("|",GH247))+1,10)))))*$D$50)))))*$I$247,0),0),0)
+IFERROR(IF(LEFT(GH247,FIND("·",GH247)-1)=$C$247,IF($D$247=IFERROR(VALUE(MID(GH247,FIND("·",GH247)+1,1)),0),($D$36+($E$247=MID(GH247,FIND("|",GH247)+1,10))*$D$38+MAX(0,IF($D$50=1,$D$37*(1-(ABS($Q$247-(VALUE(MID(GH247,FIND("|",GH247)+1,FIND("-",GH247,FIND("|",GH247))-FIND("|",GH247)-1))-VALUE(MID(GH247,FIND("-",GH247,FIND("|",GH247))+1,10)))))*$D$50),$D$37*(1-(IF($D$247=0,ABS($A$247-VALUE(MID(GH247,FIND("|",GH247)+1,FIND("-",GH247,FIND("|",GH247))-FIND("|",GH247)-1))),ABS($Q$247-(VALUE(MID(GH247,FIND("|",GH247)+1,FIND("-",GH247,FIND("|",GH247))-FIND("|",GH247)-1))-VALUE(MID(GH247,FIND("-",GH247,FIND("|",GH247))+1,10)))))*$D$50)))))*$I$247,0),0),0)</f>
        <v>0</v>
      </c>
      <c r="GJ247" s="108"/>
      <c r="GK247" s="65"/>
      <c r="GL247" s="84">
        <f t="shared" ref="GL247" si="7473">IFERROR(IF(LEFT(GK247,FIND("·",GK247)-1)=$K$247,IF($L$247=IFERROR(VALUE(MID(GK247,FIND("·",GK247)+1,1)),0),($D$36+($M$247=MID(GK247,FIND("|",GK247)+1,10))*$D$38+MAX(0,IF($D$50=1,$D$37*(1-(ABS($P$247-(VALUE(MID(GK247,FIND("|",GK247)+1,FIND("-",GK247,FIND("|",GK247))-FIND("|",GK247)-1))-VALUE(MID(GK247,FIND("-",GK247,FIND("|",GK247))+1,10)))))*$D$50),$D$37*(1-(IF($L$247=0,ABS($N$247-VALUE(MID(GK247,FIND("|",GK247)+1,FIND("-",GK247,FIND("|",GK247))-FIND("|",GK247)-1))),ABS($P$247-(VALUE(MID(GK247,FIND("|",GK247)+1,FIND("-",GK247,FIND("|",GK247))-FIND("|",GK247)-1))-VALUE(MID(GK247,FIND("-",GK247,FIND("|",GK247))+1,10)))))*$D$50)))))*$I$247,0),0),0)
+IFERROR(IF(LEFT(GK247,FIND("·",GK247)-1)=$C$247,IF($D$247=IFERROR(VALUE(MID(GK247,FIND("·",GK247)+1,1)),0),($D$36+($E$247=MID(GK247,FIND("|",GK247)+1,10))*$D$38+MAX(0,IF($D$50=1,$D$37*(1-(ABS($Q$247-(VALUE(MID(GK247,FIND("|",GK247)+1,FIND("-",GK247,FIND("|",GK247))-FIND("|",GK247)-1))-VALUE(MID(GK247,FIND("-",GK247,FIND("|",GK247))+1,10)))))*$D$50),$D$37*(1-(IF($D$247=0,ABS($A$247-VALUE(MID(GK247,FIND("|",GK247)+1,FIND("-",GK247,FIND("|",GK247))-FIND("|",GK247)-1))),ABS($Q$247-(VALUE(MID(GK247,FIND("|",GK247)+1,FIND("-",GK247,FIND("|",GK247))-FIND("|",GK247)-1))-VALUE(MID(GK247,FIND("-",GK247,FIND("|",GK247))+1,10)))))*$D$50)))))*$I$247,0),0),0)</f>
        <v>0</v>
      </c>
      <c r="GM247" s="108"/>
      <c r="GN247" s="65"/>
      <c r="GO247" s="84">
        <f t="shared" ref="GO247" si="7474">IFERROR(IF(LEFT(GN247,FIND("·",GN247)-1)=$K$247,IF($L$247=IFERROR(VALUE(MID(GN247,FIND("·",GN247)+1,1)),0),($D$36+($M$247=MID(GN247,FIND("|",GN247)+1,10))*$D$38+MAX(0,IF($D$50=1,$D$37*(1-(ABS($P$247-(VALUE(MID(GN247,FIND("|",GN247)+1,FIND("-",GN247,FIND("|",GN247))-FIND("|",GN247)-1))-VALUE(MID(GN247,FIND("-",GN247,FIND("|",GN247))+1,10)))))*$D$50),$D$37*(1-(IF($L$247=0,ABS($N$247-VALUE(MID(GN247,FIND("|",GN247)+1,FIND("-",GN247,FIND("|",GN247))-FIND("|",GN247)-1))),ABS($P$247-(VALUE(MID(GN247,FIND("|",GN247)+1,FIND("-",GN247,FIND("|",GN247))-FIND("|",GN247)-1))-VALUE(MID(GN247,FIND("-",GN247,FIND("|",GN247))+1,10)))))*$D$50)))))*$I$247,0),0),0)
+IFERROR(IF(LEFT(GN247,FIND("·",GN247)-1)=$C$247,IF($D$247=IFERROR(VALUE(MID(GN247,FIND("·",GN247)+1,1)),0),($D$36+($E$247=MID(GN247,FIND("|",GN247)+1,10))*$D$38+MAX(0,IF($D$50=1,$D$37*(1-(ABS($Q$247-(VALUE(MID(GN247,FIND("|",GN247)+1,FIND("-",GN247,FIND("|",GN247))-FIND("|",GN247)-1))-VALUE(MID(GN247,FIND("-",GN247,FIND("|",GN247))+1,10)))))*$D$50),$D$37*(1-(IF($D$247=0,ABS($A$247-VALUE(MID(GN247,FIND("|",GN247)+1,FIND("-",GN247,FIND("|",GN247))-FIND("|",GN247)-1))),ABS($Q$247-(VALUE(MID(GN247,FIND("|",GN247)+1,FIND("-",GN247,FIND("|",GN247))-FIND("|",GN247)-1))-VALUE(MID(GN247,FIND("-",GN247,FIND("|",GN247))+1,10)))))*$D$50)))))*$I$247,0),0),0)</f>
        <v>0</v>
      </c>
      <c r="GP247" s="108"/>
      <c r="GQ247" s="65"/>
      <c r="GR247" s="84">
        <f>IFERROR(IF(LEFT(GQ247,FIND("·",GQ247)-1)=$K$247,IF($L$247=IFERROR(VALUE(MID(GQ247,FIND("·",GQ247)+1,1)),0),($D$36+($M$247=MID(GQ247,FIND("|",GQ247)+1,10))*$D$38+MAX(0,IF($D$50=1,$D$37*(1-(ABS($P$247-(VALUE(MID(GQ247,FIND("|",GQ247)+1,FIND("-",GQ247,FIND("|",GQ247))-FIND("|",GQ247)-1))-VALUE(MID(GQ247,FIND("-",GQ247,FIND("|",GQ247))+1,10)))))*$D$50),$D$37*(1-(IF($L$247=0,ABS($N$247-VALUE(MID(GQ247,FIND("|",GQ247)+1,FIND("-",GQ247,FIND("|",GQ247))-FIND("|",GQ247)-1))),ABS($P$247-(VALUE(MID(GQ247,FIND("|",GQ247)+1,FIND("-",GQ247,FIND("|",GQ247))-FIND("|",GQ247)-1))-VALUE(MID(GQ247,FIND("-",GQ247,FIND("|",GQ247))+1,10)))))*$D$50)))))*$I$247,0),0),0)
+IFERROR(IF(LEFT(GQ247,FIND("·",GQ247)-1)=$C$247,IF($D$247=IFERROR(VALUE(MID(GQ247,FIND("·",GQ247)+1,1)),0),($D$36+($E$247=MID(GQ247,FIND("|",GQ247)+1,10))*$D$38+MAX(0,IF($D$50=1,$D$37*(1-(ABS($Q$247-(VALUE(MID(GQ247,FIND("|",GQ247)+1,FIND("-",GQ247,FIND("|",GQ247))-FIND("|",GQ247)-1))-VALUE(MID(GQ247,FIND("-",GQ247,FIND("|",GQ247))+1,10)))))*$D$50),$D$37*(1-(IF($D$247=0,ABS($A$247-VALUE(MID(GQ247,FIND("|",GQ247)+1,FIND("-",GQ247,FIND("|",GQ247))-FIND("|",GQ247)-1))),ABS($Q$247-(VALUE(MID(GQ247,FIND("|",GQ247)+1,FIND("-",GQ247,FIND("|",GQ247))-FIND("|",GQ247)-1))-VALUE(MID(GQ247,FIND("-",GQ247,FIND("|",GQ247))+1,10)))))*$D$50)))))*$I$247,0),0),0)</f>
        <v>0</v>
      </c>
      <c r="GS247" s="108"/>
      <c r="GT247" s="65"/>
      <c r="GU247" s="84">
        <f>IFERROR(IF(LEFT(GT247,FIND("·",GT247)-1)=$K$247,IF($L$247=IFERROR(VALUE(MID(GT247,FIND("·",GT247)+1,1)),0),($D$36+($M$247=MID(GT247,FIND("|",GT247)+1,10))*$D$38+MAX(0,IF($D$50=1,$D$37*(1-(ABS($P$247-(VALUE(MID(GT247,FIND("|",GT247)+1,FIND("-",GT247,FIND("|",GT247))-FIND("|",GT247)-1))-VALUE(MID(GT247,FIND("-",GT247,FIND("|",GT247))+1,10)))))*$D$50),$D$37*(1-(IF($L$247=0,ABS($N$247-VALUE(MID(GT247,FIND("|",GT247)+1,FIND("-",GT247,FIND("|",GT247))-FIND("|",GT247)-1))),ABS($P$247-(VALUE(MID(GT247,FIND("|",GT247)+1,FIND("-",GT247,FIND("|",GT247))-FIND("|",GT247)-1))-VALUE(MID(GT247,FIND("-",GT247,FIND("|",GT247))+1,10)))))*$D$50)))))*$I$247,0),0),0)
+IFERROR(IF(LEFT(GT247,FIND("·",GT247)-1)=$C$247,IF($D$247=IFERROR(VALUE(MID(GT247,FIND("·",GT247)+1,1)),0),($D$36+($E$247=MID(GT247,FIND("|",GT247)+1,10))*$D$38+MAX(0,IF($D$50=1,$D$37*(1-(ABS($Q$247-(VALUE(MID(GT247,FIND("|",GT247)+1,FIND("-",GT247,FIND("|",GT247))-FIND("|",GT247)-1))-VALUE(MID(GT247,FIND("-",GT247,FIND("|",GT247))+1,10)))))*$D$50),$D$37*(1-(IF($D$247=0,ABS($A$247-VALUE(MID(GT247,FIND("|",GT247)+1,FIND("-",GT247,FIND("|",GT247))-FIND("|",GT247)-1))),ABS($Q$247-(VALUE(MID(GT247,FIND("|",GT247)+1,FIND("-",GT247,FIND("|",GT247))-FIND("|",GT247)-1))-VALUE(MID(GT247,FIND("-",GT247,FIND("|",GT247))+1,10)))))*$D$50)))))*$I$247,0),0),0)</f>
        <v>0</v>
      </c>
      <c r="GV247" s="108"/>
      <c r="GW247" s="65"/>
      <c r="GX247" s="84">
        <f t="shared" ref="GX247" si="7475">IFERROR(IF(LEFT(GW247,FIND("·",GW247)-1)=$K$247,IF($L$247=IFERROR(VALUE(MID(GW247,FIND("·",GW247)+1,1)),0),($D$36+($M$247=MID(GW247,FIND("|",GW247)+1,10))*$D$38+MAX(0,IF($D$50=1,$D$37*(1-(ABS($P$247-(VALUE(MID(GW247,FIND("|",GW247)+1,FIND("-",GW247,FIND("|",GW247))-FIND("|",GW247)-1))-VALUE(MID(GW247,FIND("-",GW247,FIND("|",GW247))+1,10)))))*$D$50),$D$37*(1-(IF($L$247=0,ABS($N$247-VALUE(MID(GW247,FIND("|",GW247)+1,FIND("-",GW247,FIND("|",GW247))-FIND("|",GW247)-1))),ABS($P$247-(VALUE(MID(GW247,FIND("|",GW247)+1,FIND("-",GW247,FIND("|",GW247))-FIND("|",GW247)-1))-VALUE(MID(GW247,FIND("-",GW247,FIND("|",GW247))+1,10)))))*$D$50)))))*$I$247,0),0),0)
+IFERROR(IF(LEFT(GW247,FIND("·",GW247)-1)=$C$247,IF($D$247=IFERROR(VALUE(MID(GW247,FIND("·",GW247)+1,1)),0),($D$36+($E$247=MID(GW247,FIND("|",GW247)+1,10))*$D$38+MAX(0,IF($D$50=1,$D$37*(1-(ABS($Q$247-(VALUE(MID(GW247,FIND("|",GW247)+1,FIND("-",GW247,FIND("|",GW247))-FIND("|",GW247)-1))-VALUE(MID(GW247,FIND("-",GW247,FIND("|",GW247))+1,10)))))*$D$50),$D$37*(1-(IF($D$247=0,ABS($A$247-VALUE(MID(GW247,FIND("|",GW247)+1,FIND("-",GW247,FIND("|",GW247))-FIND("|",GW247)-1))),ABS($Q$247-(VALUE(MID(GW247,FIND("|",GW247)+1,FIND("-",GW247,FIND("|",GW247))-FIND("|",GW247)-1))-VALUE(MID(GW247,FIND("-",GW247,FIND("|",GW247))+1,10)))))*$D$50)))))*$I$247,0),0),0)</f>
        <v>0</v>
      </c>
      <c r="GY247" s="108"/>
      <c r="GZ247" s="65"/>
      <c r="HA247" s="84">
        <f t="shared" ref="HA247" si="7476">IFERROR(IF(LEFT(GZ247,FIND("·",GZ247)-1)=$K$247,IF($L$247=IFERROR(VALUE(MID(GZ247,FIND("·",GZ247)+1,1)),0),($D$36+($M$247=MID(GZ247,FIND("|",GZ247)+1,10))*$D$38+MAX(0,IF($D$50=1,$D$37*(1-(ABS($P$247-(VALUE(MID(GZ247,FIND("|",GZ247)+1,FIND("-",GZ247,FIND("|",GZ247))-FIND("|",GZ247)-1))-VALUE(MID(GZ247,FIND("-",GZ247,FIND("|",GZ247))+1,10)))))*$D$50),$D$37*(1-(IF($L$247=0,ABS($N$247-VALUE(MID(GZ247,FIND("|",GZ247)+1,FIND("-",GZ247,FIND("|",GZ247))-FIND("|",GZ247)-1))),ABS($P$247-(VALUE(MID(GZ247,FIND("|",GZ247)+1,FIND("-",GZ247,FIND("|",GZ247))-FIND("|",GZ247)-1))-VALUE(MID(GZ247,FIND("-",GZ247,FIND("|",GZ247))+1,10)))))*$D$50)))))*$I$247,0),0),0)
+IFERROR(IF(LEFT(GZ247,FIND("·",GZ247)-1)=$C$247,IF($D$247=IFERROR(VALUE(MID(GZ247,FIND("·",GZ247)+1,1)),0),($D$36+($E$247=MID(GZ247,FIND("|",GZ247)+1,10))*$D$38+MAX(0,IF($D$50=1,$D$37*(1-(ABS($Q$247-(VALUE(MID(GZ247,FIND("|",GZ247)+1,FIND("-",GZ247,FIND("|",GZ247))-FIND("|",GZ247)-1))-VALUE(MID(GZ247,FIND("-",GZ247,FIND("|",GZ247))+1,10)))))*$D$50),$D$37*(1-(IF($D$247=0,ABS($A$247-VALUE(MID(GZ247,FIND("|",GZ247)+1,FIND("-",GZ247,FIND("|",GZ247))-FIND("|",GZ247)-1))),ABS($Q$247-(VALUE(MID(GZ247,FIND("|",GZ247)+1,FIND("-",GZ247,FIND("|",GZ247))-FIND("|",GZ247)-1))-VALUE(MID(GZ247,FIND("-",GZ247,FIND("|",GZ247))+1,10)))))*$D$50)))))*$I$247,0),0),0)</f>
        <v>0</v>
      </c>
      <c r="HB247" s="108"/>
      <c r="HC247" s="65"/>
      <c r="HD247" s="84">
        <f t="shared" ref="HD247" si="7477">IFERROR(IF(LEFT(HC247,FIND("·",HC247)-1)=$K$247,IF($L$247=IFERROR(VALUE(MID(HC247,FIND("·",HC247)+1,1)),0),($D$36+($M$247=MID(HC247,FIND("|",HC247)+1,10))*$D$38+MAX(0,IF($D$50=1,$D$37*(1-(ABS($P$247-(VALUE(MID(HC247,FIND("|",HC247)+1,FIND("-",HC247,FIND("|",HC247))-FIND("|",HC247)-1))-VALUE(MID(HC247,FIND("-",HC247,FIND("|",HC247))+1,10)))))*$D$50),$D$37*(1-(IF($L$247=0,ABS($N$247-VALUE(MID(HC247,FIND("|",HC247)+1,FIND("-",HC247,FIND("|",HC247))-FIND("|",HC247)-1))),ABS($P$247-(VALUE(MID(HC247,FIND("|",HC247)+1,FIND("-",HC247,FIND("|",HC247))-FIND("|",HC247)-1))-VALUE(MID(HC247,FIND("-",HC247,FIND("|",HC247))+1,10)))))*$D$50)))))*$I$247,0),0),0)
+IFERROR(IF(LEFT(HC247,FIND("·",HC247)-1)=$C$247,IF($D$247=IFERROR(VALUE(MID(HC247,FIND("·",HC247)+1,1)),0),($D$36+($E$247=MID(HC247,FIND("|",HC247)+1,10))*$D$38+MAX(0,IF($D$50=1,$D$37*(1-(ABS($Q$247-(VALUE(MID(HC247,FIND("|",HC247)+1,FIND("-",HC247,FIND("|",HC247))-FIND("|",HC247)-1))-VALUE(MID(HC247,FIND("-",HC247,FIND("|",HC247))+1,10)))))*$D$50),$D$37*(1-(IF($D$247=0,ABS($A$247-VALUE(MID(HC247,FIND("|",HC247)+1,FIND("-",HC247,FIND("|",HC247))-FIND("|",HC247)-1))),ABS($Q$247-(VALUE(MID(HC247,FIND("|",HC247)+1,FIND("-",HC247,FIND("|",HC247))-FIND("|",HC247)-1))-VALUE(MID(HC247,FIND("-",HC247,FIND("|",HC247))+1,10)))))*$D$50)))))*$I$247,0),0),0)</f>
        <v>0</v>
      </c>
      <c r="HE247" s="108"/>
      <c r="HF247" s="65"/>
      <c r="HG247" s="84">
        <f>IFERROR(IF(LEFT(HF247,FIND("·",HF247)-1)=$K$247,IF($L$247=IFERROR(VALUE(MID(HF247,FIND("·",HF247)+1,1)),0),($D$36+($M$247=MID(HF247,FIND("|",HF247)+1,10))*$D$38+MAX(0,IF($D$50=1,$D$37*(1-(ABS($P$247-(VALUE(MID(HF247,FIND("|",HF247)+1,FIND("-",HF247,FIND("|",HF247))-FIND("|",HF247)-1))-VALUE(MID(HF247,FIND("-",HF247,FIND("|",HF247))+1,10)))))*$D$50),$D$37*(1-(IF($L$247=0,ABS($N$247-VALUE(MID(HF247,FIND("|",HF247)+1,FIND("-",HF247,FIND("|",HF247))-FIND("|",HF247)-1))),ABS($P$247-(VALUE(MID(HF247,FIND("|",HF247)+1,FIND("-",HF247,FIND("|",HF247))-FIND("|",HF247)-1))-VALUE(MID(HF247,FIND("-",HF247,FIND("|",HF247))+1,10)))))*$D$50)))))*$I$247,0),0),0)
+IFERROR(IF(LEFT(HF247,FIND("·",HF247)-1)=$C$247,IF($D$247=IFERROR(VALUE(MID(HF247,FIND("·",HF247)+1,1)),0),($D$36+($E$247=MID(HF247,FIND("|",HF247)+1,10))*$D$38+MAX(0,IF($D$50=1,$D$37*(1-(ABS($Q$247-(VALUE(MID(HF247,FIND("|",HF247)+1,FIND("-",HF247,FIND("|",HF247))-FIND("|",HF247)-1))-VALUE(MID(HF247,FIND("-",HF247,FIND("|",HF247))+1,10)))))*$D$50),$D$37*(1-(IF($D$247=0,ABS($A$247-VALUE(MID(HF247,FIND("|",HF247)+1,FIND("-",HF247,FIND("|",HF247))-FIND("|",HF247)-1))),ABS($Q$247-(VALUE(MID(HF247,FIND("|",HF247)+1,FIND("-",HF247,FIND("|",HF247))-FIND("|",HF247)-1))-VALUE(MID(HF247,FIND("-",HF247,FIND("|",HF247))+1,10)))))*$D$50)))))*$I$247,0),0),0)</f>
        <v>0</v>
      </c>
      <c r="HH247" s="108"/>
      <c r="HI247" s="65"/>
      <c r="HJ247" s="84">
        <f>IFERROR(IF(LEFT(HI247,FIND("·",HI247)-1)=$K$247,IF($L$247=IFERROR(VALUE(MID(HI247,FIND("·",HI247)+1,1)),0),($D$36+($M$247=MID(HI247,FIND("|",HI247)+1,10))*$D$38+MAX(0,IF($D$50=1,$D$37*(1-(ABS($P$247-(VALUE(MID(HI247,FIND("|",HI247)+1,FIND("-",HI247,FIND("|",HI247))-FIND("|",HI247)-1))-VALUE(MID(HI247,FIND("-",HI247,FIND("|",HI247))+1,10)))))*$D$50),$D$37*(1-(IF($L$247=0,ABS($N$247-VALUE(MID(HI247,FIND("|",HI247)+1,FIND("-",HI247,FIND("|",HI247))-FIND("|",HI247)-1))),ABS($P$247-(VALUE(MID(HI247,FIND("|",HI247)+1,FIND("-",HI247,FIND("|",HI247))-FIND("|",HI247)-1))-VALUE(MID(HI247,FIND("-",HI247,FIND("|",HI247))+1,10)))))*$D$50)))))*$I$247,0),0),0)
+IFERROR(IF(LEFT(HI247,FIND("·",HI247)-1)=$C$247,IF($D$247=IFERROR(VALUE(MID(HI247,FIND("·",HI247)+1,1)),0),($D$36+($E$247=MID(HI247,FIND("|",HI247)+1,10))*$D$38+MAX(0,IF($D$50=1,$D$37*(1-(ABS($Q$247-(VALUE(MID(HI247,FIND("|",HI247)+1,FIND("-",HI247,FIND("|",HI247))-FIND("|",HI247)-1))-VALUE(MID(HI247,FIND("-",HI247,FIND("|",HI247))+1,10)))))*$D$50),$D$37*(1-(IF($D$247=0,ABS($A$247-VALUE(MID(HI247,FIND("|",HI247)+1,FIND("-",HI247,FIND("|",HI247))-FIND("|",HI247)-1))),ABS($Q$247-(VALUE(MID(HI247,FIND("|",HI247)+1,FIND("-",HI247,FIND("|",HI247))-FIND("|",HI247)-1))-VALUE(MID(HI247,FIND("-",HI247,FIND("|",HI247))+1,10)))))*$D$50)))))*$I$247,0),0),0)</f>
        <v>0</v>
      </c>
      <c r="HK247" s="108"/>
      <c r="HL247" s="65"/>
      <c r="HM247" s="84">
        <f t="shared" ref="HM247" si="7478">IFERROR(IF(LEFT(HL247,FIND("·",HL247)-1)=$K$247,IF($L$247=IFERROR(VALUE(MID(HL247,FIND("·",HL247)+1,1)),0),($D$36+($M$247=MID(HL247,FIND("|",HL247)+1,10))*$D$38+MAX(0,IF($D$50=1,$D$37*(1-(ABS($P$247-(VALUE(MID(HL247,FIND("|",HL247)+1,FIND("-",HL247,FIND("|",HL247))-FIND("|",HL247)-1))-VALUE(MID(HL247,FIND("-",HL247,FIND("|",HL247))+1,10)))))*$D$50),$D$37*(1-(IF($L$247=0,ABS($N$247-VALUE(MID(HL247,FIND("|",HL247)+1,FIND("-",HL247,FIND("|",HL247))-FIND("|",HL247)-1))),ABS($P$247-(VALUE(MID(HL247,FIND("|",HL247)+1,FIND("-",HL247,FIND("|",HL247))-FIND("|",HL247)-1))-VALUE(MID(HL247,FIND("-",HL247,FIND("|",HL247))+1,10)))))*$D$50)))))*$I$247,0),0),0)
+IFERROR(IF(LEFT(HL247,FIND("·",HL247)-1)=$C$247,IF($D$247=IFERROR(VALUE(MID(HL247,FIND("·",HL247)+1,1)),0),($D$36+($E$247=MID(HL247,FIND("|",HL247)+1,10))*$D$38+MAX(0,IF($D$50=1,$D$37*(1-(ABS($Q$247-(VALUE(MID(HL247,FIND("|",HL247)+1,FIND("-",HL247,FIND("|",HL247))-FIND("|",HL247)-1))-VALUE(MID(HL247,FIND("-",HL247,FIND("|",HL247))+1,10)))))*$D$50),$D$37*(1-(IF($D$247=0,ABS($A$247-VALUE(MID(HL247,FIND("|",HL247)+1,FIND("-",HL247,FIND("|",HL247))-FIND("|",HL247)-1))),ABS($Q$247-(VALUE(MID(HL247,FIND("|",HL247)+1,FIND("-",HL247,FIND("|",HL247))-FIND("|",HL247)-1))-VALUE(MID(HL247,FIND("-",HL247,FIND("|",HL247))+1,10)))))*$D$50)))))*$I$247,0),0),0)</f>
        <v>0</v>
      </c>
      <c r="HN247" s="108"/>
      <c r="HO247" s="65"/>
      <c r="HP247" s="84">
        <f t="shared" ref="HP247" si="7479">IFERROR(IF(LEFT(HO247,FIND("·",HO247)-1)=$K$247,IF($L$247=IFERROR(VALUE(MID(HO247,FIND("·",HO247)+1,1)),0),($D$36+($M$247=MID(HO247,FIND("|",HO247)+1,10))*$D$38+MAX(0,IF($D$50=1,$D$37*(1-(ABS($P$247-(VALUE(MID(HO247,FIND("|",HO247)+1,FIND("-",HO247,FIND("|",HO247))-FIND("|",HO247)-1))-VALUE(MID(HO247,FIND("-",HO247,FIND("|",HO247))+1,10)))))*$D$50),$D$37*(1-(IF($L$247=0,ABS($N$247-VALUE(MID(HO247,FIND("|",HO247)+1,FIND("-",HO247,FIND("|",HO247))-FIND("|",HO247)-1))),ABS($P$247-(VALUE(MID(HO247,FIND("|",HO247)+1,FIND("-",HO247,FIND("|",HO247))-FIND("|",HO247)-1))-VALUE(MID(HO247,FIND("-",HO247,FIND("|",HO247))+1,10)))))*$D$50)))))*$I$247,0),0),0)
+IFERROR(IF(LEFT(HO247,FIND("·",HO247)-1)=$C$247,IF($D$247=IFERROR(VALUE(MID(HO247,FIND("·",HO247)+1,1)),0),($D$36+($E$247=MID(HO247,FIND("|",HO247)+1,10))*$D$38+MAX(0,IF($D$50=1,$D$37*(1-(ABS($Q$247-(VALUE(MID(HO247,FIND("|",HO247)+1,FIND("-",HO247,FIND("|",HO247))-FIND("|",HO247)-1))-VALUE(MID(HO247,FIND("-",HO247,FIND("|",HO247))+1,10)))))*$D$50),$D$37*(1-(IF($D$247=0,ABS($A$247-VALUE(MID(HO247,FIND("|",HO247)+1,FIND("-",HO247,FIND("|",HO247))-FIND("|",HO247)-1))),ABS($Q$247-(VALUE(MID(HO247,FIND("|",HO247)+1,FIND("-",HO247,FIND("|",HO247))-FIND("|",HO247)-1))-VALUE(MID(HO247,FIND("-",HO247,FIND("|",HO247))+1,10)))))*$D$50)))))*$I$247,0),0),0)</f>
        <v>0</v>
      </c>
      <c r="HQ247" s="108"/>
      <c r="HR247" s="65"/>
      <c r="HS247" s="84">
        <f t="shared" ref="HS247" si="7480">IFERROR(IF(LEFT(HR247,FIND("·",HR247)-1)=$K$247,IF($L$247=IFERROR(VALUE(MID(HR247,FIND("·",HR247)+1,1)),0),($D$36+($M$247=MID(HR247,FIND("|",HR247)+1,10))*$D$38+MAX(0,IF($D$50=1,$D$37*(1-(ABS($P$247-(VALUE(MID(HR247,FIND("|",HR247)+1,FIND("-",HR247,FIND("|",HR247))-FIND("|",HR247)-1))-VALUE(MID(HR247,FIND("-",HR247,FIND("|",HR247))+1,10)))))*$D$50),$D$37*(1-(IF($L$247=0,ABS($N$247-VALUE(MID(HR247,FIND("|",HR247)+1,FIND("-",HR247,FIND("|",HR247))-FIND("|",HR247)-1))),ABS($P$247-(VALUE(MID(HR247,FIND("|",HR247)+1,FIND("-",HR247,FIND("|",HR247))-FIND("|",HR247)-1))-VALUE(MID(HR247,FIND("-",HR247,FIND("|",HR247))+1,10)))))*$D$50)))))*$I$247,0),0),0)
+IFERROR(IF(LEFT(HR247,FIND("·",HR247)-1)=$C$247,IF($D$247=IFERROR(VALUE(MID(HR247,FIND("·",HR247)+1,1)),0),($D$36+($E$247=MID(HR247,FIND("|",HR247)+1,10))*$D$38+MAX(0,IF($D$50=1,$D$37*(1-(ABS($Q$247-(VALUE(MID(HR247,FIND("|",HR247)+1,FIND("-",HR247,FIND("|",HR247))-FIND("|",HR247)-1))-VALUE(MID(HR247,FIND("-",HR247,FIND("|",HR247))+1,10)))))*$D$50),$D$37*(1-(IF($D$247=0,ABS($A$247-VALUE(MID(HR247,FIND("|",HR247)+1,FIND("-",HR247,FIND("|",HR247))-FIND("|",HR247)-1))),ABS($Q$247-(VALUE(MID(HR247,FIND("|",HR247)+1,FIND("-",HR247,FIND("|",HR247))-FIND("|",HR247)-1))-VALUE(MID(HR247,FIND("-",HR247,FIND("|",HR247))+1,10)))))*$D$50)))))*$I$247,0),0),0)</f>
        <v>0</v>
      </c>
      <c r="HT247" s="108"/>
      <c r="HU247" s="65"/>
      <c r="HV247" s="84">
        <f>IFERROR(IF(LEFT(HU247,FIND("·",HU247)-1)=$K$247,IF($L$247=IFERROR(VALUE(MID(HU247,FIND("·",HU247)+1,1)),0),($D$36+($M$247=MID(HU247,FIND("|",HU247)+1,10))*$D$38+MAX(0,IF($D$50=1,$D$37*(1-(ABS($P$247-(VALUE(MID(HU247,FIND("|",HU247)+1,FIND("-",HU247,FIND("|",HU247))-FIND("|",HU247)-1))-VALUE(MID(HU247,FIND("-",HU247,FIND("|",HU247))+1,10)))))*$D$50),$D$37*(1-(IF($L$247=0,ABS($N$247-VALUE(MID(HU247,FIND("|",HU247)+1,FIND("-",HU247,FIND("|",HU247))-FIND("|",HU247)-1))),ABS($P$247-(VALUE(MID(HU247,FIND("|",HU247)+1,FIND("-",HU247,FIND("|",HU247))-FIND("|",HU247)-1))-VALUE(MID(HU247,FIND("-",HU247,FIND("|",HU247))+1,10)))))*$D$50)))))*$I$247,0),0),0)
+IFERROR(IF(LEFT(HU247,FIND("·",HU247)-1)=$C$247,IF($D$247=IFERROR(VALUE(MID(HU247,FIND("·",HU247)+1,1)),0),($D$36+($E$247=MID(HU247,FIND("|",HU247)+1,10))*$D$38+MAX(0,IF($D$50=1,$D$37*(1-(ABS($Q$247-(VALUE(MID(HU247,FIND("|",HU247)+1,FIND("-",HU247,FIND("|",HU247))-FIND("|",HU247)-1))-VALUE(MID(HU247,FIND("-",HU247,FIND("|",HU247))+1,10)))))*$D$50),$D$37*(1-(IF($D$247=0,ABS($A$247-VALUE(MID(HU247,FIND("|",HU247)+1,FIND("-",HU247,FIND("|",HU247))-FIND("|",HU247)-1))),ABS($Q$247-(VALUE(MID(HU247,FIND("|",HU247)+1,FIND("-",HU247,FIND("|",HU247))-FIND("|",HU247)-1))-VALUE(MID(HU247,FIND("-",HU247,FIND("|",HU247))+1,10)))))*$D$50)))))*$I$247,0),0),0)</f>
        <v>0</v>
      </c>
      <c r="HW247" s="108"/>
      <c r="HX247" s="65"/>
      <c r="HY247" s="84">
        <f>IFERROR(IF(LEFT(HX247,FIND("·",HX247)-1)=$K$247,IF($L$247=IFERROR(VALUE(MID(HX247,FIND("·",HX247)+1,1)),0),($D$36+($M$247=MID(HX247,FIND("|",HX247)+1,10))*$D$38+MAX(0,IF($D$50=1,$D$37*(1-(ABS($P$247-(VALUE(MID(HX247,FIND("|",HX247)+1,FIND("-",HX247,FIND("|",HX247))-FIND("|",HX247)-1))-VALUE(MID(HX247,FIND("-",HX247,FIND("|",HX247))+1,10)))))*$D$50),$D$37*(1-(IF($L$247=0,ABS($N$247-VALUE(MID(HX247,FIND("|",HX247)+1,FIND("-",HX247,FIND("|",HX247))-FIND("|",HX247)-1))),ABS($P$247-(VALUE(MID(HX247,FIND("|",HX247)+1,FIND("-",HX247,FIND("|",HX247))-FIND("|",HX247)-1))-VALUE(MID(HX247,FIND("-",HX247,FIND("|",HX247))+1,10)))))*$D$50)))))*$I$247,0),0),0)
+IFERROR(IF(LEFT(HX247,FIND("·",HX247)-1)=$C$247,IF($D$247=IFERROR(VALUE(MID(HX247,FIND("·",HX247)+1,1)),0),($D$36+($E$247=MID(HX247,FIND("|",HX247)+1,10))*$D$38+MAX(0,IF($D$50=1,$D$37*(1-(ABS($Q$247-(VALUE(MID(HX247,FIND("|",HX247)+1,FIND("-",HX247,FIND("|",HX247))-FIND("|",HX247)-1))-VALUE(MID(HX247,FIND("-",HX247,FIND("|",HX247))+1,10)))))*$D$50),$D$37*(1-(IF($D$247=0,ABS($A$247-VALUE(MID(HX247,FIND("|",HX247)+1,FIND("-",HX247,FIND("|",HX247))-FIND("|",HX247)-1))),ABS($Q$247-(VALUE(MID(HX247,FIND("|",HX247)+1,FIND("-",HX247,FIND("|",HX247))-FIND("|",HX247)-1))-VALUE(MID(HX247,FIND("-",HX247,FIND("|",HX247))+1,10)))))*$D$50)))))*$I$247,0),0),0)</f>
        <v>0</v>
      </c>
      <c r="HZ247" s="108"/>
      <c r="IA247" s="65"/>
      <c r="IB247" s="84">
        <f t="shared" ref="IB247" si="7481">IFERROR(IF(LEFT(IA247,FIND("·",IA247)-1)=$K$247,IF($L$247=IFERROR(VALUE(MID(IA247,FIND("·",IA247)+1,1)),0),($D$36+($M$247=MID(IA247,FIND("|",IA247)+1,10))*$D$38+MAX(0,IF($D$50=1,$D$37*(1-(ABS($P$247-(VALUE(MID(IA247,FIND("|",IA247)+1,FIND("-",IA247,FIND("|",IA247))-FIND("|",IA247)-1))-VALUE(MID(IA247,FIND("-",IA247,FIND("|",IA247))+1,10)))))*$D$50),$D$37*(1-(IF($L$247=0,ABS($N$247-VALUE(MID(IA247,FIND("|",IA247)+1,FIND("-",IA247,FIND("|",IA247))-FIND("|",IA247)-1))),ABS($P$247-(VALUE(MID(IA247,FIND("|",IA247)+1,FIND("-",IA247,FIND("|",IA247))-FIND("|",IA247)-1))-VALUE(MID(IA247,FIND("-",IA247,FIND("|",IA247))+1,10)))))*$D$50)))))*$I$247,0),0),0)
+IFERROR(IF(LEFT(IA247,FIND("·",IA247)-1)=$C$247,IF($D$247=IFERROR(VALUE(MID(IA247,FIND("·",IA247)+1,1)),0),($D$36+($E$247=MID(IA247,FIND("|",IA247)+1,10))*$D$38+MAX(0,IF($D$50=1,$D$37*(1-(ABS($Q$247-(VALUE(MID(IA247,FIND("|",IA247)+1,FIND("-",IA247,FIND("|",IA247))-FIND("|",IA247)-1))-VALUE(MID(IA247,FIND("-",IA247,FIND("|",IA247))+1,10)))))*$D$50),$D$37*(1-(IF($D$247=0,ABS($A$247-VALUE(MID(IA247,FIND("|",IA247)+1,FIND("-",IA247,FIND("|",IA247))-FIND("|",IA247)-1))),ABS($Q$247-(VALUE(MID(IA247,FIND("|",IA247)+1,FIND("-",IA247,FIND("|",IA247))-FIND("|",IA247)-1))-VALUE(MID(IA247,FIND("-",IA247,FIND("|",IA247))+1,10)))))*$D$50)))))*$I$247,0),0),0)</f>
        <v>0</v>
      </c>
      <c r="IC247" s="108"/>
      <c r="ID247" s="65"/>
      <c r="IE247" s="84">
        <f t="shared" ref="IE247" si="7482">IFERROR(IF(LEFT(ID247,FIND("·",ID247)-1)=$K$247,IF($L$247=IFERROR(VALUE(MID(ID247,FIND("·",ID247)+1,1)),0),($D$36+($M$247=MID(ID247,FIND("|",ID247)+1,10))*$D$38+MAX(0,IF($D$50=1,$D$37*(1-(ABS($P$247-(VALUE(MID(ID247,FIND("|",ID247)+1,FIND("-",ID247,FIND("|",ID247))-FIND("|",ID247)-1))-VALUE(MID(ID247,FIND("-",ID247,FIND("|",ID247))+1,10)))))*$D$50),$D$37*(1-(IF($L$247=0,ABS($N$247-VALUE(MID(ID247,FIND("|",ID247)+1,FIND("-",ID247,FIND("|",ID247))-FIND("|",ID247)-1))),ABS($P$247-(VALUE(MID(ID247,FIND("|",ID247)+1,FIND("-",ID247,FIND("|",ID247))-FIND("|",ID247)-1))-VALUE(MID(ID247,FIND("-",ID247,FIND("|",ID247))+1,10)))))*$D$50)))))*$I$247,0),0),0)
+IFERROR(IF(LEFT(ID247,FIND("·",ID247)-1)=$C$247,IF($D$247=IFERROR(VALUE(MID(ID247,FIND("·",ID247)+1,1)),0),($D$36+($E$247=MID(ID247,FIND("|",ID247)+1,10))*$D$38+MAX(0,IF($D$50=1,$D$37*(1-(ABS($Q$247-(VALUE(MID(ID247,FIND("|",ID247)+1,FIND("-",ID247,FIND("|",ID247))-FIND("|",ID247)-1))-VALUE(MID(ID247,FIND("-",ID247,FIND("|",ID247))+1,10)))))*$D$50),$D$37*(1-(IF($D$247=0,ABS($A$247-VALUE(MID(ID247,FIND("|",ID247)+1,FIND("-",ID247,FIND("|",ID247))-FIND("|",ID247)-1))),ABS($Q$247-(VALUE(MID(ID247,FIND("|",ID247)+1,FIND("-",ID247,FIND("|",ID247))-FIND("|",ID247)-1))-VALUE(MID(ID247,FIND("-",ID247,FIND("|",ID247))+1,10)))))*$D$50)))))*$I$247,0),0),0)</f>
        <v>0</v>
      </c>
      <c r="IF247" s="108"/>
      <c r="IG247" s="65"/>
      <c r="IH247" s="84">
        <f t="shared" ref="IH247" si="7483">IFERROR(IF(LEFT(IG247,FIND("·",IG247)-1)=$K$247,IF($L$247=IFERROR(VALUE(MID(IG247,FIND("·",IG247)+1,1)),0),($D$36+($M$247=MID(IG247,FIND("|",IG247)+1,10))*$D$38+MAX(0,IF($D$50=1,$D$37*(1-(ABS($P$247-(VALUE(MID(IG247,FIND("|",IG247)+1,FIND("-",IG247,FIND("|",IG247))-FIND("|",IG247)-1))-VALUE(MID(IG247,FIND("-",IG247,FIND("|",IG247))+1,10)))))*$D$50),$D$37*(1-(IF($L$247=0,ABS($N$247-VALUE(MID(IG247,FIND("|",IG247)+1,FIND("-",IG247,FIND("|",IG247))-FIND("|",IG247)-1))),ABS($P$247-(VALUE(MID(IG247,FIND("|",IG247)+1,FIND("-",IG247,FIND("|",IG247))-FIND("|",IG247)-1))-VALUE(MID(IG247,FIND("-",IG247,FIND("|",IG247))+1,10)))))*$D$50)))))*$I$247,0),0),0)
+IFERROR(IF(LEFT(IG247,FIND("·",IG247)-1)=$C$247,IF($D$247=IFERROR(VALUE(MID(IG247,FIND("·",IG247)+1,1)),0),($D$36+($E$247=MID(IG247,FIND("|",IG247)+1,10))*$D$38+MAX(0,IF($D$50=1,$D$37*(1-(ABS($Q$247-(VALUE(MID(IG247,FIND("|",IG247)+1,FIND("-",IG247,FIND("|",IG247))-FIND("|",IG247)-1))-VALUE(MID(IG247,FIND("-",IG247,FIND("|",IG247))+1,10)))))*$D$50),$D$37*(1-(IF($D$247=0,ABS($A$247-VALUE(MID(IG247,FIND("|",IG247)+1,FIND("-",IG247,FIND("|",IG247))-FIND("|",IG247)-1))),ABS($Q$247-(VALUE(MID(IG247,FIND("|",IG247)+1,FIND("-",IG247,FIND("|",IG247))-FIND("|",IG247)-1))-VALUE(MID(IG247,FIND("-",IG247,FIND("|",IG247))+1,10)))))*$D$50)))))*$I$247,0),0),0)</f>
        <v>0</v>
      </c>
      <c r="II247" s="108"/>
      <c r="IJ247" s="65"/>
      <c r="IK247" s="84">
        <f>IFERROR(IF(LEFT(IJ247,FIND("·",IJ247)-1)=$K$247,IF($L$247=IFERROR(VALUE(MID(IJ247,FIND("·",IJ247)+1,1)),0),($D$36+($M$247=MID(IJ247,FIND("|",IJ247)+1,10))*$D$38+MAX(0,IF($D$50=1,$D$37*(1-(ABS($P$247-(VALUE(MID(IJ247,FIND("|",IJ247)+1,FIND("-",IJ247,FIND("|",IJ247))-FIND("|",IJ247)-1))-VALUE(MID(IJ247,FIND("-",IJ247,FIND("|",IJ247))+1,10)))))*$D$50),$D$37*(1-(IF($L$247=0,ABS($N$247-VALUE(MID(IJ247,FIND("|",IJ247)+1,FIND("-",IJ247,FIND("|",IJ247))-FIND("|",IJ247)-1))),ABS($P$247-(VALUE(MID(IJ247,FIND("|",IJ247)+1,FIND("-",IJ247,FIND("|",IJ247))-FIND("|",IJ247)-1))-VALUE(MID(IJ247,FIND("-",IJ247,FIND("|",IJ247))+1,10)))))*$D$50)))))*$I$247,0),0),0)
+IFERROR(IF(LEFT(IJ247,FIND("·",IJ247)-1)=$C$247,IF($D$247=IFERROR(VALUE(MID(IJ247,FIND("·",IJ247)+1,1)),0),($D$36+($E$247=MID(IJ247,FIND("|",IJ247)+1,10))*$D$38+MAX(0,IF($D$50=1,$D$37*(1-(ABS($Q$247-(VALUE(MID(IJ247,FIND("|",IJ247)+1,FIND("-",IJ247,FIND("|",IJ247))-FIND("|",IJ247)-1))-VALUE(MID(IJ247,FIND("-",IJ247,FIND("|",IJ247))+1,10)))))*$D$50),$D$37*(1-(IF($D$247=0,ABS($A$247-VALUE(MID(IJ247,FIND("|",IJ247)+1,FIND("-",IJ247,FIND("|",IJ247))-FIND("|",IJ247)-1))),ABS($Q$247-(VALUE(MID(IJ247,FIND("|",IJ247)+1,FIND("-",IJ247,FIND("|",IJ247))-FIND("|",IJ247)-1))-VALUE(MID(IJ247,FIND("-",IJ247,FIND("|",IJ247))+1,10)))))*$D$50)))))*$I$247,0),0),0)</f>
        <v>0</v>
      </c>
      <c r="IL247" s="108"/>
      <c r="IM247" s="65"/>
      <c r="IN247" s="84">
        <f>IFERROR(IF(LEFT(IM247,FIND("·",IM247)-1)=$K$247,IF($L$247=IFERROR(VALUE(MID(IM247,FIND("·",IM247)+1,1)),0),($D$36+($M$247=MID(IM247,FIND("|",IM247)+1,10))*$D$38+MAX(0,IF($D$50=1,$D$37*(1-(ABS($P$247-(VALUE(MID(IM247,FIND("|",IM247)+1,FIND("-",IM247,FIND("|",IM247))-FIND("|",IM247)-1))-VALUE(MID(IM247,FIND("-",IM247,FIND("|",IM247))+1,10)))))*$D$50),$D$37*(1-(IF($L$247=0,ABS($N$247-VALUE(MID(IM247,FIND("|",IM247)+1,FIND("-",IM247,FIND("|",IM247))-FIND("|",IM247)-1))),ABS($P$247-(VALUE(MID(IM247,FIND("|",IM247)+1,FIND("-",IM247,FIND("|",IM247))-FIND("|",IM247)-1))-VALUE(MID(IM247,FIND("-",IM247,FIND("|",IM247))+1,10)))))*$D$50)))))*$I$247,0),0),0)
+IFERROR(IF(LEFT(IM247,FIND("·",IM247)-1)=$C$247,IF($D$247=IFERROR(VALUE(MID(IM247,FIND("·",IM247)+1,1)),0),($D$36+($E$247=MID(IM247,FIND("|",IM247)+1,10))*$D$38+MAX(0,IF($D$50=1,$D$37*(1-(ABS($Q$247-(VALUE(MID(IM247,FIND("|",IM247)+1,FIND("-",IM247,FIND("|",IM247))-FIND("|",IM247)-1))-VALUE(MID(IM247,FIND("-",IM247,FIND("|",IM247))+1,10)))))*$D$50),$D$37*(1-(IF($D$247=0,ABS($A$247-VALUE(MID(IM247,FIND("|",IM247)+1,FIND("-",IM247,FIND("|",IM247))-FIND("|",IM247)-1))),ABS($Q$247-(VALUE(MID(IM247,FIND("|",IM247)+1,FIND("-",IM247,FIND("|",IM247))-FIND("|",IM247)-1))-VALUE(MID(IM247,FIND("-",IM247,FIND("|",IM247))+1,10)))))*$D$50)))))*$I$247,0),0),0)</f>
        <v>0</v>
      </c>
      <c r="IO247" s="108"/>
      <c r="IP247" s="65"/>
      <c r="IQ247" s="84">
        <f t="shared" ref="IQ247" si="7484">IFERROR(IF(LEFT(IP247,FIND("·",IP247)-1)=$K$247,IF($L$247=IFERROR(VALUE(MID(IP247,FIND("·",IP247)+1,1)),0),($D$36+($M$247=MID(IP247,FIND("|",IP247)+1,10))*$D$38+MAX(0,IF($D$50=1,$D$37*(1-(ABS($P$247-(VALUE(MID(IP247,FIND("|",IP247)+1,FIND("-",IP247,FIND("|",IP247))-FIND("|",IP247)-1))-VALUE(MID(IP247,FIND("-",IP247,FIND("|",IP247))+1,10)))))*$D$50),$D$37*(1-(IF($L$247=0,ABS($N$247-VALUE(MID(IP247,FIND("|",IP247)+1,FIND("-",IP247,FIND("|",IP247))-FIND("|",IP247)-1))),ABS($P$247-(VALUE(MID(IP247,FIND("|",IP247)+1,FIND("-",IP247,FIND("|",IP247))-FIND("|",IP247)-1))-VALUE(MID(IP247,FIND("-",IP247,FIND("|",IP247))+1,10)))))*$D$50)))))*$I$247,0),0),0)
+IFERROR(IF(LEFT(IP247,FIND("·",IP247)-1)=$C$247,IF($D$247=IFERROR(VALUE(MID(IP247,FIND("·",IP247)+1,1)),0),($D$36+($E$247=MID(IP247,FIND("|",IP247)+1,10))*$D$38+MAX(0,IF($D$50=1,$D$37*(1-(ABS($Q$247-(VALUE(MID(IP247,FIND("|",IP247)+1,FIND("-",IP247,FIND("|",IP247))-FIND("|",IP247)-1))-VALUE(MID(IP247,FIND("-",IP247,FIND("|",IP247))+1,10)))))*$D$50),$D$37*(1-(IF($D$247=0,ABS($A$247-VALUE(MID(IP247,FIND("|",IP247)+1,FIND("-",IP247,FIND("|",IP247))-FIND("|",IP247)-1))),ABS($Q$247-(VALUE(MID(IP247,FIND("|",IP247)+1,FIND("-",IP247,FIND("|",IP247))-FIND("|",IP247)-1))-VALUE(MID(IP247,FIND("-",IP247,FIND("|",IP247))+1,10)))))*$D$50)))))*$I$247,0),0),0)</f>
        <v>0</v>
      </c>
      <c r="IR247" s="108"/>
      <c r="IS247" s="65"/>
      <c r="IT247" s="84">
        <f t="shared" ref="IT247" si="7485">IFERROR(IF(LEFT(IS247,FIND("·",IS247)-1)=$K$247,IF($L$247=IFERROR(VALUE(MID(IS247,FIND("·",IS247)+1,1)),0),($D$36+($M$247=MID(IS247,FIND("|",IS247)+1,10))*$D$38+MAX(0,IF($D$50=1,$D$37*(1-(ABS($P$247-(VALUE(MID(IS247,FIND("|",IS247)+1,FIND("-",IS247,FIND("|",IS247))-FIND("|",IS247)-1))-VALUE(MID(IS247,FIND("-",IS247,FIND("|",IS247))+1,10)))))*$D$50),$D$37*(1-(IF($L$247=0,ABS($N$247-VALUE(MID(IS247,FIND("|",IS247)+1,FIND("-",IS247,FIND("|",IS247))-FIND("|",IS247)-1))),ABS($P$247-(VALUE(MID(IS247,FIND("|",IS247)+1,FIND("-",IS247,FIND("|",IS247))-FIND("|",IS247)-1))-VALUE(MID(IS247,FIND("-",IS247,FIND("|",IS247))+1,10)))))*$D$50)))))*$I$247,0),0),0)
+IFERROR(IF(LEFT(IS247,FIND("·",IS247)-1)=$C$247,IF($D$247=IFERROR(VALUE(MID(IS247,FIND("·",IS247)+1,1)),0),($D$36+($E$247=MID(IS247,FIND("|",IS247)+1,10))*$D$38+MAX(0,IF($D$50=1,$D$37*(1-(ABS($Q$247-(VALUE(MID(IS247,FIND("|",IS247)+1,FIND("-",IS247,FIND("|",IS247))-FIND("|",IS247)-1))-VALUE(MID(IS247,FIND("-",IS247,FIND("|",IS247))+1,10)))))*$D$50),$D$37*(1-(IF($D$247=0,ABS($A$247-VALUE(MID(IS247,FIND("|",IS247)+1,FIND("-",IS247,FIND("|",IS247))-FIND("|",IS247)-1))),ABS($Q$247-(VALUE(MID(IS247,FIND("|",IS247)+1,FIND("-",IS247,FIND("|",IS247))-FIND("|",IS247)-1))-VALUE(MID(IS247,FIND("-",IS247,FIND("|",IS247))+1,10)))))*$D$50)))))*$I$247,0),0),0)</f>
        <v>0</v>
      </c>
      <c r="IU247" s="108"/>
      <c r="IV247" s="65"/>
      <c r="IW247" s="84">
        <f t="shared" ref="IW247" si="7486">IFERROR(IF(LEFT(IV247,FIND("·",IV247)-1)=$K$247,IF($L$247=IFERROR(VALUE(MID(IV247,FIND("·",IV247)+1,1)),0),($D$36+($M$247=MID(IV247,FIND("|",IV247)+1,10))*$D$38+MAX(0,IF($D$50=1,$D$37*(1-(ABS($P$247-(VALUE(MID(IV247,FIND("|",IV247)+1,FIND("-",IV247,FIND("|",IV247))-FIND("|",IV247)-1))-VALUE(MID(IV247,FIND("-",IV247,FIND("|",IV247))+1,10)))))*$D$50),$D$37*(1-(IF($L$247=0,ABS($N$247-VALUE(MID(IV247,FIND("|",IV247)+1,FIND("-",IV247,FIND("|",IV247))-FIND("|",IV247)-1))),ABS($P$247-(VALUE(MID(IV247,FIND("|",IV247)+1,FIND("-",IV247,FIND("|",IV247))-FIND("|",IV247)-1))-VALUE(MID(IV247,FIND("-",IV247,FIND("|",IV247))+1,10)))))*$D$50)))))*$I$247,0),0),0)
+IFERROR(IF(LEFT(IV247,FIND("·",IV247)-1)=$C$247,IF($D$247=IFERROR(VALUE(MID(IV247,FIND("·",IV247)+1,1)),0),($D$36+($E$247=MID(IV247,FIND("|",IV247)+1,10))*$D$38+MAX(0,IF($D$50=1,$D$37*(1-(ABS($Q$247-(VALUE(MID(IV247,FIND("|",IV247)+1,FIND("-",IV247,FIND("|",IV247))-FIND("|",IV247)-1))-VALUE(MID(IV247,FIND("-",IV247,FIND("|",IV247))+1,10)))))*$D$50),$D$37*(1-(IF($D$247=0,ABS($A$247-VALUE(MID(IV247,FIND("|",IV247)+1,FIND("-",IV247,FIND("|",IV247))-FIND("|",IV247)-1))),ABS($Q$247-(VALUE(MID(IV247,FIND("|",IV247)+1,FIND("-",IV247,FIND("|",IV247))-FIND("|",IV247)-1))-VALUE(MID(IV247,FIND("-",IV247,FIND("|",IV247))+1,10)))))*$D$50)))))*$I$247,0),0),0)</f>
        <v>0</v>
      </c>
      <c r="IX247" s="108"/>
      <c r="IY247" s="65"/>
      <c r="IZ247" s="84">
        <f>IFERROR(IF(LEFT(IY247,FIND("·",IY247)-1)=$K$247,IF($L$247=IFERROR(VALUE(MID(IY247,FIND("·",IY247)+1,1)),0),($D$36+($M$247=MID(IY247,FIND("|",IY247)+1,10))*$D$38+MAX(0,IF($D$50=1,$D$37*(1-(ABS($P$247-(VALUE(MID(IY247,FIND("|",IY247)+1,FIND("-",IY247,FIND("|",IY247))-FIND("|",IY247)-1))-VALUE(MID(IY247,FIND("-",IY247,FIND("|",IY247))+1,10)))))*$D$50),$D$37*(1-(IF($L$247=0,ABS($N$247-VALUE(MID(IY247,FIND("|",IY247)+1,FIND("-",IY247,FIND("|",IY247))-FIND("|",IY247)-1))),ABS($P$247-(VALUE(MID(IY247,FIND("|",IY247)+1,FIND("-",IY247,FIND("|",IY247))-FIND("|",IY247)-1))-VALUE(MID(IY247,FIND("-",IY247,FIND("|",IY247))+1,10)))))*$D$50)))))*$I$247,0),0),0)
+IFERROR(IF(LEFT(IY247,FIND("·",IY247)-1)=$C$247,IF($D$247=IFERROR(VALUE(MID(IY247,FIND("·",IY247)+1,1)),0),($D$36+($E$247=MID(IY247,FIND("|",IY247)+1,10))*$D$38+MAX(0,IF($D$50=1,$D$37*(1-(ABS($Q$247-(VALUE(MID(IY247,FIND("|",IY247)+1,FIND("-",IY247,FIND("|",IY247))-FIND("|",IY247)-1))-VALUE(MID(IY247,FIND("-",IY247,FIND("|",IY247))+1,10)))))*$D$50),$D$37*(1-(IF($D$247=0,ABS($A$247-VALUE(MID(IY247,FIND("|",IY247)+1,FIND("-",IY247,FIND("|",IY247))-FIND("|",IY247)-1))),ABS($Q$247-(VALUE(MID(IY247,FIND("|",IY247)+1,FIND("-",IY247,FIND("|",IY247))-FIND("|",IY247)-1))-VALUE(MID(IY247,FIND("-",IY247,FIND("|",IY247))+1,10)))))*$D$50)))))*$I$247,0),0),0)</f>
        <v>0</v>
      </c>
      <c r="JA247" s="108"/>
      <c r="JB247" s="65"/>
      <c r="JC247" s="84">
        <f>IFERROR(IF(LEFT(JB247,FIND("·",JB247)-1)=$K$247,IF($L$247=IFERROR(VALUE(MID(JB247,FIND("·",JB247)+1,1)),0),($D$36+($M$247=MID(JB247,FIND("|",JB247)+1,10))*$D$38+MAX(0,IF($D$50=1,$D$37*(1-(ABS($P$247-(VALUE(MID(JB247,FIND("|",JB247)+1,FIND("-",JB247,FIND("|",JB247))-FIND("|",JB247)-1))-VALUE(MID(JB247,FIND("-",JB247,FIND("|",JB247))+1,10)))))*$D$50),$D$37*(1-(IF($L$247=0,ABS($N$247-VALUE(MID(JB247,FIND("|",JB247)+1,FIND("-",JB247,FIND("|",JB247))-FIND("|",JB247)-1))),ABS($P$247-(VALUE(MID(JB247,FIND("|",JB247)+1,FIND("-",JB247,FIND("|",JB247))-FIND("|",JB247)-1))-VALUE(MID(JB247,FIND("-",JB247,FIND("|",JB247))+1,10)))))*$D$50)))))*$I$247,0),0),0)
+IFERROR(IF(LEFT(JB247,FIND("·",JB247)-1)=$C$247,IF($D$247=IFERROR(VALUE(MID(JB247,FIND("·",JB247)+1,1)),0),($D$36+($E$247=MID(JB247,FIND("|",JB247)+1,10))*$D$38+MAX(0,IF($D$50=1,$D$37*(1-(ABS($Q$247-(VALUE(MID(JB247,FIND("|",JB247)+1,FIND("-",JB247,FIND("|",JB247))-FIND("|",JB247)-1))-VALUE(MID(JB247,FIND("-",JB247,FIND("|",JB247))+1,10)))))*$D$50),$D$37*(1-(IF($D$247=0,ABS($A$247-VALUE(MID(JB247,FIND("|",JB247)+1,FIND("-",JB247,FIND("|",JB247))-FIND("|",JB247)-1))),ABS($Q$247-(VALUE(MID(JB247,FIND("|",JB247)+1,FIND("-",JB247,FIND("|",JB247))-FIND("|",JB247)-1))-VALUE(MID(JB247,FIND("-",JB247,FIND("|",JB247))+1,10)))))*$D$50)))))*$I$247,0),0),0)</f>
        <v>0</v>
      </c>
      <c r="JD247" s="108"/>
      <c r="JE247" s="65"/>
      <c r="JF247" s="84">
        <f t="shared" ref="JF247" si="7487">IFERROR(IF(LEFT(JE247,FIND("·",JE247)-1)=$K$247,IF($L$247=IFERROR(VALUE(MID(JE247,FIND("·",JE247)+1,1)),0),($D$36+($M$247=MID(JE247,FIND("|",JE247)+1,10))*$D$38+MAX(0,IF($D$50=1,$D$37*(1-(ABS($P$247-(VALUE(MID(JE247,FIND("|",JE247)+1,FIND("-",JE247,FIND("|",JE247))-FIND("|",JE247)-1))-VALUE(MID(JE247,FIND("-",JE247,FIND("|",JE247))+1,10)))))*$D$50),$D$37*(1-(IF($L$247=0,ABS($N$247-VALUE(MID(JE247,FIND("|",JE247)+1,FIND("-",JE247,FIND("|",JE247))-FIND("|",JE247)-1))),ABS($P$247-(VALUE(MID(JE247,FIND("|",JE247)+1,FIND("-",JE247,FIND("|",JE247))-FIND("|",JE247)-1))-VALUE(MID(JE247,FIND("-",JE247,FIND("|",JE247))+1,10)))))*$D$50)))))*$I$247,0),0),0)
+IFERROR(IF(LEFT(JE247,FIND("·",JE247)-1)=$C$247,IF($D$247=IFERROR(VALUE(MID(JE247,FIND("·",JE247)+1,1)),0),($D$36+($E$247=MID(JE247,FIND("|",JE247)+1,10))*$D$38+MAX(0,IF($D$50=1,$D$37*(1-(ABS($Q$247-(VALUE(MID(JE247,FIND("|",JE247)+1,FIND("-",JE247,FIND("|",JE247))-FIND("|",JE247)-1))-VALUE(MID(JE247,FIND("-",JE247,FIND("|",JE247))+1,10)))))*$D$50),$D$37*(1-(IF($D$247=0,ABS($A$247-VALUE(MID(JE247,FIND("|",JE247)+1,FIND("-",JE247,FIND("|",JE247))-FIND("|",JE247)-1))),ABS($Q$247-(VALUE(MID(JE247,FIND("|",JE247)+1,FIND("-",JE247,FIND("|",JE247))-FIND("|",JE247)-1))-VALUE(MID(JE247,FIND("-",JE247,FIND("|",JE247))+1,10)))))*$D$50)))))*$I$247,0),0),0)</f>
        <v>0</v>
      </c>
      <c r="JG247" s="108"/>
      <c r="JH247" s="65"/>
      <c r="JI247" s="84">
        <f t="shared" ref="JI247" si="7488">IFERROR(IF(LEFT(JH247,FIND("·",JH247)-1)=$K$247,IF($L$247=IFERROR(VALUE(MID(JH247,FIND("·",JH247)+1,1)),0),($D$36+($M$247=MID(JH247,FIND("|",JH247)+1,10))*$D$38+MAX(0,IF($D$50=1,$D$37*(1-(ABS($P$247-(VALUE(MID(JH247,FIND("|",JH247)+1,FIND("-",JH247,FIND("|",JH247))-FIND("|",JH247)-1))-VALUE(MID(JH247,FIND("-",JH247,FIND("|",JH247))+1,10)))))*$D$50),$D$37*(1-(IF($L$247=0,ABS($N$247-VALUE(MID(JH247,FIND("|",JH247)+1,FIND("-",JH247,FIND("|",JH247))-FIND("|",JH247)-1))),ABS($P$247-(VALUE(MID(JH247,FIND("|",JH247)+1,FIND("-",JH247,FIND("|",JH247))-FIND("|",JH247)-1))-VALUE(MID(JH247,FIND("-",JH247,FIND("|",JH247))+1,10)))))*$D$50)))))*$I$247,0),0),0)
+IFERROR(IF(LEFT(JH247,FIND("·",JH247)-1)=$C$247,IF($D$247=IFERROR(VALUE(MID(JH247,FIND("·",JH247)+1,1)),0),($D$36+($E$247=MID(JH247,FIND("|",JH247)+1,10))*$D$38+MAX(0,IF($D$50=1,$D$37*(1-(ABS($Q$247-(VALUE(MID(JH247,FIND("|",JH247)+1,FIND("-",JH247,FIND("|",JH247))-FIND("|",JH247)-1))-VALUE(MID(JH247,FIND("-",JH247,FIND("|",JH247))+1,10)))))*$D$50),$D$37*(1-(IF($D$247=0,ABS($A$247-VALUE(MID(JH247,FIND("|",JH247)+1,FIND("-",JH247,FIND("|",JH247))-FIND("|",JH247)-1))),ABS($Q$247-(VALUE(MID(JH247,FIND("|",JH247)+1,FIND("-",JH247,FIND("|",JH247))-FIND("|",JH247)-1))-VALUE(MID(JH247,FIND("-",JH247,FIND("|",JH247))+1,10)))))*$D$50)))))*$I$247,0),0),0)</f>
        <v>0</v>
      </c>
      <c r="JJ247" s="108"/>
      <c r="JK247" s="65"/>
      <c r="JL247" s="84">
        <f t="shared" ref="JL247" si="7489">IFERROR(IF(LEFT(JK247,FIND("·",JK247)-1)=$K$247,IF($L$247=IFERROR(VALUE(MID(JK247,FIND("·",JK247)+1,1)),0),($D$36+($M$247=MID(JK247,FIND("|",JK247)+1,10))*$D$38+MAX(0,IF($D$50=1,$D$37*(1-(ABS($P$247-(VALUE(MID(JK247,FIND("|",JK247)+1,FIND("-",JK247,FIND("|",JK247))-FIND("|",JK247)-1))-VALUE(MID(JK247,FIND("-",JK247,FIND("|",JK247))+1,10)))))*$D$50),$D$37*(1-(IF($L$247=0,ABS($N$247-VALUE(MID(JK247,FIND("|",JK247)+1,FIND("-",JK247,FIND("|",JK247))-FIND("|",JK247)-1))),ABS($P$247-(VALUE(MID(JK247,FIND("|",JK247)+1,FIND("-",JK247,FIND("|",JK247))-FIND("|",JK247)-1))-VALUE(MID(JK247,FIND("-",JK247,FIND("|",JK247))+1,10)))))*$D$50)))))*$I$247,0),0),0)
+IFERROR(IF(LEFT(JK247,FIND("·",JK247)-1)=$C$247,IF($D$247=IFERROR(VALUE(MID(JK247,FIND("·",JK247)+1,1)),0),($D$36+($E$247=MID(JK247,FIND("|",JK247)+1,10))*$D$38+MAX(0,IF($D$50=1,$D$37*(1-(ABS($Q$247-(VALUE(MID(JK247,FIND("|",JK247)+1,FIND("-",JK247,FIND("|",JK247))-FIND("|",JK247)-1))-VALUE(MID(JK247,FIND("-",JK247,FIND("|",JK247))+1,10)))))*$D$50),$D$37*(1-(IF($D$247=0,ABS($A$247-VALUE(MID(JK247,FIND("|",JK247)+1,FIND("-",JK247,FIND("|",JK247))-FIND("|",JK247)-1))),ABS($Q$247-(VALUE(MID(JK247,FIND("|",JK247)+1,FIND("-",JK247,FIND("|",JK247))-FIND("|",JK247)-1))-VALUE(MID(JK247,FIND("-",JK247,FIND("|",JK247))+1,10)))))*$D$50)))))*$I$247,0),0),0)</f>
        <v>0</v>
      </c>
      <c r="JM247" s="108"/>
      <c r="JN247" s="65"/>
      <c r="JO247" s="84">
        <f>IFERROR(IF(LEFT(JN247,FIND("·",JN247)-1)=$K$247,IF($L$247=IFERROR(VALUE(MID(JN247,FIND("·",JN247)+1,1)),0),($D$36+($M$247=MID(JN247,FIND("|",JN247)+1,10))*$D$38+MAX(0,IF($D$50=1,$D$37*(1-(ABS($P$247-(VALUE(MID(JN247,FIND("|",JN247)+1,FIND("-",JN247,FIND("|",JN247))-FIND("|",JN247)-1))-VALUE(MID(JN247,FIND("-",JN247,FIND("|",JN247))+1,10)))))*$D$50),$D$37*(1-(IF($L$247=0,ABS($N$247-VALUE(MID(JN247,FIND("|",JN247)+1,FIND("-",JN247,FIND("|",JN247))-FIND("|",JN247)-1))),ABS($P$247-(VALUE(MID(JN247,FIND("|",JN247)+1,FIND("-",JN247,FIND("|",JN247))-FIND("|",JN247)-1))-VALUE(MID(JN247,FIND("-",JN247,FIND("|",JN247))+1,10)))))*$D$50)))))*$I$247,0),0),0)
+IFERROR(IF(LEFT(JN247,FIND("·",JN247)-1)=$C$247,IF($D$247=IFERROR(VALUE(MID(JN247,FIND("·",JN247)+1,1)),0),($D$36+($E$247=MID(JN247,FIND("|",JN247)+1,10))*$D$38+MAX(0,IF($D$50=1,$D$37*(1-(ABS($Q$247-(VALUE(MID(JN247,FIND("|",JN247)+1,FIND("-",JN247,FIND("|",JN247))-FIND("|",JN247)-1))-VALUE(MID(JN247,FIND("-",JN247,FIND("|",JN247))+1,10)))))*$D$50),$D$37*(1-(IF($D$247=0,ABS($A$247-VALUE(MID(JN247,FIND("|",JN247)+1,FIND("-",JN247,FIND("|",JN247))-FIND("|",JN247)-1))),ABS($Q$247-(VALUE(MID(JN247,FIND("|",JN247)+1,FIND("-",JN247,FIND("|",JN247))-FIND("|",JN247)-1))-VALUE(MID(JN247,FIND("-",JN247,FIND("|",JN247))+1,10)))))*$D$50)))))*$I$247,0),0),0)</f>
        <v>0</v>
      </c>
      <c r="JP247" s="108"/>
      <c r="JQ247" s="65"/>
      <c r="JR247" s="84">
        <f>IFERROR(IF(LEFT(JQ247,FIND("·",JQ247)-1)=$K$247,IF($L$247=IFERROR(VALUE(MID(JQ247,FIND("·",JQ247)+1,1)),0),($D$36+($M$247=MID(JQ247,FIND("|",JQ247)+1,10))*$D$38+MAX(0,IF($D$50=1,$D$37*(1-(ABS($P$247-(VALUE(MID(JQ247,FIND("|",JQ247)+1,FIND("-",JQ247,FIND("|",JQ247))-FIND("|",JQ247)-1))-VALUE(MID(JQ247,FIND("-",JQ247,FIND("|",JQ247))+1,10)))))*$D$50),$D$37*(1-(IF($L$247=0,ABS($N$247-VALUE(MID(JQ247,FIND("|",JQ247)+1,FIND("-",JQ247,FIND("|",JQ247))-FIND("|",JQ247)-1))),ABS($P$247-(VALUE(MID(JQ247,FIND("|",JQ247)+1,FIND("-",JQ247,FIND("|",JQ247))-FIND("|",JQ247)-1))-VALUE(MID(JQ247,FIND("-",JQ247,FIND("|",JQ247))+1,10)))))*$D$50)))))*$I$247,0),0),0)
+IFERROR(IF(LEFT(JQ247,FIND("·",JQ247)-1)=$C$247,IF($D$247=IFERROR(VALUE(MID(JQ247,FIND("·",JQ247)+1,1)),0),($D$36+($E$247=MID(JQ247,FIND("|",JQ247)+1,10))*$D$38+MAX(0,IF($D$50=1,$D$37*(1-(ABS($Q$247-(VALUE(MID(JQ247,FIND("|",JQ247)+1,FIND("-",JQ247,FIND("|",JQ247))-FIND("|",JQ247)-1))-VALUE(MID(JQ247,FIND("-",JQ247,FIND("|",JQ247))+1,10)))))*$D$50),$D$37*(1-(IF($D$247=0,ABS($A$247-VALUE(MID(JQ247,FIND("|",JQ247)+1,FIND("-",JQ247,FIND("|",JQ247))-FIND("|",JQ247)-1))),ABS($Q$247-(VALUE(MID(JQ247,FIND("|",JQ247)+1,FIND("-",JQ247,FIND("|",JQ247))-FIND("|",JQ247)-1))-VALUE(MID(JQ247,FIND("-",JQ247,FIND("|",JQ247))+1,10)))))*$D$50)))))*$I$247,0),0),0)</f>
        <v>0</v>
      </c>
      <c r="JS247" s="108"/>
      <c r="JT247" s="65"/>
      <c r="JU247" s="84">
        <f t="shared" ref="JU247" si="7490">IFERROR(IF(LEFT(JT247,FIND("·",JT247)-1)=$K$247,IF($L$247=IFERROR(VALUE(MID(JT247,FIND("·",JT247)+1,1)),0),($D$36+($M$247=MID(JT247,FIND("|",JT247)+1,10))*$D$38+MAX(0,IF($D$50=1,$D$37*(1-(ABS($P$247-(VALUE(MID(JT247,FIND("|",JT247)+1,FIND("-",JT247,FIND("|",JT247))-FIND("|",JT247)-1))-VALUE(MID(JT247,FIND("-",JT247,FIND("|",JT247))+1,10)))))*$D$50),$D$37*(1-(IF($L$247=0,ABS($N$247-VALUE(MID(JT247,FIND("|",JT247)+1,FIND("-",JT247,FIND("|",JT247))-FIND("|",JT247)-1))),ABS($P$247-(VALUE(MID(JT247,FIND("|",JT247)+1,FIND("-",JT247,FIND("|",JT247))-FIND("|",JT247)-1))-VALUE(MID(JT247,FIND("-",JT247,FIND("|",JT247))+1,10)))))*$D$50)))))*$I$247,0),0),0)
+IFERROR(IF(LEFT(JT247,FIND("·",JT247)-1)=$C$247,IF($D$247=IFERROR(VALUE(MID(JT247,FIND("·",JT247)+1,1)),0),($D$36+($E$247=MID(JT247,FIND("|",JT247)+1,10))*$D$38+MAX(0,IF($D$50=1,$D$37*(1-(ABS($Q$247-(VALUE(MID(JT247,FIND("|",JT247)+1,FIND("-",JT247,FIND("|",JT247))-FIND("|",JT247)-1))-VALUE(MID(JT247,FIND("-",JT247,FIND("|",JT247))+1,10)))))*$D$50),$D$37*(1-(IF($D$247=0,ABS($A$247-VALUE(MID(JT247,FIND("|",JT247)+1,FIND("-",JT247,FIND("|",JT247))-FIND("|",JT247)-1))),ABS($Q$247-(VALUE(MID(JT247,FIND("|",JT247)+1,FIND("-",JT247,FIND("|",JT247))-FIND("|",JT247)-1))-VALUE(MID(JT247,FIND("-",JT247,FIND("|",JT247))+1,10)))))*$D$50)))))*$I$247,0),0),0)</f>
        <v>0</v>
      </c>
      <c r="JV247" s="108"/>
      <c r="JW247" s="65"/>
      <c r="JX247" s="84">
        <f t="shared" ref="JX247" si="7491">IFERROR(IF(LEFT(JW247,FIND("·",JW247)-1)=$K$247,IF($L$247=IFERROR(VALUE(MID(JW247,FIND("·",JW247)+1,1)),0),($D$36+($M$247=MID(JW247,FIND("|",JW247)+1,10))*$D$38+MAX(0,IF($D$50=1,$D$37*(1-(ABS($P$247-(VALUE(MID(JW247,FIND("|",JW247)+1,FIND("-",JW247,FIND("|",JW247))-FIND("|",JW247)-1))-VALUE(MID(JW247,FIND("-",JW247,FIND("|",JW247))+1,10)))))*$D$50),$D$37*(1-(IF($L$247=0,ABS($N$247-VALUE(MID(JW247,FIND("|",JW247)+1,FIND("-",JW247,FIND("|",JW247))-FIND("|",JW247)-1))),ABS($P$247-(VALUE(MID(JW247,FIND("|",JW247)+1,FIND("-",JW247,FIND("|",JW247))-FIND("|",JW247)-1))-VALUE(MID(JW247,FIND("-",JW247,FIND("|",JW247))+1,10)))))*$D$50)))))*$I$247,0),0),0)
+IFERROR(IF(LEFT(JW247,FIND("·",JW247)-1)=$C$247,IF($D$247=IFERROR(VALUE(MID(JW247,FIND("·",JW247)+1,1)),0),($D$36+($E$247=MID(JW247,FIND("|",JW247)+1,10))*$D$38+MAX(0,IF($D$50=1,$D$37*(1-(ABS($Q$247-(VALUE(MID(JW247,FIND("|",JW247)+1,FIND("-",JW247,FIND("|",JW247))-FIND("|",JW247)-1))-VALUE(MID(JW247,FIND("-",JW247,FIND("|",JW247))+1,10)))))*$D$50),$D$37*(1-(IF($D$247=0,ABS($A$247-VALUE(MID(JW247,FIND("|",JW247)+1,FIND("-",JW247,FIND("|",JW247))-FIND("|",JW247)-1))),ABS($Q$247-(VALUE(MID(JW247,FIND("|",JW247)+1,FIND("-",JW247,FIND("|",JW247))-FIND("|",JW247)-1))-VALUE(MID(JW247,FIND("-",JW247,FIND("|",JW247))+1,10)))))*$D$50)))))*$I$247,0),0),0)</f>
        <v>0</v>
      </c>
      <c r="JY247" s="108"/>
      <c r="JZ247" s="65"/>
      <c r="KA247" s="84">
        <f t="shared" ref="KA247" si="7492">IFERROR(IF(LEFT(JZ247,FIND("·",JZ247)-1)=$K$247,IF($L$247=IFERROR(VALUE(MID(JZ247,FIND("·",JZ247)+1,1)),0),($D$36+($M$247=MID(JZ247,FIND("|",JZ247)+1,10))*$D$38+MAX(0,IF($D$50=1,$D$37*(1-(ABS($P$247-(VALUE(MID(JZ247,FIND("|",JZ247)+1,FIND("-",JZ247,FIND("|",JZ247))-FIND("|",JZ247)-1))-VALUE(MID(JZ247,FIND("-",JZ247,FIND("|",JZ247))+1,10)))))*$D$50),$D$37*(1-(IF($L$247=0,ABS($N$247-VALUE(MID(JZ247,FIND("|",JZ247)+1,FIND("-",JZ247,FIND("|",JZ247))-FIND("|",JZ247)-1))),ABS($P$247-(VALUE(MID(JZ247,FIND("|",JZ247)+1,FIND("-",JZ247,FIND("|",JZ247))-FIND("|",JZ247)-1))-VALUE(MID(JZ247,FIND("-",JZ247,FIND("|",JZ247))+1,10)))))*$D$50)))))*$I$247,0),0),0)
+IFERROR(IF(LEFT(JZ247,FIND("·",JZ247)-1)=$C$247,IF($D$247=IFERROR(VALUE(MID(JZ247,FIND("·",JZ247)+1,1)),0),($D$36+($E$247=MID(JZ247,FIND("|",JZ247)+1,10))*$D$38+MAX(0,IF($D$50=1,$D$37*(1-(ABS($Q$247-(VALUE(MID(JZ247,FIND("|",JZ247)+1,FIND("-",JZ247,FIND("|",JZ247))-FIND("|",JZ247)-1))-VALUE(MID(JZ247,FIND("-",JZ247,FIND("|",JZ247))+1,10)))))*$D$50),$D$37*(1-(IF($D$247=0,ABS($A$247-VALUE(MID(JZ247,FIND("|",JZ247)+1,FIND("-",JZ247,FIND("|",JZ247))-FIND("|",JZ247)-1))),ABS($Q$247-(VALUE(MID(JZ247,FIND("|",JZ247)+1,FIND("-",JZ247,FIND("|",JZ247))-FIND("|",JZ247)-1))-VALUE(MID(JZ247,FIND("-",JZ247,FIND("|",JZ247))+1,10)))))*$D$50)))))*$I$247,0),0),0)</f>
        <v>0</v>
      </c>
      <c r="KB247" s="108"/>
      <c r="KC247" s="65"/>
      <c r="KD247" s="84">
        <f>IFERROR(IF(LEFT(KC247,FIND("·",KC247)-1)=$K$247,IF($L$247=IFERROR(VALUE(MID(KC247,FIND("·",KC247)+1,1)),0),($D$36+($M$247=MID(KC247,FIND("|",KC247)+1,10))*$D$38+MAX(0,IF($D$50=1,$D$37*(1-(ABS($P$247-(VALUE(MID(KC247,FIND("|",KC247)+1,FIND("-",KC247,FIND("|",KC247))-FIND("|",KC247)-1))-VALUE(MID(KC247,FIND("-",KC247,FIND("|",KC247))+1,10)))))*$D$50),$D$37*(1-(IF($L$247=0,ABS($N$247-VALUE(MID(KC247,FIND("|",KC247)+1,FIND("-",KC247,FIND("|",KC247))-FIND("|",KC247)-1))),ABS($P$247-(VALUE(MID(KC247,FIND("|",KC247)+1,FIND("-",KC247,FIND("|",KC247))-FIND("|",KC247)-1))-VALUE(MID(KC247,FIND("-",KC247,FIND("|",KC247))+1,10)))))*$D$50)))))*$I$247,0),0),0)
+IFERROR(IF(LEFT(KC247,FIND("·",KC247)-1)=$C$247,IF($D$247=IFERROR(VALUE(MID(KC247,FIND("·",KC247)+1,1)),0),($D$36+($E$247=MID(KC247,FIND("|",KC247)+1,10))*$D$38+MAX(0,IF($D$50=1,$D$37*(1-(ABS($Q$247-(VALUE(MID(KC247,FIND("|",KC247)+1,FIND("-",KC247,FIND("|",KC247))-FIND("|",KC247)-1))-VALUE(MID(KC247,FIND("-",KC247,FIND("|",KC247))+1,10)))))*$D$50),$D$37*(1-(IF($D$247=0,ABS($A$247-VALUE(MID(KC247,FIND("|",KC247)+1,FIND("-",KC247,FIND("|",KC247))-FIND("|",KC247)-1))),ABS($Q$247-(VALUE(MID(KC247,FIND("|",KC247)+1,FIND("-",KC247,FIND("|",KC247))-FIND("|",KC247)-1))-VALUE(MID(KC247,FIND("-",KC247,FIND("|",KC247))+1,10)))))*$D$50)))))*$I$247,0),0),0)</f>
        <v>0</v>
      </c>
      <c r="KE247" s="108"/>
      <c r="KF247" s="65"/>
      <c r="KG247" s="84">
        <f>IFERROR(IF(LEFT(KF247,FIND("·",KF247)-1)=$K$247,IF($L$247=IFERROR(VALUE(MID(KF247,FIND("·",KF247)+1,1)),0),($D$36+($M$247=MID(KF247,FIND("|",KF247)+1,10))*$D$38+MAX(0,IF($D$50=1,$D$37*(1-(ABS($P$247-(VALUE(MID(KF247,FIND("|",KF247)+1,FIND("-",KF247,FIND("|",KF247))-FIND("|",KF247)-1))-VALUE(MID(KF247,FIND("-",KF247,FIND("|",KF247))+1,10)))))*$D$50),$D$37*(1-(IF($L$247=0,ABS($N$247-VALUE(MID(KF247,FIND("|",KF247)+1,FIND("-",KF247,FIND("|",KF247))-FIND("|",KF247)-1))),ABS($P$247-(VALUE(MID(KF247,FIND("|",KF247)+1,FIND("-",KF247,FIND("|",KF247))-FIND("|",KF247)-1))-VALUE(MID(KF247,FIND("-",KF247,FIND("|",KF247))+1,10)))))*$D$50)))))*$I$247,0),0),0)
+IFERROR(IF(LEFT(KF247,FIND("·",KF247)-1)=$C$247,IF($D$247=IFERROR(VALUE(MID(KF247,FIND("·",KF247)+1,1)),0),($D$36+($E$247=MID(KF247,FIND("|",KF247)+1,10))*$D$38+MAX(0,IF($D$50=1,$D$37*(1-(ABS($Q$247-(VALUE(MID(KF247,FIND("|",KF247)+1,FIND("-",KF247,FIND("|",KF247))-FIND("|",KF247)-1))-VALUE(MID(KF247,FIND("-",KF247,FIND("|",KF247))+1,10)))))*$D$50),$D$37*(1-(IF($D$247=0,ABS($A$247-VALUE(MID(KF247,FIND("|",KF247)+1,FIND("-",KF247,FIND("|",KF247))-FIND("|",KF247)-1))),ABS($Q$247-(VALUE(MID(KF247,FIND("|",KF247)+1,FIND("-",KF247,FIND("|",KF247))-FIND("|",KF247)-1))-VALUE(MID(KF247,FIND("-",KF247,FIND("|",KF247))+1,10)))))*$D$50)))))*$I$247,0),0),0)</f>
        <v>0</v>
      </c>
      <c r="KH247" s="108"/>
      <c r="KI247" s="65"/>
      <c r="KJ247" s="84">
        <f t="shared" ref="KJ247" si="7493">IFERROR(IF(LEFT(KI247,FIND("·",KI247)-1)=$K$247,IF($L$247=IFERROR(VALUE(MID(KI247,FIND("·",KI247)+1,1)),0),($D$36+($M$247=MID(KI247,FIND("|",KI247)+1,10))*$D$38+MAX(0,IF($D$50=1,$D$37*(1-(ABS($P$247-(VALUE(MID(KI247,FIND("|",KI247)+1,FIND("-",KI247,FIND("|",KI247))-FIND("|",KI247)-1))-VALUE(MID(KI247,FIND("-",KI247,FIND("|",KI247))+1,10)))))*$D$50),$D$37*(1-(IF($L$247=0,ABS($N$247-VALUE(MID(KI247,FIND("|",KI247)+1,FIND("-",KI247,FIND("|",KI247))-FIND("|",KI247)-1))),ABS($P$247-(VALUE(MID(KI247,FIND("|",KI247)+1,FIND("-",KI247,FIND("|",KI247))-FIND("|",KI247)-1))-VALUE(MID(KI247,FIND("-",KI247,FIND("|",KI247))+1,10)))))*$D$50)))))*$I$247,0),0),0)
+IFERROR(IF(LEFT(KI247,FIND("·",KI247)-1)=$C$247,IF($D$247=IFERROR(VALUE(MID(KI247,FIND("·",KI247)+1,1)),0),($D$36+($E$247=MID(KI247,FIND("|",KI247)+1,10))*$D$38+MAX(0,IF($D$50=1,$D$37*(1-(ABS($Q$247-(VALUE(MID(KI247,FIND("|",KI247)+1,FIND("-",KI247,FIND("|",KI247))-FIND("|",KI247)-1))-VALUE(MID(KI247,FIND("-",KI247,FIND("|",KI247))+1,10)))))*$D$50),$D$37*(1-(IF($D$247=0,ABS($A$247-VALUE(MID(KI247,FIND("|",KI247)+1,FIND("-",KI247,FIND("|",KI247))-FIND("|",KI247)-1))),ABS($Q$247-(VALUE(MID(KI247,FIND("|",KI247)+1,FIND("-",KI247,FIND("|",KI247))-FIND("|",KI247)-1))-VALUE(MID(KI247,FIND("-",KI247,FIND("|",KI247))+1,10)))))*$D$50)))))*$I$247,0),0),0)</f>
        <v>0</v>
      </c>
      <c r="KK247" s="108"/>
      <c r="KL247" s="65"/>
      <c r="KM247" s="84">
        <f t="shared" ref="KM247" si="7494">IFERROR(IF(LEFT(KL247,FIND("·",KL247)-1)=$K$247,IF($L$247=IFERROR(VALUE(MID(KL247,FIND("·",KL247)+1,1)),0),($D$36+($M$247=MID(KL247,FIND("|",KL247)+1,10))*$D$38+MAX(0,IF($D$50=1,$D$37*(1-(ABS($P$247-(VALUE(MID(KL247,FIND("|",KL247)+1,FIND("-",KL247,FIND("|",KL247))-FIND("|",KL247)-1))-VALUE(MID(KL247,FIND("-",KL247,FIND("|",KL247))+1,10)))))*$D$50),$D$37*(1-(IF($L$247=0,ABS($N$247-VALUE(MID(KL247,FIND("|",KL247)+1,FIND("-",KL247,FIND("|",KL247))-FIND("|",KL247)-1))),ABS($P$247-(VALUE(MID(KL247,FIND("|",KL247)+1,FIND("-",KL247,FIND("|",KL247))-FIND("|",KL247)-1))-VALUE(MID(KL247,FIND("-",KL247,FIND("|",KL247))+1,10)))))*$D$50)))))*$I$247,0),0),0)
+IFERROR(IF(LEFT(KL247,FIND("·",KL247)-1)=$C$247,IF($D$247=IFERROR(VALUE(MID(KL247,FIND("·",KL247)+1,1)),0),($D$36+($E$247=MID(KL247,FIND("|",KL247)+1,10))*$D$38+MAX(0,IF($D$50=1,$D$37*(1-(ABS($Q$247-(VALUE(MID(KL247,FIND("|",KL247)+1,FIND("-",KL247,FIND("|",KL247))-FIND("|",KL247)-1))-VALUE(MID(KL247,FIND("-",KL247,FIND("|",KL247))+1,10)))))*$D$50),$D$37*(1-(IF($D$247=0,ABS($A$247-VALUE(MID(KL247,FIND("|",KL247)+1,FIND("-",KL247,FIND("|",KL247))-FIND("|",KL247)-1))),ABS($Q$247-(VALUE(MID(KL247,FIND("|",KL247)+1,FIND("-",KL247,FIND("|",KL247))-FIND("|",KL247)-1))-VALUE(MID(KL247,FIND("-",KL247,FIND("|",KL247))+1,10)))))*$D$50)))))*$I$247,0),0),0)</f>
        <v>0</v>
      </c>
      <c r="KN247" s="108"/>
      <c r="KO247" s="65"/>
      <c r="KP247" s="84">
        <f t="shared" ref="KP247" si="7495">IFERROR(IF(LEFT(KO247,FIND("·",KO247)-1)=$K$247,IF($L$247=IFERROR(VALUE(MID(KO247,FIND("·",KO247)+1,1)),0),($D$36+($M$247=MID(KO247,FIND("|",KO247)+1,10))*$D$38+MAX(0,IF($D$50=1,$D$37*(1-(ABS($P$247-(VALUE(MID(KO247,FIND("|",KO247)+1,FIND("-",KO247,FIND("|",KO247))-FIND("|",KO247)-1))-VALUE(MID(KO247,FIND("-",KO247,FIND("|",KO247))+1,10)))))*$D$50),$D$37*(1-(IF($L$247=0,ABS($N$247-VALUE(MID(KO247,FIND("|",KO247)+1,FIND("-",KO247,FIND("|",KO247))-FIND("|",KO247)-1))),ABS($P$247-(VALUE(MID(KO247,FIND("|",KO247)+1,FIND("-",KO247,FIND("|",KO247))-FIND("|",KO247)-1))-VALUE(MID(KO247,FIND("-",KO247,FIND("|",KO247))+1,10)))))*$D$50)))))*$I$247,0),0),0)
+IFERROR(IF(LEFT(KO247,FIND("·",KO247)-1)=$C$247,IF($D$247=IFERROR(VALUE(MID(KO247,FIND("·",KO247)+1,1)),0),($D$36+($E$247=MID(KO247,FIND("|",KO247)+1,10))*$D$38+MAX(0,IF($D$50=1,$D$37*(1-(ABS($Q$247-(VALUE(MID(KO247,FIND("|",KO247)+1,FIND("-",KO247,FIND("|",KO247))-FIND("|",KO247)-1))-VALUE(MID(KO247,FIND("-",KO247,FIND("|",KO247))+1,10)))))*$D$50),$D$37*(1-(IF($D$247=0,ABS($A$247-VALUE(MID(KO247,FIND("|",KO247)+1,FIND("-",KO247,FIND("|",KO247))-FIND("|",KO247)-1))),ABS($Q$247-(VALUE(MID(KO247,FIND("|",KO247)+1,FIND("-",KO247,FIND("|",KO247))-FIND("|",KO247)-1))-VALUE(MID(KO247,FIND("-",KO247,FIND("|",KO247))+1,10)))))*$D$50)))))*$I$247,0),0),0)</f>
        <v>0</v>
      </c>
      <c r="KQ247" s="108"/>
      <c r="KR247" s="65"/>
      <c r="KS247" s="84">
        <f>IFERROR(IF(LEFT(KR247,FIND("·",KR247)-1)=$K$247,IF($L$247=IFERROR(VALUE(MID(KR247,FIND("·",KR247)+1,1)),0),($D$36+($M$247=MID(KR247,FIND("|",KR247)+1,10))*$D$38+MAX(0,IF($D$50=1,$D$37*(1-(ABS($P$247-(VALUE(MID(KR247,FIND("|",KR247)+1,FIND("-",KR247,FIND("|",KR247))-FIND("|",KR247)-1))-VALUE(MID(KR247,FIND("-",KR247,FIND("|",KR247))+1,10)))))*$D$50),$D$37*(1-(IF($L$247=0,ABS($N$247-VALUE(MID(KR247,FIND("|",KR247)+1,FIND("-",KR247,FIND("|",KR247))-FIND("|",KR247)-1))),ABS($P$247-(VALUE(MID(KR247,FIND("|",KR247)+1,FIND("-",KR247,FIND("|",KR247))-FIND("|",KR247)-1))-VALUE(MID(KR247,FIND("-",KR247,FIND("|",KR247))+1,10)))))*$D$50)))))*$I$247,0),0),0)
+IFERROR(IF(LEFT(KR247,FIND("·",KR247)-1)=$C$247,IF($D$247=IFERROR(VALUE(MID(KR247,FIND("·",KR247)+1,1)),0),($D$36+($E$247=MID(KR247,FIND("|",KR247)+1,10))*$D$38+MAX(0,IF($D$50=1,$D$37*(1-(ABS($Q$247-(VALUE(MID(KR247,FIND("|",KR247)+1,FIND("-",KR247,FIND("|",KR247))-FIND("|",KR247)-1))-VALUE(MID(KR247,FIND("-",KR247,FIND("|",KR247))+1,10)))))*$D$50),$D$37*(1-(IF($D$247=0,ABS($A$247-VALUE(MID(KR247,FIND("|",KR247)+1,FIND("-",KR247,FIND("|",KR247))-FIND("|",KR247)-1))),ABS($Q$247-(VALUE(MID(KR247,FIND("|",KR247)+1,FIND("-",KR247,FIND("|",KR247))-FIND("|",KR247)-1))-VALUE(MID(KR247,FIND("-",KR247,FIND("|",KR247))+1,10)))))*$D$50)))))*$I$247,0),0),0)</f>
        <v>0</v>
      </c>
      <c r="KT247" s="108"/>
      <c r="KU247" s="65"/>
      <c r="KV247" s="84">
        <f>IFERROR(IF(LEFT(KU247,FIND("·",KU247)-1)=$K$247,IF($L$247=IFERROR(VALUE(MID(KU247,FIND("·",KU247)+1,1)),0),($D$36+($M$247=MID(KU247,FIND("|",KU247)+1,10))*$D$38+MAX(0,IF($D$50=1,$D$37*(1-(ABS($P$247-(VALUE(MID(KU247,FIND("|",KU247)+1,FIND("-",KU247,FIND("|",KU247))-FIND("|",KU247)-1))-VALUE(MID(KU247,FIND("-",KU247,FIND("|",KU247))+1,10)))))*$D$50),$D$37*(1-(IF($L$247=0,ABS($N$247-VALUE(MID(KU247,FIND("|",KU247)+1,FIND("-",KU247,FIND("|",KU247))-FIND("|",KU247)-1))),ABS($P$247-(VALUE(MID(KU247,FIND("|",KU247)+1,FIND("-",KU247,FIND("|",KU247))-FIND("|",KU247)-1))-VALUE(MID(KU247,FIND("-",KU247,FIND("|",KU247))+1,10)))))*$D$50)))))*$I$247,0),0),0)
+IFERROR(IF(LEFT(KU247,FIND("·",KU247)-1)=$C$247,IF($D$247=IFERROR(VALUE(MID(KU247,FIND("·",KU247)+1,1)),0),($D$36+($E$247=MID(KU247,FIND("|",KU247)+1,10))*$D$38+MAX(0,IF($D$50=1,$D$37*(1-(ABS($Q$247-(VALUE(MID(KU247,FIND("|",KU247)+1,FIND("-",KU247,FIND("|",KU247))-FIND("|",KU247)-1))-VALUE(MID(KU247,FIND("-",KU247,FIND("|",KU247))+1,10)))))*$D$50),$D$37*(1-(IF($D$247=0,ABS($A$247-VALUE(MID(KU247,FIND("|",KU247)+1,FIND("-",KU247,FIND("|",KU247))-FIND("|",KU247)-1))),ABS($Q$247-(VALUE(MID(KU247,FIND("|",KU247)+1,FIND("-",KU247,FIND("|",KU247))-FIND("|",KU247)-1))-VALUE(MID(KU247,FIND("-",KU247,FIND("|",KU247))+1,10)))))*$D$50)))))*$I$247,0),0),0)</f>
        <v>0</v>
      </c>
      <c r="KW247" s="108"/>
      <c r="KX247" s="65"/>
      <c r="KY247" s="84">
        <f t="shared" ref="KY247" si="7496">IFERROR(IF(LEFT(KX247,FIND("·",KX247)-1)=$K$247,IF($L$247=IFERROR(VALUE(MID(KX247,FIND("·",KX247)+1,1)),0),($D$36+($M$247=MID(KX247,FIND("|",KX247)+1,10))*$D$38+MAX(0,IF($D$50=1,$D$37*(1-(ABS($P$247-(VALUE(MID(KX247,FIND("|",KX247)+1,FIND("-",KX247,FIND("|",KX247))-FIND("|",KX247)-1))-VALUE(MID(KX247,FIND("-",KX247,FIND("|",KX247))+1,10)))))*$D$50),$D$37*(1-(IF($L$247=0,ABS($N$247-VALUE(MID(KX247,FIND("|",KX247)+1,FIND("-",KX247,FIND("|",KX247))-FIND("|",KX247)-1))),ABS($P$247-(VALUE(MID(KX247,FIND("|",KX247)+1,FIND("-",KX247,FIND("|",KX247))-FIND("|",KX247)-1))-VALUE(MID(KX247,FIND("-",KX247,FIND("|",KX247))+1,10)))))*$D$50)))))*$I$247,0),0),0)
+IFERROR(IF(LEFT(KX247,FIND("·",KX247)-1)=$C$247,IF($D$247=IFERROR(VALUE(MID(KX247,FIND("·",KX247)+1,1)),0),($D$36+($E$247=MID(KX247,FIND("|",KX247)+1,10))*$D$38+MAX(0,IF($D$50=1,$D$37*(1-(ABS($Q$247-(VALUE(MID(KX247,FIND("|",KX247)+1,FIND("-",KX247,FIND("|",KX247))-FIND("|",KX247)-1))-VALUE(MID(KX247,FIND("-",KX247,FIND("|",KX247))+1,10)))))*$D$50),$D$37*(1-(IF($D$247=0,ABS($A$247-VALUE(MID(KX247,FIND("|",KX247)+1,FIND("-",KX247,FIND("|",KX247))-FIND("|",KX247)-1))),ABS($Q$247-(VALUE(MID(KX247,FIND("|",KX247)+1,FIND("-",KX247,FIND("|",KX247))-FIND("|",KX247)-1))-VALUE(MID(KX247,FIND("-",KX247,FIND("|",KX247))+1,10)))))*$D$50)))))*$I$247,0),0),0)</f>
        <v>0</v>
      </c>
      <c r="KZ247" s="108"/>
      <c r="LA247" s="65"/>
      <c r="LB247" s="84">
        <f t="shared" ref="LB247" si="7497">IFERROR(IF(LEFT(LA247,FIND("·",LA247)-1)=$K$247,IF($L$247=IFERROR(VALUE(MID(LA247,FIND("·",LA247)+1,1)),0),($D$36+($M$247=MID(LA247,FIND("|",LA247)+1,10))*$D$38+MAX(0,IF($D$50=1,$D$37*(1-(ABS($P$247-(VALUE(MID(LA247,FIND("|",LA247)+1,FIND("-",LA247,FIND("|",LA247))-FIND("|",LA247)-1))-VALUE(MID(LA247,FIND("-",LA247,FIND("|",LA247))+1,10)))))*$D$50),$D$37*(1-(IF($L$247=0,ABS($N$247-VALUE(MID(LA247,FIND("|",LA247)+1,FIND("-",LA247,FIND("|",LA247))-FIND("|",LA247)-1))),ABS($P$247-(VALUE(MID(LA247,FIND("|",LA247)+1,FIND("-",LA247,FIND("|",LA247))-FIND("|",LA247)-1))-VALUE(MID(LA247,FIND("-",LA247,FIND("|",LA247))+1,10)))))*$D$50)))))*$I$247,0),0),0)
+IFERROR(IF(LEFT(LA247,FIND("·",LA247)-1)=$C$247,IF($D$247=IFERROR(VALUE(MID(LA247,FIND("·",LA247)+1,1)),0),($D$36+($E$247=MID(LA247,FIND("|",LA247)+1,10))*$D$38+MAX(0,IF($D$50=1,$D$37*(1-(ABS($Q$247-(VALUE(MID(LA247,FIND("|",LA247)+1,FIND("-",LA247,FIND("|",LA247))-FIND("|",LA247)-1))-VALUE(MID(LA247,FIND("-",LA247,FIND("|",LA247))+1,10)))))*$D$50),$D$37*(1-(IF($D$247=0,ABS($A$247-VALUE(MID(LA247,FIND("|",LA247)+1,FIND("-",LA247,FIND("|",LA247))-FIND("|",LA247)-1))),ABS($Q$247-(VALUE(MID(LA247,FIND("|",LA247)+1,FIND("-",LA247,FIND("|",LA247))-FIND("|",LA247)-1))-VALUE(MID(LA247,FIND("-",LA247,FIND("|",LA247))+1,10)))))*$D$50)))))*$I$247,0),0),0)</f>
        <v>0</v>
      </c>
      <c r="LC247" s="108"/>
      <c r="LD247" s="65"/>
      <c r="LE247" s="84">
        <f t="shared" ref="LE247" si="7498">IFERROR(IF(LEFT(LD247,FIND("·",LD247)-1)=$K$247,IF($L$247=IFERROR(VALUE(MID(LD247,FIND("·",LD247)+1,1)),0),($D$36+($M$247=MID(LD247,FIND("|",LD247)+1,10))*$D$38+MAX(0,IF($D$50=1,$D$37*(1-(ABS($P$247-(VALUE(MID(LD247,FIND("|",LD247)+1,FIND("-",LD247,FIND("|",LD247))-FIND("|",LD247)-1))-VALUE(MID(LD247,FIND("-",LD247,FIND("|",LD247))+1,10)))))*$D$50),$D$37*(1-(IF($L$247=0,ABS($N$247-VALUE(MID(LD247,FIND("|",LD247)+1,FIND("-",LD247,FIND("|",LD247))-FIND("|",LD247)-1))),ABS($P$247-(VALUE(MID(LD247,FIND("|",LD247)+1,FIND("-",LD247,FIND("|",LD247))-FIND("|",LD247)-1))-VALUE(MID(LD247,FIND("-",LD247,FIND("|",LD247))+1,10)))))*$D$50)))))*$I$247,0),0),0)
+IFERROR(IF(LEFT(LD247,FIND("·",LD247)-1)=$C$247,IF($D$247=IFERROR(VALUE(MID(LD247,FIND("·",LD247)+1,1)),0),($D$36+($E$247=MID(LD247,FIND("|",LD247)+1,10))*$D$38+MAX(0,IF($D$50=1,$D$37*(1-(ABS($Q$247-(VALUE(MID(LD247,FIND("|",LD247)+1,FIND("-",LD247,FIND("|",LD247))-FIND("|",LD247)-1))-VALUE(MID(LD247,FIND("-",LD247,FIND("|",LD247))+1,10)))))*$D$50),$D$37*(1-(IF($D$247=0,ABS($A$247-VALUE(MID(LD247,FIND("|",LD247)+1,FIND("-",LD247,FIND("|",LD247))-FIND("|",LD247)-1))),ABS($Q$247-(VALUE(MID(LD247,FIND("|",LD247)+1,FIND("-",LD247,FIND("|",LD247))-FIND("|",LD247)-1))-VALUE(MID(LD247,FIND("-",LD247,FIND("|",LD247))+1,10)))))*$D$50)))))*$I$247,0),0),0)</f>
        <v>0</v>
      </c>
      <c r="LF247" s="108"/>
    </row>
    <row r="248" spans="1:318" s="784" customFormat="1">
      <c r="A248" s="25"/>
      <c r="B248" s="25"/>
      <c r="C248" s="25"/>
      <c r="D248" s="25"/>
      <c r="E248" s="25"/>
      <c r="F248" s="406"/>
      <c r="G248" s="406"/>
      <c r="H248" s="64"/>
      <c r="I248" s="50"/>
      <c r="J248" s="92"/>
      <c r="K248" s="432" t="str">
        <f>Idiomas!D468</f>
        <v>Partido Final</v>
      </c>
      <c r="L248" s="433"/>
      <c r="M248" s="432" t="str">
        <f>"Max: "&amp;SUM($D$36:$D$38)*$I$247</f>
        <v>Max: 30</v>
      </c>
      <c r="N248" s="25"/>
      <c r="O248" s="25"/>
      <c r="P248" s="25"/>
      <c r="Q248" s="25"/>
      <c r="R248" s="17"/>
      <c r="S248" s="797"/>
      <c r="T248" s="70">
        <f t="shared" ref="T248" si="7499">T247</f>
        <v>0</v>
      </c>
      <c r="U248" s="64"/>
      <c r="V248" s="83"/>
      <c r="W248" s="70">
        <f t="shared" ref="W248" si="7500">W247</f>
        <v>0</v>
      </c>
      <c r="X248" s="64"/>
      <c r="Y248" s="797"/>
      <c r="Z248" s="70">
        <f t="shared" ref="Z248" si="7501">Z247</f>
        <v>0</v>
      </c>
      <c r="AA248" s="64"/>
      <c r="AB248" s="797"/>
      <c r="AC248" s="70">
        <f t="shared" ref="AC248" si="7502">AC247</f>
        <v>0</v>
      </c>
      <c r="AD248" s="64"/>
      <c r="AE248" s="797"/>
      <c r="AF248" s="70">
        <f t="shared" ref="AF248" si="7503">AF247</f>
        <v>0</v>
      </c>
      <c r="AG248" s="64"/>
      <c r="AH248" s="797"/>
      <c r="AI248" s="70">
        <f t="shared" ref="AI248" si="7504">AI247</f>
        <v>0</v>
      </c>
      <c r="AJ248" s="64"/>
      <c r="AK248" s="802"/>
      <c r="AL248" s="70">
        <f t="shared" ref="AL248" si="7505">AL247</f>
        <v>0</v>
      </c>
      <c r="AM248" s="64"/>
      <c r="AN248" s="797"/>
      <c r="AO248" s="70">
        <f t="shared" ref="AO248" si="7506">AO247</f>
        <v>0</v>
      </c>
      <c r="AP248" s="64"/>
      <c r="AQ248" s="802"/>
      <c r="AR248" s="70">
        <f t="shared" ref="AR248" si="7507">AR247</f>
        <v>0</v>
      </c>
      <c r="AS248" s="64"/>
      <c r="AT248" s="797"/>
      <c r="AU248" s="70">
        <f t="shared" ref="AU248" si="7508">AU247</f>
        <v>0</v>
      </c>
      <c r="AV248" s="64"/>
      <c r="AW248" s="797"/>
      <c r="AX248" s="70">
        <f t="shared" ref="AX248" si="7509">AX247</f>
        <v>0</v>
      </c>
      <c r="AY248" s="64"/>
      <c r="AZ248" s="797"/>
      <c r="BA248" s="70">
        <f t="shared" ref="BA248" si="7510">BA247</f>
        <v>0</v>
      </c>
      <c r="BB248" s="64"/>
      <c r="BC248" s="797"/>
      <c r="BD248" s="70">
        <f t="shared" ref="BD248" si="7511">BD247</f>
        <v>0</v>
      </c>
      <c r="BE248" s="64"/>
      <c r="BF248" s="797"/>
      <c r="BG248" s="70">
        <f t="shared" ref="BG248" si="7512">BG247</f>
        <v>0</v>
      </c>
      <c r="BH248" s="64"/>
      <c r="BI248" s="797"/>
      <c r="BJ248" s="70">
        <f t="shared" ref="BJ248" si="7513">BJ247</f>
        <v>0</v>
      </c>
      <c r="BK248" s="64"/>
      <c r="BL248" s="797"/>
      <c r="BM248" s="70">
        <f t="shared" ref="BM248" si="7514">BM247</f>
        <v>0</v>
      </c>
      <c r="BN248" s="64"/>
      <c r="BO248" s="812"/>
      <c r="BP248" s="70">
        <f t="shared" ref="BP248" si="7515">BP247</f>
        <v>0</v>
      </c>
      <c r="BQ248" s="64"/>
      <c r="BR248" s="797"/>
      <c r="BS248" s="70">
        <f t="shared" ref="BS248" si="7516">BS247</f>
        <v>0</v>
      </c>
      <c r="BT248" s="64"/>
      <c r="BU248" s="797"/>
      <c r="BV248" s="70">
        <f t="shared" ref="BV248" si="7517">BV247</f>
        <v>0</v>
      </c>
      <c r="BW248" s="64"/>
      <c r="BX248" s="83"/>
      <c r="BY248" s="70">
        <f t="shared" ref="BY248" si="7518">BY247</f>
        <v>0</v>
      </c>
      <c r="BZ248" s="64"/>
      <c r="CA248" s="812"/>
      <c r="CB248" s="70">
        <f t="shared" ref="CB248" si="7519">CB247</f>
        <v>0</v>
      </c>
      <c r="CC248" s="64"/>
      <c r="CD248" s="821"/>
      <c r="CE248" s="70">
        <f t="shared" ref="CE248" si="7520">CE247</f>
        <v>0</v>
      </c>
      <c r="CF248" s="64"/>
      <c r="CG248" s="797"/>
      <c r="CH248" s="70">
        <f t="shared" ref="CH248" si="7521">CH247</f>
        <v>0</v>
      </c>
      <c r="CI248" s="64"/>
      <c r="CJ248" s="797"/>
      <c r="CK248" s="70">
        <f t="shared" ref="CK248" si="7522">CK247</f>
        <v>0</v>
      </c>
      <c r="CL248" s="64"/>
      <c r="CM248" s="797"/>
      <c r="CN248" s="70">
        <f t="shared" ref="CN248" si="7523">CN247</f>
        <v>0</v>
      </c>
      <c r="CO248" s="64"/>
      <c r="CP248" s="797"/>
      <c r="CQ248" s="70">
        <f t="shared" ref="CQ248" si="7524">CQ247</f>
        <v>0</v>
      </c>
      <c r="CR248" s="64"/>
      <c r="CS248" s="797"/>
      <c r="CT248" s="70">
        <f t="shared" ref="CT248" si="7525">CT247</f>
        <v>0</v>
      </c>
      <c r="CU248" s="64"/>
      <c r="CV248" s="797"/>
      <c r="CW248" s="70">
        <f t="shared" ref="CW248" si="7526">CW247</f>
        <v>0</v>
      </c>
      <c r="CX248" s="64"/>
      <c r="CY248" s="797"/>
      <c r="CZ248" s="70">
        <f t="shared" ref="CZ248" si="7527">CZ247</f>
        <v>0</v>
      </c>
      <c r="DA248" s="64"/>
      <c r="DB248" s="797"/>
      <c r="DC248" s="70">
        <f t="shared" ref="DC248" si="7528">DC247</f>
        <v>0</v>
      </c>
      <c r="DD248" s="64"/>
      <c r="DE248" s="797"/>
      <c r="DF248" s="70">
        <f t="shared" ref="DF248" si="7529">DF247</f>
        <v>0</v>
      </c>
      <c r="DG248" s="64"/>
      <c r="DH248" s="797"/>
      <c r="DI248" s="70">
        <f t="shared" ref="DI248" si="7530">DI247</f>
        <v>0</v>
      </c>
      <c r="DJ248" s="64"/>
      <c r="DK248" s="797"/>
      <c r="DL248" s="70">
        <f t="shared" ref="DL248" si="7531">DL247</f>
        <v>0</v>
      </c>
      <c r="DM248" s="64"/>
      <c r="DN248" s="83"/>
      <c r="DO248" s="70">
        <f t="shared" ref="DO248" si="7532">DO247</f>
        <v>0</v>
      </c>
      <c r="DP248" s="64"/>
      <c r="DQ248" s="797"/>
      <c r="DR248" s="70">
        <f t="shared" ref="DR248" si="7533">DR247</f>
        <v>0</v>
      </c>
      <c r="DS248" s="64"/>
      <c r="DT248" s="83"/>
      <c r="DU248" s="70">
        <f t="shared" ref="DU248" si="7534">DU247</f>
        <v>0</v>
      </c>
      <c r="DV248" s="64"/>
      <c r="DW248" s="83"/>
      <c r="DX248" s="70">
        <f t="shared" ref="DX248" si="7535">DX247</f>
        <v>0</v>
      </c>
      <c r="DY248" s="64"/>
      <c r="DZ248" s="83"/>
      <c r="EA248" s="70">
        <f t="shared" ref="EA248" si="7536">EA247</f>
        <v>0</v>
      </c>
      <c r="EB248" s="64"/>
      <c r="EC248" s="83"/>
      <c r="ED248" s="70">
        <f t="shared" ref="ED248" si="7537">ED247</f>
        <v>0</v>
      </c>
      <c r="EE248" s="64"/>
      <c r="EF248" s="83"/>
      <c r="EG248" s="70">
        <f t="shared" ref="EG248" si="7538">EG247</f>
        <v>0</v>
      </c>
      <c r="EH248" s="64"/>
      <c r="EI248" s="83"/>
      <c r="EJ248" s="70">
        <f t="shared" ref="EJ248" si="7539">EJ247</f>
        <v>0</v>
      </c>
      <c r="EK248" s="64"/>
      <c r="EL248" s="83"/>
      <c r="EM248" s="70">
        <f t="shared" ref="EM248" si="7540">EM247</f>
        <v>0</v>
      </c>
      <c r="EN248" s="64"/>
      <c r="EO248" s="83"/>
      <c r="EP248" s="70">
        <f t="shared" ref="EP248" si="7541">EP247</f>
        <v>0</v>
      </c>
      <c r="EQ248" s="64"/>
      <c r="ER248" s="83"/>
      <c r="ES248" s="70">
        <f t="shared" ref="ES248" si="7542">ES247</f>
        <v>0</v>
      </c>
      <c r="ET248" s="64"/>
      <c r="EU248" s="83"/>
      <c r="EV248" s="70">
        <f t="shared" ref="EV248" si="7543">EV247</f>
        <v>0</v>
      </c>
      <c r="EW248" s="64"/>
      <c r="EX248" s="83"/>
      <c r="EY248" s="70">
        <f t="shared" ref="EY248" si="7544">EY247</f>
        <v>0</v>
      </c>
      <c r="EZ248" s="64"/>
      <c r="FA248" s="83"/>
      <c r="FB248" s="70">
        <f t="shared" ref="FB248" si="7545">FB247</f>
        <v>0</v>
      </c>
      <c r="FC248" s="64"/>
      <c r="FD248" s="83"/>
      <c r="FE248" s="70">
        <f t="shared" ref="FE248" si="7546">FE247</f>
        <v>0</v>
      </c>
      <c r="FF248" s="64"/>
      <c r="FG248" s="83"/>
      <c r="FH248" s="70">
        <f t="shared" ref="FH248" si="7547">FH247</f>
        <v>0</v>
      </c>
      <c r="FI248" s="64"/>
      <c r="FJ248" s="83"/>
      <c r="FK248" s="70">
        <f t="shared" ref="FK248" si="7548">FK247</f>
        <v>0</v>
      </c>
      <c r="FL248" s="64"/>
      <c r="FM248" s="83"/>
      <c r="FN248" s="70">
        <f t="shared" ref="FN248" si="7549">FN247</f>
        <v>0</v>
      </c>
      <c r="FO248" s="64"/>
      <c r="FP248" s="83"/>
      <c r="FQ248" s="70">
        <f t="shared" ref="FQ248" si="7550">FQ247</f>
        <v>0</v>
      </c>
      <c r="FR248" s="64"/>
      <c r="FS248" s="83"/>
      <c r="FT248" s="70">
        <f t="shared" ref="FT248" si="7551">FT247</f>
        <v>0</v>
      </c>
      <c r="FU248" s="64"/>
      <c r="FV248" s="83"/>
      <c r="FW248" s="70">
        <f t="shared" ref="FW248" si="7552">FW247</f>
        <v>0</v>
      </c>
      <c r="FX248" s="64"/>
      <c r="FY248" s="83"/>
      <c r="FZ248" s="70">
        <f t="shared" ref="FZ248" si="7553">FZ247</f>
        <v>0</v>
      </c>
      <c r="GA248" s="64"/>
      <c r="GB248" s="83"/>
      <c r="GC248" s="70">
        <f t="shared" ref="GC248" si="7554">GC247</f>
        <v>0</v>
      </c>
      <c r="GD248" s="64"/>
      <c r="GE248" s="83"/>
      <c r="GF248" s="70">
        <f t="shared" ref="GF248" si="7555">GF247</f>
        <v>0</v>
      </c>
      <c r="GG248" s="64"/>
      <c r="GH248" s="83"/>
      <c r="GI248" s="70">
        <f t="shared" ref="GI248" si="7556">GI247</f>
        <v>0</v>
      </c>
      <c r="GJ248" s="64"/>
      <c r="GK248" s="83"/>
      <c r="GL248" s="70">
        <f t="shared" ref="GL248" si="7557">GL247</f>
        <v>0</v>
      </c>
      <c r="GM248" s="64"/>
      <c r="GN248" s="83"/>
      <c r="GO248" s="70">
        <f t="shared" ref="GO248" si="7558">GO247</f>
        <v>0</v>
      </c>
      <c r="GP248" s="64"/>
      <c r="GQ248" s="83"/>
      <c r="GR248" s="70">
        <f t="shared" ref="GR248" si="7559">GR247</f>
        <v>0</v>
      </c>
      <c r="GS248" s="64"/>
      <c r="GT248" s="83"/>
      <c r="GU248" s="70">
        <f t="shared" ref="GU248" si="7560">GU247</f>
        <v>0</v>
      </c>
      <c r="GV248" s="64"/>
      <c r="GW248" s="83"/>
      <c r="GX248" s="70">
        <f t="shared" ref="GX248" si="7561">GX247</f>
        <v>0</v>
      </c>
      <c r="GY248" s="64"/>
      <c r="GZ248" s="83"/>
      <c r="HA248" s="70">
        <f t="shared" ref="HA248" si="7562">HA247</f>
        <v>0</v>
      </c>
      <c r="HB248" s="64"/>
      <c r="HC248" s="83"/>
      <c r="HD248" s="70">
        <f t="shared" ref="HD248" si="7563">HD247</f>
        <v>0</v>
      </c>
      <c r="HE248" s="64"/>
      <c r="HF248" s="83"/>
      <c r="HG248" s="70">
        <f t="shared" ref="HG248" si="7564">HG247</f>
        <v>0</v>
      </c>
      <c r="HH248" s="64"/>
      <c r="HI248" s="83"/>
      <c r="HJ248" s="70">
        <f t="shared" ref="HJ248" si="7565">HJ247</f>
        <v>0</v>
      </c>
      <c r="HK248" s="64"/>
      <c r="HL248" s="83"/>
      <c r="HM248" s="70">
        <f t="shared" ref="HM248" si="7566">HM247</f>
        <v>0</v>
      </c>
      <c r="HN248" s="64"/>
      <c r="HO248" s="83"/>
      <c r="HP248" s="70">
        <f t="shared" ref="HP248" si="7567">HP247</f>
        <v>0</v>
      </c>
      <c r="HQ248" s="64"/>
      <c r="HR248" s="83"/>
      <c r="HS248" s="70">
        <f t="shared" ref="HS248" si="7568">HS247</f>
        <v>0</v>
      </c>
      <c r="HT248" s="64"/>
      <c r="HU248" s="83"/>
      <c r="HV248" s="70">
        <f t="shared" ref="HV248" si="7569">HV247</f>
        <v>0</v>
      </c>
      <c r="HW248" s="64"/>
      <c r="HX248" s="83"/>
      <c r="HY248" s="70">
        <f t="shared" ref="HY248" si="7570">HY247</f>
        <v>0</v>
      </c>
      <c r="HZ248" s="64"/>
      <c r="IA248" s="83"/>
      <c r="IB248" s="70">
        <f t="shared" ref="IB248" si="7571">IB247</f>
        <v>0</v>
      </c>
      <c r="IC248" s="64"/>
      <c r="ID248" s="83"/>
      <c r="IE248" s="70">
        <f t="shared" ref="IE248" si="7572">IE247</f>
        <v>0</v>
      </c>
      <c r="IF248" s="64"/>
      <c r="IG248" s="83"/>
      <c r="IH248" s="70">
        <f t="shared" ref="IH248" si="7573">IH247</f>
        <v>0</v>
      </c>
      <c r="II248" s="64"/>
      <c r="IJ248" s="83"/>
      <c r="IK248" s="70">
        <f t="shared" ref="IK248" si="7574">IK247</f>
        <v>0</v>
      </c>
      <c r="IL248" s="64"/>
      <c r="IM248" s="83"/>
      <c r="IN248" s="70">
        <f t="shared" ref="IN248" si="7575">IN247</f>
        <v>0</v>
      </c>
      <c r="IO248" s="64"/>
      <c r="IP248" s="83"/>
      <c r="IQ248" s="70">
        <f t="shared" ref="IQ248" si="7576">IQ247</f>
        <v>0</v>
      </c>
      <c r="IR248" s="64"/>
      <c r="IS248" s="83"/>
      <c r="IT248" s="70">
        <f t="shared" ref="IT248" si="7577">IT247</f>
        <v>0</v>
      </c>
      <c r="IU248" s="64"/>
      <c r="IV248" s="83"/>
      <c r="IW248" s="70">
        <f t="shared" ref="IW248" si="7578">IW247</f>
        <v>0</v>
      </c>
      <c r="IX248" s="64"/>
      <c r="IY248" s="83"/>
      <c r="IZ248" s="70">
        <f t="shared" ref="IZ248" si="7579">IZ247</f>
        <v>0</v>
      </c>
      <c r="JA248" s="64"/>
      <c r="JB248" s="83"/>
      <c r="JC248" s="70">
        <f t="shared" ref="JC248" si="7580">JC247</f>
        <v>0</v>
      </c>
      <c r="JD248" s="64"/>
      <c r="JE248" s="83"/>
      <c r="JF248" s="70">
        <f t="shared" ref="JF248" si="7581">JF247</f>
        <v>0</v>
      </c>
      <c r="JG248" s="64"/>
      <c r="JH248" s="83"/>
      <c r="JI248" s="70">
        <f t="shared" ref="JI248" si="7582">JI247</f>
        <v>0</v>
      </c>
      <c r="JJ248" s="64"/>
      <c r="JK248" s="83"/>
      <c r="JL248" s="70">
        <f t="shared" ref="JL248" si="7583">JL247</f>
        <v>0</v>
      </c>
      <c r="JM248" s="64"/>
      <c r="JN248" s="83"/>
      <c r="JO248" s="70">
        <f t="shared" ref="JO248" si="7584">JO247</f>
        <v>0</v>
      </c>
      <c r="JP248" s="64"/>
      <c r="JQ248" s="83"/>
      <c r="JR248" s="70">
        <f t="shared" ref="JR248" si="7585">JR247</f>
        <v>0</v>
      </c>
      <c r="JS248" s="64"/>
      <c r="JT248" s="83"/>
      <c r="JU248" s="70">
        <f t="shared" ref="JU248" si="7586">JU247</f>
        <v>0</v>
      </c>
      <c r="JV248" s="64"/>
      <c r="JW248" s="83"/>
      <c r="JX248" s="70">
        <f t="shared" ref="JX248" si="7587">JX247</f>
        <v>0</v>
      </c>
      <c r="JY248" s="64"/>
      <c r="JZ248" s="83"/>
      <c r="KA248" s="70">
        <f t="shared" ref="KA248" si="7588">KA247</f>
        <v>0</v>
      </c>
      <c r="KB248" s="64"/>
      <c r="KC248" s="83"/>
      <c r="KD248" s="70">
        <f t="shared" ref="KD248" si="7589">KD247</f>
        <v>0</v>
      </c>
      <c r="KE248" s="64"/>
      <c r="KF248" s="83"/>
      <c r="KG248" s="70">
        <f t="shared" ref="KG248" si="7590">KG247</f>
        <v>0</v>
      </c>
      <c r="KH248" s="64"/>
      <c r="KI248" s="83"/>
      <c r="KJ248" s="70">
        <f t="shared" ref="KJ248" si="7591">KJ247</f>
        <v>0</v>
      </c>
      <c r="KK248" s="64"/>
      <c r="KL248" s="83"/>
      <c r="KM248" s="70">
        <f t="shared" ref="KM248" si="7592">KM247</f>
        <v>0</v>
      </c>
      <c r="KN248" s="64"/>
      <c r="KO248" s="83"/>
      <c r="KP248" s="70">
        <f t="shared" ref="KP248" si="7593">KP247</f>
        <v>0</v>
      </c>
      <c r="KQ248" s="64"/>
      <c r="KR248" s="83"/>
      <c r="KS248" s="70">
        <f t="shared" ref="KS248" si="7594">KS247</f>
        <v>0</v>
      </c>
      <c r="KT248" s="64"/>
      <c r="KU248" s="83"/>
      <c r="KV248" s="70">
        <f t="shared" ref="KV248" si="7595">KV247</f>
        <v>0</v>
      </c>
      <c r="KW248" s="64"/>
      <c r="KX248" s="83"/>
      <c r="KY248" s="70">
        <f t="shared" ref="KY248" si="7596">KY247</f>
        <v>0</v>
      </c>
      <c r="KZ248" s="64"/>
      <c r="LA248" s="83"/>
      <c r="LB248" s="70">
        <f t="shared" ref="LB248" si="7597">LB247</f>
        <v>0</v>
      </c>
      <c r="LC248" s="64"/>
      <c r="LD248" s="83"/>
      <c r="LE248" s="70">
        <f t="shared" ref="LE248" si="7598">LE247</f>
        <v>0</v>
      </c>
      <c r="LF248" s="64"/>
    </row>
    <row r="249" spans="1:318" s="784" customFormat="1">
      <c r="A249" s="17"/>
      <c r="B249" s="17"/>
      <c r="C249" s="17"/>
      <c r="D249" s="17"/>
      <c r="E249" s="88"/>
      <c r="F249" s="406"/>
      <c r="G249" s="406"/>
      <c r="H249" s="64"/>
      <c r="I249" s="50"/>
      <c r="J249" s="92"/>
      <c r="K249" s="111" t="str">
        <f>Idiomas!D149</f>
        <v>CUADRO DE HONOR</v>
      </c>
      <c r="L249" s="50"/>
      <c r="M249" s="70"/>
      <c r="N249" s="25"/>
      <c r="O249" s="25"/>
      <c r="P249" s="25"/>
      <c r="Q249" s="25"/>
      <c r="R249" s="17"/>
      <c r="S249" s="797"/>
      <c r="T249" s="70"/>
      <c r="U249" s="64"/>
      <c r="V249" s="83"/>
      <c r="W249" s="70"/>
      <c r="X249" s="64"/>
      <c r="Y249" s="797"/>
      <c r="Z249" s="70"/>
      <c r="AA249" s="64"/>
      <c r="AB249" s="797"/>
      <c r="AC249" s="70"/>
      <c r="AD249" s="64"/>
      <c r="AE249" s="797"/>
      <c r="AF249" s="70"/>
      <c r="AG249" s="64"/>
      <c r="AH249" s="797"/>
      <c r="AI249" s="70"/>
      <c r="AJ249" s="64"/>
      <c r="AK249" s="802"/>
      <c r="AL249" s="70"/>
      <c r="AM249" s="64"/>
      <c r="AN249" s="797"/>
      <c r="AO249" s="70"/>
      <c r="AP249" s="64"/>
      <c r="AQ249" s="802"/>
      <c r="AR249" s="70"/>
      <c r="AS249" s="64"/>
      <c r="AT249" s="797"/>
      <c r="AU249" s="70"/>
      <c r="AV249" s="64"/>
      <c r="AW249" s="797"/>
      <c r="AX249" s="70"/>
      <c r="AY249" s="64"/>
      <c r="AZ249" s="797"/>
      <c r="BA249" s="70"/>
      <c r="BB249" s="64"/>
      <c r="BC249" s="797"/>
      <c r="BD249" s="70"/>
      <c r="BE249" s="64"/>
      <c r="BF249" s="797"/>
      <c r="BG249" s="70"/>
      <c r="BH249" s="64"/>
      <c r="BI249" s="797"/>
      <c r="BJ249" s="70"/>
      <c r="BK249" s="64"/>
      <c r="BL249" s="797"/>
      <c r="BM249" s="70"/>
      <c r="BN249" s="64"/>
      <c r="BO249" s="812"/>
      <c r="BP249" s="70"/>
      <c r="BQ249" s="64"/>
      <c r="BR249" s="797"/>
      <c r="BS249" s="70"/>
      <c r="BT249" s="64"/>
      <c r="BU249" s="797"/>
      <c r="BV249" s="70"/>
      <c r="BW249" s="64"/>
      <c r="BX249" s="83"/>
      <c r="BY249" s="70"/>
      <c r="BZ249" s="64"/>
      <c r="CA249" s="812"/>
      <c r="CB249" s="70"/>
      <c r="CC249" s="64"/>
      <c r="CD249" s="821"/>
      <c r="CE249" s="70"/>
      <c r="CF249" s="64"/>
      <c r="CG249" s="797"/>
      <c r="CH249" s="70"/>
      <c r="CI249" s="64"/>
      <c r="CJ249" s="797"/>
      <c r="CK249" s="70"/>
      <c r="CL249" s="64"/>
      <c r="CM249" s="797"/>
      <c r="CN249" s="70"/>
      <c r="CO249" s="64"/>
      <c r="CP249" s="797"/>
      <c r="CQ249" s="70"/>
      <c r="CR249" s="64"/>
      <c r="CS249" s="797"/>
      <c r="CT249" s="70"/>
      <c r="CU249" s="64"/>
      <c r="CV249" s="797"/>
      <c r="CW249" s="70"/>
      <c r="CX249" s="64"/>
      <c r="CY249" s="797"/>
      <c r="CZ249" s="70"/>
      <c r="DA249" s="64"/>
      <c r="DB249" s="797"/>
      <c r="DC249" s="70"/>
      <c r="DD249" s="64"/>
      <c r="DE249" s="797"/>
      <c r="DF249" s="70"/>
      <c r="DG249" s="64"/>
      <c r="DH249" s="797"/>
      <c r="DI249" s="70"/>
      <c r="DJ249" s="64"/>
      <c r="DK249" s="797"/>
      <c r="DL249" s="70"/>
      <c r="DM249" s="64"/>
      <c r="DN249" s="83"/>
      <c r="DO249" s="70"/>
      <c r="DP249" s="64"/>
      <c r="DQ249" s="797"/>
      <c r="DR249" s="70"/>
      <c r="DS249" s="64"/>
      <c r="DT249" s="83"/>
      <c r="DU249" s="70"/>
      <c r="DV249" s="64"/>
      <c r="DW249" s="83"/>
      <c r="DX249" s="70"/>
      <c r="DY249" s="64"/>
      <c r="DZ249" s="83"/>
      <c r="EA249" s="70"/>
      <c r="EB249" s="64"/>
      <c r="EC249" s="83"/>
      <c r="ED249" s="70"/>
      <c r="EE249" s="64"/>
      <c r="EF249" s="83"/>
      <c r="EG249" s="70"/>
      <c r="EH249" s="64"/>
      <c r="EI249" s="83"/>
      <c r="EJ249" s="70"/>
      <c r="EK249" s="64"/>
      <c r="EL249" s="83"/>
      <c r="EM249" s="70"/>
      <c r="EN249" s="64"/>
      <c r="EO249" s="83"/>
      <c r="EP249" s="70"/>
      <c r="EQ249" s="64"/>
      <c r="ER249" s="83"/>
      <c r="ES249" s="70"/>
      <c r="ET249" s="64"/>
      <c r="EU249" s="83"/>
      <c r="EV249" s="70"/>
      <c r="EW249" s="64"/>
      <c r="EX249" s="83"/>
      <c r="EY249" s="70"/>
      <c r="EZ249" s="64"/>
      <c r="FA249" s="83"/>
      <c r="FB249" s="70"/>
      <c r="FC249" s="64"/>
      <c r="FD249" s="83"/>
      <c r="FE249" s="70"/>
      <c r="FF249" s="64"/>
      <c r="FG249" s="83"/>
      <c r="FH249" s="70"/>
      <c r="FI249" s="64"/>
      <c r="FJ249" s="83"/>
      <c r="FK249" s="70"/>
      <c r="FL249" s="64"/>
      <c r="FM249" s="83"/>
      <c r="FN249" s="70"/>
      <c r="FO249" s="64"/>
      <c r="FP249" s="83"/>
      <c r="FQ249" s="70"/>
      <c r="FR249" s="64"/>
      <c r="FS249" s="83"/>
      <c r="FT249" s="70"/>
      <c r="FU249" s="64"/>
      <c r="FV249" s="83"/>
      <c r="FW249" s="70"/>
      <c r="FX249" s="64"/>
      <c r="FY249" s="83"/>
      <c r="FZ249" s="70"/>
      <c r="GA249" s="64"/>
      <c r="GB249" s="83"/>
      <c r="GC249" s="70"/>
      <c r="GD249" s="64"/>
      <c r="GE249" s="83"/>
      <c r="GF249" s="70"/>
      <c r="GG249" s="64"/>
      <c r="GH249" s="83"/>
      <c r="GI249" s="70"/>
      <c r="GJ249" s="64"/>
      <c r="GK249" s="83"/>
      <c r="GL249" s="70"/>
      <c r="GM249" s="64"/>
      <c r="GN249" s="83"/>
      <c r="GO249" s="70"/>
      <c r="GP249" s="64"/>
      <c r="GQ249" s="83"/>
      <c r="GR249" s="70"/>
      <c r="GS249" s="64"/>
      <c r="GT249" s="83"/>
      <c r="GU249" s="70"/>
      <c r="GV249" s="64"/>
      <c r="GW249" s="83"/>
      <c r="GX249" s="70"/>
      <c r="GY249" s="64"/>
      <c r="GZ249" s="83"/>
      <c r="HA249" s="70"/>
      <c r="HB249" s="64"/>
      <c r="HC249" s="83"/>
      <c r="HD249" s="70"/>
      <c r="HE249" s="64"/>
      <c r="HF249" s="83"/>
      <c r="HG249" s="70"/>
      <c r="HH249" s="64"/>
      <c r="HI249" s="83"/>
      <c r="HJ249" s="70"/>
      <c r="HK249" s="64"/>
      <c r="HL249" s="83"/>
      <c r="HM249" s="70"/>
      <c r="HN249" s="64"/>
      <c r="HO249" s="83"/>
      <c r="HP249" s="70"/>
      <c r="HQ249" s="64"/>
      <c r="HR249" s="83"/>
      <c r="HS249" s="70"/>
      <c r="HT249" s="64"/>
      <c r="HU249" s="83"/>
      <c r="HV249" s="70"/>
      <c r="HW249" s="64"/>
      <c r="HX249" s="83"/>
      <c r="HY249" s="70"/>
      <c r="HZ249" s="64"/>
      <c r="IA249" s="83"/>
      <c r="IB249" s="70"/>
      <c r="IC249" s="64"/>
      <c r="ID249" s="83"/>
      <c r="IE249" s="70"/>
      <c r="IF249" s="64"/>
      <c r="IG249" s="83"/>
      <c r="IH249" s="70"/>
      <c r="II249" s="64"/>
      <c r="IJ249" s="83"/>
      <c r="IK249" s="70"/>
      <c r="IL249" s="64"/>
      <c r="IM249" s="83"/>
      <c r="IN249" s="70"/>
      <c r="IO249" s="64"/>
      <c r="IP249" s="83"/>
      <c r="IQ249" s="70"/>
      <c r="IR249" s="64"/>
      <c r="IS249" s="83"/>
      <c r="IT249" s="70"/>
      <c r="IU249" s="64"/>
      <c r="IV249" s="83"/>
      <c r="IW249" s="70"/>
      <c r="IX249" s="64"/>
      <c r="IY249" s="83"/>
      <c r="IZ249" s="70"/>
      <c r="JA249" s="64"/>
      <c r="JB249" s="83"/>
      <c r="JC249" s="70"/>
      <c r="JD249" s="64"/>
      <c r="JE249" s="83"/>
      <c r="JF249" s="70"/>
      <c r="JG249" s="64"/>
      <c r="JH249" s="83"/>
      <c r="JI249" s="70"/>
      <c r="JJ249" s="64"/>
      <c r="JK249" s="83"/>
      <c r="JL249" s="70"/>
      <c r="JM249" s="64"/>
      <c r="JN249" s="83"/>
      <c r="JO249" s="70"/>
      <c r="JP249" s="64"/>
      <c r="JQ249" s="83"/>
      <c r="JR249" s="70"/>
      <c r="JS249" s="64"/>
      <c r="JT249" s="83"/>
      <c r="JU249" s="70"/>
      <c r="JV249" s="64"/>
      <c r="JW249" s="83"/>
      <c r="JX249" s="70"/>
      <c r="JY249" s="64"/>
      <c r="JZ249" s="83"/>
      <c r="KA249" s="70"/>
      <c r="KB249" s="64"/>
      <c r="KC249" s="83"/>
      <c r="KD249" s="70"/>
      <c r="KE249" s="64"/>
      <c r="KF249" s="83"/>
      <c r="KG249" s="70"/>
      <c r="KH249" s="64"/>
      <c r="KI249" s="83"/>
      <c r="KJ249" s="70"/>
      <c r="KK249" s="64"/>
      <c r="KL249" s="83"/>
      <c r="KM249" s="70"/>
      <c r="KN249" s="64"/>
      <c r="KO249" s="83"/>
      <c r="KP249" s="70"/>
      <c r="KQ249" s="64"/>
      <c r="KR249" s="83"/>
      <c r="KS249" s="70"/>
      <c r="KT249" s="64"/>
      <c r="KU249" s="83"/>
      <c r="KV249" s="70"/>
      <c r="KW249" s="64"/>
      <c r="KX249" s="83"/>
      <c r="KY249" s="70"/>
      <c r="KZ249" s="64"/>
      <c r="LA249" s="83"/>
      <c r="LB249" s="70"/>
      <c r="LC249" s="64"/>
      <c r="LD249" s="83"/>
      <c r="LE249" s="70"/>
      <c r="LF249" s="64"/>
    </row>
    <row r="250" spans="1:318" s="784" customFormat="1" ht="16.05" customHeight="1">
      <c r="A250" s="17"/>
      <c r="B250" s="17"/>
      <c r="C250" s="17"/>
      <c r="D250" s="17"/>
      <c r="E250" s="88"/>
      <c r="F250" s="406">
        <f t="shared" ref="F250:F258" si="7599">D39</f>
        <v>65</v>
      </c>
      <c r="G250" s="406">
        <f ca="1">VLOOKUP(H250,Equipos!$Q$1:$R$25,2,0)</f>
        <v>24</v>
      </c>
      <c r="H250" s="64" t="str">
        <f>Idiomas!$D$264</f>
        <v>3-4 &amp; Final</v>
      </c>
      <c r="I250" s="50"/>
      <c r="J250" s="98"/>
      <c r="K250" s="53" t="str">
        <f>WORLDCUP!W150</f>
        <v>🥇Campeón</v>
      </c>
      <c r="L250" s="53"/>
      <c r="M250" s="55" t="str">
        <f>WORLDCUP!AA150</f>
        <v>WF</v>
      </c>
      <c r="N250" s="25"/>
      <c r="O250" s="25"/>
      <c r="P250" s="25"/>
      <c r="Q250" s="25"/>
      <c r="R250" s="17"/>
      <c r="S250" s="796" t="s">
        <v>38</v>
      </c>
      <c r="T250" s="76">
        <f t="shared" ref="T250" si="7600">COUNTIF($M$250,S250)*$D$39</f>
        <v>0</v>
      </c>
      <c r="U250" s="63"/>
      <c r="V250" s="75" t="s">
        <v>79</v>
      </c>
      <c r="W250" s="76">
        <f t="shared" ref="W250" si="7601">COUNTIF($M$250,V250)*$D$39</f>
        <v>0</v>
      </c>
      <c r="X250" s="63"/>
      <c r="Y250" s="796" t="s">
        <v>1256</v>
      </c>
      <c r="Z250" s="76">
        <f t="shared" ref="Z250" si="7602">COUNTIF($M$250,Y250)*$D$39</f>
        <v>0</v>
      </c>
      <c r="AA250" s="63"/>
      <c r="AB250" s="796" t="s">
        <v>38</v>
      </c>
      <c r="AC250" s="76">
        <f t="shared" ref="AC250" si="7603">COUNTIF($M$250,AB250)*$D$39</f>
        <v>0</v>
      </c>
      <c r="AD250" s="63"/>
      <c r="AE250" s="796" t="s">
        <v>79</v>
      </c>
      <c r="AF250" s="76">
        <f t="shared" ref="AF250" si="7604">COUNTIF($M$250,AE250)*$D$39</f>
        <v>0</v>
      </c>
      <c r="AG250" s="63"/>
      <c r="AH250" s="796" t="s">
        <v>79</v>
      </c>
      <c r="AI250" s="76">
        <f t="shared" ref="AI250" si="7605">COUNTIF($M$250,AH250)*$D$39</f>
        <v>0</v>
      </c>
      <c r="AJ250" s="63"/>
      <c r="AK250" s="806" t="s">
        <v>74</v>
      </c>
      <c r="AL250" s="76">
        <f t="shared" ref="AL250" si="7606">COUNTIF($M$250,AK250)*$D$39</f>
        <v>0</v>
      </c>
      <c r="AM250" s="63"/>
      <c r="AN250" s="796" t="s">
        <v>38</v>
      </c>
      <c r="AO250" s="76">
        <f t="shared" ref="AO250" si="7607">COUNTIF($M$250,AN250)*$D$39</f>
        <v>0</v>
      </c>
      <c r="AP250" s="63"/>
      <c r="AQ250" s="806" t="s">
        <v>79</v>
      </c>
      <c r="AR250" s="76">
        <f t="shared" ref="AR250" si="7608">COUNTIF($M$250,AQ250)*$D$39</f>
        <v>0</v>
      </c>
      <c r="AS250" s="63"/>
      <c r="AT250" s="796" t="s">
        <v>79</v>
      </c>
      <c r="AU250" s="76">
        <f t="shared" ref="AU250" si="7609">COUNTIF($M$250,AT250)*$D$39</f>
        <v>0</v>
      </c>
      <c r="AV250" s="63"/>
      <c r="AW250" s="796" t="s">
        <v>1256</v>
      </c>
      <c r="AX250" s="76">
        <f t="shared" ref="AX250" si="7610">COUNTIF($M$250,AW250)*$D$39</f>
        <v>0</v>
      </c>
      <c r="AY250" s="63"/>
      <c r="AZ250" s="796" t="s">
        <v>1726</v>
      </c>
      <c r="BA250" s="76">
        <f t="shared" ref="BA250" si="7611">COUNTIF($M$250,AZ250)*$D$39</f>
        <v>0</v>
      </c>
      <c r="BB250" s="63"/>
      <c r="BC250" s="796" t="s">
        <v>79</v>
      </c>
      <c r="BD250" s="76">
        <f t="shared" ref="BD250" si="7612">COUNTIF($M$250,BC250)*$D$39</f>
        <v>0</v>
      </c>
      <c r="BE250" s="63"/>
      <c r="BF250" s="796" t="s">
        <v>79</v>
      </c>
      <c r="BG250" s="76">
        <f t="shared" ref="BG250" si="7613">COUNTIF($M$250,BF250)*$D$39</f>
        <v>0</v>
      </c>
      <c r="BH250" s="63"/>
      <c r="BI250" s="796" t="s">
        <v>79</v>
      </c>
      <c r="BJ250" s="76">
        <f t="shared" ref="BJ250" si="7614">COUNTIF($M$250,BI250)*$D$39</f>
        <v>0</v>
      </c>
      <c r="BK250" s="63"/>
      <c r="BL250" s="796" t="s">
        <v>79</v>
      </c>
      <c r="BM250" s="76">
        <f t="shared" ref="BM250" si="7615">COUNTIF($M$250,BL250)*$D$39</f>
        <v>0</v>
      </c>
      <c r="BN250" s="63"/>
      <c r="BO250" s="816" t="s">
        <v>79</v>
      </c>
      <c r="BP250" s="76">
        <f t="shared" ref="BP250" si="7616">COUNTIF($M$250,BO250)*$D$39</f>
        <v>0</v>
      </c>
      <c r="BQ250" s="63"/>
      <c r="BR250" s="796" t="s">
        <v>79</v>
      </c>
      <c r="BS250" s="76">
        <f t="shared" ref="BS250" si="7617">COUNTIF($M$250,BR250)*$D$39</f>
        <v>0</v>
      </c>
      <c r="BT250" s="63"/>
      <c r="BU250" s="796" t="s">
        <v>38</v>
      </c>
      <c r="BV250" s="76">
        <f t="shared" ref="BV250" si="7618">COUNTIF($M$250,BU250)*$D$39</f>
        <v>0</v>
      </c>
      <c r="BW250" s="63"/>
      <c r="BX250" s="75" t="s">
        <v>38</v>
      </c>
      <c r="BY250" s="76">
        <f t="shared" ref="BY250" si="7619">COUNTIF($M$250,BX250)*$D$39</f>
        <v>0</v>
      </c>
      <c r="BZ250" s="63"/>
      <c r="CA250" s="816" t="s">
        <v>38</v>
      </c>
      <c r="CB250" s="76">
        <f t="shared" ref="CB250" si="7620">COUNTIF($M$250,CA250)*$D$39</f>
        <v>0</v>
      </c>
      <c r="CC250" s="63"/>
      <c r="CD250" s="825" t="s">
        <v>79</v>
      </c>
      <c r="CE250" s="76">
        <f t="shared" ref="CE250" si="7621">COUNTIF($M$250,CD250)*$D$39</f>
        <v>0</v>
      </c>
      <c r="CF250" s="63"/>
      <c r="CG250" s="796" t="s">
        <v>79</v>
      </c>
      <c r="CH250" s="76">
        <f t="shared" ref="CH250" si="7622">COUNTIF($M$250,CG250)*$D$39</f>
        <v>0</v>
      </c>
      <c r="CI250" s="63"/>
      <c r="CJ250" s="796" t="s">
        <v>38</v>
      </c>
      <c r="CK250" s="76">
        <f t="shared" ref="CK250" si="7623">COUNTIF($M$250,CJ250)*$D$39</f>
        <v>0</v>
      </c>
      <c r="CL250" s="63"/>
      <c r="CM250" s="796" t="s">
        <v>79</v>
      </c>
      <c r="CN250" s="76">
        <f t="shared" ref="CN250" si="7624">COUNTIF($M$250,CM250)*$D$39</f>
        <v>0</v>
      </c>
      <c r="CO250" s="63"/>
      <c r="CP250" s="796" t="s">
        <v>1256</v>
      </c>
      <c r="CQ250" s="76">
        <f t="shared" ref="CQ250" si="7625">COUNTIF($M$250,CP250)*$D$39</f>
        <v>0</v>
      </c>
      <c r="CR250" s="63"/>
      <c r="CS250" s="796" t="s">
        <v>38</v>
      </c>
      <c r="CT250" s="76">
        <f t="shared" ref="CT250" si="7626">COUNTIF($M$250,CS250)*$D$39</f>
        <v>0</v>
      </c>
      <c r="CU250" s="63"/>
      <c r="CV250" s="796" t="s">
        <v>38</v>
      </c>
      <c r="CW250" s="76">
        <f t="shared" ref="CW250" si="7627">COUNTIF($M$250,CV250)*$D$39</f>
        <v>0</v>
      </c>
      <c r="CX250" s="63"/>
      <c r="CY250" s="796" t="s">
        <v>79</v>
      </c>
      <c r="CZ250" s="76">
        <f t="shared" ref="CZ250" si="7628">COUNTIF($M$250,CY250)*$D$39</f>
        <v>0</v>
      </c>
      <c r="DA250" s="63"/>
      <c r="DB250" s="796" t="s">
        <v>79</v>
      </c>
      <c r="DC250" s="76">
        <f t="shared" ref="DC250" si="7629">COUNTIF($M$250,DB250)*$D$39</f>
        <v>0</v>
      </c>
      <c r="DD250" s="63"/>
      <c r="DE250" s="796" t="s">
        <v>2806</v>
      </c>
      <c r="DF250" s="76">
        <f>COUNTIF($M$250,DE250)*$D$39</f>
        <v>0</v>
      </c>
      <c r="DG250" s="63"/>
      <c r="DH250" s="796" t="s">
        <v>38</v>
      </c>
      <c r="DI250" s="76">
        <f>COUNTIF($M$250,DH250)*$D$39</f>
        <v>0</v>
      </c>
      <c r="DJ250" s="63"/>
      <c r="DK250" s="796" t="s">
        <v>38</v>
      </c>
      <c r="DL250" s="76">
        <f>COUNTIF($M$250,DK250)*$D$39</f>
        <v>0</v>
      </c>
      <c r="DM250" s="63"/>
      <c r="DN250" s="75"/>
      <c r="DO250" s="76">
        <f t="shared" ref="DO250" si="7630">COUNTIF($M$250,DN250)*$D$39</f>
        <v>0</v>
      </c>
      <c r="DP250" s="63"/>
      <c r="DQ250" s="796" t="s">
        <v>76</v>
      </c>
      <c r="DR250" s="76">
        <f t="shared" ref="DR250" si="7631">COUNTIF($M$250,DQ250)*$D$39</f>
        <v>0</v>
      </c>
      <c r="DS250" s="63"/>
      <c r="DT250" s="75" t="s">
        <v>1256</v>
      </c>
      <c r="DU250" s="76">
        <f t="shared" ref="DU250" si="7632">COUNTIF($M$250,DT250)*$D$39</f>
        <v>0</v>
      </c>
      <c r="DV250" s="63"/>
      <c r="DW250" s="75"/>
      <c r="DX250" s="76">
        <f t="shared" ref="DX250" si="7633">COUNTIF($M$250,DW250)*$D$39</f>
        <v>0</v>
      </c>
      <c r="DY250" s="63"/>
      <c r="DZ250" s="75"/>
      <c r="EA250" s="76">
        <f>COUNTIF($M$250,DZ250)*$D$39</f>
        <v>0</v>
      </c>
      <c r="EB250" s="63"/>
      <c r="EC250" s="75"/>
      <c r="ED250" s="76">
        <f t="shared" ref="ED250" si="7634">COUNTIF($M$250,EC250)*$D$39</f>
        <v>0</v>
      </c>
      <c r="EE250" s="63"/>
      <c r="EF250" s="75"/>
      <c r="EG250" s="76">
        <f t="shared" ref="EG250" si="7635">COUNTIF($M$250,EF250)*$D$39</f>
        <v>0</v>
      </c>
      <c r="EH250" s="63"/>
      <c r="EI250" s="75"/>
      <c r="EJ250" s="76">
        <f t="shared" ref="EJ250" si="7636">COUNTIF($M$250,EI250)*$D$39</f>
        <v>0</v>
      </c>
      <c r="EK250" s="63"/>
      <c r="EL250" s="75"/>
      <c r="EM250" s="76">
        <f t="shared" ref="EM250" si="7637">COUNTIF($M$250,EL250)*$D$39</f>
        <v>0</v>
      </c>
      <c r="EN250" s="63"/>
      <c r="EO250" s="75"/>
      <c r="EP250" s="76">
        <f t="shared" ref="EP250" si="7638">COUNTIF($M$250,EO250)*$D$39</f>
        <v>0</v>
      </c>
      <c r="EQ250" s="63"/>
      <c r="ER250" s="75"/>
      <c r="ES250" s="76">
        <f t="shared" ref="ES250" si="7639">COUNTIF($M$250,ER250)*$D$39</f>
        <v>0</v>
      </c>
      <c r="ET250" s="63"/>
      <c r="EU250" s="75"/>
      <c r="EV250" s="76">
        <f t="shared" ref="EV250" si="7640">COUNTIF($M$250,EU250)*$D$39</f>
        <v>0</v>
      </c>
      <c r="EW250" s="63"/>
      <c r="EX250" s="75"/>
      <c r="EY250" s="76">
        <f t="shared" ref="EY250" si="7641">COUNTIF($M$250,EX250)*$D$39</f>
        <v>0</v>
      </c>
      <c r="EZ250" s="63"/>
      <c r="FA250" s="75"/>
      <c r="FB250" s="76">
        <f t="shared" ref="FB250" si="7642">COUNTIF($M$250,FA250)*$D$39</f>
        <v>0</v>
      </c>
      <c r="FC250" s="63"/>
      <c r="FD250" s="75"/>
      <c r="FE250" s="76">
        <f t="shared" ref="FE250" si="7643">COUNTIF($M$250,FD250)*$D$39</f>
        <v>0</v>
      </c>
      <c r="FF250" s="63"/>
      <c r="FG250" s="75"/>
      <c r="FH250" s="76">
        <f t="shared" ref="FH250" si="7644">COUNTIF($M$250,FG250)*$D$39</f>
        <v>0</v>
      </c>
      <c r="FI250" s="63"/>
      <c r="FJ250" s="75"/>
      <c r="FK250" s="76">
        <f t="shared" ref="FK250" si="7645">COUNTIF($M$250,FJ250)*$D$39</f>
        <v>0</v>
      </c>
      <c r="FL250" s="63"/>
      <c r="FM250" s="75"/>
      <c r="FN250" s="76">
        <f t="shared" ref="FN250" si="7646">COUNTIF($M$250,FM250)*$D$39</f>
        <v>0</v>
      </c>
      <c r="FO250" s="63"/>
      <c r="FP250" s="75"/>
      <c r="FQ250" s="76">
        <f t="shared" ref="FQ250" si="7647">COUNTIF($M$250,FP250)*$D$39</f>
        <v>0</v>
      </c>
      <c r="FR250" s="63"/>
      <c r="FS250" s="75"/>
      <c r="FT250" s="76">
        <f t="shared" ref="FT250" si="7648">COUNTIF($M$250,FS250)*$D$39</f>
        <v>0</v>
      </c>
      <c r="FU250" s="63"/>
      <c r="FV250" s="75"/>
      <c r="FW250" s="76">
        <f t="shared" ref="FW250" si="7649">COUNTIF($M$250,FV250)*$D$39</f>
        <v>0</v>
      </c>
      <c r="FX250" s="63"/>
      <c r="FY250" s="75"/>
      <c r="FZ250" s="76">
        <f t="shared" ref="FZ250" si="7650">COUNTIF($M$250,FY250)*$D$39</f>
        <v>0</v>
      </c>
      <c r="GA250" s="63"/>
      <c r="GB250" s="75"/>
      <c r="GC250" s="76">
        <f t="shared" ref="GC250" si="7651">COUNTIF($M$250,GB250)*$D$39</f>
        <v>0</v>
      </c>
      <c r="GD250" s="63"/>
      <c r="GE250" s="75"/>
      <c r="GF250" s="76">
        <f t="shared" ref="GF250" si="7652">COUNTIF($M$250,GE250)*$D$39</f>
        <v>0</v>
      </c>
      <c r="GG250" s="63"/>
      <c r="GH250" s="75"/>
      <c r="GI250" s="76">
        <f t="shared" ref="GI250" si="7653">COUNTIF($M$250,GH250)*$D$39</f>
        <v>0</v>
      </c>
      <c r="GJ250" s="63"/>
      <c r="GK250" s="75"/>
      <c r="GL250" s="76">
        <f t="shared" ref="GL250" si="7654">COUNTIF($M$250,GK250)*$D$39</f>
        <v>0</v>
      </c>
      <c r="GM250" s="63"/>
      <c r="GN250" s="75"/>
      <c r="GO250" s="76">
        <f t="shared" ref="GO250" si="7655">COUNTIF($M$250,GN250)*$D$39</f>
        <v>0</v>
      </c>
      <c r="GP250" s="63"/>
      <c r="GQ250" s="75"/>
      <c r="GR250" s="76">
        <f t="shared" ref="GR250" si="7656">COUNTIF($M$250,GQ250)*$D$39</f>
        <v>0</v>
      </c>
      <c r="GS250" s="63"/>
      <c r="GT250" s="75"/>
      <c r="GU250" s="76">
        <f t="shared" ref="GU250" si="7657">COUNTIF($M$250,GT250)*$D$39</f>
        <v>0</v>
      </c>
      <c r="GV250" s="63"/>
      <c r="GW250" s="75"/>
      <c r="GX250" s="76">
        <f t="shared" ref="GX250" si="7658">COUNTIF($M$250,GW250)*$D$39</f>
        <v>0</v>
      </c>
      <c r="GY250" s="63"/>
      <c r="GZ250" s="75"/>
      <c r="HA250" s="76">
        <f t="shared" ref="HA250" si="7659">COUNTIF($M$250,GZ250)*$D$39</f>
        <v>0</v>
      </c>
      <c r="HB250" s="63"/>
      <c r="HC250" s="75"/>
      <c r="HD250" s="76">
        <f t="shared" ref="HD250" si="7660">COUNTIF($M$250,HC250)*$D$39</f>
        <v>0</v>
      </c>
      <c r="HE250" s="63"/>
      <c r="HF250" s="75"/>
      <c r="HG250" s="76">
        <f t="shared" ref="HG250" si="7661">COUNTIF($M$250,HF250)*$D$39</f>
        <v>0</v>
      </c>
      <c r="HH250" s="63"/>
      <c r="HI250" s="75"/>
      <c r="HJ250" s="76">
        <f t="shared" ref="HJ250" si="7662">COUNTIF($M$250,HI250)*$D$39</f>
        <v>0</v>
      </c>
      <c r="HK250" s="63"/>
      <c r="HL250" s="75"/>
      <c r="HM250" s="76">
        <f t="shared" ref="HM250" si="7663">COUNTIF($M$250,HL250)*$D$39</f>
        <v>0</v>
      </c>
      <c r="HN250" s="63"/>
      <c r="HO250" s="75"/>
      <c r="HP250" s="76">
        <f t="shared" ref="HP250" si="7664">COUNTIF($M$250,HO250)*$D$39</f>
        <v>0</v>
      </c>
      <c r="HQ250" s="63"/>
      <c r="HR250" s="75"/>
      <c r="HS250" s="76">
        <f t="shared" ref="HS250" si="7665">COUNTIF($M$250,HR250)*$D$39</f>
        <v>0</v>
      </c>
      <c r="HT250" s="63"/>
      <c r="HU250" s="75"/>
      <c r="HV250" s="76">
        <f t="shared" ref="HV250" si="7666">COUNTIF($M$250,HU250)*$D$39</f>
        <v>0</v>
      </c>
      <c r="HW250" s="63"/>
      <c r="HX250" s="75"/>
      <c r="HY250" s="76">
        <f t="shared" ref="HY250" si="7667">COUNTIF($M$250,HX250)*$D$39</f>
        <v>0</v>
      </c>
      <c r="HZ250" s="63"/>
      <c r="IA250" s="75"/>
      <c r="IB250" s="76">
        <f t="shared" ref="IB250" si="7668">COUNTIF($M$250,IA250)*$D$39</f>
        <v>0</v>
      </c>
      <c r="IC250" s="63"/>
      <c r="ID250" s="75"/>
      <c r="IE250" s="76">
        <f t="shared" ref="IE250" si="7669">COUNTIF($M$250,ID250)*$D$39</f>
        <v>0</v>
      </c>
      <c r="IF250" s="63"/>
      <c r="IG250" s="75"/>
      <c r="IH250" s="76">
        <f t="shared" ref="IH250" si="7670">COUNTIF($M$250,IG250)*$D$39</f>
        <v>0</v>
      </c>
      <c r="II250" s="63"/>
      <c r="IJ250" s="75"/>
      <c r="IK250" s="76">
        <f t="shared" ref="IK250" si="7671">COUNTIF($M$250,IJ250)*$D$39</f>
        <v>0</v>
      </c>
      <c r="IL250" s="63"/>
      <c r="IM250" s="75"/>
      <c r="IN250" s="76">
        <f t="shared" ref="IN250" si="7672">COUNTIF($M$250,IM250)*$D$39</f>
        <v>0</v>
      </c>
      <c r="IO250" s="63"/>
      <c r="IP250" s="75"/>
      <c r="IQ250" s="76">
        <f t="shared" ref="IQ250" si="7673">COUNTIF($M$250,IP250)*$D$39</f>
        <v>0</v>
      </c>
      <c r="IR250" s="63"/>
      <c r="IS250" s="75"/>
      <c r="IT250" s="76">
        <f t="shared" ref="IT250" si="7674">COUNTIF($M$250,IS250)*$D$39</f>
        <v>0</v>
      </c>
      <c r="IU250" s="63"/>
      <c r="IV250" s="75"/>
      <c r="IW250" s="76">
        <f t="shared" ref="IW250" si="7675">COUNTIF($M$250,IV250)*$D$39</f>
        <v>0</v>
      </c>
      <c r="IX250" s="63"/>
      <c r="IY250" s="75"/>
      <c r="IZ250" s="76">
        <f t="shared" ref="IZ250" si="7676">COUNTIF($M$250,IY250)*$D$39</f>
        <v>0</v>
      </c>
      <c r="JA250" s="63"/>
      <c r="JB250" s="75"/>
      <c r="JC250" s="76">
        <f t="shared" ref="JC250" si="7677">COUNTIF($M$250,JB250)*$D$39</f>
        <v>0</v>
      </c>
      <c r="JD250" s="63"/>
      <c r="JE250" s="75"/>
      <c r="JF250" s="76">
        <f t="shared" ref="JF250" si="7678">COUNTIF($M$250,JE250)*$D$39</f>
        <v>0</v>
      </c>
      <c r="JG250" s="63"/>
      <c r="JH250" s="75"/>
      <c r="JI250" s="76">
        <f t="shared" ref="JI250" si="7679">COUNTIF($M$250,JH250)*$D$39</f>
        <v>0</v>
      </c>
      <c r="JJ250" s="63"/>
      <c r="JK250" s="75"/>
      <c r="JL250" s="76">
        <f t="shared" ref="JL250" si="7680">COUNTIF($M$250,JK250)*$D$39</f>
        <v>0</v>
      </c>
      <c r="JM250" s="63"/>
      <c r="JN250" s="75"/>
      <c r="JO250" s="76">
        <f t="shared" ref="JO250" si="7681">COUNTIF($M$250,JN250)*$D$39</f>
        <v>0</v>
      </c>
      <c r="JP250" s="63"/>
      <c r="JQ250" s="75"/>
      <c r="JR250" s="76">
        <f t="shared" ref="JR250" si="7682">COUNTIF($M$250,JQ250)*$D$39</f>
        <v>0</v>
      </c>
      <c r="JS250" s="63"/>
      <c r="JT250" s="75"/>
      <c r="JU250" s="76">
        <f t="shared" ref="JU250" si="7683">COUNTIF($M$250,JT250)*$D$39</f>
        <v>0</v>
      </c>
      <c r="JV250" s="63"/>
      <c r="JW250" s="75"/>
      <c r="JX250" s="76">
        <f t="shared" ref="JX250" si="7684">COUNTIF($M$250,JW250)*$D$39</f>
        <v>0</v>
      </c>
      <c r="JY250" s="63"/>
      <c r="JZ250" s="75"/>
      <c r="KA250" s="76">
        <f t="shared" ref="KA250" si="7685">COUNTIF($M$250,JZ250)*$D$39</f>
        <v>0</v>
      </c>
      <c r="KB250" s="63"/>
      <c r="KC250" s="75"/>
      <c r="KD250" s="76">
        <f t="shared" ref="KD250" si="7686">COUNTIF($M$250,KC250)*$D$39</f>
        <v>0</v>
      </c>
      <c r="KE250" s="63"/>
      <c r="KF250" s="75"/>
      <c r="KG250" s="76">
        <f t="shared" ref="KG250" si="7687">COUNTIF($M$250,KF250)*$D$39</f>
        <v>0</v>
      </c>
      <c r="KH250" s="63"/>
      <c r="KI250" s="75"/>
      <c r="KJ250" s="76">
        <f t="shared" ref="KJ250" si="7688">COUNTIF($M$250,KI250)*$D$39</f>
        <v>0</v>
      </c>
      <c r="KK250" s="63"/>
      <c r="KL250" s="75"/>
      <c r="KM250" s="76">
        <f t="shared" ref="KM250" si="7689">COUNTIF($M$250,KL250)*$D$39</f>
        <v>0</v>
      </c>
      <c r="KN250" s="63"/>
      <c r="KO250" s="75"/>
      <c r="KP250" s="76">
        <f t="shared" ref="KP250" si="7690">COUNTIF($M$250,KO250)*$D$39</f>
        <v>0</v>
      </c>
      <c r="KQ250" s="63"/>
      <c r="KR250" s="75"/>
      <c r="KS250" s="76">
        <f t="shared" ref="KS250" si="7691">COUNTIF($M$250,KR250)*$D$39</f>
        <v>0</v>
      </c>
      <c r="KT250" s="63"/>
      <c r="KU250" s="75"/>
      <c r="KV250" s="76">
        <f t="shared" ref="KV250" si="7692">COUNTIF($M$250,KU250)*$D$39</f>
        <v>0</v>
      </c>
      <c r="KW250" s="63"/>
      <c r="KX250" s="75"/>
      <c r="KY250" s="76">
        <f t="shared" ref="KY250" si="7693">COUNTIF($M$250,KX250)*$D$39</f>
        <v>0</v>
      </c>
      <c r="KZ250" s="63"/>
      <c r="LA250" s="75"/>
      <c r="LB250" s="76">
        <f t="shared" ref="LB250" si="7694">COUNTIF($M$250,LA250)*$D$39</f>
        <v>0</v>
      </c>
      <c r="LC250" s="63"/>
      <c r="LD250" s="75"/>
      <c r="LE250" s="76">
        <f t="shared" ref="LE250" si="7695">COUNTIF($M$250,LD250)*$D$39</f>
        <v>0</v>
      </c>
      <c r="LF250" s="63"/>
    </row>
    <row r="251" spans="1:318" s="784" customFormat="1" ht="16.05" customHeight="1">
      <c r="A251" s="17"/>
      <c r="B251" s="17"/>
      <c r="C251" s="17"/>
      <c r="D251" s="17"/>
      <c r="E251" s="88"/>
      <c r="F251" s="406">
        <f t="shared" si="7599"/>
        <v>40</v>
      </c>
      <c r="G251" s="406">
        <f ca="1">VLOOKUP(H251,Equipos!$Q$1:$R$25,2,0)</f>
        <v>24</v>
      </c>
      <c r="H251" s="64" t="str">
        <f>Idiomas!$D$264</f>
        <v>3-4 &amp; Final</v>
      </c>
      <c r="I251" s="50"/>
      <c r="J251" s="99"/>
      <c r="K251" s="56" t="str">
        <f>WORLDCUP!W151</f>
        <v>🥈Subcampeón</v>
      </c>
      <c r="L251" s="53"/>
      <c r="M251" s="55" t="str">
        <f>WORLDCUP!AA151</f>
        <v>LF</v>
      </c>
      <c r="N251" s="25"/>
      <c r="O251" s="25"/>
      <c r="P251" s="25"/>
      <c r="Q251" s="25"/>
      <c r="R251" s="17"/>
      <c r="S251" s="796" t="s">
        <v>79</v>
      </c>
      <c r="T251" s="72">
        <f t="shared" ref="T251" si="7696">COUNTIF($M$251,S251)*$D$40</f>
        <v>0</v>
      </c>
      <c r="U251" s="63"/>
      <c r="V251" s="73" t="s">
        <v>111</v>
      </c>
      <c r="W251" s="72">
        <f t="shared" ref="W251" si="7697">COUNTIF($M$251,V251)*$D$40</f>
        <v>0</v>
      </c>
      <c r="X251" s="63"/>
      <c r="Y251" s="796" t="s">
        <v>74</v>
      </c>
      <c r="Z251" s="72">
        <f t="shared" ref="Z251" si="7698">COUNTIF($M$251,Y251)*$D$40</f>
        <v>0</v>
      </c>
      <c r="AA251" s="63"/>
      <c r="AB251" s="796" t="s">
        <v>76</v>
      </c>
      <c r="AC251" s="72">
        <f t="shared" ref="AC251" si="7699">COUNTIF($M$251,AB251)*$D$40</f>
        <v>0</v>
      </c>
      <c r="AD251" s="63"/>
      <c r="AE251" s="796" t="s">
        <v>111</v>
      </c>
      <c r="AF251" s="72">
        <f t="shared" ref="AF251" si="7700">COUNTIF($M$251,AE251)*$D$40</f>
        <v>0</v>
      </c>
      <c r="AG251" s="63"/>
      <c r="AH251" s="796" t="s">
        <v>38</v>
      </c>
      <c r="AI251" s="72">
        <f t="shared" ref="AI251" si="7701">COUNTIF($M$251,AH251)*$D$40</f>
        <v>0</v>
      </c>
      <c r="AJ251" s="63"/>
      <c r="AK251" s="806" t="s">
        <v>1258</v>
      </c>
      <c r="AL251" s="72">
        <f t="shared" ref="AL251" si="7702">COUNTIF($M$251,AK251)*$D$40</f>
        <v>0</v>
      </c>
      <c r="AM251" s="63"/>
      <c r="AN251" s="796" t="s">
        <v>79</v>
      </c>
      <c r="AO251" s="72">
        <f t="shared" ref="AO251" si="7703">COUNTIF($M$251,AN251)*$D$40</f>
        <v>0</v>
      </c>
      <c r="AP251" s="63"/>
      <c r="AQ251" s="806" t="s">
        <v>74</v>
      </c>
      <c r="AR251" s="72">
        <f t="shared" ref="AR251" si="7704">COUNTIF($M$251,AQ251)*$D$40</f>
        <v>0</v>
      </c>
      <c r="AS251" s="63"/>
      <c r="AT251" s="796" t="s">
        <v>38</v>
      </c>
      <c r="AU251" s="72">
        <f t="shared" ref="AU251" si="7705">COUNTIF($M$251,AT251)*$D$40</f>
        <v>0</v>
      </c>
      <c r="AV251" s="63"/>
      <c r="AW251" s="796" t="s">
        <v>38</v>
      </c>
      <c r="AX251" s="72">
        <f t="shared" ref="AX251" si="7706">COUNTIF($M$251,AW251)*$D$40</f>
        <v>0</v>
      </c>
      <c r="AY251" s="63"/>
      <c r="AZ251" s="796" t="s">
        <v>1728</v>
      </c>
      <c r="BA251" s="72">
        <f t="shared" ref="BA251" si="7707">COUNTIF($M$251,AZ251)*$D$40</f>
        <v>0</v>
      </c>
      <c r="BB251" s="63"/>
      <c r="BC251" s="796" t="s">
        <v>38</v>
      </c>
      <c r="BD251" s="72">
        <f t="shared" ref="BD251" si="7708">COUNTIF($M$251,BC251)*$D$40</f>
        <v>0</v>
      </c>
      <c r="BE251" s="63"/>
      <c r="BF251" s="796" t="s">
        <v>76</v>
      </c>
      <c r="BG251" s="72">
        <f t="shared" ref="BG251" si="7709">COUNTIF($M$251,BF251)*$D$40</f>
        <v>0</v>
      </c>
      <c r="BH251" s="63"/>
      <c r="BI251" s="796" t="s">
        <v>38</v>
      </c>
      <c r="BJ251" s="72">
        <f t="shared" ref="BJ251" si="7710">COUNTIF($M$251,BI251)*$D$40</f>
        <v>0</v>
      </c>
      <c r="BK251" s="63"/>
      <c r="BL251" s="796" t="s">
        <v>111</v>
      </c>
      <c r="BM251" s="72">
        <f t="shared" ref="BM251" si="7711">COUNTIF($M$251,BL251)*$D$40</f>
        <v>0</v>
      </c>
      <c r="BN251" s="63"/>
      <c r="BO251" s="816" t="s">
        <v>74</v>
      </c>
      <c r="BP251" s="72">
        <f t="shared" ref="BP251" si="7712">COUNTIF($M$251,BO251)*$D$40</f>
        <v>0</v>
      </c>
      <c r="BQ251" s="63"/>
      <c r="BR251" s="796" t="s">
        <v>111</v>
      </c>
      <c r="BS251" s="72">
        <f t="shared" ref="BS251" si="7713">COUNTIF($M$251,BR251)*$D$40</f>
        <v>0</v>
      </c>
      <c r="BT251" s="63"/>
      <c r="BU251" s="796" t="s">
        <v>1256</v>
      </c>
      <c r="BV251" s="72">
        <f t="shared" ref="BV251" si="7714">COUNTIF($M$251,BU251)*$D$40</f>
        <v>0</v>
      </c>
      <c r="BW251" s="63"/>
      <c r="BX251" s="73" t="s">
        <v>1258</v>
      </c>
      <c r="BY251" s="72">
        <f t="shared" ref="BY251" si="7715">COUNTIF($M$251,BX251)*$D$40</f>
        <v>0</v>
      </c>
      <c r="BZ251" s="63"/>
      <c r="CA251" s="816" t="s">
        <v>79</v>
      </c>
      <c r="CB251" s="72">
        <f t="shared" ref="CB251" si="7716">COUNTIF($M$251,CA251)*$D$40</f>
        <v>0</v>
      </c>
      <c r="CC251" s="63"/>
      <c r="CD251" s="825" t="s">
        <v>111</v>
      </c>
      <c r="CE251" s="72">
        <f t="shared" ref="CE251" si="7717">COUNTIF($M$251,CD251)*$D$40</f>
        <v>0</v>
      </c>
      <c r="CF251" s="63"/>
      <c r="CG251" s="796" t="s">
        <v>38</v>
      </c>
      <c r="CH251" s="72">
        <f t="shared" ref="CH251" si="7718">COUNTIF($M$251,CG251)*$D$40</f>
        <v>0</v>
      </c>
      <c r="CI251" s="63"/>
      <c r="CJ251" s="796" t="s">
        <v>1256</v>
      </c>
      <c r="CK251" s="72">
        <f t="shared" ref="CK251" si="7719">COUNTIF($M$251,CJ251)*$D$40</f>
        <v>0</v>
      </c>
      <c r="CL251" s="63"/>
      <c r="CM251" s="796" t="s">
        <v>1318</v>
      </c>
      <c r="CN251" s="72">
        <f t="shared" ref="CN251" si="7720">COUNTIF($M$251,CM251)*$D$40</f>
        <v>0</v>
      </c>
      <c r="CO251" s="63"/>
      <c r="CP251" s="796" t="s">
        <v>74</v>
      </c>
      <c r="CQ251" s="72">
        <f t="shared" ref="CQ251" si="7721">COUNTIF($M$251,CP251)*$D$40</f>
        <v>0</v>
      </c>
      <c r="CR251" s="63"/>
      <c r="CS251" s="796" t="s">
        <v>1256</v>
      </c>
      <c r="CT251" s="72">
        <f t="shared" ref="CT251" si="7722">COUNTIF($M$251,CS251)*$D$40</f>
        <v>0</v>
      </c>
      <c r="CU251" s="63"/>
      <c r="CV251" s="796" t="s">
        <v>79</v>
      </c>
      <c r="CW251" s="72">
        <f t="shared" ref="CW251" si="7723">COUNTIF($M$251,CV251)*$D$40</f>
        <v>0</v>
      </c>
      <c r="CX251" s="63"/>
      <c r="CY251" s="796" t="s">
        <v>74</v>
      </c>
      <c r="CZ251" s="72">
        <f t="shared" ref="CZ251" si="7724">COUNTIF($M$251,CY251)*$D$40</f>
        <v>0</v>
      </c>
      <c r="DA251" s="63"/>
      <c r="DB251" s="796" t="s">
        <v>1256</v>
      </c>
      <c r="DC251" s="72">
        <f t="shared" ref="DC251" si="7725">COUNTIF($M$251,DB251)*$D$40</f>
        <v>0</v>
      </c>
      <c r="DD251" s="63"/>
      <c r="DE251" s="796" t="s">
        <v>2807</v>
      </c>
      <c r="DF251" s="72">
        <f>COUNTIF($M$251,DE251)*$D$40</f>
        <v>0</v>
      </c>
      <c r="DG251" s="63"/>
      <c r="DH251" s="796" t="s">
        <v>79</v>
      </c>
      <c r="DI251" s="72">
        <f>COUNTIF($M$251,DH251)*$D$40</f>
        <v>0</v>
      </c>
      <c r="DJ251" s="63"/>
      <c r="DK251" s="796" t="s">
        <v>1256</v>
      </c>
      <c r="DL251" s="72">
        <f>COUNTIF($M$251,DK251)*$D$40</f>
        <v>0</v>
      </c>
      <c r="DM251" s="63"/>
      <c r="DN251" s="73"/>
      <c r="DO251" s="72">
        <f t="shared" ref="DO251" si="7726">COUNTIF($M$251,DN251)*$D$40</f>
        <v>0</v>
      </c>
      <c r="DP251" s="63"/>
      <c r="DQ251" s="796" t="s">
        <v>38</v>
      </c>
      <c r="DR251" s="72">
        <f t="shared" ref="DR251" si="7727">COUNTIF($M$251,DQ251)*$D$40</f>
        <v>0</v>
      </c>
      <c r="DS251" s="63"/>
      <c r="DT251" s="73" t="s">
        <v>74</v>
      </c>
      <c r="DU251" s="72">
        <f t="shared" ref="DU251" si="7728">COUNTIF($M$251,DT251)*$D$40</f>
        <v>0</v>
      </c>
      <c r="DV251" s="63"/>
      <c r="DW251" s="73"/>
      <c r="DX251" s="72">
        <f t="shared" ref="DX251" si="7729">COUNTIF($M$251,DW251)*$D$40</f>
        <v>0</v>
      </c>
      <c r="DY251" s="63"/>
      <c r="DZ251" s="73"/>
      <c r="EA251" s="72">
        <f>COUNTIF($M$251,DZ251)*$D$40</f>
        <v>0</v>
      </c>
      <c r="EB251" s="63"/>
      <c r="EC251" s="73"/>
      <c r="ED251" s="72">
        <f t="shared" ref="ED251" si="7730">COUNTIF($M$251,EC251)*$D$40</f>
        <v>0</v>
      </c>
      <c r="EE251" s="63"/>
      <c r="EF251" s="73"/>
      <c r="EG251" s="72">
        <f t="shared" ref="EG251" si="7731">COUNTIF($M$251,EF251)*$D$40</f>
        <v>0</v>
      </c>
      <c r="EH251" s="63"/>
      <c r="EI251" s="73"/>
      <c r="EJ251" s="72">
        <f t="shared" ref="EJ251" si="7732">COUNTIF($M$251,EI251)*$D$40</f>
        <v>0</v>
      </c>
      <c r="EK251" s="63"/>
      <c r="EL251" s="73"/>
      <c r="EM251" s="72">
        <f t="shared" ref="EM251" si="7733">COUNTIF($M$251,EL251)*$D$40</f>
        <v>0</v>
      </c>
      <c r="EN251" s="63"/>
      <c r="EO251" s="73"/>
      <c r="EP251" s="72">
        <f t="shared" ref="EP251" si="7734">COUNTIF($M$251,EO251)*$D$40</f>
        <v>0</v>
      </c>
      <c r="EQ251" s="63"/>
      <c r="ER251" s="73"/>
      <c r="ES251" s="72">
        <f t="shared" ref="ES251" si="7735">COUNTIF($M$251,ER251)*$D$40</f>
        <v>0</v>
      </c>
      <c r="ET251" s="63"/>
      <c r="EU251" s="73"/>
      <c r="EV251" s="72">
        <f t="shared" ref="EV251" si="7736">COUNTIF($M$251,EU251)*$D$40</f>
        <v>0</v>
      </c>
      <c r="EW251" s="63"/>
      <c r="EX251" s="73"/>
      <c r="EY251" s="72">
        <f t="shared" ref="EY251" si="7737">COUNTIF($M$251,EX251)*$D$40</f>
        <v>0</v>
      </c>
      <c r="EZ251" s="63"/>
      <c r="FA251" s="73"/>
      <c r="FB251" s="72">
        <f t="shared" ref="FB251" si="7738">COUNTIF($M$251,FA251)*$D$40</f>
        <v>0</v>
      </c>
      <c r="FC251" s="63"/>
      <c r="FD251" s="73"/>
      <c r="FE251" s="72">
        <f t="shared" ref="FE251" si="7739">COUNTIF($M$251,FD251)*$D$40</f>
        <v>0</v>
      </c>
      <c r="FF251" s="63"/>
      <c r="FG251" s="73"/>
      <c r="FH251" s="72">
        <f t="shared" ref="FH251" si="7740">COUNTIF($M$251,FG251)*$D$40</f>
        <v>0</v>
      </c>
      <c r="FI251" s="63"/>
      <c r="FJ251" s="73"/>
      <c r="FK251" s="72">
        <f t="shared" ref="FK251" si="7741">COUNTIF($M$251,FJ251)*$D$40</f>
        <v>0</v>
      </c>
      <c r="FL251" s="63"/>
      <c r="FM251" s="73"/>
      <c r="FN251" s="72">
        <f t="shared" ref="FN251" si="7742">COUNTIF($M$251,FM251)*$D$40</f>
        <v>0</v>
      </c>
      <c r="FO251" s="63"/>
      <c r="FP251" s="73"/>
      <c r="FQ251" s="72">
        <f t="shared" ref="FQ251" si="7743">COUNTIF($M$251,FP251)*$D$40</f>
        <v>0</v>
      </c>
      <c r="FR251" s="63"/>
      <c r="FS251" s="73"/>
      <c r="FT251" s="72">
        <f t="shared" ref="FT251" si="7744">COUNTIF($M$251,FS251)*$D$40</f>
        <v>0</v>
      </c>
      <c r="FU251" s="63"/>
      <c r="FV251" s="73"/>
      <c r="FW251" s="72">
        <f t="shared" ref="FW251" si="7745">COUNTIF($M$251,FV251)*$D$40</f>
        <v>0</v>
      </c>
      <c r="FX251" s="63"/>
      <c r="FY251" s="73"/>
      <c r="FZ251" s="72">
        <f t="shared" ref="FZ251" si="7746">COUNTIF($M$251,FY251)*$D$40</f>
        <v>0</v>
      </c>
      <c r="GA251" s="63"/>
      <c r="GB251" s="73"/>
      <c r="GC251" s="72">
        <f t="shared" ref="GC251" si="7747">COUNTIF($M$251,GB251)*$D$40</f>
        <v>0</v>
      </c>
      <c r="GD251" s="63"/>
      <c r="GE251" s="73"/>
      <c r="GF251" s="72">
        <f t="shared" ref="GF251" si="7748">COUNTIF($M$251,GE251)*$D$40</f>
        <v>0</v>
      </c>
      <c r="GG251" s="63"/>
      <c r="GH251" s="73"/>
      <c r="GI251" s="72">
        <f t="shared" ref="GI251" si="7749">COUNTIF($M$251,GH251)*$D$40</f>
        <v>0</v>
      </c>
      <c r="GJ251" s="63"/>
      <c r="GK251" s="73"/>
      <c r="GL251" s="72">
        <f t="shared" ref="GL251" si="7750">COUNTIF($M$251,GK251)*$D$40</f>
        <v>0</v>
      </c>
      <c r="GM251" s="63"/>
      <c r="GN251" s="73"/>
      <c r="GO251" s="72">
        <f t="shared" ref="GO251" si="7751">COUNTIF($M$251,GN251)*$D$40</f>
        <v>0</v>
      </c>
      <c r="GP251" s="63"/>
      <c r="GQ251" s="73"/>
      <c r="GR251" s="72">
        <f t="shared" ref="GR251" si="7752">COUNTIF($M$251,GQ251)*$D$40</f>
        <v>0</v>
      </c>
      <c r="GS251" s="63"/>
      <c r="GT251" s="73"/>
      <c r="GU251" s="72">
        <f t="shared" ref="GU251" si="7753">COUNTIF($M$251,GT251)*$D$40</f>
        <v>0</v>
      </c>
      <c r="GV251" s="63"/>
      <c r="GW251" s="73"/>
      <c r="GX251" s="72">
        <f t="shared" ref="GX251" si="7754">COUNTIF($M$251,GW251)*$D$40</f>
        <v>0</v>
      </c>
      <c r="GY251" s="63"/>
      <c r="GZ251" s="73"/>
      <c r="HA251" s="72">
        <f t="shared" ref="HA251" si="7755">COUNTIF($M$251,GZ251)*$D$40</f>
        <v>0</v>
      </c>
      <c r="HB251" s="63"/>
      <c r="HC251" s="73"/>
      <c r="HD251" s="72">
        <f t="shared" ref="HD251" si="7756">COUNTIF($M$251,HC251)*$D$40</f>
        <v>0</v>
      </c>
      <c r="HE251" s="63"/>
      <c r="HF251" s="73"/>
      <c r="HG251" s="72">
        <f t="shared" ref="HG251" si="7757">COUNTIF($M$251,HF251)*$D$40</f>
        <v>0</v>
      </c>
      <c r="HH251" s="63"/>
      <c r="HI251" s="73"/>
      <c r="HJ251" s="72">
        <f t="shared" ref="HJ251" si="7758">COUNTIF($M$251,HI251)*$D$40</f>
        <v>0</v>
      </c>
      <c r="HK251" s="63"/>
      <c r="HL251" s="73"/>
      <c r="HM251" s="72">
        <f t="shared" ref="HM251" si="7759">COUNTIF($M$251,HL251)*$D$40</f>
        <v>0</v>
      </c>
      <c r="HN251" s="63"/>
      <c r="HO251" s="73"/>
      <c r="HP251" s="72">
        <f t="shared" ref="HP251" si="7760">COUNTIF($M$251,HO251)*$D$40</f>
        <v>0</v>
      </c>
      <c r="HQ251" s="63"/>
      <c r="HR251" s="73"/>
      <c r="HS251" s="72">
        <f t="shared" ref="HS251" si="7761">COUNTIF($M$251,HR251)*$D$40</f>
        <v>0</v>
      </c>
      <c r="HT251" s="63"/>
      <c r="HU251" s="73"/>
      <c r="HV251" s="72">
        <f t="shared" ref="HV251" si="7762">COUNTIF($M$251,HU251)*$D$40</f>
        <v>0</v>
      </c>
      <c r="HW251" s="63"/>
      <c r="HX251" s="73"/>
      <c r="HY251" s="72">
        <f t="shared" ref="HY251" si="7763">COUNTIF($M$251,HX251)*$D$40</f>
        <v>0</v>
      </c>
      <c r="HZ251" s="63"/>
      <c r="IA251" s="73"/>
      <c r="IB251" s="72">
        <f t="shared" ref="IB251" si="7764">COUNTIF($M$251,IA251)*$D$40</f>
        <v>0</v>
      </c>
      <c r="IC251" s="63"/>
      <c r="ID251" s="73"/>
      <c r="IE251" s="72">
        <f t="shared" ref="IE251" si="7765">COUNTIF($M$251,ID251)*$D$40</f>
        <v>0</v>
      </c>
      <c r="IF251" s="63"/>
      <c r="IG251" s="73"/>
      <c r="IH251" s="72">
        <f t="shared" ref="IH251" si="7766">COUNTIF($M$251,IG251)*$D$40</f>
        <v>0</v>
      </c>
      <c r="II251" s="63"/>
      <c r="IJ251" s="73"/>
      <c r="IK251" s="72">
        <f t="shared" ref="IK251" si="7767">COUNTIF($M$251,IJ251)*$D$40</f>
        <v>0</v>
      </c>
      <c r="IL251" s="63"/>
      <c r="IM251" s="73"/>
      <c r="IN251" s="72">
        <f t="shared" ref="IN251" si="7768">COUNTIF($M$251,IM251)*$D$40</f>
        <v>0</v>
      </c>
      <c r="IO251" s="63"/>
      <c r="IP251" s="73"/>
      <c r="IQ251" s="72">
        <f t="shared" ref="IQ251" si="7769">COUNTIF($M$251,IP251)*$D$40</f>
        <v>0</v>
      </c>
      <c r="IR251" s="63"/>
      <c r="IS251" s="73"/>
      <c r="IT251" s="72">
        <f t="shared" ref="IT251" si="7770">COUNTIF($M$251,IS251)*$D$40</f>
        <v>0</v>
      </c>
      <c r="IU251" s="63"/>
      <c r="IV251" s="73"/>
      <c r="IW251" s="72">
        <f t="shared" ref="IW251" si="7771">COUNTIF($M$251,IV251)*$D$40</f>
        <v>0</v>
      </c>
      <c r="IX251" s="63"/>
      <c r="IY251" s="73"/>
      <c r="IZ251" s="72">
        <f t="shared" ref="IZ251" si="7772">COUNTIF($M$251,IY251)*$D$40</f>
        <v>0</v>
      </c>
      <c r="JA251" s="63"/>
      <c r="JB251" s="73"/>
      <c r="JC251" s="72">
        <f t="shared" ref="JC251" si="7773">COUNTIF($M$251,JB251)*$D$40</f>
        <v>0</v>
      </c>
      <c r="JD251" s="63"/>
      <c r="JE251" s="73"/>
      <c r="JF251" s="72">
        <f t="shared" ref="JF251" si="7774">COUNTIF($M$251,JE251)*$D$40</f>
        <v>0</v>
      </c>
      <c r="JG251" s="63"/>
      <c r="JH251" s="73"/>
      <c r="JI251" s="72">
        <f t="shared" ref="JI251" si="7775">COUNTIF($M$251,JH251)*$D$40</f>
        <v>0</v>
      </c>
      <c r="JJ251" s="63"/>
      <c r="JK251" s="73"/>
      <c r="JL251" s="72">
        <f t="shared" ref="JL251" si="7776">COUNTIF($M$251,JK251)*$D$40</f>
        <v>0</v>
      </c>
      <c r="JM251" s="63"/>
      <c r="JN251" s="73"/>
      <c r="JO251" s="72">
        <f t="shared" ref="JO251" si="7777">COUNTIF($M$251,JN251)*$D$40</f>
        <v>0</v>
      </c>
      <c r="JP251" s="63"/>
      <c r="JQ251" s="73"/>
      <c r="JR251" s="72">
        <f t="shared" ref="JR251" si="7778">COUNTIF($M$251,JQ251)*$D$40</f>
        <v>0</v>
      </c>
      <c r="JS251" s="63"/>
      <c r="JT251" s="73"/>
      <c r="JU251" s="72">
        <f t="shared" ref="JU251" si="7779">COUNTIF($M$251,JT251)*$D$40</f>
        <v>0</v>
      </c>
      <c r="JV251" s="63"/>
      <c r="JW251" s="73"/>
      <c r="JX251" s="72">
        <f t="shared" ref="JX251" si="7780">COUNTIF($M$251,JW251)*$D$40</f>
        <v>0</v>
      </c>
      <c r="JY251" s="63"/>
      <c r="JZ251" s="73"/>
      <c r="KA251" s="72">
        <f t="shared" ref="KA251" si="7781">COUNTIF($M$251,JZ251)*$D$40</f>
        <v>0</v>
      </c>
      <c r="KB251" s="63"/>
      <c r="KC251" s="73"/>
      <c r="KD251" s="72">
        <f t="shared" ref="KD251" si="7782">COUNTIF($M$251,KC251)*$D$40</f>
        <v>0</v>
      </c>
      <c r="KE251" s="63"/>
      <c r="KF251" s="73"/>
      <c r="KG251" s="72">
        <f t="shared" ref="KG251" si="7783">COUNTIF($M$251,KF251)*$D$40</f>
        <v>0</v>
      </c>
      <c r="KH251" s="63"/>
      <c r="KI251" s="73"/>
      <c r="KJ251" s="72">
        <f t="shared" ref="KJ251" si="7784">COUNTIF($M$251,KI251)*$D$40</f>
        <v>0</v>
      </c>
      <c r="KK251" s="63"/>
      <c r="KL251" s="73"/>
      <c r="KM251" s="72">
        <f t="shared" ref="KM251" si="7785">COUNTIF($M$251,KL251)*$D$40</f>
        <v>0</v>
      </c>
      <c r="KN251" s="63"/>
      <c r="KO251" s="73"/>
      <c r="KP251" s="72">
        <f t="shared" ref="KP251" si="7786">COUNTIF($M$251,KO251)*$D$40</f>
        <v>0</v>
      </c>
      <c r="KQ251" s="63"/>
      <c r="KR251" s="73"/>
      <c r="KS251" s="72">
        <f t="shared" ref="KS251" si="7787">COUNTIF($M$251,KR251)*$D$40</f>
        <v>0</v>
      </c>
      <c r="KT251" s="63"/>
      <c r="KU251" s="73"/>
      <c r="KV251" s="72">
        <f t="shared" ref="KV251" si="7788">COUNTIF($M$251,KU251)*$D$40</f>
        <v>0</v>
      </c>
      <c r="KW251" s="63"/>
      <c r="KX251" s="73"/>
      <c r="KY251" s="72">
        <f t="shared" ref="KY251" si="7789">COUNTIF($M$251,KX251)*$D$40</f>
        <v>0</v>
      </c>
      <c r="KZ251" s="63"/>
      <c r="LA251" s="73"/>
      <c r="LB251" s="72">
        <f t="shared" ref="LB251" si="7790">COUNTIF($M$251,LA251)*$D$40</f>
        <v>0</v>
      </c>
      <c r="LC251" s="63"/>
      <c r="LD251" s="73"/>
      <c r="LE251" s="72">
        <f t="shared" ref="LE251" si="7791">COUNTIF($M$251,LD251)*$D$40</f>
        <v>0</v>
      </c>
      <c r="LF251" s="63"/>
    </row>
    <row r="252" spans="1:318" s="784" customFormat="1" ht="16.05" customHeight="1">
      <c r="A252" s="17"/>
      <c r="B252" s="17"/>
      <c r="C252" s="17"/>
      <c r="D252" s="17"/>
      <c r="E252" s="88"/>
      <c r="F252" s="406">
        <f t="shared" si="7599"/>
        <v>30</v>
      </c>
      <c r="G252" s="406">
        <f ca="1">VLOOKUP(H252,Equipos!$Q$1:$R$25,2,0)</f>
        <v>24</v>
      </c>
      <c r="H252" s="64" t="str">
        <f>Idiomas!$D$264</f>
        <v>3-4 &amp; Final</v>
      </c>
      <c r="I252" s="50"/>
      <c r="J252" s="99"/>
      <c r="K252" s="56" t="str">
        <f>WORLDCUP!W152</f>
        <v>🥉3º puesto</v>
      </c>
      <c r="L252" s="53"/>
      <c r="M252" s="55" t="str">
        <f>WORLDCUP!AA152</f>
        <v>W34</v>
      </c>
      <c r="N252" s="25"/>
      <c r="O252" s="25"/>
      <c r="P252" s="25"/>
      <c r="Q252" s="25"/>
      <c r="R252" s="17"/>
      <c r="S252" s="796" t="s">
        <v>74</v>
      </c>
      <c r="T252" s="72">
        <f t="shared" ref="T252" si="7792">COUNTIF($M$252,S252)*$D$41</f>
        <v>0</v>
      </c>
      <c r="U252" s="63"/>
      <c r="V252" s="73" t="s">
        <v>38</v>
      </c>
      <c r="W252" s="72">
        <f t="shared" ref="W252" si="7793">COUNTIF($M$252,V252)*$D$41</f>
        <v>0</v>
      </c>
      <c r="X252" s="63"/>
      <c r="Y252" s="796" t="s">
        <v>110</v>
      </c>
      <c r="Z252" s="72">
        <f t="shared" ref="Z252" si="7794">COUNTIF($M$252,Y252)*$D$41</f>
        <v>0</v>
      </c>
      <c r="AA252" s="63"/>
      <c r="AB252" s="796" t="s">
        <v>111</v>
      </c>
      <c r="AC252" s="72">
        <f t="shared" ref="AC252" si="7795">COUNTIF($M$252,AB252)*$D$41</f>
        <v>0</v>
      </c>
      <c r="AD252" s="63"/>
      <c r="AE252" s="796" t="s">
        <v>76</v>
      </c>
      <c r="AF252" s="72">
        <f t="shared" ref="AF252" si="7796">COUNTIF($M$252,AE252)*$D$41</f>
        <v>0</v>
      </c>
      <c r="AG252" s="63"/>
      <c r="AH252" s="796" t="s">
        <v>135</v>
      </c>
      <c r="AI252" s="72">
        <f t="shared" ref="AI252" si="7797">COUNTIF($M$252,AH252)*$D$41</f>
        <v>0</v>
      </c>
      <c r="AJ252" s="63"/>
      <c r="AK252" s="806" t="s">
        <v>38</v>
      </c>
      <c r="AL252" s="72">
        <f t="shared" ref="AL252" si="7798">COUNTIF($M$252,AK252)*$D$41</f>
        <v>0</v>
      </c>
      <c r="AM252" s="63"/>
      <c r="AN252" s="796" t="s">
        <v>1321</v>
      </c>
      <c r="AO252" s="72">
        <f t="shared" ref="AO252" si="7799">COUNTIF($M$252,AN252)*$D$41</f>
        <v>0</v>
      </c>
      <c r="AP252" s="63"/>
      <c r="AQ252" s="806" t="s">
        <v>38</v>
      </c>
      <c r="AR252" s="72">
        <f t="shared" ref="AR252" si="7800">COUNTIF($M$252,AQ252)*$D$41</f>
        <v>0</v>
      </c>
      <c r="AS252" s="63"/>
      <c r="AT252" s="796" t="s">
        <v>74</v>
      </c>
      <c r="AU252" s="72">
        <f t="shared" ref="AU252" si="7801">COUNTIF($M$252,AT252)*$D$41</f>
        <v>0</v>
      </c>
      <c r="AV252" s="63"/>
      <c r="AW252" s="796" t="s">
        <v>1258</v>
      </c>
      <c r="AX252" s="72">
        <f t="shared" ref="AX252" si="7802">COUNTIF($M$252,AW252)*$D$41</f>
        <v>0</v>
      </c>
      <c r="AY252" s="63"/>
      <c r="AZ252" s="796" t="s">
        <v>1839</v>
      </c>
      <c r="BA252" s="72">
        <f t="shared" ref="BA252" si="7803">COUNTIF($M$252,AZ252)*$D$41</f>
        <v>0</v>
      </c>
      <c r="BB252" s="63"/>
      <c r="BC252" s="796" t="s">
        <v>74</v>
      </c>
      <c r="BD252" s="72">
        <f t="shared" ref="BD252" si="7804">COUNTIF($M$252,BC252)*$D$41</f>
        <v>0</v>
      </c>
      <c r="BE252" s="63"/>
      <c r="BF252" s="796" t="s">
        <v>135</v>
      </c>
      <c r="BG252" s="72">
        <f t="shared" ref="BG252" si="7805">COUNTIF($M$252,BF252)*$D$41</f>
        <v>0</v>
      </c>
      <c r="BH252" s="63"/>
      <c r="BI252" s="796" t="s">
        <v>74</v>
      </c>
      <c r="BJ252" s="72">
        <f t="shared" ref="BJ252" si="7806">COUNTIF($M$252,BI252)*$D$41</f>
        <v>0</v>
      </c>
      <c r="BK252" s="63"/>
      <c r="BL252" s="796" t="s">
        <v>38</v>
      </c>
      <c r="BM252" s="72">
        <f t="shared" ref="BM252" si="7807">COUNTIF($M$252,BL252)*$D$41</f>
        <v>0</v>
      </c>
      <c r="BN252" s="63"/>
      <c r="BO252" s="816" t="s">
        <v>38</v>
      </c>
      <c r="BP252" s="72">
        <f t="shared" ref="BP252" si="7808">COUNTIF($M$252,BO252)*$D$41</f>
        <v>0</v>
      </c>
      <c r="BQ252" s="63"/>
      <c r="BR252" s="796" t="s">
        <v>38</v>
      </c>
      <c r="BS252" s="72">
        <f t="shared" ref="BS252" si="7809">COUNTIF($M$252,BR252)*$D$41</f>
        <v>0</v>
      </c>
      <c r="BT252" s="63"/>
      <c r="BU252" s="796" t="s">
        <v>1263</v>
      </c>
      <c r="BV252" s="72">
        <f t="shared" ref="BV252" si="7810">COUNTIF($M$252,BU252)*$D$41</f>
        <v>0</v>
      </c>
      <c r="BW252" s="63"/>
      <c r="BX252" s="73" t="s">
        <v>74</v>
      </c>
      <c r="BY252" s="72">
        <f t="shared" ref="BY252" si="7811">COUNTIF($M$252,BX252)*$D$41</f>
        <v>0</v>
      </c>
      <c r="BZ252" s="63"/>
      <c r="CA252" s="816" t="s">
        <v>74</v>
      </c>
      <c r="CB252" s="72">
        <f t="shared" ref="CB252" si="7812">COUNTIF($M$252,CA252)*$D$41</f>
        <v>0</v>
      </c>
      <c r="CC252" s="63"/>
      <c r="CD252" s="825" t="s">
        <v>1258</v>
      </c>
      <c r="CE252" s="72">
        <f t="shared" ref="CE252" si="7813">COUNTIF($M$252,CD252)*$D$41</f>
        <v>0</v>
      </c>
      <c r="CF252" s="63"/>
      <c r="CG252" s="796" t="s">
        <v>74</v>
      </c>
      <c r="CH252" s="72">
        <f t="shared" ref="CH252" si="7814">COUNTIF($M$252,CG252)*$D$41</f>
        <v>0</v>
      </c>
      <c r="CI252" s="63"/>
      <c r="CJ252" s="796" t="s">
        <v>74</v>
      </c>
      <c r="CK252" s="72">
        <f t="shared" ref="CK252" si="7815">COUNTIF($M$252,CJ252)*$D$41</f>
        <v>0</v>
      </c>
      <c r="CL252" s="63"/>
      <c r="CM252" s="796" t="s">
        <v>74</v>
      </c>
      <c r="CN252" s="72">
        <f t="shared" ref="CN252" si="7816">COUNTIF($M$252,CM252)*$D$41</f>
        <v>0</v>
      </c>
      <c r="CO252" s="63"/>
      <c r="CP252" s="796" t="s">
        <v>1258</v>
      </c>
      <c r="CQ252" s="72">
        <f t="shared" ref="CQ252" si="7817">COUNTIF($M$252,CP252)*$D$41</f>
        <v>0</v>
      </c>
      <c r="CR252" s="63"/>
      <c r="CS252" s="796" t="s">
        <v>74</v>
      </c>
      <c r="CT252" s="72">
        <f t="shared" ref="CT252" si="7818">COUNTIF($M$252,CS252)*$D$41</f>
        <v>0</v>
      </c>
      <c r="CU252" s="63"/>
      <c r="CV252" s="796" t="s">
        <v>74</v>
      </c>
      <c r="CW252" s="72">
        <f t="shared" ref="CW252" si="7819">COUNTIF($M$252,CV252)*$D$41</f>
        <v>0</v>
      </c>
      <c r="CX252" s="63"/>
      <c r="CY252" s="796" t="s">
        <v>1258</v>
      </c>
      <c r="CZ252" s="72">
        <f t="shared" ref="CZ252" si="7820">COUNTIF($M$252,CY252)*$D$41</f>
        <v>0</v>
      </c>
      <c r="DA252" s="63"/>
      <c r="DB252" s="796" t="s">
        <v>74</v>
      </c>
      <c r="DC252" s="72">
        <f t="shared" ref="DC252" si="7821">COUNTIF($M$252,DB252)*$D$41</f>
        <v>0</v>
      </c>
      <c r="DD252" s="63"/>
      <c r="DE252" s="796" t="s">
        <v>2050</v>
      </c>
      <c r="DF252" s="72">
        <f>COUNTIF($M$252,DE252)*$D$41</f>
        <v>0</v>
      </c>
      <c r="DG252" s="63"/>
      <c r="DH252" s="796" t="s">
        <v>74</v>
      </c>
      <c r="DI252" s="72">
        <f>COUNTIF($M$252,DH252)*$D$41</f>
        <v>0</v>
      </c>
      <c r="DJ252" s="63"/>
      <c r="DK252" s="796" t="s">
        <v>74</v>
      </c>
      <c r="DL252" s="72">
        <f>COUNTIF($M$252,DK252)*$D$41</f>
        <v>0</v>
      </c>
      <c r="DM252" s="63"/>
      <c r="DN252" s="73"/>
      <c r="DO252" s="72">
        <f t="shared" ref="DO252" si="7822">COUNTIF($M$252,DN252)*$D$41</f>
        <v>0</v>
      </c>
      <c r="DP252" s="63"/>
      <c r="DQ252" s="796" t="s">
        <v>1256</v>
      </c>
      <c r="DR252" s="72">
        <f t="shared" ref="DR252" si="7823">COUNTIF($M$252,DQ252)*$D$41</f>
        <v>0</v>
      </c>
      <c r="DS252" s="63"/>
      <c r="DT252" s="73" t="s">
        <v>1258</v>
      </c>
      <c r="DU252" s="72">
        <f t="shared" ref="DU252" si="7824">COUNTIF($M$252,DT252)*$D$41</f>
        <v>0</v>
      </c>
      <c r="DV252" s="63"/>
      <c r="DW252" s="73"/>
      <c r="DX252" s="72">
        <f t="shared" ref="DX252" si="7825">COUNTIF($M$252,DW252)*$D$41</f>
        <v>0</v>
      </c>
      <c r="DY252" s="63"/>
      <c r="DZ252" s="73"/>
      <c r="EA252" s="72">
        <f>COUNTIF($M$252,DZ252)*$D$41</f>
        <v>0</v>
      </c>
      <c r="EB252" s="63"/>
      <c r="EC252" s="73"/>
      <c r="ED252" s="72">
        <f t="shared" ref="ED252" si="7826">COUNTIF($M$252,EC252)*$D$41</f>
        <v>0</v>
      </c>
      <c r="EE252" s="63"/>
      <c r="EF252" s="73"/>
      <c r="EG252" s="72">
        <f t="shared" ref="EG252" si="7827">COUNTIF($M$252,EF252)*$D$41</f>
        <v>0</v>
      </c>
      <c r="EH252" s="63"/>
      <c r="EI252" s="73"/>
      <c r="EJ252" s="72">
        <f t="shared" ref="EJ252" si="7828">COUNTIF($M$252,EI252)*$D$41</f>
        <v>0</v>
      </c>
      <c r="EK252" s="63"/>
      <c r="EL252" s="73"/>
      <c r="EM252" s="72">
        <f t="shared" ref="EM252" si="7829">COUNTIF($M$252,EL252)*$D$41</f>
        <v>0</v>
      </c>
      <c r="EN252" s="63"/>
      <c r="EO252" s="73"/>
      <c r="EP252" s="72">
        <f t="shared" ref="EP252" si="7830">COUNTIF($M$252,EO252)*$D$41</f>
        <v>0</v>
      </c>
      <c r="EQ252" s="63"/>
      <c r="ER252" s="73"/>
      <c r="ES252" s="72">
        <f t="shared" ref="ES252" si="7831">COUNTIF($M$252,ER252)*$D$41</f>
        <v>0</v>
      </c>
      <c r="ET252" s="63"/>
      <c r="EU252" s="73"/>
      <c r="EV252" s="72">
        <f t="shared" ref="EV252" si="7832">COUNTIF($M$252,EU252)*$D$41</f>
        <v>0</v>
      </c>
      <c r="EW252" s="63"/>
      <c r="EX252" s="73"/>
      <c r="EY252" s="72">
        <f t="shared" ref="EY252" si="7833">COUNTIF($M$252,EX252)*$D$41</f>
        <v>0</v>
      </c>
      <c r="EZ252" s="63"/>
      <c r="FA252" s="73"/>
      <c r="FB252" s="72">
        <f t="shared" ref="FB252" si="7834">COUNTIF($M$252,FA252)*$D$41</f>
        <v>0</v>
      </c>
      <c r="FC252" s="63"/>
      <c r="FD252" s="73"/>
      <c r="FE252" s="72">
        <f t="shared" ref="FE252" si="7835">COUNTIF($M$252,FD252)*$D$41</f>
        <v>0</v>
      </c>
      <c r="FF252" s="63"/>
      <c r="FG252" s="73"/>
      <c r="FH252" s="72">
        <f t="shared" ref="FH252" si="7836">COUNTIF($M$252,FG252)*$D$41</f>
        <v>0</v>
      </c>
      <c r="FI252" s="63"/>
      <c r="FJ252" s="73"/>
      <c r="FK252" s="72">
        <f t="shared" ref="FK252" si="7837">COUNTIF($M$252,FJ252)*$D$41</f>
        <v>0</v>
      </c>
      <c r="FL252" s="63"/>
      <c r="FM252" s="73"/>
      <c r="FN252" s="72">
        <f t="shared" ref="FN252" si="7838">COUNTIF($M$252,FM252)*$D$41</f>
        <v>0</v>
      </c>
      <c r="FO252" s="63"/>
      <c r="FP252" s="73"/>
      <c r="FQ252" s="72">
        <f t="shared" ref="FQ252" si="7839">COUNTIF($M$252,FP252)*$D$41</f>
        <v>0</v>
      </c>
      <c r="FR252" s="63"/>
      <c r="FS252" s="73"/>
      <c r="FT252" s="72">
        <f t="shared" ref="FT252" si="7840">COUNTIF($M$252,FS252)*$D$41</f>
        <v>0</v>
      </c>
      <c r="FU252" s="63"/>
      <c r="FV252" s="73"/>
      <c r="FW252" s="72">
        <f t="shared" ref="FW252" si="7841">COUNTIF($M$252,FV252)*$D$41</f>
        <v>0</v>
      </c>
      <c r="FX252" s="63"/>
      <c r="FY252" s="73"/>
      <c r="FZ252" s="72">
        <f t="shared" ref="FZ252" si="7842">COUNTIF($M$252,FY252)*$D$41</f>
        <v>0</v>
      </c>
      <c r="GA252" s="63"/>
      <c r="GB252" s="73"/>
      <c r="GC252" s="72">
        <f t="shared" ref="GC252" si="7843">COUNTIF($M$252,GB252)*$D$41</f>
        <v>0</v>
      </c>
      <c r="GD252" s="63"/>
      <c r="GE252" s="73"/>
      <c r="GF252" s="72">
        <f t="shared" ref="GF252" si="7844">COUNTIF($M$252,GE252)*$D$41</f>
        <v>0</v>
      </c>
      <c r="GG252" s="63"/>
      <c r="GH252" s="73"/>
      <c r="GI252" s="72">
        <f t="shared" ref="GI252" si="7845">COUNTIF($M$252,GH252)*$D$41</f>
        <v>0</v>
      </c>
      <c r="GJ252" s="63"/>
      <c r="GK252" s="73"/>
      <c r="GL252" s="72">
        <f t="shared" ref="GL252" si="7846">COUNTIF($M$252,GK252)*$D$41</f>
        <v>0</v>
      </c>
      <c r="GM252" s="63"/>
      <c r="GN252" s="73"/>
      <c r="GO252" s="72">
        <f t="shared" ref="GO252" si="7847">COUNTIF($M$252,GN252)*$D$41</f>
        <v>0</v>
      </c>
      <c r="GP252" s="63"/>
      <c r="GQ252" s="73"/>
      <c r="GR252" s="72">
        <f t="shared" ref="GR252" si="7848">COUNTIF($M$252,GQ252)*$D$41</f>
        <v>0</v>
      </c>
      <c r="GS252" s="63"/>
      <c r="GT252" s="73"/>
      <c r="GU252" s="72">
        <f t="shared" ref="GU252" si="7849">COUNTIF($M$252,GT252)*$D$41</f>
        <v>0</v>
      </c>
      <c r="GV252" s="63"/>
      <c r="GW252" s="73"/>
      <c r="GX252" s="72">
        <f t="shared" ref="GX252" si="7850">COUNTIF($M$252,GW252)*$D$41</f>
        <v>0</v>
      </c>
      <c r="GY252" s="63"/>
      <c r="GZ252" s="73"/>
      <c r="HA252" s="72">
        <f t="shared" ref="HA252" si="7851">COUNTIF($M$252,GZ252)*$D$41</f>
        <v>0</v>
      </c>
      <c r="HB252" s="63"/>
      <c r="HC252" s="73"/>
      <c r="HD252" s="72">
        <f t="shared" ref="HD252" si="7852">COUNTIF($M$252,HC252)*$D$41</f>
        <v>0</v>
      </c>
      <c r="HE252" s="63"/>
      <c r="HF252" s="73"/>
      <c r="HG252" s="72">
        <f t="shared" ref="HG252" si="7853">COUNTIF($M$252,HF252)*$D$41</f>
        <v>0</v>
      </c>
      <c r="HH252" s="63"/>
      <c r="HI252" s="73"/>
      <c r="HJ252" s="72">
        <f t="shared" ref="HJ252" si="7854">COUNTIF($M$252,HI252)*$D$41</f>
        <v>0</v>
      </c>
      <c r="HK252" s="63"/>
      <c r="HL252" s="73"/>
      <c r="HM252" s="72">
        <f t="shared" ref="HM252" si="7855">COUNTIF($M$252,HL252)*$D$41</f>
        <v>0</v>
      </c>
      <c r="HN252" s="63"/>
      <c r="HO252" s="73"/>
      <c r="HP252" s="72">
        <f t="shared" ref="HP252" si="7856">COUNTIF($M$252,HO252)*$D$41</f>
        <v>0</v>
      </c>
      <c r="HQ252" s="63"/>
      <c r="HR252" s="73"/>
      <c r="HS252" s="72">
        <f t="shared" ref="HS252" si="7857">COUNTIF($M$252,HR252)*$D$41</f>
        <v>0</v>
      </c>
      <c r="HT252" s="63"/>
      <c r="HU252" s="73"/>
      <c r="HV252" s="72">
        <f t="shared" ref="HV252" si="7858">COUNTIF($M$252,HU252)*$D$41</f>
        <v>0</v>
      </c>
      <c r="HW252" s="63"/>
      <c r="HX252" s="73"/>
      <c r="HY252" s="72">
        <f t="shared" ref="HY252" si="7859">COUNTIF($M$252,HX252)*$D$41</f>
        <v>0</v>
      </c>
      <c r="HZ252" s="63"/>
      <c r="IA252" s="73"/>
      <c r="IB252" s="72">
        <f t="shared" ref="IB252" si="7860">COUNTIF($M$252,IA252)*$D$41</f>
        <v>0</v>
      </c>
      <c r="IC252" s="63"/>
      <c r="ID252" s="73"/>
      <c r="IE252" s="72">
        <f t="shared" ref="IE252" si="7861">COUNTIF($M$252,ID252)*$D$41</f>
        <v>0</v>
      </c>
      <c r="IF252" s="63"/>
      <c r="IG252" s="73"/>
      <c r="IH252" s="72">
        <f t="shared" ref="IH252" si="7862">COUNTIF($M$252,IG252)*$D$41</f>
        <v>0</v>
      </c>
      <c r="II252" s="63"/>
      <c r="IJ252" s="73"/>
      <c r="IK252" s="72">
        <f t="shared" ref="IK252" si="7863">COUNTIF($M$252,IJ252)*$D$41</f>
        <v>0</v>
      </c>
      <c r="IL252" s="63"/>
      <c r="IM252" s="73"/>
      <c r="IN252" s="72">
        <f t="shared" ref="IN252" si="7864">COUNTIF($M$252,IM252)*$D$41</f>
        <v>0</v>
      </c>
      <c r="IO252" s="63"/>
      <c r="IP252" s="73"/>
      <c r="IQ252" s="72">
        <f t="shared" ref="IQ252" si="7865">COUNTIF($M$252,IP252)*$D$41</f>
        <v>0</v>
      </c>
      <c r="IR252" s="63"/>
      <c r="IS252" s="73"/>
      <c r="IT252" s="72">
        <f t="shared" ref="IT252" si="7866">COUNTIF($M$252,IS252)*$D$41</f>
        <v>0</v>
      </c>
      <c r="IU252" s="63"/>
      <c r="IV252" s="73"/>
      <c r="IW252" s="72">
        <f t="shared" ref="IW252" si="7867">COUNTIF($M$252,IV252)*$D$41</f>
        <v>0</v>
      </c>
      <c r="IX252" s="63"/>
      <c r="IY252" s="73"/>
      <c r="IZ252" s="72">
        <f t="shared" ref="IZ252" si="7868">COUNTIF($M$252,IY252)*$D$41</f>
        <v>0</v>
      </c>
      <c r="JA252" s="63"/>
      <c r="JB252" s="73"/>
      <c r="JC252" s="72">
        <f t="shared" ref="JC252" si="7869">COUNTIF($M$252,JB252)*$D$41</f>
        <v>0</v>
      </c>
      <c r="JD252" s="63"/>
      <c r="JE252" s="73"/>
      <c r="JF252" s="72">
        <f t="shared" ref="JF252" si="7870">COUNTIF($M$252,JE252)*$D$41</f>
        <v>0</v>
      </c>
      <c r="JG252" s="63"/>
      <c r="JH252" s="73"/>
      <c r="JI252" s="72">
        <f t="shared" ref="JI252" si="7871">COUNTIF($M$252,JH252)*$D$41</f>
        <v>0</v>
      </c>
      <c r="JJ252" s="63"/>
      <c r="JK252" s="73"/>
      <c r="JL252" s="72">
        <f t="shared" ref="JL252" si="7872">COUNTIF($M$252,JK252)*$D$41</f>
        <v>0</v>
      </c>
      <c r="JM252" s="63"/>
      <c r="JN252" s="73"/>
      <c r="JO252" s="72">
        <f t="shared" ref="JO252" si="7873">COUNTIF($M$252,JN252)*$D$41</f>
        <v>0</v>
      </c>
      <c r="JP252" s="63"/>
      <c r="JQ252" s="73"/>
      <c r="JR252" s="72">
        <f t="shared" ref="JR252" si="7874">COUNTIF($M$252,JQ252)*$D$41</f>
        <v>0</v>
      </c>
      <c r="JS252" s="63"/>
      <c r="JT252" s="73"/>
      <c r="JU252" s="72">
        <f t="shared" ref="JU252" si="7875">COUNTIF($M$252,JT252)*$D$41</f>
        <v>0</v>
      </c>
      <c r="JV252" s="63"/>
      <c r="JW252" s="73"/>
      <c r="JX252" s="72">
        <f t="shared" ref="JX252" si="7876">COUNTIF($M$252,JW252)*$D$41</f>
        <v>0</v>
      </c>
      <c r="JY252" s="63"/>
      <c r="JZ252" s="73"/>
      <c r="KA252" s="72">
        <f t="shared" ref="KA252" si="7877">COUNTIF($M$252,JZ252)*$D$41</f>
        <v>0</v>
      </c>
      <c r="KB252" s="63"/>
      <c r="KC252" s="73"/>
      <c r="KD252" s="72">
        <f t="shared" ref="KD252" si="7878">COUNTIF($M$252,KC252)*$D$41</f>
        <v>0</v>
      </c>
      <c r="KE252" s="63"/>
      <c r="KF252" s="73"/>
      <c r="KG252" s="72">
        <f t="shared" ref="KG252" si="7879">COUNTIF($M$252,KF252)*$D$41</f>
        <v>0</v>
      </c>
      <c r="KH252" s="63"/>
      <c r="KI252" s="73"/>
      <c r="KJ252" s="72">
        <f t="shared" ref="KJ252" si="7880">COUNTIF($M$252,KI252)*$D$41</f>
        <v>0</v>
      </c>
      <c r="KK252" s="63"/>
      <c r="KL252" s="73"/>
      <c r="KM252" s="72">
        <f t="shared" ref="KM252" si="7881">COUNTIF($M$252,KL252)*$D$41</f>
        <v>0</v>
      </c>
      <c r="KN252" s="63"/>
      <c r="KO252" s="73"/>
      <c r="KP252" s="72">
        <f t="shared" ref="KP252" si="7882">COUNTIF($M$252,KO252)*$D$41</f>
        <v>0</v>
      </c>
      <c r="KQ252" s="63"/>
      <c r="KR252" s="73"/>
      <c r="KS252" s="72">
        <f t="shared" ref="KS252" si="7883">COUNTIF($M$252,KR252)*$D$41</f>
        <v>0</v>
      </c>
      <c r="KT252" s="63"/>
      <c r="KU252" s="73"/>
      <c r="KV252" s="72">
        <f t="shared" ref="KV252" si="7884">COUNTIF($M$252,KU252)*$D$41</f>
        <v>0</v>
      </c>
      <c r="KW252" s="63"/>
      <c r="KX252" s="73"/>
      <c r="KY252" s="72">
        <f t="shared" ref="KY252" si="7885">COUNTIF($M$252,KX252)*$D$41</f>
        <v>0</v>
      </c>
      <c r="KZ252" s="63"/>
      <c r="LA252" s="73"/>
      <c r="LB252" s="72">
        <f t="shared" ref="LB252" si="7886">COUNTIF($M$252,LA252)*$D$41</f>
        <v>0</v>
      </c>
      <c r="LC252" s="63"/>
      <c r="LD252" s="73"/>
      <c r="LE252" s="72">
        <f t="shared" ref="LE252" si="7887">COUNTIF($M$252,LD252)*$D$41</f>
        <v>0</v>
      </c>
      <c r="LF252" s="63"/>
    </row>
    <row r="253" spans="1:318" s="784" customFormat="1" ht="16.05" customHeight="1">
      <c r="A253" s="17"/>
      <c r="B253" s="17"/>
      <c r="C253" s="17"/>
      <c r="D253" s="17"/>
      <c r="E253" s="88"/>
      <c r="F253" s="406">
        <f t="shared" si="7599"/>
        <v>25</v>
      </c>
      <c r="G253" s="406">
        <f ca="1">VLOOKUP(H253,Equipos!$Q$1:$R$25,2,0)</f>
        <v>24</v>
      </c>
      <c r="H253" s="64" t="str">
        <f>Idiomas!$D$264</f>
        <v>3-4 &amp; Final</v>
      </c>
      <c r="I253" s="50"/>
      <c r="J253" s="100"/>
      <c r="K253" s="56" t="str">
        <f>WORLDCUP!W154</f>
        <v>Bota de Oro  (máximo goleador)</v>
      </c>
      <c r="L253" s="53"/>
      <c r="M253" s="55" t="str">
        <f>WORLDCUP!AA154</f>
        <v>Escribe el jugador Bota de Oro</v>
      </c>
      <c r="N253" s="25"/>
      <c r="O253" s="25"/>
      <c r="P253" s="25"/>
      <c r="Q253" s="25"/>
      <c r="R253" s="17"/>
      <c r="S253" s="796" t="s">
        <v>1996</v>
      </c>
      <c r="T253" s="72">
        <f t="shared" ref="T253" si="7888">COUNTIF($M$253,S253)*$D$42</f>
        <v>0</v>
      </c>
      <c r="U253" s="63"/>
      <c r="V253" s="73" t="s">
        <v>2041</v>
      </c>
      <c r="W253" s="72">
        <f t="shared" ref="W253" si="7889">COUNTIF($M$253,V253)*$D$42</f>
        <v>0</v>
      </c>
      <c r="X253" s="63"/>
      <c r="Y253" s="796" t="s">
        <v>2084</v>
      </c>
      <c r="Z253" s="72">
        <f t="shared" ref="Z253" si="7890">COUNTIF($M$253,Y253)*$D$42</f>
        <v>0</v>
      </c>
      <c r="AA253" s="63"/>
      <c r="AB253" s="796" t="s">
        <v>2043</v>
      </c>
      <c r="AC253" s="72">
        <f t="shared" ref="AC253" si="7891">COUNTIF($M$253,AB253)*$D$42</f>
        <v>0</v>
      </c>
      <c r="AD253" s="63"/>
      <c r="AE253" s="796" t="s">
        <v>2152</v>
      </c>
      <c r="AF253" s="72">
        <f t="shared" ref="AF253" si="7892">COUNTIF($M$253,AE253)*$D$42</f>
        <v>0</v>
      </c>
      <c r="AG253" s="63"/>
      <c r="AH253" s="796" t="s">
        <v>2188</v>
      </c>
      <c r="AI253" s="72">
        <f t="shared" ref="AI253" si="7893">COUNTIF($M$253,AH253)*$D$42</f>
        <v>0</v>
      </c>
      <c r="AJ253" s="63"/>
      <c r="AK253" s="806" t="s">
        <v>2153</v>
      </c>
      <c r="AL253" s="72">
        <f t="shared" ref="AL253" si="7894">COUNTIF($M$253,AK253)*$D$42</f>
        <v>0</v>
      </c>
      <c r="AM253" s="63"/>
      <c r="AN253" s="796" t="s">
        <v>1997</v>
      </c>
      <c r="AO253" s="72">
        <f t="shared" ref="AO253" si="7895">COUNTIF($M$253,AN253)*$D$42</f>
        <v>0</v>
      </c>
      <c r="AP253" s="63"/>
      <c r="AQ253" s="806" t="s">
        <v>2277</v>
      </c>
      <c r="AR253" s="72">
        <f t="shared" ref="AR253" si="7896">COUNTIF($M$253,AQ253)*$D$42</f>
        <v>0</v>
      </c>
      <c r="AS253" s="63"/>
      <c r="AT253" s="796" t="s">
        <v>2311</v>
      </c>
      <c r="AU253" s="72">
        <f t="shared" ref="AU253" si="7897">COUNTIF($M$253,AT253)*$D$42</f>
        <v>0</v>
      </c>
      <c r="AV253" s="63"/>
      <c r="AW253" s="796" t="s">
        <v>2043</v>
      </c>
      <c r="AX253" s="72">
        <f t="shared" ref="AX253" si="7898">COUNTIF($M$253,AW253)*$D$42</f>
        <v>0</v>
      </c>
      <c r="AY253" s="63"/>
      <c r="AZ253" s="796" t="s">
        <v>2383</v>
      </c>
      <c r="BA253" s="72">
        <f t="shared" ref="BA253" si="7899">COUNTIF($M$253,AZ253)*$D$42</f>
        <v>0</v>
      </c>
      <c r="BB253" s="63"/>
      <c r="BC253" s="796" t="s">
        <v>2313</v>
      </c>
      <c r="BD253" s="72">
        <f t="shared" ref="BD253" si="7900">COUNTIF($M$253,BC253)*$D$42</f>
        <v>0</v>
      </c>
      <c r="BE253" s="63"/>
      <c r="BF253" s="796" t="s">
        <v>2441</v>
      </c>
      <c r="BG253" s="72">
        <f t="shared" ref="BG253" si="7901">COUNTIF($M$253,BF253)*$D$42</f>
        <v>0</v>
      </c>
      <c r="BH253" s="63"/>
      <c r="BI253" s="796" t="s">
        <v>2188</v>
      </c>
      <c r="BJ253" s="72">
        <f t="shared" ref="BJ253" si="7902">COUNTIF($M$253,BI253)*$D$42</f>
        <v>0</v>
      </c>
      <c r="BK253" s="63"/>
      <c r="BL253" s="796" t="s">
        <v>2492</v>
      </c>
      <c r="BM253" s="72">
        <f t="shared" ref="BM253" si="7903">COUNTIF($M$253,BL253)*$D$42</f>
        <v>0</v>
      </c>
      <c r="BN253" s="63"/>
      <c r="BO253" s="816" t="s">
        <v>2513</v>
      </c>
      <c r="BP253" s="72">
        <f t="shared" ref="BP253" si="7904">COUNTIF($M$253,BO253)*$D$42</f>
        <v>0</v>
      </c>
      <c r="BQ253" s="63"/>
      <c r="BR253" s="796" t="s">
        <v>2000</v>
      </c>
      <c r="BS253" s="72">
        <f t="shared" ref="BS253" si="7905">COUNTIF($M$253,BR253)*$D$42</f>
        <v>0</v>
      </c>
      <c r="BT253" s="63"/>
      <c r="BU253" s="796" t="s">
        <v>2514</v>
      </c>
      <c r="BV253" s="72">
        <f t="shared" ref="BV253" si="7906">COUNTIF($M$253,BU253)*$D$42</f>
        <v>0</v>
      </c>
      <c r="BW253" s="63"/>
      <c r="BX253" s="73" t="s">
        <v>1996</v>
      </c>
      <c r="BY253" s="72">
        <f t="shared" ref="BY253" si="7907">COUNTIF($M$253,BX253)*$D$42</f>
        <v>0</v>
      </c>
      <c r="BZ253" s="63"/>
      <c r="CA253" s="816" t="s">
        <v>2513</v>
      </c>
      <c r="CB253" s="72">
        <f t="shared" ref="CB253" si="7908">COUNTIF($M$253,CA253)*$D$42</f>
        <v>0</v>
      </c>
      <c r="CC253" s="63"/>
      <c r="CD253" s="825" t="s">
        <v>2154</v>
      </c>
      <c r="CE253" s="72">
        <f t="shared" ref="CE253" si="7909">COUNTIF($M$253,CD253)*$D$42</f>
        <v>0</v>
      </c>
      <c r="CF253" s="63"/>
      <c r="CG253" s="796" t="s">
        <v>1998</v>
      </c>
      <c r="CH253" s="72">
        <f t="shared" ref="CH253" si="7910">COUNTIF($M$253,CG253)*$D$42</f>
        <v>0</v>
      </c>
      <c r="CI253" s="63"/>
      <c r="CJ253" s="796" t="s">
        <v>2637</v>
      </c>
      <c r="CK253" s="72">
        <f t="shared" ref="CK253" si="7911">COUNTIF($M$253,CJ253)*$D$42</f>
        <v>0</v>
      </c>
      <c r="CL253" s="63"/>
      <c r="CM253" s="796" t="s">
        <v>2666</v>
      </c>
      <c r="CN253" s="72">
        <f t="shared" ref="CN253" si="7912">COUNTIF($M$253,CM253)*$D$42</f>
        <v>0</v>
      </c>
      <c r="CO253" s="63"/>
      <c r="CP253" s="796" t="s">
        <v>2689</v>
      </c>
      <c r="CQ253" s="72">
        <f t="shared" ref="CQ253" si="7913">COUNTIF($M$253,CP253)*$D$42</f>
        <v>0</v>
      </c>
      <c r="CR253" s="63"/>
      <c r="CS253" s="796" t="s">
        <v>2707</v>
      </c>
      <c r="CT253" s="72">
        <f t="shared" ref="CT253" si="7914">COUNTIF($M$253,CS253)*$D$42</f>
        <v>0</v>
      </c>
      <c r="CU253" s="63"/>
      <c r="CV253" s="796" t="s">
        <v>2513</v>
      </c>
      <c r="CW253" s="72">
        <f t="shared" ref="CW253" si="7915">COUNTIF($M$253,CV253)*$D$42</f>
        <v>0</v>
      </c>
      <c r="CX253" s="63"/>
      <c r="CY253" s="796" t="s">
        <v>2708</v>
      </c>
      <c r="CZ253" s="72">
        <f t="shared" ref="CZ253" si="7916">COUNTIF($M$253,CY253)*$D$42</f>
        <v>0</v>
      </c>
      <c r="DA253" s="63"/>
      <c r="DB253" s="796" t="s">
        <v>2188</v>
      </c>
      <c r="DC253" s="72">
        <f t="shared" ref="DC253" si="7917">COUNTIF($M$253,DB253)*$D$42</f>
        <v>0</v>
      </c>
      <c r="DD253" s="63"/>
      <c r="DE253" s="796" t="s">
        <v>2808</v>
      </c>
      <c r="DF253" s="72">
        <f>COUNTIF($M$253,DE253)*$D$42</f>
        <v>0</v>
      </c>
      <c r="DG253" s="63"/>
      <c r="DH253" s="796" t="s">
        <v>2279</v>
      </c>
      <c r="DI253" s="72">
        <f>COUNTIF($M$253,DH253)*$D$42</f>
        <v>0</v>
      </c>
      <c r="DJ253" s="63"/>
      <c r="DK253" s="796" t="s">
        <v>2823</v>
      </c>
      <c r="DL253" s="72">
        <f>COUNTIF($M$253,DK253)*$D$42</f>
        <v>0</v>
      </c>
      <c r="DM253" s="63"/>
      <c r="DN253" s="73" t="str">
        <f>Idiomas!$D$373</f>
        <v>Pegar Valores Cuadro de Honor</v>
      </c>
      <c r="DO253" s="72">
        <f t="shared" ref="DO253" si="7918">COUNTIF($M$253,DN253)*$D$42</f>
        <v>0</v>
      </c>
      <c r="DP253" s="63"/>
      <c r="DQ253" s="796" t="s">
        <v>1997</v>
      </c>
      <c r="DR253" s="72">
        <f t="shared" ref="DR253" si="7919">COUNTIF($M$253,DQ253)*$D$42</f>
        <v>0</v>
      </c>
      <c r="DS253" s="63"/>
      <c r="DT253" s="73" t="s">
        <v>2823</v>
      </c>
      <c r="DU253" s="72">
        <f t="shared" ref="DU253" si="7920">COUNTIF($M$253,DT253)*$D$42</f>
        <v>0</v>
      </c>
      <c r="DV253" s="63"/>
      <c r="DW253" s="73" t="str">
        <f>Idiomas!$D$373</f>
        <v>Pegar Valores Cuadro de Honor</v>
      </c>
      <c r="DX253" s="72">
        <f t="shared" ref="DX253" si="7921">COUNTIF($M$253,DW253)*$D$42</f>
        <v>0</v>
      </c>
      <c r="DY253" s="63"/>
      <c r="DZ253" s="73" t="str">
        <f>Idiomas!$D$373</f>
        <v>Pegar Valores Cuadro de Honor</v>
      </c>
      <c r="EA253" s="72">
        <f>COUNTIF($M$253,DZ253)*$D$42</f>
        <v>0</v>
      </c>
      <c r="EB253" s="63"/>
      <c r="EC253" s="73" t="str">
        <f>Idiomas!$D$373</f>
        <v>Pegar Valores Cuadro de Honor</v>
      </c>
      <c r="ED253" s="72">
        <f t="shared" ref="ED253" si="7922">COUNTIF($M$253,EC253)*$D$42</f>
        <v>0</v>
      </c>
      <c r="EE253" s="63"/>
      <c r="EF253" s="73" t="str">
        <f>Idiomas!$D$373</f>
        <v>Pegar Valores Cuadro de Honor</v>
      </c>
      <c r="EG253" s="72">
        <f t="shared" ref="EG253" si="7923">COUNTIF($M$253,EF253)*$D$42</f>
        <v>0</v>
      </c>
      <c r="EH253" s="63"/>
      <c r="EI253" s="73" t="str">
        <f>Idiomas!$D$373</f>
        <v>Pegar Valores Cuadro de Honor</v>
      </c>
      <c r="EJ253" s="72">
        <f t="shared" ref="EJ253" si="7924">COUNTIF($M$253,EI253)*$D$42</f>
        <v>0</v>
      </c>
      <c r="EK253" s="63"/>
      <c r="EL253" s="73" t="str">
        <f>Idiomas!$D$373</f>
        <v>Pegar Valores Cuadro de Honor</v>
      </c>
      <c r="EM253" s="72">
        <f t="shared" ref="EM253" si="7925">COUNTIF($M$253,EL253)*$D$42</f>
        <v>0</v>
      </c>
      <c r="EN253" s="63"/>
      <c r="EO253" s="73" t="str">
        <f>Idiomas!$D$373</f>
        <v>Pegar Valores Cuadro de Honor</v>
      </c>
      <c r="EP253" s="72">
        <f t="shared" ref="EP253" si="7926">COUNTIF($M$253,EO253)*$D$42</f>
        <v>0</v>
      </c>
      <c r="EQ253" s="63"/>
      <c r="ER253" s="73" t="str">
        <f>Idiomas!$D$373</f>
        <v>Pegar Valores Cuadro de Honor</v>
      </c>
      <c r="ES253" s="72">
        <f t="shared" ref="ES253" si="7927">COUNTIF($M$253,ER253)*$D$42</f>
        <v>0</v>
      </c>
      <c r="ET253" s="63"/>
      <c r="EU253" s="73" t="str">
        <f>Idiomas!$D$373</f>
        <v>Pegar Valores Cuadro de Honor</v>
      </c>
      <c r="EV253" s="72">
        <f t="shared" ref="EV253" si="7928">COUNTIF($M$253,EU253)*$D$42</f>
        <v>0</v>
      </c>
      <c r="EW253" s="63"/>
      <c r="EX253" s="73" t="str">
        <f>Idiomas!$D$373</f>
        <v>Pegar Valores Cuadro de Honor</v>
      </c>
      <c r="EY253" s="72">
        <f t="shared" ref="EY253" si="7929">COUNTIF($M$253,EX253)*$D$42</f>
        <v>0</v>
      </c>
      <c r="EZ253" s="63"/>
      <c r="FA253" s="73" t="str">
        <f>Idiomas!$D$373</f>
        <v>Pegar Valores Cuadro de Honor</v>
      </c>
      <c r="FB253" s="72">
        <f t="shared" ref="FB253" si="7930">COUNTIF($M$253,FA253)*$D$42</f>
        <v>0</v>
      </c>
      <c r="FC253" s="63"/>
      <c r="FD253" s="73" t="str">
        <f>Idiomas!$D$373</f>
        <v>Pegar Valores Cuadro de Honor</v>
      </c>
      <c r="FE253" s="72">
        <f t="shared" ref="FE253" si="7931">COUNTIF($M$253,FD253)*$D$42</f>
        <v>0</v>
      </c>
      <c r="FF253" s="63"/>
      <c r="FG253" s="73" t="str">
        <f>Idiomas!$D$373</f>
        <v>Pegar Valores Cuadro de Honor</v>
      </c>
      <c r="FH253" s="72">
        <f t="shared" ref="FH253" si="7932">COUNTIF($M$253,FG253)*$D$42</f>
        <v>0</v>
      </c>
      <c r="FI253" s="63"/>
      <c r="FJ253" s="73" t="str">
        <f>Idiomas!$D$373</f>
        <v>Pegar Valores Cuadro de Honor</v>
      </c>
      <c r="FK253" s="72">
        <f t="shared" ref="FK253" si="7933">COUNTIF($M$253,FJ253)*$D$42</f>
        <v>0</v>
      </c>
      <c r="FL253" s="63"/>
      <c r="FM253" s="73" t="str">
        <f>Idiomas!$D$373</f>
        <v>Pegar Valores Cuadro de Honor</v>
      </c>
      <c r="FN253" s="72">
        <f t="shared" ref="FN253" si="7934">COUNTIF($M$253,FM253)*$D$42</f>
        <v>0</v>
      </c>
      <c r="FO253" s="63"/>
      <c r="FP253" s="73" t="str">
        <f>Idiomas!$D$373</f>
        <v>Pegar Valores Cuadro de Honor</v>
      </c>
      <c r="FQ253" s="72">
        <f t="shared" ref="FQ253" si="7935">COUNTIF($M$253,FP253)*$D$42</f>
        <v>0</v>
      </c>
      <c r="FR253" s="63"/>
      <c r="FS253" s="73" t="str">
        <f>Idiomas!$D$373</f>
        <v>Pegar Valores Cuadro de Honor</v>
      </c>
      <c r="FT253" s="72">
        <f t="shared" ref="FT253" si="7936">COUNTIF($M$253,FS253)*$D$42</f>
        <v>0</v>
      </c>
      <c r="FU253" s="63"/>
      <c r="FV253" s="73" t="str">
        <f>Idiomas!$D$373</f>
        <v>Pegar Valores Cuadro de Honor</v>
      </c>
      <c r="FW253" s="72">
        <f t="shared" ref="FW253" si="7937">COUNTIF($M$253,FV253)*$D$42</f>
        <v>0</v>
      </c>
      <c r="FX253" s="63"/>
      <c r="FY253" s="73" t="str">
        <f>Idiomas!$D$373</f>
        <v>Pegar Valores Cuadro de Honor</v>
      </c>
      <c r="FZ253" s="72">
        <f t="shared" ref="FZ253" si="7938">COUNTIF($M$253,FY253)*$D$42</f>
        <v>0</v>
      </c>
      <c r="GA253" s="63"/>
      <c r="GB253" s="73" t="str">
        <f>Idiomas!$D$373</f>
        <v>Pegar Valores Cuadro de Honor</v>
      </c>
      <c r="GC253" s="72">
        <f t="shared" ref="GC253" si="7939">COUNTIF($M$253,GB253)*$D$42</f>
        <v>0</v>
      </c>
      <c r="GD253" s="63"/>
      <c r="GE253" s="73" t="str">
        <f>Idiomas!$D$373</f>
        <v>Pegar Valores Cuadro de Honor</v>
      </c>
      <c r="GF253" s="72">
        <f t="shared" ref="GF253" si="7940">COUNTIF($M$253,GE253)*$D$42</f>
        <v>0</v>
      </c>
      <c r="GG253" s="63"/>
      <c r="GH253" s="73" t="str">
        <f>Idiomas!$D$373</f>
        <v>Pegar Valores Cuadro de Honor</v>
      </c>
      <c r="GI253" s="72">
        <f t="shared" ref="GI253" si="7941">COUNTIF($M$253,GH253)*$D$42</f>
        <v>0</v>
      </c>
      <c r="GJ253" s="63"/>
      <c r="GK253" s="73" t="str">
        <f>Idiomas!$D$373</f>
        <v>Pegar Valores Cuadro de Honor</v>
      </c>
      <c r="GL253" s="72">
        <f t="shared" ref="GL253" si="7942">COUNTIF($M$253,GK253)*$D$42</f>
        <v>0</v>
      </c>
      <c r="GM253" s="63"/>
      <c r="GN253" s="73" t="str">
        <f>Idiomas!$D$373</f>
        <v>Pegar Valores Cuadro de Honor</v>
      </c>
      <c r="GO253" s="72">
        <f t="shared" ref="GO253" si="7943">COUNTIF($M$253,GN253)*$D$42</f>
        <v>0</v>
      </c>
      <c r="GP253" s="63"/>
      <c r="GQ253" s="73" t="str">
        <f>Idiomas!$D$373</f>
        <v>Pegar Valores Cuadro de Honor</v>
      </c>
      <c r="GR253" s="72">
        <f t="shared" ref="GR253" si="7944">COUNTIF($M$253,GQ253)*$D$42</f>
        <v>0</v>
      </c>
      <c r="GS253" s="63"/>
      <c r="GT253" s="73" t="str">
        <f>Idiomas!$D$373</f>
        <v>Pegar Valores Cuadro de Honor</v>
      </c>
      <c r="GU253" s="72">
        <f t="shared" ref="GU253" si="7945">COUNTIF($M$253,GT253)*$D$42</f>
        <v>0</v>
      </c>
      <c r="GV253" s="63"/>
      <c r="GW253" s="73" t="str">
        <f>Idiomas!$D$373</f>
        <v>Pegar Valores Cuadro de Honor</v>
      </c>
      <c r="GX253" s="72">
        <f t="shared" ref="GX253" si="7946">COUNTIF($M$253,GW253)*$D$42</f>
        <v>0</v>
      </c>
      <c r="GY253" s="63"/>
      <c r="GZ253" s="73" t="str">
        <f>Idiomas!$D$373</f>
        <v>Pegar Valores Cuadro de Honor</v>
      </c>
      <c r="HA253" s="72">
        <f t="shared" ref="HA253" si="7947">COUNTIF($M$253,GZ253)*$D$42</f>
        <v>0</v>
      </c>
      <c r="HB253" s="63"/>
      <c r="HC253" s="73" t="str">
        <f>Idiomas!$D$373</f>
        <v>Pegar Valores Cuadro de Honor</v>
      </c>
      <c r="HD253" s="72">
        <f t="shared" ref="HD253" si="7948">COUNTIF($M$253,HC253)*$D$42</f>
        <v>0</v>
      </c>
      <c r="HE253" s="63"/>
      <c r="HF253" s="73" t="str">
        <f>Idiomas!$D$373</f>
        <v>Pegar Valores Cuadro de Honor</v>
      </c>
      <c r="HG253" s="72">
        <f t="shared" ref="HG253" si="7949">COUNTIF($M$253,HF253)*$D$42</f>
        <v>0</v>
      </c>
      <c r="HH253" s="63"/>
      <c r="HI253" s="73" t="str">
        <f>Idiomas!$D$373</f>
        <v>Pegar Valores Cuadro de Honor</v>
      </c>
      <c r="HJ253" s="72">
        <f t="shared" ref="HJ253" si="7950">COUNTIF($M$253,HI253)*$D$42</f>
        <v>0</v>
      </c>
      <c r="HK253" s="63"/>
      <c r="HL253" s="73" t="str">
        <f>Idiomas!$D$373</f>
        <v>Pegar Valores Cuadro de Honor</v>
      </c>
      <c r="HM253" s="72">
        <f t="shared" ref="HM253" si="7951">COUNTIF($M$253,HL253)*$D$42</f>
        <v>0</v>
      </c>
      <c r="HN253" s="63"/>
      <c r="HO253" s="73" t="str">
        <f>Idiomas!$D$373</f>
        <v>Pegar Valores Cuadro de Honor</v>
      </c>
      <c r="HP253" s="72">
        <f t="shared" ref="HP253" si="7952">COUNTIF($M$253,HO253)*$D$42</f>
        <v>0</v>
      </c>
      <c r="HQ253" s="63"/>
      <c r="HR253" s="73" t="str">
        <f>Idiomas!$D$373</f>
        <v>Pegar Valores Cuadro de Honor</v>
      </c>
      <c r="HS253" s="72">
        <f t="shared" ref="HS253" si="7953">COUNTIF($M$253,HR253)*$D$42</f>
        <v>0</v>
      </c>
      <c r="HT253" s="63"/>
      <c r="HU253" s="73" t="str">
        <f>Idiomas!$D$373</f>
        <v>Pegar Valores Cuadro de Honor</v>
      </c>
      <c r="HV253" s="72">
        <f t="shared" ref="HV253" si="7954">COUNTIF($M$253,HU253)*$D$42</f>
        <v>0</v>
      </c>
      <c r="HW253" s="63"/>
      <c r="HX253" s="73" t="str">
        <f>Idiomas!$D$373</f>
        <v>Pegar Valores Cuadro de Honor</v>
      </c>
      <c r="HY253" s="72">
        <f t="shared" ref="HY253" si="7955">COUNTIF($M$253,HX253)*$D$42</f>
        <v>0</v>
      </c>
      <c r="HZ253" s="63"/>
      <c r="IA253" s="73" t="str">
        <f>Idiomas!$D$373</f>
        <v>Pegar Valores Cuadro de Honor</v>
      </c>
      <c r="IB253" s="72">
        <f t="shared" ref="IB253" si="7956">COUNTIF($M$253,IA253)*$D$42</f>
        <v>0</v>
      </c>
      <c r="IC253" s="63"/>
      <c r="ID253" s="73" t="str">
        <f>Idiomas!$D$373</f>
        <v>Pegar Valores Cuadro de Honor</v>
      </c>
      <c r="IE253" s="72">
        <f t="shared" ref="IE253" si="7957">COUNTIF($M$253,ID253)*$D$42</f>
        <v>0</v>
      </c>
      <c r="IF253" s="63"/>
      <c r="IG253" s="73" t="str">
        <f>Idiomas!$D$373</f>
        <v>Pegar Valores Cuadro de Honor</v>
      </c>
      <c r="IH253" s="72">
        <f t="shared" ref="IH253" si="7958">COUNTIF($M$253,IG253)*$D$42</f>
        <v>0</v>
      </c>
      <c r="II253" s="63"/>
      <c r="IJ253" s="73" t="str">
        <f>Idiomas!$D$373</f>
        <v>Pegar Valores Cuadro de Honor</v>
      </c>
      <c r="IK253" s="72">
        <f t="shared" ref="IK253" si="7959">COUNTIF($M$253,IJ253)*$D$42</f>
        <v>0</v>
      </c>
      <c r="IL253" s="63"/>
      <c r="IM253" s="73" t="str">
        <f>Idiomas!$D$373</f>
        <v>Pegar Valores Cuadro de Honor</v>
      </c>
      <c r="IN253" s="72">
        <f t="shared" ref="IN253" si="7960">COUNTIF($M$253,IM253)*$D$42</f>
        <v>0</v>
      </c>
      <c r="IO253" s="63"/>
      <c r="IP253" s="73" t="str">
        <f>Idiomas!$D$373</f>
        <v>Pegar Valores Cuadro de Honor</v>
      </c>
      <c r="IQ253" s="72">
        <f t="shared" ref="IQ253" si="7961">COUNTIF($M$253,IP253)*$D$42</f>
        <v>0</v>
      </c>
      <c r="IR253" s="63"/>
      <c r="IS253" s="73" t="str">
        <f>Idiomas!$D$373</f>
        <v>Pegar Valores Cuadro de Honor</v>
      </c>
      <c r="IT253" s="72">
        <f t="shared" ref="IT253" si="7962">COUNTIF($M$253,IS253)*$D$42</f>
        <v>0</v>
      </c>
      <c r="IU253" s="63"/>
      <c r="IV253" s="73" t="str">
        <f>Idiomas!$D$373</f>
        <v>Pegar Valores Cuadro de Honor</v>
      </c>
      <c r="IW253" s="72">
        <f t="shared" ref="IW253" si="7963">COUNTIF($M$253,IV253)*$D$42</f>
        <v>0</v>
      </c>
      <c r="IX253" s="63"/>
      <c r="IY253" s="73" t="str">
        <f>Idiomas!$D$373</f>
        <v>Pegar Valores Cuadro de Honor</v>
      </c>
      <c r="IZ253" s="72">
        <f t="shared" ref="IZ253" si="7964">COUNTIF($M$253,IY253)*$D$42</f>
        <v>0</v>
      </c>
      <c r="JA253" s="63"/>
      <c r="JB253" s="73" t="str">
        <f>Idiomas!$D$373</f>
        <v>Pegar Valores Cuadro de Honor</v>
      </c>
      <c r="JC253" s="72">
        <f t="shared" ref="JC253" si="7965">COUNTIF($M$253,JB253)*$D$42</f>
        <v>0</v>
      </c>
      <c r="JD253" s="63"/>
      <c r="JE253" s="73" t="str">
        <f>Idiomas!$D$373</f>
        <v>Pegar Valores Cuadro de Honor</v>
      </c>
      <c r="JF253" s="72">
        <f t="shared" ref="JF253" si="7966">COUNTIF($M$253,JE253)*$D$42</f>
        <v>0</v>
      </c>
      <c r="JG253" s="63"/>
      <c r="JH253" s="73" t="str">
        <f>Idiomas!$D$373</f>
        <v>Pegar Valores Cuadro de Honor</v>
      </c>
      <c r="JI253" s="72">
        <f t="shared" ref="JI253" si="7967">COUNTIF($M$253,JH253)*$D$42</f>
        <v>0</v>
      </c>
      <c r="JJ253" s="63"/>
      <c r="JK253" s="73" t="str">
        <f>Idiomas!$D$373</f>
        <v>Pegar Valores Cuadro de Honor</v>
      </c>
      <c r="JL253" s="72">
        <f t="shared" ref="JL253" si="7968">COUNTIF($M$253,JK253)*$D$42</f>
        <v>0</v>
      </c>
      <c r="JM253" s="63"/>
      <c r="JN253" s="73" t="str">
        <f>Idiomas!$D$373</f>
        <v>Pegar Valores Cuadro de Honor</v>
      </c>
      <c r="JO253" s="72">
        <f t="shared" ref="JO253" si="7969">COUNTIF($M$253,JN253)*$D$42</f>
        <v>0</v>
      </c>
      <c r="JP253" s="63"/>
      <c r="JQ253" s="73" t="str">
        <f>Idiomas!$D$373</f>
        <v>Pegar Valores Cuadro de Honor</v>
      </c>
      <c r="JR253" s="72">
        <f t="shared" ref="JR253" si="7970">COUNTIF($M$253,JQ253)*$D$42</f>
        <v>0</v>
      </c>
      <c r="JS253" s="63"/>
      <c r="JT253" s="73" t="str">
        <f>Idiomas!$D$373</f>
        <v>Pegar Valores Cuadro de Honor</v>
      </c>
      <c r="JU253" s="72">
        <f t="shared" ref="JU253" si="7971">COUNTIF($M$253,JT253)*$D$42</f>
        <v>0</v>
      </c>
      <c r="JV253" s="63"/>
      <c r="JW253" s="73" t="str">
        <f>Idiomas!$D$373</f>
        <v>Pegar Valores Cuadro de Honor</v>
      </c>
      <c r="JX253" s="72">
        <f t="shared" ref="JX253" si="7972">COUNTIF($M$253,JW253)*$D$42</f>
        <v>0</v>
      </c>
      <c r="JY253" s="63"/>
      <c r="JZ253" s="73" t="str">
        <f>Idiomas!$D$373</f>
        <v>Pegar Valores Cuadro de Honor</v>
      </c>
      <c r="KA253" s="72">
        <f t="shared" ref="KA253" si="7973">COUNTIF($M$253,JZ253)*$D$42</f>
        <v>0</v>
      </c>
      <c r="KB253" s="63"/>
      <c r="KC253" s="73" t="str">
        <f>Idiomas!$D$373</f>
        <v>Pegar Valores Cuadro de Honor</v>
      </c>
      <c r="KD253" s="72">
        <f t="shared" ref="KD253" si="7974">COUNTIF($M$253,KC253)*$D$42</f>
        <v>0</v>
      </c>
      <c r="KE253" s="63"/>
      <c r="KF253" s="73" t="str">
        <f>Idiomas!$D$373</f>
        <v>Pegar Valores Cuadro de Honor</v>
      </c>
      <c r="KG253" s="72">
        <f t="shared" ref="KG253" si="7975">COUNTIF($M$253,KF253)*$D$42</f>
        <v>0</v>
      </c>
      <c r="KH253" s="63"/>
      <c r="KI253" s="73" t="str">
        <f>Idiomas!$D$373</f>
        <v>Pegar Valores Cuadro de Honor</v>
      </c>
      <c r="KJ253" s="72">
        <f t="shared" ref="KJ253" si="7976">COUNTIF($M$253,KI253)*$D$42</f>
        <v>0</v>
      </c>
      <c r="KK253" s="63"/>
      <c r="KL253" s="73" t="str">
        <f>Idiomas!$D$373</f>
        <v>Pegar Valores Cuadro de Honor</v>
      </c>
      <c r="KM253" s="72">
        <f t="shared" ref="KM253" si="7977">COUNTIF($M$253,KL253)*$D$42</f>
        <v>0</v>
      </c>
      <c r="KN253" s="63"/>
      <c r="KO253" s="73" t="str">
        <f>Idiomas!$D$373</f>
        <v>Pegar Valores Cuadro de Honor</v>
      </c>
      <c r="KP253" s="72">
        <f t="shared" ref="KP253" si="7978">COUNTIF($M$253,KO253)*$D$42</f>
        <v>0</v>
      </c>
      <c r="KQ253" s="63"/>
      <c r="KR253" s="73" t="str">
        <f>Idiomas!$D$373</f>
        <v>Pegar Valores Cuadro de Honor</v>
      </c>
      <c r="KS253" s="72">
        <f t="shared" ref="KS253" si="7979">COUNTIF($M$253,KR253)*$D$42</f>
        <v>0</v>
      </c>
      <c r="KT253" s="63"/>
      <c r="KU253" s="73" t="str">
        <f>Idiomas!$D$373</f>
        <v>Pegar Valores Cuadro de Honor</v>
      </c>
      <c r="KV253" s="72">
        <f t="shared" ref="KV253" si="7980">COUNTIF($M$253,KU253)*$D$42</f>
        <v>0</v>
      </c>
      <c r="KW253" s="63"/>
      <c r="KX253" s="73" t="str">
        <f>Idiomas!$D$373</f>
        <v>Pegar Valores Cuadro de Honor</v>
      </c>
      <c r="KY253" s="72">
        <f t="shared" ref="KY253" si="7981">COUNTIF($M$253,KX253)*$D$42</f>
        <v>0</v>
      </c>
      <c r="KZ253" s="63"/>
      <c r="LA253" s="73" t="str">
        <f>Idiomas!$D$373</f>
        <v>Pegar Valores Cuadro de Honor</v>
      </c>
      <c r="LB253" s="72">
        <f t="shared" ref="LB253" si="7982">COUNTIF($M$253,LA253)*$D$42</f>
        <v>0</v>
      </c>
      <c r="LC253" s="63"/>
      <c r="LD253" s="73" t="str">
        <f>Idiomas!$D$373</f>
        <v>Pegar Valores Cuadro de Honor</v>
      </c>
      <c r="LE253" s="72">
        <f t="shared" ref="LE253" si="7983">COUNTIF($M$253,LD253)*$D$42</f>
        <v>0</v>
      </c>
      <c r="LF253" s="63"/>
    </row>
    <row r="254" spans="1:318" s="784" customFormat="1" ht="16.05" customHeight="1">
      <c r="A254" s="17"/>
      <c r="B254" s="17"/>
      <c r="C254" s="17"/>
      <c r="D254" s="17"/>
      <c r="E254" s="88"/>
      <c r="F254" s="406">
        <f t="shared" si="7599"/>
        <v>15</v>
      </c>
      <c r="G254" s="406">
        <f ca="1">VLOOKUP(H254,Equipos!$Q$1:$R$25,2,0)</f>
        <v>24</v>
      </c>
      <c r="H254" s="64" t="str">
        <f>Idiomas!$D$264</f>
        <v>3-4 &amp; Final</v>
      </c>
      <c r="I254" s="50"/>
      <c r="J254" s="101"/>
      <c r="K254" s="56" t="str">
        <f>WORLDCUP!W155</f>
        <v>Bota de Plata (2º máximo goleador)</v>
      </c>
      <c r="L254" s="53"/>
      <c r="M254" s="55" t="str">
        <f>WORLDCUP!AA155</f>
        <v>Escribe el jugador Bota de Plata</v>
      </c>
      <c r="N254" s="25"/>
      <c r="O254" s="25"/>
      <c r="P254" s="25"/>
      <c r="Q254" s="25"/>
      <c r="R254" s="17"/>
      <c r="S254" s="796" t="s">
        <v>1997</v>
      </c>
      <c r="T254" s="72">
        <f t="shared" ref="T254" si="7984">COUNTIF($M$254,S254)*$D$43</f>
        <v>0</v>
      </c>
      <c r="U254" s="63"/>
      <c r="V254" s="73" t="s">
        <v>2042</v>
      </c>
      <c r="W254" s="72">
        <f t="shared" ref="W254" si="7985">COUNTIF($M$254,V254)*$D$43</f>
        <v>0</v>
      </c>
      <c r="X254" s="63"/>
      <c r="Y254" s="796" t="s">
        <v>2084</v>
      </c>
      <c r="Z254" s="72">
        <f t="shared" ref="Z254" si="7986">COUNTIF($M$254,Y254)*$D$43</f>
        <v>0</v>
      </c>
      <c r="AA254" s="63"/>
      <c r="AB254" s="796" t="s">
        <v>2117</v>
      </c>
      <c r="AC254" s="72">
        <f t="shared" ref="AC254" si="7987">COUNTIF($M$254,AB254)*$D$43</f>
        <v>0</v>
      </c>
      <c r="AD254" s="63"/>
      <c r="AE254" s="796" t="s">
        <v>1998</v>
      </c>
      <c r="AF254" s="72">
        <f t="shared" ref="AF254" si="7988">COUNTIF($M$254,AE254)*$D$43</f>
        <v>0</v>
      </c>
      <c r="AG254" s="63"/>
      <c r="AH254" s="796" t="s">
        <v>2153</v>
      </c>
      <c r="AI254" s="72">
        <f t="shared" ref="AI254" si="7989">COUNTIF($M$254,AH254)*$D$43</f>
        <v>0</v>
      </c>
      <c r="AJ254" s="63"/>
      <c r="AK254" s="806" t="s">
        <v>2154</v>
      </c>
      <c r="AL254" s="72">
        <f t="shared" ref="AL254" si="7990">COUNTIF($M$254,AK254)*$D$43</f>
        <v>0</v>
      </c>
      <c r="AM254" s="63"/>
      <c r="AN254" s="796" t="s">
        <v>2249</v>
      </c>
      <c r="AO254" s="72">
        <f t="shared" ref="AO254" si="7991">COUNTIF($M$254,AN254)*$D$43</f>
        <v>0</v>
      </c>
      <c r="AP254" s="63"/>
      <c r="AQ254" s="806" t="s">
        <v>2278</v>
      </c>
      <c r="AR254" s="72">
        <f t="shared" ref="AR254" si="7992">COUNTIF($M$254,AQ254)*$D$43</f>
        <v>0</v>
      </c>
      <c r="AS254" s="63"/>
      <c r="AT254" s="796" t="s">
        <v>2312</v>
      </c>
      <c r="AU254" s="72">
        <f t="shared" ref="AU254" si="7993">COUNTIF($M$254,AT254)*$D$43</f>
        <v>0</v>
      </c>
      <c r="AV254" s="63"/>
      <c r="AW254" s="796" t="s">
        <v>2117</v>
      </c>
      <c r="AX254" s="72">
        <f t="shared" ref="AX254" si="7994">COUNTIF($M$254,AW254)*$D$43</f>
        <v>0</v>
      </c>
      <c r="AY254" s="63"/>
      <c r="AZ254" s="796" t="s">
        <v>2384</v>
      </c>
      <c r="BA254" s="72">
        <f t="shared" ref="BA254" si="7995">COUNTIF($M$254,AZ254)*$D$43</f>
        <v>0</v>
      </c>
      <c r="BB254" s="63"/>
      <c r="BC254" s="796" t="s">
        <v>2414</v>
      </c>
      <c r="BD254" s="72">
        <f t="shared" ref="BD254" si="7996">COUNTIF($M$254,BC254)*$D$43</f>
        <v>0</v>
      </c>
      <c r="BE254" s="63"/>
      <c r="BF254" s="796" t="s">
        <v>2251</v>
      </c>
      <c r="BG254" s="72">
        <f t="shared" ref="BG254" si="7997">COUNTIF($M$254,BF254)*$D$43</f>
        <v>0</v>
      </c>
      <c r="BH254" s="63"/>
      <c r="BI254" s="796" t="s">
        <v>2153</v>
      </c>
      <c r="BJ254" s="72">
        <f t="shared" ref="BJ254" si="7998">COUNTIF($M$254,BI254)*$D$43</f>
        <v>0</v>
      </c>
      <c r="BK254" s="63"/>
      <c r="BL254" s="796" t="s">
        <v>2493</v>
      </c>
      <c r="BM254" s="72">
        <f t="shared" ref="BM254" si="7999">COUNTIF($M$254,BL254)*$D$43</f>
        <v>0</v>
      </c>
      <c r="BN254" s="63"/>
      <c r="BO254" s="816" t="s">
        <v>2514</v>
      </c>
      <c r="BP254" s="72">
        <f t="shared" ref="BP254" si="8000">COUNTIF($M$254,BO254)*$D$43</f>
        <v>0</v>
      </c>
      <c r="BQ254" s="63"/>
      <c r="BR254" s="796" t="s">
        <v>2152</v>
      </c>
      <c r="BS254" s="72">
        <f t="shared" ref="BS254" si="8001">COUNTIF($M$254,BR254)*$D$43</f>
        <v>0</v>
      </c>
      <c r="BT254" s="63"/>
      <c r="BU254" s="796" t="s">
        <v>1997</v>
      </c>
      <c r="BV254" s="72">
        <f t="shared" ref="BV254" si="8002">COUNTIF($M$254,BU254)*$D$43</f>
        <v>0</v>
      </c>
      <c r="BW254" s="63"/>
      <c r="BX254" s="73" t="s">
        <v>1997</v>
      </c>
      <c r="BY254" s="72">
        <f t="shared" ref="BY254" si="8003">COUNTIF($M$254,BX254)*$D$43</f>
        <v>0</v>
      </c>
      <c r="BZ254" s="63"/>
      <c r="CA254" s="816" t="s">
        <v>2414</v>
      </c>
      <c r="CB254" s="72">
        <f t="shared" ref="CB254" si="8004">COUNTIF($M$254,CA254)*$D$43</f>
        <v>0</v>
      </c>
      <c r="CC254" s="63"/>
      <c r="CD254" s="825" t="s">
        <v>2313</v>
      </c>
      <c r="CE254" s="72">
        <f t="shared" ref="CE254" si="8005">COUNTIF($M$254,CD254)*$D$43</f>
        <v>0</v>
      </c>
      <c r="CF254" s="63"/>
      <c r="CG254" s="796" t="s">
        <v>2153</v>
      </c>
      <c r="CH254" s="72">
        <f t="shared" ref="CH254" si="8006">COUNTIF($M$254,CG254)*$D$43</f>
        <v>0</v>
      </c>
      <c r="CI254" s="63"/>
      <c r="CJ254" s="796" t="s">
        <v>2638</v>
      </c>
      <c r="CK254" s="72">
        <f t="shared" ref="CK254" si="8007">COUNTIF($M$254,CJ254)*$D$43</f>
        <v>0</v>
      </c>
      <c r="CL254" s="63"/>
      <c r="CM254" s="796" t="s">
        <v>2666</v>
      </c>
      <c r="CN254" s="72">
        <f t="shared" ref="CN254" si="8008">COUNTIF($M$254,CM254)*$D$43</f>
        <v>0</v>
      </c>
      <c r="CO254" s="63"/>
      <c r="CP254" s="796" t="s">
        <v>2689</v>
      </c>
      <c r="CQ254" s="72">
        <f t="shared" ref="CQ254" si="8009">COUNTIF($M$254,CP254)*$D$43</f>
        <v>0</v>
      </c>
      <c r="CR254" s="63"/>
      <c r="CS254" s="796" t="s">
        <v>2708</v>
      </c>
      <c r="CT254" s="72">
        <f t="shared" ref="CT254" si="8010">COUNTIF($M$254,CS254)*$D$43</f>
        <v>0</v>
      </c>
      <c r="CU254" s="63"/>
      <c r="CV254" s="796" t="s">
        <v>1996</v>
      </c>
      <c r="CW254" s="72">
        <f t="shared" ref="CW254" si="8011">COUNTIF($M$254,CV254)*$D$43</f>
        <v>0</v>
      </c>
      <c r="CX254" s="63"/>
      <c r="CY254" s="796" t="s">
        <v>2761</v>
      </c>
      <c r="CZ254" s="72">
        <f t="shared" ref="CZ254" si="8012">COUNTIF($M$254,CY254)*$D$43</f>
        <v>0</v>
      </c>
      <c r="DA254" s="63"/>
      <c r="DB254" s="796" t="s">
        <v>2002</v>
      </c>
      <c r="DC254" s="72">
        <f t="shared" ref="DC254" si="8013">COUNTIF($M$254,DB254)*$D$43</f>
        <v>0</v>
      </c>
      <c r="DD254" s="63"/>
      <c r="DE254" s="796" t="s">
        <v>2809</v>
      </c>
      <c r="DF254" s="72">
        <f>COUNTIF($M$254,DE254)*$D$43</f>
        <v>0</v>
      </c>
      <c r="DG254" s="63"/>
      <c r="DH254" s="796" t="s">
        <v>2492</v>
      </c>
      <c r="DI254" s="72">
        <f>COUNTIF($M$254,DH254)*$D$43</f>
        <v>0</v>
      </c>
      <c r="DJ254" s="63"/>
      <c r="DK254" s="796" t="s">
        <v>2152</v>
      </c>
      <c r="DL254" s="72">
        <f>COUNTIF($M$254,DK254)*$D$43</f>
        <v>0</v>
      </c>
      <c r="DM254" s="63"/>
      <c r="DN254" s="73"/>
      <c r="DO254" s="72">
        <f t="shared" ref="DO254" si="8014">COUNTIF($M$254,DN254)*$D$43</f>
        <v>0</v>
      </c>
      <c r="DP254" s="63"/>
      <c r="DQ254" s="796" t="s">
        <v>2188</v>
      </c>
      <c r="DR254" s="72">
        <f t="shared" ref="DR254" si="8015">COUNTIF($M$254,DQ254)*$D$43</f>
        <v>0</v>
      </c>
      <c r="DS254" s="63"/>
      <c r="DT254" s="73" t="s">
        <v>2864</v>
      </c>
      <c r="DU254" s="72">
        <f t="shared" ref="DU254" si="8016">COUNTIF($M$254,DT254)*$D$43</f>
        <v>0</v>
      </c>
      <c r="DV254" s="63"/>
      <c r="DW254" s="73"/>
      <c r="DX254" s="72">
        <f t="shared" ref="DX254" si="8017">COUNTIF($M$254,DW254)*$D$43</f>
        <v>0</v>
      </c>
      <c r="DY254" s="63"/>
      <c r="DZ254" s="73"/>
      <c r="EA254" s="72">
        <f>COUNTIF($M$254,DZ254)*$D$43</f>
        <v>0</v>
      </c>
      <c r="EB254" s="63"/>
      <c r="EC254" s="73"/>
      <c r="ED254" s="72">
        <f t="shared" ref="ED254" si="8018">COUNTIF($M$254,EC254)*$D$43</f>
        <v>0</v>
      </c>
      <c r="EE254" s="63"/>
      <c r="EF254" s="73"/>
      <c r="EG254" s="72">
        <f t="shared" ref="EG254" si="8019">COUNTIF($M$254,EF254)*$D$43</f>
        <v>0</v>
      </c>
      <c r="EH254" s="63"/>
      <c r="EI254" s="73"/>
      <c r="EJ254" s="72">
        <f t="shared" ref="EJ254" si="8020">COUNTIF($M$254,EI254)*$D$43</f>
        <v>0</v>
      </c>
      <c r="EK254" s="63"/>
      <c r="EL254" s="73"/>
      <c r="EM254" s="72">
        <f t="shared" ref="EM254" si="8021">COUNTIF($M$254,EL254)*$D$43</f>
        <v>0</v>
      </c>
      <c r="EN254" s="63"/>
      <c r="EO254" s="73"/>
      <c r="EP254" s="72">
        <f t="shared" ref="EP254" si="8022">COUNTIF($M$254,EO254)*$D$43</f>
        <v>0</v>
      </c>
      <c r="EQ254" s="63"/>
      <c r="ER254" s="73"/>
      <c r="ES254" s="72">
        <f t="shared" ref="ES254" si="8023">COUNTIF($M$254,ER254)*$D$43</f>
        <v>0</v>
      </c>
      <c r="ET254" s="63"/>
      <c r="EU254" s="73"/>
      <c r="EV254" s="72">
        <f t="shared" ref="EV254" si="8024">COUNTIF($M$254,EU254)*$D$43</f>
        <v>0</v>
      </c>
      <c r="EW254" s="63"/>
      <c r="EX254" s="73"/>
      <c r="EY254" s="72">
        <f t="shared" ref="EY254" si="8025">COUNTIF($M$254,EX254)*$D$43</f>
        <v>0</v>
      </c>
      <c r="EZ254" s="63"/>
      <c r="FA254" s="73"/>
      <c r="FB254" s="72">
        <f t="shared" ref="FB254" si="8026">COUNTIF($M$254,FA254)*$D$43</f>
        <v>0</v>
      </c>
      <c r="FC254" s="63"/>
      <c r="FD254" s="73"/>
      <c r="FE254" s="72">
        <f t="shared" ref="FE254" si="8027">COUNTIF($M$254,FD254)*$D$43</f>
        <v>0</v>
      </c>
      <c r="FF254" s="63"/>
      <c r="FG254" s="73"/>
      <c r="FH254" s="72">
        <f t="shared" ref="FH254" si="8028">COUNTIF($M$254,FG254)*$D$43</f>
        <v>0</v>
      </c>
      <c r="FI254" s="63"/>
      <c r="FJ254" s="73"/>
      <c r="FK254" s="72">
        <f t="shared" ref="FK254" si="8029">COUNTIF($M$254,FJ254)*$D$43</f>
        <v>0</v>
      </c>
      <c r="FL254" s="63"/>
      <c r="FM254" s="73"/>
      <c r="FN254" s="72">
        <f t="shared" ref="FN254" si="8030">COUNTIF($M$254,FM254)*$D$43</f>
        <v>0</v>
      </c>
      <c r="FO254" s="63"/>
      <c r="FP254" s="73"/>
      <c r="FQ254" s="72">
        <f t="shared" ref="FQ254" si="8031">COUNTIF($M$254,FP254)*$D$43</f>
        <v>0</v>
      </c>
      <c r="FR254" s="63"/>
      <c r="FS254" s="73"/>
      <c r="FT254" s="72">
        <f t="shared" ref="FT254" si="8032">COUNTIF($M$254,FS254)*$D$43</f>
        <v>0</v>
      </c>
      <c r="FU254" s="63"/>
      <c r="FV254" s="73"/>
      <c r="FW254" s="72">
        <f t="shared" ref="FW254" si="8033">COUNTIF($M$254,FV254)*$D$43</f>
        <v>0</v>
      </c>
      <c r="FX254" s="63"/>
      <c r="FY254" s="73"/>
      <c r="FZ254" s="72">
        <f t="shared" ref="FZ254" si="8034">COUNTIF($M$254,FY254)*$D$43</f>
        <v>0</v>
      </c>
      <c r="GA254" s="63"/>
      <c r="GB254" s="73"/>
      <c r="GC254" s="72">
        <f t="shared" ref="GC254" si="8035">COUNTIF($M$254,GB254)*$D$43</f>
        <v>0</v>
      </c>
      <c r="GD254" s="63"/>
      <c r="GE254" s="73"/>
      <c r="GF254" s="72">
        <f t="shared" ref="GF254" si="8036">COUNTIF($M$254,GE254)*$D$43</f>
        <v>0</v>
      </c>
      <c r="GG254" s="63"/>
      <c r="GH254" s="73"/>
      <c r="GI254" s="72">
        <f t="shared" ref="GI254" si="8037">COUNTIF($M$254,GH254)*$D$43</f>
        <v>0</v>
      </c>
      <c r="GJ254" s="63"/>
      <c r="GK254" s="73"/>
      <c r="GL254" s="72">
        <f t="shared" ref="GL254" si="8038">COUNTIF($M$254,GK254)*$D$43</f>
        <v>0</v>
      </c>
      <c r="GM254" s="63"/>
      <c r="GN254" s="73"/>
      <c r="GO254" s="72">
        <f t="shared" ref="GO254" si="8039">COUNTIF($M$254,GN254)*$D$43</f>
        <v>0</v>
      </c>
      <c r="GP254" s="63"/>
      <c r="GQ254" s="73"/>
      <c r="GR254" s="72">
        <f t="shared" ref="GR254" si="8040">COUNTIF($M$254,GQ254)*$D$43</f>
        <v>0</v>
      </c>
      <c r="GS254" s="63"/>
      <c r="GT254" s="73"/>
      <c r="GU254" s="72">
        <f t="shared" ref="GU254" si="8041">COUNTIF($M$254,GT254)*$D$43</f>
        <v>0</v>
      </c>
      <c r="GV254" s="63"/>
      <c r="GW254" s="73"/>
      <c r="GX254" s="72">
        <f t="shared" ref="GX254" si="8042">COUNTIF($M$254,GW254)*$D$43</f>
        <v>0</v>
      </c>
      <c r="GY254" s="63"/>
      <c r="GZ254" s="73"/>
      <c r="HA254" s="72">
        <f t="shared" ref="HA254" si="8043">COUNTIF($M$254,GZ254)*$D$43</f>
        <v>0</v>
      </c>
      <c r="HB254" s="63"/>
      <c r="HC254" s="73"/>
      <c r="HD254" s="72">
        <f t="shared" ref="HD254" si="8044">COUNTIF($M$254,HC254)*$D$43</f>
        <v>0</v>
      </c>
      <c r="HE254" s="63"/>
      <c r="HF254" s="73"/>
      <c r="HG254" s="72">
        <f t="shared" ref="HG254" si="8045">COUNTIF($M$254,HF254)*$D$43</f>
        <v>0</v>
      </c>
      <c r="HH254" s="63"/>
      <c r="HI254" s="73"/>
      <c r="HJ254" s="72">
        <f t="shared" ref="HJ254" si="8046">COUNTIF($M$254,HI254)*$D$43</f>
        <v>0</v>
      </c>
      <c r="HK254" s="63"/>
      <c r="HL254" s="73"/>
      <c r="HM254" s="72">
        <f t="shared" ref="HM254" si="8047">COUNTIF($M$254,HL254)*$D$43</f>
        <v>0</v>
      </c>
      <c r="HN254" s="63"/>
      <c r="HO254" s="73"/>
      <c r="HP254" s="72">
        <f t="shared" ref="HP254" si="8048">COUNTIF($M$254,HO254)*$D$43</f>
        <v>0</v>
      </c>
      <c r="HQ254" s="63"/>
      <c r="HR254" s="73"/>
      <c r="HS254" s="72">
        <f t="shared" ref="HS254" si="8049">COUNTIF($M$254,HR254)*$D$43</f>
        <v>0</v>
      </c>
      <c r="HT254" s="63"/>
      <c r="HU254" s="73"/>
      <c r="HV254" s="72">
        <f t="shared" ref="HV254" si="8050">COUNTIF($M$254,HU254)*$D$43</f>
        <v>0</v>
      </c>
      <c r="HW254" s="63"/>
      <c r="HX254" s="73"/>
      <c r="HY254" s="72">
        <f t="shared" ref="HY254" si="8051">COUNTIF($M$254,HX254)*$D$43</f>
        <v>0</v>
      </c>
      <c r="HZ254" s="63"/>
      <c r="IA254" s="73"/>
      <c r="IB254" s="72">
        <f t="shared" ref="IB254" si="8052">COUNTIF($M$254,IA254)*$D$43</f>
        <v>0</v>
      </c>
      <c r="IC254" s="63"/>
      <c r="ID254" s="73"/>
      <c r="IE254" s="72">
        <f t="shared" ref="IE254" si="8053">COUNTIF($M$254,ID254)*$D$43</f>
        <v>0</v>
      </c>
      <c r="IF254" s="63"/>
      <c r="IG254" s="73"/>
      <c r="IH254" s="72">
        <f t="shared" ref="IH254" si="8054">COUNTIF($M$254,IG254)*$D$43</f>
        <v>0</v>
      </c>
      <c r="II254" s="63"/>
      <c r="IJ254" s="73"/>
      <c r="IK254" s="72">
        <f t="shared" ref="IK254" si="8055">COUNTIF($M$254,IJ254)*$D$43</f>
        <v>0</v>
      </c>
      <c r="IL254" s="63"/>
      <c r="IM254" s="73"/>
      <c r="IN254" s="72">
        <f t="shared" ref="IN254" si="8056">COUNTIF($M$254,IM254)*$D$43</f>
        <v>0</v>
      </c>
      <c r="IO254" s="63"/>
      <c r="IP254" s="73"/>
      <c r="IQ254" s="72">
        <f t="shared" ref="IQ254" si="8057">COUNTIF($M$254,IP254)*$D$43</f>
        <v>0</v>
      </c>
      <c r="IR254" s="63"/>
      <c r="IS254" s="73"/>
      <c r="IT254" s="72">
        <f t="shared" ref="IT254" si="8058">COUNTIF($M$254,IS254)*$D$43</f>
        <v>0</v>
      </c>
      <c r="IU254" s="63"/>
      <c r="IV254" s="73"/>
      <c r="IW254" s="72">
        <f t="shared" ref="IW254" si="8059">COUNTIF($M$254,IV254)*$D$43</f>
        <v>0</v>
      </c>
      <c r="IX254" s="63"/>
      <c r="IY254" s="73"/>
      <c r="IZ254" s="72">
        <f t="shared" ref="IZ254" si="8060">COUNTIF($M$254,IY254)*$D$43</f>
        <v>0</v>
      </c>
      <c r="JA254" s="63"/>
      <c r="JB254" s="73"/>
      <c r="JC254" s="72">
        <f t="shared" ref="JC254" si="8061">COUNTIF($M$254,JB254)*$D$43</f>
        <v>0</v>
      </c>
      <c r="JD254" s="63"/>
      <c r="JE254" s="73"/>
      <c r="JF254" s="72">
        <f t="shared" ref="JF254" si="8062">COUNTIF($M$254,JE254)*$D$43</f>
        <v>0</v>
      </c>
      <c r="JG254" s="63"/>
      <c r="JH254" s="73"/>
      <c r="JI254" s="72">
        <f t="shared" ref="JI254" si="8063">COUNTIF($M$254,JH254)*$D$43</f>
        <v>0</v>
      </c>
      <c r="JJ254" s="63"/>
      <c r="JK254" s="73"/>
      <c r="JL254" s="72">
        <f t="shared" ref="JL254" si="8064">COUNTIF($M$254,JK254)*$D$43</f>
        <v>0</v>
      </c>
      <c r="JM254" s="63"/>
      <c r="JN254" s="73"/>
      <c r="JO254" s="72">
        <f t="shared" ref="JO254" si="8065">COUNTIF($M$254,JN254)*$D$43</f>
        <v>0</v>
      </c>
      <c r="JP254" s="63"/>
      <c r="JQ254" s="73"/>
      <c r="JR254" s="72">
        <f t="shared" ref="JR254" si="8066">COUNTIF($M$254,JQ254)*$D$43</f>
        <v>0</v>
      </c>
      <c r="JS254" s="63"/>
      <c r="JT254" s="73"/>
      <c r="JU254" s="72">
        <f t="shared" ref="JU254" si="8067">COUNTIF($M$254,JT254)*$D$43</f>
        <v>0</v>
      </c>
      <c r="JV254" s="63"/>
      <c r="JW254" s="73"/>
      <c r="JX254" s="72">
        <f t="shared" ref="JX254" si="8068">COUNTIF($M$254,JW254)*$D$43</f>
        <v>0</v>
      </c>
      <c r="JY254" s="63"/>
      <c r="JZ254" s="73"/>
      <c r="KA254" s="72">
        <f t="shared" ref="KA254" si="8069">COUNTIF($M$254,JZ254)*$D$43</f>
        <v>0</v>
      </c>
      <c r="KB254" s="63"/>
      <c r="KC254" s="73"/>
      <c r="KD254" s="72">
        <f t="shared" ref="KD254" si="8070">COUNTIF($M$254,KC254)*$D$43</f>
        <v>0</v>
      </c>
      <c r="KE254" s="63"/>
      <c r="KF254" s="73"/>
      <c r="KG254" s="72">
        <f t="shared" ref="KG254" si="8071">COUNTIF($M$254,KF254)*$D$43</f>
        <v>0</v>
      </c>
      <c r="KH254" s="63"/>
      <c r="KI254" s="73"/>
      <c r="KJ254" s="72">
        <f t="shared" ref="KJ254" si="8072">COUNTIF($M$254,KI254)*$D$43</f>
        <v>0</v>
      </c>
      <c r="KK254" s="63"/>
      <c r="KL254" s="73"/>
      <c r="KM254" s="72">
        <f t="shared" ref="KM254" si="8073">COUNTIF($M$254,KL254)*$D$43</f>
        <v>0</v>
      </c>
      <c r="KN254" s="63"/>
      <c r="KO254" s="73"/>
      <c r="KP254" s="72">
        <f t="shared" ref="KP254" si="8074">COUNTIF($M$254,KO254)*$D$43</f>
        <v>0</v>
      </c>
      <c r="KQ254" s="63"/>
      <c r="KR254" s="73"/>
      <c r="KS254" s="72">
        <f t="shared" ref="KS254" si="8075">COUNTIF($M$254,KR254)*$D$43</f>
        <v>0</v>
      </c>
      <c r="KT254" s="63"/>
      <c r="KU254" s="73"/>
      <c r="KV254" s="72">
        <f t="shared" ref="KV254" si="8076">COUNTIF($M$254,KU254)*$D$43</f>
        <v>0</v>
      </c>
      <c r="KW254" s="63"/>
      <c r="KX254" s="73"/>
      <c r="KY254" s="72">
        <f t="shared" ref="KY254" si="8077">COUNTIF($M$254,KX254)*$D$43</f>
        <v>0</v>
      </c>
      <c r="KZ254" s="63"/>
      <c r="LA254" s="73"/>
      <c r="LB254" s="72">
        <f t="shared" ref="LB254" si="8078">COUNTIF($M$254,LA254)*$D$43</f>
        <v>0</v>
      </c>
      <c r="LC254" s="63"/>
      <c r="LD254" s="73"/>
      <c r="LE254" s="72">
        <f t="shared" ref="LE254" si="8079">COUNTIF($M$254,LD254)*$D$43</f>
        <v>0</v>
      </c>
      <c r="LF254" s="63"/>
    </row>
    <row r="255" spans="1:318" s="784" customFormat="1" ht="16.05" customHeight="1">
      <c r="A255" s="17"/>
      <c r="B255" s="17"/>
      <c r="C255" s="17"/>
      <c r="D255" s="17"/>
      <c r="E255" s="88"/>
      <c r="F255" s="406">
        <f t="shared" si="7599"/>
        <v>10</v>
      </c>
      <c r="G255" s="406">
        <f ca="1">VLOOKUP(H255,Equipos!$Q$1:$R$25,2,0)</f>
        <v>24</v>
      </c>
      <c r="H255" s="64" t="str">
        <f>Idiomas!$D$264</f>
        <v>3-4 &amp; Final</v>
      </c>
      <c r="I255" s="50"/>
      <c r="J255" s="101"/>
      <c r="K255" s="56" t="str">
        <f>WORLDCUP!W156</f>
        <v>Bota de Bronce (3º máximo goleador)</v>
      </c>
      <c r="L255" s="53"/>
      <c r="M255" s="55" t="str">
        <f>WORLDCUP!AA156</f>
        <v>Escribe el jugador Bota de Bronce</v>
      </c>
      <c r="N255" s="25"/>
      <c r="O255" s="25"/>
      <c r="P255" s="25"/>
      <c r="Q255" s="25"/>
      <c r="R255" s="17"/>
      <c r="S255" s="796" t="s">
        <v>1998</v>
      </c>
      <c r="T255" s="72">
        <f t="shared" ref="T255" si="8080">COUNTIF($M$255,S255)*$D$44</f>
        <v>0</v>
      </c>
      <c r="U255" s="63"/>
      <c r="V255" s="73" t="s">
        <v>2043</v>
      </c>
      <c r="W255" s="72">
        <f t="shared" ref="W255" si="8081">COUNTIF($M$255,V255)*$D$44</f>
        <v>0</v>
      </c>
      <c r="X255" s="63"/>
      <c r="Y255" s="796" t="s">
        <v>2084</v>
      </c>
      <c r="Z255" s="72">
        <f t="shared" ref="Z255" si="8082">COUNTIF($M$255,Y255)*$D$44</f>
        <v>0</v>
      </c>
      <c r="AA255" s="63"/>
      <c r="AB255" s="796" t="s">
        <v>2118</v>
      </c>
      <c r="AC255" s="72">
        <f t="shared" ref="AC255" si="8083">COUNTIF($M$255,AB255)*$D$44</f>
        <v>0</v>
      </c>
      <c r="AD255" s="63"/>
      <c r="AE255" s="796" t="s">
        <v>2153</v>
      </c>
      <c r="AF255" s="72">
        <f t="shared" ref="AF255" si="8084">COUNTIF($M$255,AE255)*$D$44</f>
        <v>0</v>
      </c>
      <c r="AG255" s="63"/>
      <c r="AH255" s="796" t="s">
        <v>2189</v>
      </c>
      <c r="AI255" s="72">
        <f t="shared" ref="AI255" si="8085">COUNTIF($M$255,AH255)*$D$44</f>
        <v>0</v>
      </c>
      <c r="AJ255" s="63"/>
      <c r="AK255" s="806" t="s">
        <v>2152</v>
      </c>
      <c r="AL255" s="72">
        <f t="shared" ref="AL255" si="8086">COUNTIF($M$255,AK255)*$D$44</f>
        <v>0</v>
      </c>
      <c r="AM255" s="63"/>
      <c r="AN255" s="796" t="s">
        <v>2250</v>
      </c>
      <c r="AO255" s="72">
        <f t="shared" ref="AO255" si="8087">COUNTIF($M$255,AN255)*$D$44</f>
        <v>0</v>
      </c>
      <c r="AP255" s="63"/>
      <c r="AQ255" s="806" t="s">
        <v>2279</v>
      </c>
      <c r="AR255" s="72">
        <f t="shared" ref="AR255" si="8088">COUNTIF($M$255,AQ255)*$D$44</f>
        <v>0</v>
      </c>
      <c r="AS255" s="63"/>
      <c r="AT255" s="796" t="s">
        <v>2313</v>
      </c>
      <c r="AU255" s="72">
        <f t="shared" ref="AU255" si="8089">COUNTIF($M$255,AT255)*$D$44</f>
        <v>0</v>
      </c>
      <c r="AV255" s="63"/>
      <c r="AW255" s="796" t="s">
        <v>2118</v>
      </c>
      <c r="AX255" s="72">
        <f t="shared" ref="AX255" si="8090">COUNTIF($M$255,AW255)*$D$44</f>
        <v>0</v>
      </c>
      <c r="AY255" s="63"/>
      <c r="AZ255" s="796" t="s">
        <v>2154</v>
      </c>
      <c r="BA255" s="72">
        <f t="shared" ref="BA255" si="8091">COUNTIF($M$255,AZ255)*$D$44</f>
        <v>0</v>
      </c>
      <c r="BB255" s="63"/>
      <c r="BC255" s="796" t="s">
        <v>2188</v>
      </c>
      <c r="BD255" s="72">
        <f t="shared" ref="BD255" si="8092">COUNTIF($M$255,BC255)*$D$44</f>
        <v>0</v>
      </c>
      <c r="BE255" s="63"/>
      <c r="BF255" s="796" t="s">
        <v>2442</v>
      </c>
      <c r="BG255" s="72">
        <f t="shared" ref="BG255" si="8093">COUNTIF($M$255,BF255)*$D$44</f>
        <v>0</v>
      </c>
      <c r="BH255" s="63"/>
      <c r="BI255" s="796" t="s">
        <v>2190</v>
      </c>
      <c r="BJ255" s="72">
        <f t="shared" ref="BJ255" si="8094">COUNTIF($M$255,BI255)*$D$44</f>
        <v>0</v>
      </c>
      <c r="BK255" s="63"/>
      <c r="BL255" s="796" t="s">
        <v>2494</v>
      </c>
      <c r="BM255" s="72">
        <f t="shared" ref="BM255" si="8095">COUNTIF($M$255,BL255)*$D$44</f>
        <v>0</v>
      </c>
      <c r="BN255" s="63"/>
      <c r="BO255" s="816" t="s">
        <v>2154</v>
      </c>
      <c r="BP255" s="72">
        <f t="shared" ref="BP255" si="8096">COUNTIF($M$255,BO255)*$D$44</f>
        <v>0</v>
      </c>
      <c r="BQ255" s="63"/>
      <c r="BR255" s="796" t="s">
        <v>2514</v>
      </c>
      <c r="BS255" s="72">
        <f t="shared" ref="BS255" si="8097">COUNTIF($M$255,BR255)*$D$44</f>
        <v>0</v>
      </c>
      <c r="BT255" s="63"/>
      <c r="BU255" s="796" t="s">
        <v>2513</v>
      </c>
      <c r="BV255" s="72">
        <f t="shared" ref="BV255" si="8098">COUNTIF($M$255,BU255)*$D$44</f>
        <v>0</v>
      </c>
      <c r="BW255" s="63"/>
      <c r="BX255" s="73" t="s">
        <v>2571</v>
      </c>
      <c r="BY255" s="72">
        <f t="shared" ref="BY255" si="8099">COUNTIF($M$255,BX255)*$D$44</f>
        <v>0</v>
      </c>
      <c r="BZ255" s="63"/>
      <c r="CA255" s="816" t="s">
        <v>2589</v>
      </c>
      <c r="CB255" s="72">
        <f t="shared" ref="CB255" si="8100">COUNTIF($M$255,CA255)*$D$44</f>
        <v>0</v>
      </c>
      <c r="CC255" s="63"/>
      <c r="CD255" s="825" t="s">
        <v>2153</v>
      </c>
      <c r="CE255" s="72">
        <f t="shared" ref="CE255" si="8101">COUNTIF($M$255,CD255)*$D$44</f>
        <v>0</v>
      </c>
      <c r="CF255" s="63"/>
      <c r="CG255" s="796" t="s">
        <v>2624</v>
      </c>
      <c r="CH255" s="72">
        <f t="shared" ref="CH255" si="8102">COUNTIF($M$255,CG255)*$D$44</f>
        <v>0</v>
      </c>
      <c r="CI255" s="63"/>
      <c r="CJ255" s="796" t="s">
        <v>2639</v>
      </c>
      <c r="CK255" s="72">
        <f t="shared" ref="CK255" si="8103">COUNTIF($M$255,CJ255)*$D$44</f>
        <v>0</v>
      </c>
      <c r="CL255" s="63"/>
      <c r="CM255" s="796" t="s">
        <v>2666</v>
      </c>
      <c r="CN255" s="72">
        <f t="shared" ref="CN255" si="8104">COUNTIF($M$255,CM255)*$D$44</f>
        <v>0</v>
      </c>
      <c r="CO255" s="63"/>
      <c r="CP255" s="796" t="s">
        <v>2689</v>
      </c>
      <c r="CQ255" s="72">
        <f t="shared" ref="CQ255" si="8105">COUNTIF($M$255,CP255)*$D$44</f>
        <v>0</v>
      </c>
      <c r="CR255" s="63"/>
      <c r="CS255" s="796" t="s">
        <v>2190</v>
      </c>
      <c r="CT255" s="72">
        <f t="shared" ref="CT255" si="8106">COUNTIF($M$255,CS255)*$D$44</f>
        <v>0</v>
      </c>
      <c r="CU255" s="63"/>
      <c r="CV255" s="796" t="s">
        <v>2742</v>
      </c>
      <c r="CW255" s="72">
        <f t="shared" ref="CW255" si="8107">COUNTIF($M$255,CV255)*$D$44</f>
        <v>0</v>
      </c>
      <c r="CX255" s="63"/>
      <c r="CY255" s="796" t="s">
        <v>2762</v>
      </c>
      <c r="CZ255" s="72">
        <f t="shared" ref="CZ255" si="8108">COUNTIF($M$255,CY255)*$D$44</f>
        <v>0</v>
      </c>
      <c r="DA255" s="63"/>
      <c r="DB255" s="796" t="s">
        <v>2154</v>
      </c>
      <c r="DC255" s="72">
        <f t="shared" ref="DC255" si="8109">COUNTIF($M$255,DB255)*$D$44</f>
        <v>0</v>
      </c>
      <c r="DD255" s="63"/>
      <c r="DE255" s="796" t="s">
        <v>2708</v>
      </c>
      <c r="DF255" s="72">
        <f>COUNTIF($M$255,DE255)*$D$44</f>
        <v>0</v>
      </c>
      <c r="DG255" s="63"/>
      <c r="DH255" s="796" t="s">
        <v>2864</v>
      </c>
      <c r="DI255" s="72">
        <f>COUNTIF($M$255,DH255)*$D$44</f>
        <v>0</v>
      </c>
      <c r="DJ255" s="63"/>
      <c r="DK255" s="796" t="s">
        <v>2824</v>
      </c>
      <c r="DL255" s="72">
        <f>COUNTIF($M$255,DK255)*$D$44</f>
        <v>0</v>
      </c>
      <c r="DM255" s="63"/>
      <c r="DN255" s="73"/>
      <c r="DO255" s="72">
        <f t="shared" ref="DO255" si="8110">COUNTIF($M$255,DN255)*$D$44</f>
        <v>0</v>
      </c>
      <c r="DP255" s="63"/>
      <c r="DQ255" s="796" t="s">
        <v>2846</v>
      </c>
      <c r="DR255" s="72">
        <f t="shared" ref="DR255" si="8111">COUNTIF($M$255,DQ255)*$D$44</f>
        <v>0</v>
      </c>
      <c r="DS255" s="63"/>
      <c r="DT255" s="73" t="s">
        <v>2876</v>
      </c>
      <c r="DU255" s="72">
        <f t="shared" ref="DU255" si="8112">COUNTIF($M$255,DT255)*$D$44</f>
        <v>0</v>
      </c>
      <c r="DV255" s="63"/>
      <c r="DW255" s="73"/>
      <c r="DX255" s="72">
        <f t="shared" ref="DX255" si="8113">COUNTIF($M$255,DW255)*$D$44</f>
        <v>0</v>
      </c>
      <c r="DY255" s="63"/>
      <c r="DZ255" s="73"/>
      <c r="EA255" s="72">
        <f>COUNTIF($M$255,DZ255)*$D$44</f>
        <v>0</v>
      </c>
      <c r="EB255" s="63"/>
      <c r="EC255" s="73"/>
      <c r="ED255" s="72">
        <f t="shared" ref="ED255" si="8114">COUNTIF($M$255,EC255)*$D$44</f>
        <v>0</v>
      </c>
      <c r="EE255" s="63"/>
      <c r="EF255" s="73"/>
      <c r="EG255" s="72">
        <f t="shared" ref="EG255" si="8115">COUNTIF($M$255,EF255)*$D$44</f>
        <v>0</v>
      </c>
      <c r="EH255" s="63"/>
      <c r="EI255" s="73"/>
      <c r="EJ255" s="72">
        <f t="shared" ref="EJ255" si="8116">COUNTIF($M$255,EI255)*$D$44</f>
        <v>0</v>
      </c>
      <c r="EK255" s="63"/>
      <c r="EL255" s="73"/>
      <c r="EM255" s="72">
        <f t="shared" ref="EM255" si="8117">COUNTIF($M$255,EL255)*$D$44</f>
        <v>0</v>
      </c>
      <c r="EN255" s="63"/>
      <c r="EO255" s="73"/>
      <c r="EP255" s="72">
        <f t="shared" ref="EP255" si="8118">COUNTIF($M$255,EO255)*$D$44</f>
        <v>0</v>
      </c>
      <c r="EQ255" s="63"/>
      <c r="ER255" s="73"/>
      <c r="ES255" s="72">
        <f t="shared" ref="ES255" si="8119">COUNTIF($M$255,ER255)*$D$44</f>
        <v>0</v>
      </c>
      <c r="ET255" s="63"/>
      <c r="EU255" s="73"/>
      <c r="EV255" s="72">
        <f t="shared" ref="EV255" si="8120">COUNTIF($M$255,EU255)*$D$44</f>
        <v>0</v>
      </c>
      <c r="EW255" s="63"/>
      <c r="EX255" s="73"/>
      <c r="EY255" s="72">
        <f t="shared" ref="EY255" si="8121">COUNTIF($M$255,EX255)*$D$44</f>
        <v>0</v>
      </c>
      <c r="EZ255" s="63"/>
      <c r="FA255" s="73"/>
      <c r="FB255" s="72">
        <f t="shared" ref="FB255" si="8122">COUNTIF($M$255,FA255)*$D$44</f>
        <v>0</v>
      </c>
      <c r="FC255" s="63"/>
      <c r="FD255" s="73"/>
      <c r="FE255" s="72">
        <f t="shared" ref="FE255" si="8123">COUNTIF($M$255,FD255)*$D$44</f>
        <v>0</v>
      </c>
      <c r="FF255" s="63"/>
      <c r="FG255" s="73"/>
      <c r="FH255" s="72">
        <f t="shared" ref="FH255" si="8124">COUNTIF($M$255,FG255)*$D$44</f>
        <v>0</v>
      </c>
      <c r="FI255" s="63"/>
      <c r="FJ255" s="73"/>
      <c r="FK255" s="72">
        <f t="shared" ref="FK255" si="8125">COUNTIF($M$255,FJ255)*$D$44</f>
        <v>0</v>
      </c>
      <c r="FL255" s="63"/>
      <c r="FM255" s="73"/>
      <c r="FN255" s="72">
        <f t="shared" ref="FN255" si="8126">COUNTIF($M$255,FM255)*$D$44</f>
        <v>0</v>
      </c>
      <c r="FO255" s="63"/>
      <c r="FP255" s="73"/>
      <c r="FQ255" s="72">
        <f t="shared" ref="FQ255" si="8127">COUNTIF($M$255,FP255)*$D$44</f>
        <v>0</v>
      </c>
      <c r="FR255" s="63"/>
      <c r="FS255" s="73"/>
      <c r="FT255" s="72">
        <f t="shared" ref="FT255" si="8128">COUNTIF($M$255,FS255)*$D$44</f>
        <v>0</v>
      </c>
      <c r="FU255" s="63"/>
      <c r="FV255" s="73"/>
      <c r="FW255" s="72">
        <f t="shared" ref="FW255" si="8129">COUNTIF($M$255,FV255)*$D$44</f>
        <v>0</v>
      </c>
      <c r="FX255" s="63"/>
      <c r="FY255" s="73"/>
      <c r="FZ255" s="72">
        <f t="shared" ref="FZ255" si="8130">COUNTIF($M$255,FY255)*$D$44</f>
        <v>0</v>
      </c>
      <c r="GA255" s="63"/>
      <c r="GB255" s="73"/>
      <c r="GC255" s="72">
        <f t="shared" ref="GC255" si="8131">COUNTIF($M$255,GB255)*$D$44</f>
        <v>0</v>
      </c>
      <c r="GD255" s="63"/>
      <c r="GE255" s="73"/>
      <c r="GF255" s="72">
        <f t="shared" ref="GF255" si="8132">COUNTIF($M$255,GE255)*$D$44</f>
        <v>0</v>
      </c>
      <c r="GG255" s="63"/>
      <c r="GH255" s="73"/>
      <c r="GI255" s="72">
        <f t="shared" ref="GI255" si="8133">COUNTIF($M$255,GH255)*$D$44</f>
        <v>0</v>
      </c>
      <c r="GJ255" s="63"/>
      <c r="GK255" s="73"/>
      <c r="GL255" s="72">
        <f t="shared" ref="GL255" si="8134">COUNTIF($M$255,GK255)*$D$44</f>
        <v>0</v>
      </c>
      <c r="GM255" s="63"/>
      <c r="GN255" s="73"/>
      <c r="GO255" s="72">
        <f t="shared" ref="GO255" si="8135">COUNTIF($M$255,GN255)*$D$44</f>
        <v>0</v>
      </c>
      <c r="GP255" s="63"/>
      <c r="GQ255" s="73"/>
      <c r="GR255" s="72">
        <f t="shared" ref="GR255" si="8136">COUNTIF($M$255,GQ255)*$D$44</f>
        <v>0</v>
      </c>
      <c r="GS255" s="63"/>
      <c r="GT255" s="73"/>
      <c r="GU255" s="72">
        <f t="shared" ref="GU255" si="8137">COUNTIF($M$255,GT255)*$D$44</f>
        <v>0</v>
      </c>
      <c r="GV255" s="63"/>
      <c r="GW255" s="73"/>
      <c r="GX255" s="72">
        <f t="shared" ref="GX255" si="8138">COUNTIF($M$255,GW255)*$D$44</f>
        <v>0</v>
      </c>
      <c r="GY255" s="63"/>
      <c r="GZ255" s="73"/>
      <c r="HA255" s="72">
        <f t="shared" ref="HA255" si="8139">COUNTIF($M$255,GZ255)*$D$44</f>
        <v>0</v>
      </c>
      <c r="HB255" s="63"/>
      <c r="HC255" s="73"/>
      <c r="HD255" s="72">
        <f t="shared" ref="HD255" si="8140">COUNTIF($M$255,HC255)*$D$44</f>
        <v>0</v>
      </c>
      <c r="HE255" s="63"/>
      <c r="HF255" s="73"/>
      <c r="HG255" s="72">
        <f t="shared" ref="HG255" si="8141">COUNTIF($M$255,HF255)*$D$44</f>
        <v>0</v>
      </c>
      <c r="HH255" s="63"/>
      <c r="HI255" s="73"/>
      <c r="HJ255" s="72">
        <f t="shared" ref="HJ255" si="8142">COUNTIF($M$255,HI255)*$D$44</f>
        <v>0</v>
      </c>
      <c r="HK255" s="63"/>
      <c r="HL255" s="73"/>
      <c r="HM255" s="72">
        <f t="shared" ref="HM255" si="8143">COUNTIF($M$255,HL255)*$D$44</f>
        <v>0</v>
      </c>
      <c r="HN255" s="63"/>
      <c r="HO255" s="73"/>
      <c r="HP255" s="72">
        <f t="shared" ref="HP255" si="8144">COUNTIF($M$255,HO255)*$D$44</f>
        <v>0</v>
      </c>
      <c r="HQ255" s="63"/>
      <c r="HR255" s="73"/>
      <c r="HS255" s="72">
        <f t="shared" ref="HS255" si="8145">COUNTIF($M$255,HR255)*$D$44</f>
        <v>0</v>
      </c>
      <c r="HT255" s="63"/>
      <c r="HU255" s="73"/>
      <c r="HV255" s="72">
        <f t="shared" ref="HV255" si="8146">COUNTIF($M$255,HU255)*$D$44</f>
        <v>0</v>
      </c>
      <c r="HW255" s="63"/>
      <c r="HX255" s="73"/>
      <c r="HY255" s="72">
        <f t="shared" ref="HY255" si="8147">COUNTIF($M$255,HX255)*$D$44</f>
        <v>0</v>
      </c>
      <c r="HZ255" s="63"/>
      <c r="IA255" s="73"/>
      <c r="IB255" s="72">
        <f t="shared" ref="IB255" si="8148">COUNTIF($M$255,IA255)*$D$44</f>
        <v>0</v>
      </c>
      <c r="IC255" s="63"/>
      <c r="ID255" s="73"/>
      <c r="IE255" s="72">
        <f t="shared" ref="IE255" si="8149">COUNTIF($M$255,ID255)*$D$44</f>
        <v>0</v>
      </c>
      <c r="IF255" s="63"/>
      <c r="IG255" s="73"/>
      <c r="IH255" s="72">
        <f t="shared" ref="IH255" si="8150">COUNTIF($M$255,IG255)*$D$44</f>
        <v>0</v>
      </c>
      <c r="II255" s="63"/>
      <c r="IJ255" s="73"/>
      <c r="IK255" s="72">
        <f t="shared" ref="IK255" si="8151">COUNTIF($M$255,IJ255)*$D$44</f>
        <v>0</v>
      </c>
      <c r="IL255" s="63"/>
      <c r="IM255" s="73"/>
      <c r="IN255" s="72">
        <f t="shared" ref="IN255" si="8152">COUNTIF($M$255,IM255)*$D$44</f>
        <v>0</v>
      </c>
      <c r="IO255" s="63"/>
      <c r="IP255" s="73"/>
      <c r="IQ255" s="72">
        <f t="shared" ref="IQ255" si="8153">COUNTIF($M$255,IP255)*$D$44</f>
        <v>0</v>
      </c>
      <c r="IR255" s="63"/>
      <c r="IS255" s="73"/>
      <c r="IT255" s="72">
        <f t="shared" ref="IT255" si="8154">COUNTIF($M$255,IS255)*$D$44</f>
        <v>0</v>
      </c>
      <c r="IU255" s="63"/>
      <c r="IV255" s="73"/>
      <c r="IW255" s="72">
        <f t="shared" ref="IW255" si="8155">COUNTIF($M$255,IV255)*$D$44</f>
        <v>0</v>
      </c>
      <c r="IX255" s="63"/>
      <c r="IY255" s="73"/>
      <c r="IZ255" s="72">
        <f t="shared" ref="IZ255" si="8156">COUNTIF($M$255,IY255)*$D$44</f>
        <v>0</v>
      </c>
      <c r="JA255" s="63"/>
      <c r="JB255" s="73"/>
      <c r="JC255" s="72">
        <f t="shared" ref="JC255" si="8157">COUNTIF($M$255,JB255)*$D$44</f>
        <v>0</v>
      </c>
      <c r="JD255" s="63"/>
      <c r="JE255" s="73"/>
      <c r="JF255" s="72">
        <f t="shared" ref="JF255" si="8158">COUNTIF($M$255,JE255)*$D$44</f>
        <v>0</v>
      </c>
      <c r="JG255" s="63"/>
      <c r="JH255" s="73"/>
      <c r="JI255" s="72">
        <f t="shared" ref="JI255" si="8159">COUNTIF($M$255,JH255)*$D$44</f>
        <v>0</v>
      </c>
      <c r="JJ255" s="63"/>
      <c r="JK255" s="73"/>
      <c r="JL255" s="72">
        <f t="shared" ref="JL255" si="8160">COUNTIF($M$255,JK255)*$D$44</f>
        <v>0</v>
      </c>
      <c r="JM255" s="63"/>
      <c r="JN255" s="73"/>
      <c r="JO255" s="72">
        <f t="shared" ref="JO255" si="8161">COUNTIF($M$255,JN255)*$D$44</f>
        <v>0</v>
      </c>
      <c r="JP255" s="63"/>
      <c r="JQ255" s="73"/>
      <c r="JR255" s="72">
        <f t="shared" ref="JR255" si="8162">COUNTIF($M$255,JQ255)*$D$44</f>
        <v>0</v>
      </c>
      <c r="JS255" s="63"/>
      <c r="JT255" s="73"/>
      <c r="JU255" s="72">
        <f t="shared" ref="JU255" si="8163">COUNTIF($M$255,JT255)*$D$44</f>
        <v>0</v>
      </c>
      <c r="JV255" s="63"/>
      <c r="JW255" s="73"/>
      <c r="JX255" s="72">
        <f t="shared" ref="JX255" si="8164">COUNTIF($M$255,JW255)*$D$44</f>
        <v>0</v>
      </c>
      <c r="JY255" s="63"/>
      <c r="JZ255" s="73"/>
      <c r="KA255" s="72">
        <f t="shared" ref="KA255" si="8165">COUNTIF($M$255,JZ255)*$D$44</f>
        <v>0</v>
      </c>
      <c r="KB255" s="63"/>
      <c r="KC255" s="73"/>
      <c r="KD255" s="72">
        <f t="shared" ref="KD255" si="8166">COUNTIF($M$255,KC255)*$D$44</f>
        <v>0</v>
      </c>
      <c r="KE255" s="63"/>
      <c r="KF255" s="73"/>
      <c r="KG255" s="72">
        <f t="shared" ref="KG255" si="8167">COUNTIF($M$255,KF255)*$D$44</f>
        <v>0</v>
      </c>
      <c r="KH255" s="63"/>
      <c r="KI255" s="73"/>
      <c r="KJ255" s="72">
        <f t="shared" ref="KJ255" si="8168">COUNTIF($M$255,KI255)*$D$44</f>
        <v>0</v>
      </c>
      <c r="KK255" s="63"/>
      <c r="KL255" s="73"/>
      <c r="KM255" s="72">
        <f t="shared" ref="KM255" si="8169">COUNTIF($M$255,KL255)*$D$44</f>
        <v>0</v>
      </c>
      <c r="KN255" s="63"/>
      <c r="KO255" s="73"/>
      <c r="KP255" s="72">
        <f t="shared" ref="KP255" si="8170">COUNTIF($M$255,KO255)*$D$44</f>
        <v>0</v>
      </c>
      <c r="KQ255" s="63"/>
      <c r="KR255" s="73"/>
      <c r="KS255" s="72">
        <f t="shared" ref="KS255" si="8171">COUNTIF($M$255,KR255)*$D$44</f>
        <v>0</v>
      </c>
      <c r="KT255" s="63"/>
      <c r="KU255" s="73"/>
      <c r="KV255" s="72">
        <f t="shared" ref="KV255" si="8172">COUNTIF($M$255,KU255)*$D$44</f>
        <v>0</v>
      </c>
      <c r="KW255" s="63"/>
      <c r="KX255" s="73"/>
      <c r="KY255" s="72">
        <f t="shared" ref="KY255" si="8173">COUNTIF($M$255,KX255)*$D$44</f>
        <v>0</v>
      </c>
      <c r="KZ255" s="63"/>
      <c r="LA255" s="73"/>
      <c r="LB255" s="72">
        <f t="shared" ref="LB255" si="8174">COUNTIF($M$255,LA255)*$D$44</f>
        <v>0</v>
      </c>
      <c r="LC255" s="63"/>
      <c r="LD255" s="73"/>
      <c r="LE255" s="72">
        <f t="shared" ref="LE255" si="8175">COUNTIF($M$255,LD255)*$D$44</f>
        <v>0</v>
      </c>
      <c r="LF255" s="63"/>
    </row>
    <row r="256" spans="1:318" s="784" customFormat="1" ht="16.05" customHeight="1">
      <c r="A256" s="17"/>
      <c r="B256" s="17"/>
      <c r="C256" s="17"/>
      <c r="D256" s="17"/>
      <c r="E256" s="88"/>
      <c r="F256" s="406">
        <f t="shared" si="7599"/>
        <v>25</v>
      </c>
      <c r="G256" s="406">
        <f ca="1">VLOOKUP(H256,Equipos!$Q$1:$R$25,2,0)</f>
        <v>24</v>
      </c>
      <c r="H256" s="64" t="str">
        <f>Idiomas!$D$264</f>
        <v>3-4 &amp; Final</v>
      </c>
      <c r="I256" s="50"/>
      <c r="J256" s="98"/>
      <c r="K256" s="56" t="str">
        <f>WORLDCUP!W158</f>
        <v>Balón de Oro  (mejor jugador)</v>
      </c>
      <c r="L256" s="53"/>
      <c r="M256" s="55" t="str">
        <f>WORLDCUP!AA158</f>
        <v>Escribe el jugador Balón de Oro</v>
      </c>
      <c r="N256" s="25"/>
      <c r="O256" s="25"/>
      <c r="P256" s="25"/>
      <c r="Q256" s="25"/>
      <c r="R256" s="17"/>
      <c r="S256" s="796" t="s">
        <v>1999</v>
      </c>
      <c r="T256" s="72">
        <f t="shared" ref="T256" si="8176">COUNTIF($M$256,S256)*$D$45</f>
        <v>0</v>
      </c>
      <c r="U256" s="63"/>
      <c r="V256" s="73" t="s">
        <v>2041</v>
      </c>
      <c r="W256" s="72">
        <f t="shared" ref="W256" si="8177">COUNTIF($M$256,V256)*$D$45</f>
        <v>0</v>
      </c>
      <c r="X256" s="63"/>
      <c r="Y256" s="796" t="s">
        <v>2085</v>
      </c>
      <c r="Z256" s="72">
        <f t="shared" ref="Z256" si="8178">COUNTIF($M$256,Y256)*$D$45</f>
        <v>0</v>
      </c>
      <c r="AA256" s="63"/>
      <c r="AB256" s="796" t="s">
        <v>2119</v>
      </c>
      <c r="AC256" s="72">
        <f t="shared" ref="AC256" si="8179">COUNTIF($M$256,AB256)*$D$45</f>
        <v>0</v>
      </c>
      <c r="AD256" s="63"/>
      <c r="AE256" s="796" t="s">
        <v>2154</v>
      </c>
      <c r="AF256" s="72">
        <f t="shared" ref="AF256" si="8180">COUNTIF($M$256,AE256)*$D$45</f>
        <v>0</v>
      </c>
      <c r="AG256" s="63"/>
      <c r="AH256" s="796" t="s">
        <v>2154</v>
      </c>
      <c r="AI256" s="72">
        <f t="shared" ref="AI256" si="8181">COUNTIF($M$256,AH256)*$D$45</f>
        <v>0</v>
      </c>
      <c r="AJ256" s="63"/>
      <c r="AK256" s="806" t="s">
        <v>2188</v>
      </c>
      <c r="AL256" s="72">
        <f t="shared" ref="AL256" si="8182">COUNTIF($M$256,AK256)*$D$45</f>
        <v>0</v>
      </c>
      <c r="AM256" s="63"/>
      <c r="AN256" s="796" t="s">
        <v>2000</v>
      </c>
      <c r="AO256" s="72">
        <f t="shared" ref="AO256" si="8183">COUNTIF($M$256,AN256)*$D$45</f>
        <v>0</v>
      </c>
      <c r="AP256" s="63"/>
      <c r="AQ256" s="806" t="s">
        <v>2280</v>
      </c>
      <c r="AR256" s="72">
        <f t="shared" ref="AR256" si="8184">COUNTIF($M$256,AQ256)*$D$45</f>
        <v>0</v>
      </c>
      <c r="AS256" s="63"/>
      <c r="AT256" s="796" t="s">
        <v>2001</v>
      </c>
      <c r="AU256" s="72">
        <f t="shared" ref="AU256" si="8185">COUNTIF($M$256,AT256)*$D$45</f>
        <v>0</v>
      </c>
      <c r="AV256" s="63"/>
      <c r="AW256" s="796" t="s">
        <v>2332</v>
      </c>
      <c r="AX256" s="72">
        <f t="shared" ref="AX256" si="8186">COUNTIF($M$256,AW256)*$D$45</f>
        <v>0</v>
      </c>
      <c r="AY256" s="63"/>
      <c r="AZ256" s="796" t="s">
        <v>2385</v>
      </c>
      <c r="BA256" s="72">
        <f t="shared" ref="BA256" si="8187">COUNTIF($M$256,AZ256)*$D$45</f>
        <v>0</v>
      </c>
      <c r="BB256" s="63"/>
      <c r="BC256" s="796" t="s">
        <v>2001</v>
      </c>
      <c r="BD256" s="72">
        <f t="shared" ref="BD256" si="8188">COUNTIF($M$256,BC256)*$D$45</f>
        <v>0</v>
      </c>
      <c r="BE256" s="63"/>
      <c r="BF256" s="796" t="s">
        <v>2443</v>
      </c>
      <c r="BG256" s="72">
        <f t="shared" ref="BG256" si="8189">COUNTIF($M$256,BF256)*$D$45</f>
        <v>0</v>
      </c>
      <c r="BH256" s="63"/>
      <c r="BI256" s="796" t="s">
        <v>2155</v>
      </c>
      <c r="BJ256" s="72">
        <f t="shared" ref="BJ256" si="8190">COUNTIF($M$256,BI256)*$D$45</f>
        <v>0</v>
      </c>
      <c r="BK256" s="63"/>
      <c r="BL256" s="796" t="s">
        <v>2493</v>
      </c>
      <c r="BM256" s="72">
        <f t="shared" ref="BM256" si="8191">COUNTIF($M$256,BL256)*$D$45</f>
        <v>0</v>
      </c>
      <c r="BN256" s="63"/>
      <c r="BO256" s="816" t="s">
        <v>2513</v>
      </c>
      <c r="BP256" s="72">
        <f t="shared" ref="BP256" si="8192">COUNTIF($M$256,BO256)*$D$45</f>
        <v>0</v>
      </c>
      <c r="BQ256" s="63"/>
      <c r="BR256" s="796" t="s">
        <v>2001</v>
      </c>
      <c r="BS256" s="72">
        <f t="shared" ref="BS256" si="8193">COUNTIF($M$256,BR256)*$D$45</f>
        <v>0</v>
      </c>
      <c r="BT256" s="63"/>
      <c r="BU256" s="796" t="s">
        <v>2002</v>
      </c>
      <c r="BV256" s="72">
        <f t="shared" ref="BV256" si="8194">COUNTIF($M$256,BU256)*$D$45</f>
        <v>0</v>
      </c>
      <c r="BW256" s="63"/>
      <c r="BX256" s="73" t="s">
        <v>2000</v>
      </c>
      <c r="BY256" s="72">
        <f t="shared" ref="BY256" si="8195">COUNTIF($M$256,BX256)*$D$45</f>
        <v>0</v>
      </c>
      <c r="BZ256" s="63"/>
      <c r="CA256" s="816" t="s">
        <v>1999</v>
      </c>
      <c r="CB256" s="72">
        <f t="shared" ref="CB256" si="8196">COUNTIF($M$256,CA256)*$D$45</f>
        <v>0</v>
      </c>
      <c r="CC256" s="63"/>
      <c r="CD256" s="825" t="s">
        <v>2154</v>
      </c>
      <c r="CE256" s="72">
        <f t="shared" ref="CE256" si="8197">COUNTIF($M$256,CD256)*$D$45</f>
        <v>0</v>
      </c>
      <c r="CF256" s="63"/>
      <c r="CG256" s="796" t="s">
        <v>2000</v>
      </c>
      <c r="CH256" s="72">
        <f t="shared" ref="CH256" si="8198">COUNTIF($M$256,CG256)*$D$45</f>
        <v>0</v>
      </c>
      <c r="CI256" s="63"/>
      <c r="CJ256" s="796" t="s">
        <v>2121</v>
      </c>
      <c r="CK256" s="72">
        <f t="shared" ref="CK256" si="8199">COUNTIF($M$256,CJ256)*$D$45</f>
        <v>0</v>
      </c>
      <c r="CL256" s="63"/>
      <c r="CM256" s="796" t="s">
        <v>2666</v>
      </c>
      <c r="CN256" s="72">
        <f t="shared" ref="CN256" si="8200">COUNTIF($M$256,CM256)*$D$45</f>
        <v>0</v>
      </c>
      <c r="CO256" s="63"/>
      <c r="CP256" s="796" t="s">
        <v>2689</v>
      </c>
      <c r="CQ256" s="72">
        <f t="shared" ref="CQ256" si="8201">COUNTIF($M$256,CP256)*$D$45</f>
        <v>0</v>
      </c>
      <c r="CR256" s="63"/>
      <c r="CS256" s="796" t="s">
        <v>2709</v>
      </c>
      <c r="CT256" s="72">
        <f t="shared" ref="CT256" si="8202">COUNTIF($M$256,CS256)*$D$45</f>
        <v>0</v>
      </c>
      <c r="CU256" s="63"/>
      <c r="CV256" s="796" t="s">
        <v>2513</v>
      </c>
      <c r="CW256" s="72">
        <f t="shared" ref="CW256" si="8203">COUNTIF($M$256,CV256)*$D$45</f>
        <v>0</v>
      </c>
      <c r="CX256" s="63"/>
      <c r="CY256" s="796" t="s">
        <v>2763</v>
      </c>
      <c r="CZ256" s="72">
        <f t="shared" ref="CZ256" si="8204">COUNTIF($M$256,CY256)*$D$45</f>
        <v>0</v>
      </c>
      <c r="DA256" s="63"/>
      <c r="DB256" s="796" t="s">
        <v>2154</v>
      </c>
      <c r="DC256" s="72">
        <f t="shared" ref="DC256" si="8205">COUNTIF($M$256,DB256)*$D$45</f>
        <v>0</v>
      </c>
      <c r="DD256" s="63"/>
      <c r="DE256" s="796" t="s">
        <v>2121</v>
      </c>
      <c r="DF256" s="72">
        <f>COUNTIF($M$256,DE256)*$D$45</f>
        <v>0</v>
      </c>
      <c r="DG256" s="63"/>
      <c r="DH256" s="796" t="s">
        <v>1999</v>
      </c>
      <c r="DI256" s="72">
        <f>COUNTIF($M$256,DH256)*$D$45</f>
        <v>0</v>
      </c>
      <c r="DJ256" s="63"/>
      <c r="DK256" s="796" t="s">
        <v>2000</v>
      </c>
      <c r="DL256" s="72">
        <f>COUNTIF($M$256,DK256)*$D$45</f>
        <v>0</v>
      </c>
      <c r="DM256" s="63"/>
      <c r="DN256" s="73"/>
      <c r="DO256" s="72">
        <f t="shared" ref="DO256" si="8206">COUNTIF($M$256,DN256)*$D$45</f>
        <v>0</v>
      </c>
      <c r="DP256" s="63"/>
      <c r="DQ256" s="796" t="s">
        <v>1999</v>
      </c>
      <c r="DR256" s="72">
        <f t="shared" ref="DR256" si="8207">COUNTIF($M$256,DQ256)*$D$45</f>
        <v>0</v>
      </c>
      <c r="DS256" s="63"/>
      <c r="DT256" s="73" t="s">
        <v>2002</v>
      </c>
      <c r="DU256" s="72">
        <f t="shared" ref="DU256" si="8208">COUNTIF($M$256,DT256)*$D$45</f>
        <v>0</v>
      </c>
      <c r="DV256" s="63"/>
      <c r="DW256" s="73"/>
      <c r="DX256" s="72">
        <f t="shared" ref="DX256" si="8209">COUNTIF($M$256,DW256)*$D$45</f>
        <v>0</v>
      </c>
      <c r="DY256" s="63"/>
      <c r="DZ256" s="73"/>
      <c r="EA256" s="72">
        <f>COUNTIF($M$256,DZ256)*$D$45</f>
        <v>0</v>
      </c>
      <c r="EB256" s="63"/>
      <c r="EC256" s="73"/>
      <c r="ED256" s="72">
        <f t="shared" ref="ED256" si="8210">COUNTIF($M$256,EC256)*$D$45</f>
        <v>0</v>
      </c>
      <c r="EE256" s="63"/>
      <c r="EF256" s="73"/>
      <c r="EG256" s="72">
        <f t="shared" ref="EG256" si="8211">COUNTIF($M$256,EF256)*$D$45</f>
        <v>0</v>
      </c>
      <c r="EH256" s="63"/>
      <c r="EI256" s="73"/>
      <c r="EJ256" s="72">
        <f t="shared" ref="EJ256" si="8212">COUNTIF($M$256,EI256)*$D$45</f>
        <v>0</v>
      </c>
      <c r="EK256" s="63"/>
      <c r="EL256" s="73"/>
      <c r="EM256" s="72">
        <f t="shared" ref="EM256" si="8213">COUNTIF($M$256,EL256)*$D$45</f>
        <v>0</v>
      </c>
      <c r="EN256" s="63"/>
      <c r="EO256" s="73"/>
      <c r="EP256" s="72">
        <f t="shared" ref="EP256" si="8214">COUNTIF($M$256,EO256)*$D$45</f>
        <v>0</v>
      </c>
      <c r="EQ256" s="63"/>
      <c r="ER256" s="73"/>
      <c r="ES256" s="72">
        <f t="shared" ref="ES256" si="8215">COUNTIF($M$256,ER256)*$D$45</f>
        <v>0</v>
      </c>
      <c r="ET256" s="63"/>
      <c r="EU256" s="73"/>
      <c r="EV256" s="72">
        <f t="shared" ref="EV256" si="8216">COUNTIF($M$256,EU256)*$D$45</f>
        <v>0</v>
      </c>
      <c r="EW256" s="63"/>
      <c r="EX256" s="73"/>
      <c r="EY256" s="72">
        <f t="shared" ref="EY256" si="8217">COUNTIF($M$256,EX256)*$D$45</f>
        <v>0</v>
      </c>
      <c r="EZ256" s="63"/>
      <c r="FA256" s="73"/>
      <c r="FB256" s="72">
        <f t="shared" ref="FB256" si="8218">COUNTIF($M$256,FA256)*$D$45</f>
        <v>0</v>
      </c>
      <c r="FC256" s="63"/>
      <c r="FD256" s="73"/>
      <c r="FE256" s="72">
        <f t="shared" ref="FE256" si="8219">COUNTIF($M$256,FD256)*$D$45</f>
        <v>0</v>
      </c>
      <c r="FF256" s="63"/>
      <c r="FG256" s="73"/>
      <c r="FH256" s="72">
        <f t="shared" ref="FH256" si="8220">COUNTIF($M$256,FG256)*$D$45</f>
        <v>0</v>
      </c>
      <c r="FI256" s="63"/>
      <c r="FJ256" s="73"/>
      <c r="FK256" s="72">
        <f t="shared" ref="FK256" si="8221">COUNTIF($M$256,FJ256)*$D$45</f>
        <v>0</v>
      </c>
      <c r="FL256" s="63"/>
      <c r="FM256" s="73"/>
      <c r="FN256" s="72">
        <f t="shared" ref="FN256" si="8222">COUNTIF($M$256,FM256)*$D$45</f>
        <v>0</v>
      </c>
      <c r="FO256" s="63"/>
      <c r="FP256" s="73"/>
      <c r="FQ256" s="72">
        <f t="shared" ref="FQ256" si="8223">COUNTIF($M$256,FP256)*$D$45</f>
        <v>0</v>
      </c>
      <c r="FR256" s="63"/>
      <c r="FS256" s="73"/>
      <c r="FT256" s="72">
        <f t="shared" ref="FT256" si="8224">COUNTIF($M$256,FS256)*$D$45</f>
        <v>0</v>
      </c>
      <c r="FU256" s="63"/>
      <c r="FV256" s="73"/>
      <c r="FW256" s="72">
        <f t="shared" ref="FW256" si="8225">COUNTIF($M$256,FV256)*$D$45</f>
        <v>0</v>
      </c>
      <c r="FX256" s="63"/>
      <c r="FY256" s="73"/>
      <c r="FZ256" s="72">
        <f t="shared" ref="FZ256" si="8226">COUNTIF($M$256,FY256)*$D$45</f>
        <v>0</v>
      </c>
      <c r="GA256" s="63"/>
      <c r="GB256" s="73"/>
      <c r="GC256" s="72">
        <f t="shared" ref="GC256" si="8227">COUNTIF($M$256,GB256)*$D$45</f>
        <v>0</v>
      </c>
      <c r="GD256" s="63"/>
      <c r="GE256" s="73"/>
      <c r="GF256" s="72">
        <f t="shared" ref="GF256" si="8228">COUNTIF($M$256,GE256)*$D$45</f>
        <v>0</v>
      </c>
      <c r="GG256" s="63"/>
      <c r="GH256" s="73"/>
      <c r="GI256" s="72">
        <f t="shared" ref="GI256" si="8229">COUNTIF($M$256,GH256)*$D$45</f>
        <v>0</v>
      </c>
      <c r="GJ256" s="63"/>
      <c r="GK256" s="73"/>
      <c r="GL256" s="72">
        <f t="shared" ref="GL256" si="8230">COUNTIF($M$256,GK256)*$D$45</f>
        <v>0</v>
      </c>
      <c r="GM256" s="63"/>
      <c r="GN256" s="73"/>
      <c r="GO256" s="72">
        <f t="shared" ref="GO256" si="8231">COUNTIF($M$256,GN256)*$D$45</f>
        <v>0</v>
      </c>
      <c r="GP256" s="63"/>
      <c r="GQ256" s="73"/>
      <c r="GR256" s="72">
        <f t="shared" ref="GR256" si="8232">COUNTIF($M$256,GQ256)*$D$45</f>
        <v>0</v>
      </c>
      <c r="GS256" s="63"/>
      <c r="GT256" s="73"/>
      <c r="GU256" s="72">
        <f t="shared" ref="GU256" si="8233">COUNTIF($M$256,GT256)*$D$45</f>
        <v>0</v>
      </c>
      <c r="GV256" s="63"/>
      <c r="GW256" s="73"/>
      <c r="GX256" s="72">
        <f t="shared" ref="GX256" si="8234">COUNTIF($M$256,GW256)*$D$45</f>
        <v>0</v>
      </c>
      <c r="GY256" s="63"/>
      <c r="GZ256" s="73"/>
      <c r="HA256" s="72">
        <f t="shared" ref="HA256" si="8235">COUNTIF($M$256,GZ256)*$D$45</f>
        <v>0</v>
      </c>
      <c r="HB256" s="63"/>
      <c r="HC256" s="73"/>
      <c r="HD256" s="72">
        <f t="shared" ref="HD256" si="8236">COUNTIF($M$256,HC256)*$D$45</f>
        <v>0</v>
      </c>
      <c r="HE256" s="63"/>
      <c r="HF256" s="73"/>
      <c r="HG256" s="72">
        <f t="shared" ref="HG256" si="8237">COUNTIF($M$256,HF256)*$D$45</f>
        <v>0</v>
      </c>
      <c r="HH256" s="63"/>
      <c r="HI256" s="73"/>
      <c r="HJ256" s="72">
        <f t="shared" ref="HJ256" si="8238">COUNTIF($M$256,HI256)*$D$45</f>
        <v>0</v>
      </c>
      <c r="HK256" s="63"/>
      <c r="HL256" s="73"/>
      <c r="HM256" s="72">
        <f t="shared" ref="HM256" si="8239">COUNTIF($M$256,HL256)*$D$45</f>
        <v>0</v>
      </c>
      <c r="HN256" s="63"/>
      <c r="HO256" s="73"/>
      <c r="HP256" s="72">
        <f t="shared" ref="HP256" si="8240">COUNTIF($M$256,HO256)*$D$45</f>
        <v>0</v>
      </c>
      <c r="HQ256" s="63"/>
      <c r="HR256" s="73"/>
      <c r="HS256" s="72">
        <f t="shared" ref="HS256" si="8241">COUNTIF($M$256,HR256)*$D$45</f>
        <v>0</v>
      </c>
      <c r="HT256" s="63"/>
      <c r="HU256" s="73"/>
      <c r="HV256" s="72">
        <f t="shared" ref="HV256" si="8242">COUNTIF($M$256,HU256)*$D$45</f>
        <v>0</v>
      </c>
      <c r="HW256" s="63"/>
      <c r="HX256" s="73"/>
      <c r="HY256" s="72">
        <f t="shared" ref="HY256" si="8243">COUNTIF($M$256,HX256)*$D$45</f>
        <v>0</v>
      </c>
      <c r="HZ256" s="63"/>
      <c r="IA256" s="73"/>
      <c r="IB256" s="72">
        <f t="shared" ref="IB256" si="8244">COUNTIF($M$256,IA256)*$D$45</f>
        <v>0</v>
      </c>
      <c r="IC256" s="63"/>
      <c r="ID256" s="73"/>
      <c r="IE256" s="72">
        <f t="shared" ref="IE256" si="8245">COUNTIF($M$256,ID256)*$D$45</f>
        <v>0</v>
      </c>
      <c r="IF256" s="63"/>
      <c r="IG256" s="73"/>
      <c r="IH256" s="72">
        <f t="shared" ref="IH256" si="8246">COUNTIF($M$256,IG256)*$D$45</f>
        <v>0</v>
      </c>
      <c r="II256" s="63"/>
      <c r="IJ256" s="73"/>
      <c r="IK256" s="72">
        <f t="shared" ref="IK256" si="8247">COUNTIF($M$256,IJ256)*$D$45</f>
        <v>0</v>
      </c>
      <c r="IL256" s="63"/>
      <c r="IM256" s="73"/>
      <c r="IN256" s="72">
        <f t="shared" ref="IN256" si="8248">COUNTIF($M$256,IM256)*$D$45</f>
        <v>0</v>
      </c>
      <c r="IO256" s="63"/>
      <c r="IP256" s="73"/>
      <c r="IQ256" s="72">
        <f t="shared" ref="IQ256" si="8249">COUNTIF($M$256,IP256)*$D$45</f>
        <v>0</v>
      </c>
      <c r="IR256" s="63"/>
      <c r="IS256" s="73"/>
      <c r="IT256" s="72">
        <f t="shared" ref="IT256" si="8250">COUNTIF($M$256,IS256)*$D$45</f>
        <v>0</v>
      </c>
      <c r="IU256" s="63"/>
      <c r="IV256" s="73"/>
      <c r="IW256" s="72">
        <f t="shared" ref="IW256" si="8251">COUNTIF($M$256,IV256)*$D$45</f>
        <v>0</v>
      </c>
      <c r="IX256" s="63"/>
      <c r="IY256" s="73"/>
      <c r="IZ256" s="72">
        <f t="shared" ref="IZ256" si="8252">COUNTIF($M$256,IY256)*$D$45</f>
        <v>0</v>
      </c>
      <c r="JA256" s="63"/>
      <c r="JB256" s="73"/>
      <c r="JC256" s="72">
        <f t="shared" ref="JC256" si="8253">COUNTIF($M$256,JB256)*$D$45</f>
        <v>0</v>
      </c>
      <c r="JD256" s="63"/>
      <c r="JE256" s="73"/>
      <c r="JF256" s="72">
        <f t="shared" ref="JF256" si="8254">COUNTIF($M$256,JE256)*$D$45</f>
        <v>0</v>
      </c>
      <c r="JG256" s="63"/>
      <c r="JH256" s="73"/>
      <c r="JI256" s="72">
        <f t="shared" ref="JI256" si="8255">COUNTIF($M$256,JH256)*$D$45</f>
        <v>0</v>
      </c>
      <c r="JJ256" s="63"/>
      <c r="JK256" s="73"/>
      <c r="JL256" s="72">
        <f t="shared" ref="JL256" si="8256">COUNTIF($M$256,JK256)*$D$45</f>
        <v>0</v>
      </c>
      <c r="JM256" s="63"/>
      <c r="JN256" s="73"/>
      <c r="JO256" s="72">
        <f t="shared" ref="JO256" si="8257">COUNTIF($M$256,JN256)*$D$45</f>
        <v>0</v>
      </c>
      <c r="JP256" s="63"/>
      <c r="JQ256" s="73"/>
      <c r="JR256" s="72">
        <f t="shared" ref="JR256" si="8258">COUNTIF($M$256,JQ256)*$D$45</f>
        <v>0</v>
      </c>
      <c r="JS256" s="63"/>
      <c r="JT256" s="73"/>
      <c r="JU256" s="72">
        <f t="shared" ref="JU256" si="8259">COUNTIF($M$256,JT256)*$D$45</f>
        <v>0</v>
      </c>
      <c r="JV256" s="63"/>
      <c r="JW256" s="73"/>
      <c r="JX256" s="72">
        <f t="shared" ref="JX256" si="8260">COUNTIF($M$256,JW256)*$D$45</f>
        <v>0</v>
      </c>
      <c r="JY256" s="63"/>
      <c r="JZ256" s="73"/>
      <c r="KA256" s="72">
        <f t="shared" ref="KA256" si="8261">COUNTIF($M$256,JZ256)*$D$45</f>
        <v>0</v>
      </c>
      <c r="KB256" s="63"/>
      <c r="KC256" s="73"/>
      <c r="KD256" s="72">
        <f t="shared" ref="KD256" si="8262">COUNTIF($M$256,KC256)*$D$45</f>
        <v>0</v>
      </c>
      <c r="KE256" s="63"/>
      <c r="KF256" s="73"/>
      <c r="KG256" s="72">
        <f t="shared" ref="KG256" si="8263">COUNTIF($M$256,KF256)*$D$45</f>
        <v>0</v>
      </c>
      <c r="KH256" s="63"/>
      <c r="KI256" s="73"/>
      <c r="KJ256" s="72">
        <f t="shared" ref="KJ256" si="8264">COUNTIF($M$256,KI256)*$D$45</f>
        <v>0</v>
      </c>
      <c r="KK256" s="63"/>
      <c r="KL256" s="73"/>
      <c r="KM256" s="72">
        <f t="shared" ref="KM256" si="8265">COUNTIF($M$256,KL256)*$D$45</f>
        <v>0</v>
      </c>
      <c r="KN256" s="63"/>
      <c r="KO256" s="73"/>
      <c r="KP256" s="72">
        <f t="shared" ref="KP256" si="8266">COUNTIF($M$256,KO256)*$D$45</f>
        <v>0</v>
      </c>
      <c r="KQ256" s="63"/>
      <c r="KR256" s="73"/>
      <c r="KS256" s="72">
        <f t="shared" ref="KS256" si="8267">COUNTIF($M$256,KR256)*$D$45</f>
        <v>0</v>
      </c>
      <c r="KT256" s="63"/>
      <c r="KU256" s="73"/>
      <c r="KV256" s="72">
        <f t="shared" ref="KV256" si="8268">COUNTIF($M$256,KU256)*$D$45</f>
        <v>0</v>
      </c>
      <c r="KW256" s="63"/>
      <c r="KX256" s="73"/>
      <c r="KY256" s="72">
        <f t="shared" ref="KY256" si="8269">COUNTIF($M$256,KX256)*$D$45</f>
        <v>0</v>
      </c>
      <c r="KZ256" s="63"/>
      <c r="LA256" s="73"/>
      <c r="LB256" s="72">
        <f t="shared" ref="LB256" si="8270">COUNTIF($M$256,LA256)*$D$45</f>
        <v>0</v>
      </c>
      <c r="LC256" s="63"/>
      <c r="LD256" s="73"/>
      <c r="LE256" s="72">
        <f t="shared" ref="LE256" si="8271">COUNTIF($M$256,LD256)*$D$45</f>
        <v>0</v>
      </c>
      <c r="LF256" s="63"/>
    </row>
    <row r="257" spans="1:465" s="784" customFormat="1" ht="16.05" customHeight="1">
      <c r="A257" s="17"/>
      <c r="B257" s="17"/>
      <c r="C257" s="17"/>
      <c r="D257" s="17"/>
      <c r="E257" s="88"/>
      <c r="F257" s="406">
        <f t="shared" si="7599"/>
        <v>15</v>
      </c>
      <c r="G257" s="406">
        <f ca="1">VLOOKUP(H257,Equipos!$Q$1:$R$25,2,0)</f>
        <v>24</v>
      </c>
      <c r="H257" s="64" t="str">
        <f>Idiomas!$D$264</f>
        <v>3-4 &amp; Final</v>
      </c>
      <c r="I257" s="50"/>
      <c r="J257" s="99"/>
      <c r="K257" s="56" t="str">
        <f>WORLDCUP!W159</f>
        <v>Balón de Plata (2º mejor jugador)</v>
      </c>
      <c r="L257" s="53"/>
      <c r="M257" s="55" t="str">
        <f>WORLDCUP!AA159</f>
        <v>Escribe el jugador Balón de Plata</v>
      </c>
      <c r="N257" s="25"/>
      <c r="O257" s="25"/>
      <c r="P257" s="25"/>
      <c r="Q257" s="25"/>
      <c r="R257" s="17"/>
      <c r="S257" s="796" t="s">
        <v>2000</v>
      </c>
      <c r="T257" s="72">
        <f t="shared" ref="T257" si="8272">COUNTIF($M$257,S257)*$D$46</f>
        <v>0</v>
      </c>
      <c r="U257" s="63"/>
      <c r="V257" s="73" t="s">
        <v>2044</v>
      </c>
      <c r="W257" s="72">
        <f t="shared" ref="W257" si="8273">COUNTIF($M$257,V257)*$D$46</f>
        <v>0</v>
      </c>
      <c r="X257" s="63"/>
      <c r="Y257" s="796" t="s">
        <v>2085</v>
      </c>
      <c r="Z257" s="72">
        <f t="shared" ref="Z257" si="8274">COUNTIF($M$257,Y257)*$D$46</f>
        <v>0</v>
      </c>
      <c r="AA257" s="63"/>
      <c r="AB257" s="796" t="s">
        <v>2120</v>
      </c>
      <c r="AC257" s="72">
        <f t="shared" ref="AC257" si="8275">COUNTIF($M$257,AB257)*$D$46</f>
        <v>0</v>
      </c>
      <c r="AD257" s="63"/>
      <c r="AE257" s="796" t="s">
        <v>1997</v>
      </c>
      <c r="AF257" s="72">
        <f t="shared" ref="AF257" si="8276">COUNTIF($M$257,AE257)*$D$46</f>
        <v>0</v>
      </c>
      <c r="AG257" s="63"/>
      <c r="AH257" s="796" t="s">
        <v>2190</v>
      </c>
      <c r="AI257" s="72">
        <f t="shared" ref="AI257" si="8277">COUNTIF($M$257,AH257)*$D$46</f>
        <v>0</v>
      </c>
      <c r="AJ257" s="63"/>
      <c r="AK257" s="806" t="s">
        <v>2000</v>
      </c>
      <c r="AL257" s="72">
        <f t="shared" ref="AL257" si="8278">COUNTIF($M$257,AK257)*$D$46</f>
        <v>0</v>
      </c>
      <c r="AM257" s="63"/>
      <c r="AN257" s="796" t="s">
        <v>2251</v>
      </c>
      <c r="AO257" s="72">
        <f t="shared" ref="AO257" si="8279">COUNTIF($M$257,AN257)*$D$46</f>
        <v>0</v>
      </c>
      <c r="AP257" s="63"/>
      <c r="AQ257" s="806" t="s">
        <v>2281</v>
      </c>
      <c r="AR257" s="72">
        <f t="shared" ref="AR257" si="8280">COUNTIF($M$257,AQ257)*$D$46</f>
        <v>0</v>
      </c>
      <c r="AS257" s="63"/>
      <c r="AT257" s="796" t="s">
        <v>2190</v>
      </c>
      <c r="AU257" s="72">
        <f t="shared" ref="AU257" si="8281">COUNTIF($M$257,AT257)*$D$46</f>
        <v>0</v>
      </c>
      <c r="AV257" s="63"/>
      <c r="AW257" s="796" t="s">
        <v>2333</v>
      </c>
      <c r="AX257" s="72">
        <f t="shared" ref="AX257" si="8282">COUNTIF($M$257,AW257)*$D$46</f>
        <v>0</v>
      </c>
      <c r="AY257" s="63"/>
      <c r="AZ257" s="796" t="s">
        <v>1999</v>
      </c>
      <c r="BA257" s="72">
        <f t="shared" ref="BA257" si="8283">COUNTIF($M$257,AZ257)*$D$46</f>
        <v>0</v>
      </c>
      <c r="BB257" s="63"/>
      <c r="BC257" s="796" t="s">
        <v>2313</v>
      </c>
      <c r="BD257" s="72">
        <f t="shared" ref="BD257" si="8284">COUNTIF($M$257,BC257)*$D$46</f>
        <v>0</v>
      </c>
      <c r="BE257" s="63"/>
      <c r="BF257" s="796" t="s">
        <v>2444</v>
      </c>
      <c r="BG257" s="72">
        <f t="shared" ref="BG257" si="8285">COUNTIF($M$257,BF257)*$D$46</f>
        <v>0</v>
      </c>
      <c r="BH257" s="63"/>
      <c r="BI257" s="796" t="s">
        <v>2190</v>
      </c>
      <c r="BJ257" s="72">
        <f t="shared" ref="BJ257" si="8286">COUNTIF($M$257,BI257)*$D$46</f>
        <v>0</v>
      </c>
      <c r="BK257" s="63"/>
      <c r="BL257" s="796" t="s">
        <v>2495</v>
      </c>
      <c r="BM257" s="72">
        <f t="shared" ref="BM257" si="8287">COUNTIF($M$257,BL257)*$D$46</f>
        <v>0</v>
      </c>
      <c r="BN257" s="63"/>
      <c r="BO257" s="816" t="s">
        <v>2154</v>
      </c>
      <c r="BP257" s="72">
        <f t="shared" ref="BP257" si="8288">COUNTIF($M$257,BO257)*$D$46</f>
        <v>0</v>
      </c>
      <c r="BQ257" s="63"/>
      <c r="BR257" s="796" t="s">
        <v>2155</v>
      </c>
      <c r="BS257" s="72">
        <f t="shared" ref="BS257" si="8289">COUNTIF($M$257,BR257)*$D$46</f>
        <v>0</v>
      </c>
      <c r="BT257" s="63"/>
      <c r="BU257" s="796" t="s">
        <v>2553</v>
      </c>
      <c r="BV257" s="72">
        <f t="shared" ref="BV257" si="8290">COUNTIF($M$257,BU257)*$D$46</f>
        <v>0</v>
      </c>
      <c r="BW257" s="63"/>
      <c r="BX257" s="73" t="s">
        <v>2152</v>
      </c>
      <c r="BY257" s="72">
        <f t="shared" ref="BY257" si="8291">COUNTIF($M$257,BX257)*$D$46</f>
        <v>0</v>
      </c>
      <c r="BZ257" s="63"/>
      <c r="CA257" s="816" t="s">
        <v>2000</v>
      </c>
      <c r="CB257" s="72">
        <f t="shared" ref="CB257" si="8292">COUNTIF($M$257,CA257)*$D$46</f>
        <v>0</v>
      </c>
      <c r="CC257" s="63"/>
      <c r="CD257" s="825" t="s">
        <v>2001</v>
      </c>
      <c r="CE257" s="72">
        <f t="shared" ref="CE257" si="8293">COUNTIF($M$257,CD257)*$D$46</f>
        <v>0</v>
      </c>
      <c r="CF257" s="63"/>
      <c r="CG257" s="796" t="s">
        <v>2155</v>
      </c>
      <c r="CH257" s="72">
        <f t="shared" ref="CH257" si="8294">COUNTIF($M$257,CG257)*$D$46</f>
        <v>0</v>
      </c>
      <c r="CI257" s="63"/>
      <c r="CJ257" s="796" t="s">
        <v>2637</v>
      </c>
      <c r="CK257" s="72">
        <f t="shared" ref="CK257" si="8295">COUNTIF($M$257,CJ257)*$D$46</f>
        <v>0</v>
      </c>
      <c r="CL257" s="63"/>
      <c r="CM257" s="796" t="s">
        <v>2666</v>
      </c>
      <c r="CN257" s="72">
        <f t="shared" ref="CN257" si="8296">COUNTIF($M$257,CM257)*$D$46</f>
        <v>0</v>
      </c>
      <c r="CO257" s="63"/>
      <c r="CP257" s="796" t="s">
        <v>2689</v>
      </c>
      <c r="CQ257" s="72">
        <f t="shared" ref="CQ257" si="8297">COUNTIF($M$257,CP257)*$D$46</f>
        <v>0</v>
      </c>
      <c r="CR257" s="63"/>
      <c r="CS257" s="796" t="s">
        <v>2710</v>
      </c>
      <c r="CT257" s="72">
        <f t="shared" ref="CT257" si="8298">COUNTIF($M$257,CS257)*$D$46</f>
        <v>0</v>
      </c>
      <c r="CU257" s="63"/>
      <c r="CV257" s="796" t="s">
        <v>2001</v>
      </c>
      <c r="CW257" s="72">
        <f t="shared" ref="CW257" si="8299">COUNTIF($M$257,CV257)*$D$46</f>
        <v>0</v>
      </c>
      <c r="CX257" s="63"/>
      <c r="CY257" s="796" t="s">
        <v>2764</v>
      </c>
      <c r="CZ257" s="72">
        <f t="shared" ref="CZ257" si="8300">COUNTIF($M$257,CY257)*$D$46</f>
        <v>0</v>
      </c>
      <c r="DA257" s="63"/>
      <c r="DB257" s="796" t="s">
        <v>2002</v>
      </c>
      <c r="DC257" s="72">
        <f t="shared" ref="DC257" si="8301">COUNTIF($M$257,DB257)*$D$46</f>
        <v>0</v>
      </c>
      <c r="DD257" s="63"/>
      <c r="DE257" s="796" t="s">
        <v>2763</v>
      </c>
      <c r="DF257" s="72">
        <f>COUNTIF($M$257,DE257)*$D$46</f>
        <v>0</v>
      </c>
      <c r="DG257" s="63"/>
      <c r="DH257" s="796" t="s">
        <v>2153</v>
      </c>
      <c r="DI257" s="72">
        <f>COUNTIF($M$257,DH257)*$D$46</f>
        <v>0</v>
      </c>
      <c r="DJ257" s="63"/>
      <c r="DK257" s="796" t="s">
        <v>2825</v>
      </c>
      <c r="DL257" s="72">
        <f>COUNTIF($M$257,DK257)*$D$46</f>
        <v>0</v>
      </c>
      <c r="DM257" s="63"/>
      <c r="DN257" s="73"/>
      <c r="DO257" s="72">
        <f t="shared" ref="DO257" si="8302">COUNTIF($M$257,DN257)*$D$46</f>
        <v>0</v>
      </c>
      <c r="DP257" s="63"/>
      <c r="DQ257" s="796" t="s">
        <v>2847</v>
      </c>
      <c r="DR257" s="72">
        <f t="shared" ref="DR257" si="8303">COUNTIF($M$257,DQ257)*$D$46</f>
        <v>0</v>
      </c>
      <c r="DS257" s="63"/>
      <c r="DT257" s="73" t="s">
        <v>2823</v>
      </c>
      <c r="DU257" s="72">
        <f t="shared" ref="DU257" si="8304">COUNTIF($M$257,DT257)*$D$46</f>
        <v>0</v>
      </c>
      <c r="DV257" s="63"/>
      <c r="DW257" s="73"/>
      <c r="DX257" s="72">
        <f t="shared" ref="DX257" si="8305">COUNTIF($M$257,DW257)*$D$46</f>
        <v>0</v>
      </c>
      <c r="DY257" s="63"/>
      <c r="DZ257" s="73"/>
      <c r="EA257" s="72">
        <f>COUNTIF($M$257,DZ257)*$D$46</f>
        <v>0</v>
      </c>
      <c r="EB257" s="63"/>
      <c r="EC257" s="73"/>
      <c r="ED257" s="72">
        <f t="shared" ref="ED257" si="8306">COUNTIF($M$257,EC257)*$D$46</f>
        <v>0</v>
      </c>
      <c r="EE257" s="63"/>
      <c r="EF257" s="73"/>
      <c r="EG257" s="72">
        <f t="shared" ref="EG257" si="8307">COUNTIF($M$257,EF257)*$D$46</f>
        <v>0</v>
      </c>
      <c r="EH257" s="63"/>
      <c r="EI257" s="73"/>
      <c r="EJ257" s="72">
        <f t="shared" ref="EJ257" si="8308">COUNTIF($M$257,EI257)*$D$46</f>
        <v>0</v>
      </c>
      <c r="EK257" s="63"/>
      <c r="EL257" s="73"/>
      <c r="EM257" s="72">
        <f t="shared" ref="EM257" si="8309">COUNTIF($M$257,EL257)*$D$46</f>
        <v>0</v>
      </c>
      <c r="EN257" s="63"/>
      <c r="EO257" s="73"/>
      <c r="EP257" s="72">
        <f t="shared" ref="EP257" si="8310">COUNTIF($M$257,EO257)*$D$46</f>
        <v>0</v>
      </c>
      <c r="EQ257" s="63"/>
      <c r="ER257" s="73"/>
      <c r="ES257" s="72">
        <f t="shared" ref="ES257" si="8311">COUNTIF($M$257,ER257)*$D$46</f>
        <v>0</v>
      </c>
      <c r="ET257" s="63"/>
      <c r="EU257" s="73"/>
      <c r="EV257" s="72">
        <f t="shared" ref="EV257" si="8312">COUNTIF($M$257,EU257)*$D$46</f>
        <v>0</v>
      </c>
      <c r="EW257" s="63"/>
      <c r="EX257" s="73"/>
      <c r="EY257" s="72">
        <f t="shared" ref="EY257" si="8313">COUNTIF($M$257,EX257)*$D$46</f>
        <v>0</v>
      </c>
      <c r="EZ257" s="63"/>
      <c r="FA257" s="73"/>
      <c r="FB257" s="72">
        <f t="shared" ref="FB257" si="8314">COUNTIF($M$257,FA257)*$D$46</f>
        <v>0</v>
      </c>
      <c r="FC257" s="63"/>
      <c r="FD257" s="73"/>
      <c r="FE257" s="72">
        <f t="shared" ref="FE257" si="8315">COUNTIF($M$257,FD257)*$D$46</f>
        <v>0</v>
      </c>
      <c r="FF257" s="63"/>
      <c r="FG257" s="73"/>
      <c r="FH257" s="72">
        <f t="shared" ref="FH257" si="8316">COUNTIF($M$257,FG257)*$D$46</f>
        <v>0</v>
      </c>
      <c r="FI257" s="63"/>
      <c r="FJ257" s="73"/>
      <c r="FK257" s="72">
        <f t="shared" ref="FK257" si="8317">COUNTIF($M$257,FJ257)*$D$46</f>
        <v>0</v>
      </c>
      <c r="FL257" s="63"/>
      <c r="FM257" s="73"/>
      <c r="FN257" s="72">
        <f t="shared" ref="FN257" si="8318">COUNTIF($M$257,FM257)*$D$46</f>
        <v>0</v>
      </c>
      <c r="FO257" s="63"/>
      <c r="FP257" s="73"/>
      <c r="FQ257" s="72">
        <f t="shared" ref="FQ257" si="8319">COUNTIF($M$257,FP257)*$D$46</f>
        <v>0</v>
      </c>
      <c r="FR257" s="63"/>
      <c r="FS257" s="73"/>
      <c r="FT257" s="72">
        <f t="shared" ref="FT257" si="8320">COUNTIF($M$257,FS257)*$D$46</f>
        <v>0</v>
      </c>
      <c r="FU257" s="63"/>
      <c r="FV257" s="73"/>
      <c r="FW257" s="72">
        <f t="shared" ref="FW257" si="8321">COUNTIF($M$257,FV257)*$D$46</f>
        <v>0</v>
      </c>
      <c r="FX257" s="63"/>
      <c r="FY257" s="73"/>
      <c r="FZ257" s="72">
        <f t="shared" ref="FZ257" si="8322">COUNTIF($M$257,FY257)*$D$46</f>
        <v>0</v>
      </c>
      <c r="GA257" s="63"/>
      <c r="GB257" s="73"/>
      <c r="GC257" s="72">
        <f t="shared" ref="GC257" si="8323">COUNTIF($M$257,GB257)*$D$46</f>
        <v>0</v>
      </c>
      <c r="GD257" s="63"/>
      <c r="GE257" s="73"/>
      <c r="GF257" s="72">
        <f t="shared" ref="GF257" si="8324">COUNTIF($M$257,GE257)*$D$46</f>
        <v>0</v>
      </c>
      <c r="GG257" s="63"/>
      <c r="GH257" s="73"/>
      <c r="GI257" s="72">
        <f t="shared" ref="GI257" si="8325">COUNTIF($M$257,GH257)*$D$46</f>
        <v>0</v>
      </c>
      <c r="GJ257" s="63"/>
      <c r="GK257" s="73"/>
      <c r="GL257" s="72">
        <f t="shared" ref="GL257" si="8326">COUNTIF($M$257,GK257)*$D$46</f>
        <v>0</v>
      </c>
      <c r="GM257" s="63"/>
      <c r="GN257" s="73"/>
      <c r="GO257" s="72">
        <f t="shared" ref="GO257" si="8327">COUNTIF($M$257,GN257)*$D$46</f>
        <v>0</v>
      </c>
      <c r="GP257" s="63"/>
      <c r="GQ257" s="73"/>
      <c r="GR257" s="72">
        <f t="shared" ref="GR257" si="8328">COUNTIF($M$257,GQ257)*$D$46</f>
        <v>0</v>
      </c>
      <c r="GS257" s="63"/>
      <c r="GT257" s="73"/>
      <c r="GU257" s="72">
        <f t="shared" ref="GU257" si="8329">COUNTIF($M$257,GT257)*$D$46</f>
        <v>0</v>
      </c>
      <c r="GV257" s="63"/>
      <c r="GW257" s="73"/>
      <c r="GX257" s="72">
        <f t="shared" ref="GX257" si="8330">COUNTIF($M$257,GW257)*$D$46</f>
        <v>0</v>
      </c>
      <c r="GY257" s="63"/>
      <c r="GZ257" s="73"/>
      <c r="HA257" s="72">
        <f t="shared" ref="HA257" si="8331">COUNTIF($M$257,GZ257)*$D$46</f>
        <v>0</v>
      </c>
      <c r="HB257" s="63"/>
      <c r="HC257" s="73"/>
      <c r="HD257" s="72">
        <f t="shared" ref="HD257" si="8332">COUNTIF($M$257,HC257)*$D$46</f>
        <v>0</v>
      </c>
      <c r="HE257" s="63"/>
      <c r="HF257" s="73"/>
      <c r="HG257" s="72">
        <f t="shared" ref="HG257" si="8333">COUNTIF($M$257,HF257)*$D$46</f>
        <v>0</v>
      </c>
      <c r="HH257" s="63"/>
      <c r="HI257" s="73"/>
      <c r="HJ257" s="72">
        <f t="shared" ref="HJ257" si="8334">COUNTIF($M$257,HI257)*$D$46</f>
        <v>0</v>
      </c>
      <c r="HK257" s="63"/>
      <c r="HL257" s="73"/>
      <c r="HM257" s="72">
        <f t="shared" ref="HM257" si="8335">COUNTIF($M$257,HL257)*$D$46</f>
        <v>0</v>
      </c>
      <c r="HN257" s="63"/>
      <c r="HO257" s="73"/>
      <c r="HP257" s="72">
        <f t="shared" ref="HP257" si="8336">COUNTIF($M$257,HO257)*$D$46</f>
        <v>0</v>
      </c>
      <c r="HQ257" s="63"/>
      <c r="HR257" s="73"/>
      <c r="HS257" s="72">
        <f t="shared" ref="HS257" si="8337">COUNTIF($M$257,HR257)*$D$46</f>
        <v>0</v>
      </c>
      <c r="HT257" s="63"/>
      <c r="HU257" s="73"/>
      <c r="HV257" s="72">
        <f t="shared" ref="HV257" si="8338">COUNTIF($M$257,HU257)*$D$46</f>
        <v>0</v>
      </c>
      <c r="HW257" s="63"/>
      <c r="HX257" s="73"/>
      <c r="HY257" s="72">
        <f t="shared" ref="HY257" si="8339">COUNTIF($M$257,HX257)*$D$46</f>
        <v>0</v>
      </c>
      <c r="HZ257" s="63"/>
      <c r="IA257" s="73"/>
      <c r="IB257" s="72">
        <f t="shared" ref="IB257" si="8340">COUNTIF($M$257,IA257)*$D$46</f>
        <v>0</v>
      </c>
      <c r="IC257" s="63"/>
      <c r="ID257" s="73"/>
      <c r="IE257" s="72">
        <f t="shared" ref="IE257" si="8341">COUNTIF($M$257,ID257)*$D$46</f>
        <v>0</v>
      </c>
      <c r="IF257" s="63"/>
      <c r="IG257" s="73"/>
      <c r="IH257" s="72">
        <f t="shared" ref="IH257" si="8342">COUNTIF($M$257,IG257)*$D$46</f>
        <v>0</v>
      </c>
      <c r="II257" s="63"/>
      <c r="IJ257" s="73"/>
      <c r="IK257" s="72">
        <f t="shared" ref="IK257" si="8343">COUNTIF($M$257,IJ257)*$D$46</f>
        <v>0</v>
      </c>
      <c r="IL257" s="63"/>
      <c r="IM257" s="73"/>
      <c r="IN257" s="72">
        <f t="shared" ref="IN257" si="8344">COUNTIF($M$257,IM257)*$D$46</f>
        <v>0</v>
      </c>
      <c r="IO257" s="63"/>
      <c r="IP257" s="73"/>
      <c r="IQ257" s="72">
        <f t="shared" ref="IQ257" si="8345">COUNTIF($M$257,IP257)*$D$46</f>
        <v>0</v>
      </c>
      <c r="IR257" s="63"/>
      <c r="IS257" s="73"/>
      <c r="IT257" s="72">
        <f t="shared" ref="IT257" si="8346">COUNTIF($M$257,IS257)*$D$46</f>
        <v>0</v>
      </c>
      <c r="IU257" s="63"/>
      <c r="IV257" s="73"/>
      <c r="IW257" s="72">
        <f t="shared" ref="IW257" si="8347">COUNTIF($M$257,IV257)*$D$46</f>
        <v>0</v>
      </c>
      <c r="IX257" s="63"/>
      <c r="IY257" s="73"/>
      <c r="IZ257" s="72">
        <f t="shared" ref="IZ257" si="8348">COUNTIF($M$257,IY257)*$D$46</f>
        <v>0</v>
      </c>
      <c r="JA257" s="63"/>
      <c r="JB257" s="73"/>
      <c r="JC257" s="72">
        <f t="shared" ref="JC257" si="8349">COUNTIF($M$257,JB257)*$D$46</f>
        <v>0</v>
      </c>
      <c r="JD257" s="63"/>
      <c r="JE257" s="73"/>
      <c r="JF257" s="72">
        <f t="shared" ref="JF257" si="8350">COUNTIF($M$257,JE257)*$D$46</f>
        <v>0</v>
      </c>
      <c r="JG257" s="63"/>
      <c r="JH257" s="73"/>
      <c r="JI257" s="72">
        <f t="shared" ref="JI257" si="8351">COUNTIF($M$257,JH257)*$D$46</f>
        <v>0</v>
      </c>
      <c r="JJ257" s="63"/>
      <c r="JK257" s="73"/>
      <c r="JL257" s="72">
        <f t="shared" ref="JL257" si="8352">COUNTIF($M$257,JK257)*$D$46</f>
        <v>0</v>
      </c>
      <c r="JM257" s="63"/>
      <c r="JN257" s="73"/>
      <c r="JO257" s="72">
        <f t="shared" ref="JO257" si="8353">COUNTIF($M$257,JN257)*$D$46</f>
        <v>0</v>
      </c>
      <c r="JP257" s="63"/>
      <c r="JQ257" s="73"/>
      <c r="JR257" s="72">
        <f t="shared" ref="JR257" si="8354">COUNTIF($M$257,JQ257)*$D$46</f>
        <v>0</v>
      </c>
      <c r="JS257" s="63"/>
      <c r="JT257" s="73"/>
      <c r="JU257" s="72">
        <f t="shared" ref="JU257" si="8355">COUNTIF($M$257,JT257)*$D$46</f>
        <v>0</v>
      </c>
      <c r="JV257" s="63"/>
      <c r="JW257" s="73"/>
      <c r="JX257" s="72">
        <f t="shared" ref="JX257" si="8356">COUNTIF($M$257,JW257)*$D$46</f>
        <v>0</v>
      </c>
      <c r="JY257" s="63"/>
      <c r="JZ257" s="73"/>
      <c r="KA257" s="72">
        <f t="shared" ref="KA257" si="8357">COUNTIF($M$257,JZ257)*$D$46</f>
        <v>0</v>
      </c>
      <c r="KB257" s="63"/>
      <c r="KC257" s="73"/>
      <c r="KD257" s="72">
        <f t="shared" ref="KD257" si="8358">COUNTIF($M$257,KC257)*$D$46</f>
        <v>0</v>
      </c>
      <c r="KE257" s="63"/>
      <c r="KF257" s="73"/>
      <c r="KG257" s="72">
        <f t="shared" ref="KG257" si="8359">COUNTIF($M$257,KF257)*$D$46</f>
        <v>0</v>
      </c>
      <c r="KH257" s="63"/>
      <c r="KI257" s="73"/>
      <c r="KJ257" s="72">
        <f t="shared" ref="KJ257" si="8360">COUNTIF($M$257,KI257)*$D$46</f>
        <v>0</v>
      </c>
      <c r="KK257" s="63"/>
      <c r="KL257" s="73"/>
      <c r="KM257" s="72">
        <f t="shared" ref="KM257" si="8361">COUNTIF($M$257,KL257)*$D$46</f>
        <v>0</v>
      </c>
      <c r="KN257" s="63"/>
      <c r="KO257" s="73"/>
      <c r="KP257" s="72">
        <f t="shared" ref="KP257" si="8362">COUNTIF($M$257,KO257)*$D$46</f>
        <v>0</v>
      </c>
      <c r="KQ257" s="63"/>
      <c r="KR257" s="73"/>
      <c r="KS257" s="72">
        <f t="shared" ref="KS257" si="8363">COUNTIF($M$257,KR257)*$D$46</f>
        <v>0</v>
      </c>
      <c r="KT257" s="63"/>
      <c r="KU257" s="73"/>
      <c r="KV257" s="72">
        <f t="shared" ref="KV257" si="8364">COUNTIF($M$257,KU257)*$D$46</f>
        <v>0</v>
      </c>
      <c r="KW257" s="63"/>
      <c r="KX257" s="73"/>
      <c r="KY257" s="72">
        <f t="shared" ref="KY257" si="8365">COUNTIF($M$257,KX257)*$D$46</f>
        <v>0</v>
      </c>
      <c r="KZ257" s="63"/>
      <c r="LA257" s="73"/>
      <c r="LB257" s="72">
        <f t="shared" ref="LB257" si="8366">COUNTIF($M$257,LA257)*$D$46</f>
        <v>0</v>
      </c>
      <c r="LC257" s="63"/>
      <c r="LD257" s="73"/>
      <c r="LE257" s="72">
        <f t="shared" ref="LE257" si="8367">COUNTIF($M$257,LD257)*$D$46</f>
        <v>0</v>
      </c>
      <c r="LF257" s="63"/>
    </row>
    <row r="258" spans="1:465" s="784" customFormat="1" ht="16.05" customHeight="1">
      <c r="A258" s="17"/>
      <c r="B258" s="17"/>
      <c r="C258" s="17"/>
      <c r="D258" s="17"/>
      <c r="E258" s="88"/>
      <c r="F258" s="406">
        <f t="shared" si="7599"/>
        <v>10</v>
      </c>
      <c r="G258" s="406">
        <f ca="1">VLOOKUP(H258,Equipos!$Q$1:$R$25,2,0)</f>
        <v>24</v>
      </c>
      <c r="H258" s="64" t="str">
        <f>Idiomas!$D$264</f>
        <v>3-4 &amp; Final</v>
      </c>
      <c r="I258" s="50"/>
      <c r="J258" s="99"/>
      <c r="K258" s="113" t="str">
        <f>WORLDCUP!W160</f>
        <v>Balón de Bronce (3º mejor jugador)</v>
      </c>
      <c r="L258" s="113"/>
      <c r="M258" s="114" t="str">
        <f>WORLDCUP!AA160</f>
        <v>Escribe el jugador Balón de Bronce</v>
      </c>
      <c r="N258" s="25"/>
      <c r="O258" s="25"/>
      <c r="P258" s="25"/>
      <c r="Q258" s="25"/>
      <c r="R258" s="17"/>
      <c r="S258" s="799" t="s">
        <v>2001</v>
      </c>
      <c r="T258" s="80">
        <f t="shared" ref="T258" si="8368">COUNTIF($M$258,S258)*$D$47</f>
        <v>0</v>
      </c>
      <c r="U258" s="63"/>
      <c r="V258" s="79" t="s">
        <v>2045</v>
      </c>
      <c r="W258" s="80">
        <f t="shared" ref="W258" si="8369">COUNTIF($M$258,V258)*$D$47</f>
        <v>0</v>
      </c>
      <c r="X258" s="63"/>
      <c r="Y258" s="799" t="s">
        <v>2085</v>
      </c>
      <c r="Z258" s="80">
        <f t="shared" ref="Z258" si="8370">COUNTIF($M$258,Y258)*$D$47</f>
        <v>0</v>
      </c>
      <c r="AA258" s="63"/>
      <c r="AB258" s="799" t="s">
        <v>2043</v>
      </c>
      <c r="AC258" s="80">
        <f t="shared" ref="AC258" si="8371">COUNTIF($M$258,AB258)*$D$47</f>
        <v>0</v>
      </c>
      <c r="AD258" s="63"/>
      <c r="AE258" s="799" t="s">
        <v>2000</v>
      </c>
      <c r="AF258" s="80">
        <f t="shared" ref="AF258" si="8372">COUNTIF($M$258,AE258)*$D$47</f>
        <v>0</v>
      </c>
      <c r="AG258" s="63"/>
      <c r="AH258" s="799" t="s">
        <v>2191</v>
      </c>
      <c r="AI258" s="80">
        <f t="shared" ref="AI258" si="8373">COUNTIF($M$258,AH258)*$D$47</f>
        <v>0</v>
      </c>
      <c r="AJ258" s="63"/>
      <c r="AK258" s="807" t="s">
        <v>2225</v>
      </c>
      <c r="AL258" s="80">
        <f t="shared" ref="AL258" si="8374">COUNTIF($M$258,AK258)*$D$47</f>
        <v>0</v>
      </c>
      <c r="AM258" s="63"/>
      <c r="AN258" s="799" t="s">
        <v>2252</v>
      </c>
      <c r="AO258" s="80">
        <f t="shared" ref="AO258" si="8375">COUNTIF($M$258,AN258)*$D$47</f>
        <v>0</v>
      </c>
      <c r="AP258" s="63"/>
      <c r="AQ258" s="807" t="s">
        <v>2282</v>
      </c>
      <c r="AR258" s="80">
        <f t="shared" ref="AR258" si="8376">COUNTIF($M$258,AQ258)*$D$47</f>
        <v>0</v>
      </c>
      <c r="AS258" s="63"/>
      <c r="AT258" s="799" t="s">
        <v>2188</v>
      </c>
      <c r="AU258" s="80">
        <f t="shared" ref="AU258" si="8377">COUNTIF($M$258,AT258)*$D$47</f>
        <v>0</v>
      </c>
      <c r="AV258" s="63"/>
      <c r="AW258" s="799" t="s">
        <v>2334</v>
      </c>
      <c r="AX258" s="80">
        <f t="shared" ref="AX258" si="8378">COUNTIF($M$258,AW258)*$D$47</f>
        <v>0</v>
      </c>
      <c r="AY258" s="63"/>
      <c r="AZ258" s="799" t="s">
        <v>2386</v>
      </c>
      <c r="BA258" s="80">
        <f t="shared" ref="BA258" si="8379">COUNTIF($M$258,AZ258)*$D$47</f>
        <v>0</v>
      </c>
      <c r="BB258" s="63"/>
      <c r="BC258" s="799" t="s">
        <v>2154</v>
      </c>
      <c r="BD258" s="80">
        <f t="shared" ref="BD258" si="8380">COUNTIF($M$258,BC258)*$D$47</f>
        <v>0</v>
      </c>
      <c r="BE258" s="63"/>
      <c r="BF258" s="799" t="s">
        <v>2225</v>
      </c>
      <c r="BG258" s="80">
        <f t="shared" ref="BG258" si="8381">COUNTIF($M$258,BF258)*$D$47</f>
        <v>0</v>
      </c>
      <c r="BH258" s="63"/>
      <c r="BI258" s="799" t="s">
        <v>2188</v>
      </c>
      <c r="BJ258" s="80">
        <f t="shared" ref="BJ258" si="8382">COUNTIF($M$258,BI258)*$D$47</f>
        <v>0</v>
      </c>
      <c r="BK258" s="63"/>
      <c r="BL258" s="799" t="s">
        <v>2188</v>
      </c>
      <c r="BM258" s="80">
        <f t="shared" ref="BM258" si="8383">COUNTIF($M$258,BL258)*$D$47</f>
        <v>0</v>
      </c>
      <c r="BN258" s="63"/>
      <c r="BO258" s="817" t="s">
        <v>2000</v>
      </c>
      <c r="BP258" s="80">
        <f t="shared" ref="BP258" si="8384">COUNTIF($M$258,BO258)*$D$47</f>
        <v>0</v>
      </c>
      <c r="BQ258" s="63"/>
      <c r="BR258" s="799" t="s">
        <v>2000</v>
      </c>
      <c r="BS258" s="80">
        <f t="shared" ref="BS258" si="8385">COUNTIF($M$258,BR258)*$D$47</f>
        <v>0</v>
      </c>
      <c r="BT258" s="63"/>
      <c r="BU258" s="799" t="s">
        <v>2000</v>
      </c>
      <c r="BV258" s="80">
        <f t="shared" ref="BV258" si="8386">COUNTIF($M$258,BU258)*$D$47</f>
        <v>0</v>
      </c>
      <c r="BW258" s="63"/>
      <c r="BX258" s="79" t="s">
        <v>2572</v>
      </c>
      <c r="BY258" s="80">
        <f t="shared" ref="BY258" si="8387">COUNTIF($M$258,BX258)*$D$47</f>
        <v>0</v>
      </c>
      <c r="BZ258" s="63"/>
      <c r="CA258" s="817" t="s">
        <v>2589</v>
      </c>
      <c r="CB258" s="80">
        <f t="shared" ref="CB258" si="8388">COUNTIF($M$258,CA258)*$D$47</f>
        <v>0</v>
      </c>
      <c r="CC258" s="63"/>
      <c r="CD258" s="826" t="s">
        <v>2313</v>
      </c>
      <c r="CE258" s="80">
        <f t="shared" ref="CE258" si="8389">COUNTIF($M$258,CD258)*$D$47</f>
        <v>0</v>
      </c>
      <c r="CF258" s="63"/>
      <c r="CG258" s="799" t="s">
        <v>2001</v>
      </c>
      <c r="CH258" s="80">
        <f t="shared" ref="CH258" si="8390">COUNTIF($M$258,CG258)*$D$47</f>
        <v>0</v>
      </c>
      <c r="CI258" s="63"/>
      <c r="CJ258" s="799" t="s">
        <v>2639</v>
      </c>
      <c r="CK258" s="80">
        <f t="shared" ref="CK258" si="8391">COUNTIF($M$258,CJ258)*$D$47</f>
        <v>0</v>
      </c>
      <c r="CL258" s="63"/>
      <c r="CM258" s="799" t="s">
        <v>2666</v>
      </c>
      <c r="CN258" s="80">
        <f t="shared" ref="CN258" si="8392">COUNTIF($M$258,CM258)*$D$47</f>
        <v>0</v>
      </c>
      <c r="CO258" s="63"/>
      <c r="CP258" s="799" t="s">
        <v>2689</v>
      </c>
      <c r="CQ258" s="80">
        <f t="shared" ref="CQ258" si="8393">COUNTIF($M$258,CP258)*$D$47</f>
        <v>0</v>
      </c>
      <c r="CR258" s="63"/>
      <c r="CS258" s="799" t="s">
        <v>2708</v>
      </c>
      <c r="CT258" s="80">
        <f t="shared" ref="CT258" si="8394">COUNTIF($M$258,CS258)*$D$47</f>
        <v>0</v>
      </c>
      <c r="CU258" s="63"/>
      <c r="CV258" s="799" t="s">
        <v>2742</v>
      </c>
      <c r="CW258" s="80">
        <f t="shared" ref="CW258" si="8395">COUNTIF($M$258,CV258)*$D$47</f>
        <v>0</v>
      </c>
      <c r="CX258" s="63"/>
      <c r="CY258" s="799" t="s">
        <v>2121</v>
      </c>
      <c r="CZ258" s="80">
        <f t="shared" ref="CZ258" si="8396">COUNTIF($M$258,CY258)*$D$47</f>
        <v>0</v>
      </c>
      <c r="DA258" s="63"/>
      <c r="DB258" s="799" t="s">
        <v>2188</v>
      </c>
      <c r="DC258" s="80">
        <f t="shared" ref="DC258" si="8397">COUNTIF($M$258,DB258)*$D$47</f>
        <v>0</v>
      </c>
      <c r="DD258" s="63"/>
      <c r="DE258" s="799" t="s">
        <v>2708</v>
      </c>
      <c r="DF258" s="80">
        <f>COUNTIF($M$258,DE258)*$D$47</f>
        <v>0</v>
      </c>
      <c r="DG258" s="63"/>
      <c r="DH258" s="799" t="s">
        <v>2001</v>
      </c>
      <c r="DI258" s="80">
        <f>COUNTIF($M$258,DH258)*$D$47</f>
        <v>0</v>
      </c>
      <c r="DJ258" s="63"/>
      <c r="DK258" s="799" t="s">
        <v>2826</v>
      </c>
      <c r="DL258" s="80">
        <f>COUNTIF($M$258,DK258)*$D$47</f>
        <v>0</v>
      </c>
      <c r="DM258" s="63"/>
      <c r="DN258" s="79"/>
      <c r="DO258" s="80">
        <f t="shared" ref="DO258" si="8398">COUNTIF($M$258,DN258)*$D$47</f>
        <v>0</v>
      </c>
      <c r="DP258" s="63"/>
      <c r="DQ258" s="799" t="s">
        <v>2848</v>
      </c>
      <c r="DR258" s="80">
        <f t="shared" ref="DR258" si="8399">COUNTIF($M$258,DQ258)*$D$47</f>
        <v>0</v>
      </c>
      <c r="DS258" s="63"/>
      <c r="DT258" s="79" t="s">
        <v>2000</v>
      </c>
      <c r="DU258" s="80">
        <f t="shared" ref="DU258" si="8400">COUNTIF($M$258,DT258)*$D$47</f>
        <v>0</v>
      </c>
      <c r="DV258" s="63"/>
      <c r="DW258" s="79"/>
      <c r="DX258" s="80">
        <f t="shared" ref="DX258" si="8401">COUNTIF($M$258,DW258)*$D$47</f>
        <v>0</v>
      </c>
      <c r="DY258" s="63"/>
      <c r="DZ258" s="79"/>
      <c r="EA258" s="80">
        <f>COUNTIF($M$258,DZ258)*$D$47</f>
        <v>0</v>
      </c>
      <c r="EB258" s="63"/>
      <c r="EC258" s="79"/>
      <c r="ED258" s="80">
        <f t="shared" ref="ED258" si="8402">COUNTIF($M$258,EC258)*$D$47</f>
        <v>0</v>
      </c>
      <c r="EE258" s="63"/>
      <c r="EF258" s="79"/>
      <c r="EG258" s="80">
        <f t="shared" ref="EG258" si="8403">COUNTIF($M$258,EF258)*$D$47</f>
        <v>0</v>
      </c>
      <c r="EH258" s="63"/>
      <c r="EI258" s="79"/>
      <c r="EJ258" s="80">
        <f t="shared" ref="EJ258" si="8404">COUNTIF($M$258,EI258)*$D$47</f>
        <v>0</v>
      </c>
      <c r="EK258" s="63"/>
      <c r="EL258" s="79"/>
      <c r="EM258" s="80">
        <f t="shared" ref="EM258" si="8405">COUNTIF($M$258,EL258)*$D$47</f>
        <v>0</v>
      </c>
      <c r="EN258" s="63"/>
      <c r="EO258" s="79"/>
      <c r="EP258" s="80">
        <f t="shared" ref="EP258" si="8406">COUNTIF($M$258,EO258)*$D$47</f>
        <v>0</v>
      </c>
      <c r="EQ258" s="63"/>
      <c r="ER258" s="79"/>
      <c r="ES258" s="80">
        <f t="shared" ref="ES258" si="8407">COUNTIF($M$258,ER258)*$D$47</f>
        <v>0</v>
      </c>
      <c r="ET258" s="63"/>
      <c r="EU258" s="79"/>
      <c r="EV258" s="80">
        <f t="shared" ref="EV258" si="8408">COUNTIF($M$258,EU258)*$D$47</f>
        <v>0</v>
      </c>
      <c r="EW258" s="63"/>
      <c r="EX258" s="79"/>
      <c r="EY258" s="80">
        <f t="shared" ref="EY258" si="8409">COUNTIF($M$258,EX258)*$D$47</f>
        <v>0</v>
      </c>
      <c r="EZ258" s="63"/>
      <c r="FA258" s="79"/>
      <c r="FB258" s="80">
        <f t="shared" ref="FB258" si="8410">COUNTIF($M$258,FA258)*$D$47</f>
        <v>0</v>
      </c>
      <c r="FC258" s="63"/>
      <c r="FD258" s="79"/>
      <c r="FE258" s="80">
        <f t="shared" ref="FE258" si="8411">COUNTIF($M$258,FD258)*$D$47</f>
        <v>0</v>
      </c>
      <c r="FF258" s="63"/>
      <c r="FG258" s="79"/>
      <c r="FH258" s="80">
        <f t="shared" ref="FH258" si="8412">COUNTIF($M$258,FG258)*$D$47</f>
        <v>0</v>
      </c>
      <c r="FI258" s="63"/>
      <c r="FJ258" s="79"/>
      <c r="FK258" s="80">
        <f t="shared" ref="FK258" si="8413">COUNTIF($M$258,FJ258)*$D$47</f>
        <v>0</v>
      </c>
      <c r="FL258" s="63"/>
      <c r="FM258" s="79"/>
      <c r="FN258" s="80">
        <f t="shared" ref="FN258" si="8414">COUNTIF($M$258,FM258)*$D$47</f>
        <v>0</v>
      </c>
      <c r="FO258" s="63"/>
      <c r="FP258" s="79"/>
      <c r="FQ258" s="80">
        <f t="shared" ref="FQ258" si="8415">COUNTIF($M$258,FP258)*$D$47</f>
        <v>0</v>
      </c>
      <c r="FR258" s="63"/>
      <c r="FS258" s="79"/>
      <c r="FT258" s="80">
        <f t="shared" ref="FT258" si="8416">COUNTIF($M$258,FS258)*$D$47</f>
        <v>0</v>
      </c>
      <c r="FU258" s="63"/>
      <c r="FV258" s="79"/>
      <c r="FW258" s="80">
        <f t="shared" ref="FW258" si="8417">COUNTIF($M$258,FV258)*$D$47</f>
        <v>0</v>
      </c>
      <c r="FX258" s="63"/>
      <c r="FY258" s="79"/>
      <c r="FZ258" s="80">
        <f t="shared" ref="FZ258" si="8418">COUNTIF($M$258,FY258)*$D$47</f>
        <v>0</v>
      </c>
      <c r="GA258" s="63"/>
      <c r="GB258" s="79"/>
      <c r="GC258" s="80">
        <f t="shared" ref="GC258" si="8419">COUNTIF($M$258,GB258)*$D$47</f>
        <v>0</v>
      </c>
      <c r="GD258" s="63"/>
      <c r="GE258" s="79"/>
      <c r="GF258" s="80">
        <f t="shared" ref="GF258" si="8420">COUNTIF($M$258,GE258)*$D$47</f>
        <v>0</v>
      </c>
      <c r="GG258" s="63"/>
      <c r="GH258" s="79"/>
      <c r="GI258" s="80">
        <f t="shared" ref="GI258" si="8421">COUNTIF($M$258,GH258)*$D$47</f>
        <v>0</v>
      </c>
      <c r="GJ258" s="63"/>
      <c r="GK258" s="79"/>
      <c r="GL258" s="80">
        <f t="shared" ref="GL258" si="8422">COUNTIF($M$258,GK258)*$D$47</f>
        <v>0</v>
      </c>
      <c r="GM258" s="63"/>
      <c r="GN258" s="79"/>
      <c r="GO258" s="80">
        <f t="shared" ref="GO258" si="8423">COUNTIF($M$258,GN258)*$D$47</f>
        <v>0</v>
      </c>
      <c r="GP258" s="63"/>
      <c r="GQ258" s="79"/>
      <c r="GR258" s="80">
        <f t="shared" ref="GR258" si="8424">COUNTIF($M$258,GQ258)*$D$47</f>
        <v>0</v>
      </c>
      <c r="GS258" s="63"/>
      <c r="GT258" s="79"/>
      <c r="GU258" s="80">
        <f t="shared" ref="GU258" si="8425">COUNTIF($M$258,GT258)*$D$47</f>
        <v>0</v>
      </c>
      <c r="GV258" s="63"/>
      <c r="GW258" s="79"/>
      <c r="GX258" s="80">
        <f t="shared" ref="GX258" si="8426">COUNTIF($M$258,GW258)*$D$47</f>
        <v>0</v>
      </c>
      <c r="GY258" s="63"/>
      <c r="GZ258" s="79"/>
      <c r="HA258" s="80">
        <f t="shared" ref="HA258" si="8427">COUNTIF($M$258,GZ258)*$D$47</f>
        <v>0</v>
      </c>
      <c r="HB258" s="63"/>
      <c r="HC258" s="79"/>
      <c r="HD258" s="80">
        <f t="shared" ref="HD258" si="8428">COUNTIF($M$258,HC258)*$D$47</f>
        <v>0</v>
      </c>
      <c r="HE258" s="63"/>
      <c r="HF258" s="79"/>
      <c r="HG258" s="80">
        <f t="shared" ref="HG258" si="8429">COUNTIF($M$258,HF258)*$D$47</f>
        <v>0</v>
      </c>
      <c r="HH258" s="63"/>
      <c r="HI258" s="79"/>
      <c r="HJ258" s="80">
        <f t="shared" ref="HJ258" si="8430">COUNTIF($M$258,HI258)*$D$47</f>
        <v>0</v>
      </c>
      <c r="HK258" s="63"/>
      <c r="HL258" s="79"/>
      <c r="HM258" s="80">
        <f t="shared" ref="HM258" si="8431">COUNTIF($M$258,HL258)*$D$47</f>
        <v>0</v>
      </c>
      <c r="HN258" s="63"/>
      <c r="HO258" s="79"/>
      <c r="HP258" s="80">
        <f t="shared" ref="HP258" si="8432">COUNTIF($M$258,HO258)*$D$47</f>
        <v>0</v>
      </c>
      <c r="HQ258" s="63"/>
      <c r="HR258" s="79"/>
      <c r="HS258" s="80">
        <f t="shared" ref="HS258" si="8433">COUNTIF($M$258,HR258)*$D$47</f>
        <v>0</v>
      </c>
      <c r="HT258" s="63"/>
      <c r="HU258" s="79"/>
      <c r="HV258" s="80">
        <f t="shared" ref="HV258" si="8434">COUNTIF($M$258,HU258)*$D$47</f>
        <v>0</v>
      </c>
      <c r="HW258" s="63"/>
      <c r="HX258" s="79"/>
      <c r="HY258" s="80">
        <f t="shared" ref="HY258" si="8435">COUNTIF($M$258,HX258)*$D$47</f>
        <v>0</v>
      </c>
      <c r="HZ258" s="63"/>
      <c r="IA258" s="79"/>
      <c r="IB258" s="80">
        <f t="shared" ref="IB258" si="8436">COUNTIF($M$258,IA258)*$D$47</f>
        <v>0</v>
      </c>
      <c r="IC258" s="63"/>
      <c r="ID258" s="79"/>
      <c r="IE258" s="80">
        <f t="shared" ref="IE258" si="8437">COUNTIF($M$258,ID258)*$D$47</f>
        <v>0</v>
      </c>
      <c r="IF258" s="63"/>
      <c r="IG258" s="79"/>
      <c r="IH258" s="80">
        <f t="shared" ref="IH258" si="8438">COUNTIF($M$258,IG258)*$D$47</f>
        <v>0</v>
      </c>
      <c r="II258" s="63"/>
      <c r="IJ258" s="79"/>
      <c r="IK258" s="80">
        <f t="shared" ref="IK258" si="8439">COUNTIF($M$258,IJ258)*$D$47</f>
        <v>0</v>
      </c>
      <c r="IL258" s="63"/>
      <c r="IM258" s="79"/>
      <c r="IN258" s="80">
        <f t="shared" ref="IN258" si="8440">COUNTIF($M$258,IM258)*$D$47</f>
        <v>0</v>
      </c>
      <c r="IO258" s="63"/>
      <c r="IP258" s="79"/>
      <c r="IQ258" s="80">
        <f t="shared" ref="IQ258" si="8441">COUNTIF($M$258,IP258)*$D$47</f>
        <v>0</v>
      </c>
      <c r="IR258" s="63"/>
      <c r="IS258" s="79"/>
      <c r="IT258" s="80">
        <f t="shared" ref="IT258" si="8442">COUNTIF($M$258,IS258)*$D$47</f>
        <v>0</v>
      </c>
      <c r="IU258" s="63"/>
      <c r="IV258" s="79"/>
      <c r="IW258" s="80">
        <f t="shared" ref="IW258" si="8443">COUNTIF($M$258,IV258)*$D$47</f>
        <v>0</v>
      </c>
      <c r="IX258" s="63"/>
      <c r="IY258" s="79"/>
      <c r="IZ258" s="80">
        <f t="shared" ref="IZ258" si="8444">COUNTIF($M$258,IY258)*$D$47</f>
        <v>0</v>
      </c>
      <c r="JA258" s="63"/>
      <c r="JB258" s="79"/>
      <c r="JC258" s="80">
        <f t="shared" ref="JC258" si="8445">COUNTIF($M$258,JB258)*$D$47</f>
        <v>0</v>
      </c>
      <c r="JD258" s="63"/>
      <c r="JE258" s="79"/>
      <c r="JF258" s="80">
        <f t="shared" ref="JF258" si="8446">COUNTIF($M$258,JE258)*$D$47</f>
        <v>0</v>
      </c>
      <c r="JG258" s="63"/>
      <c r="JH258" s="79"/>
      <c r="JI258" s="80">
        <f t="shared" ref="JI258" si="8447">COUNTIF($M$258,JH258)*$D$47</f>
        <v>0</v>
      </c>
      <c r="JJ258" s="63"/>
      <c r="JK258" s="79"/>
      <c r="JL258" s="80">
        <f t="shared" ref="JL258" si="8448">COUNTIF($M$258,JK258)*$D$47</f>
        <v>0</v>
      </c>
      <c r="JM258" s="63"/>
      <c r="JN258" s="79"/>
      <c r="JO258" s="80">
        <f t="shared" ref="JO258" si="8449">COUNTIF($M$258,JN258)*$D$47</f>
        <v>0</v>
      </c>
      <c r="JP258" s="63"/>
      <c r="JQ258" s="79"/>
      <c r="JR258" s="80">
        <f t="shared" ref="JR258" si="8450">COUNTIF($M$258,JQ258)*$D$47</f>
        <v>0</v>
      </c>
      <c r="JS258" s="63"/>
      <c r="JT258" s="79"/>
      <c r="JU258" s="80">
        <f t="shared" ref="JU258" si="8451">COUNTIF($M$258,JT258)*$D$47</f>
        <v>0</v>
      </c>
      <c r="JV258" s="63"/>
      <c r="JW258" s="79"/>
      <c r="JX258" s="80">
        <f t="shared" ref="JX258" si="8452">COUNTIF($M$258,JW258)*$D$47</f>
        <v>0</v>
      </c>
      <c r="JY258" s="63"/>
      <c r="JZ258" s="79"/>
      <c r="KA258" s="80">
        <f t="shared" ref="KA258" si="8453">COUNTIF($M$258,JZ258)*$D$47</f>
        <v>0</v>
      </c>
      <c r="KB258" s="63"/>
      <c r="KC258" s="79"/>
      <c r="KD258" s="80">
        <f t="shared" ref="KD258" si="8454">COUNTIF($M$258,KC258)*$D$47</f>
        <v>0</v>
      </c>
      <c r="KE258" s="63"/>
      <c r="KF258" s="79"/>
      <c r="KG258" s="80">
        <f t="shared" ref="KG258" si="8455">COUNTIF($M$258,KF258)*$D$47</f>
        <v>0</v>
      </c>
      <c r="KH258" s="63"/>
      <c r="KI258" s="79"/>
      <c r="KJ258" s="80">
        <f t="shared" ref="KJ258" si="8456">COUNTIF($M$258,KI258)*$D$47</f>
        <v>0</v>
      </c>
      <c r="KK258" s="63"/>
      <c r="KL258" s="79"/>
      <c r="KM258" s="80">
        <f t="shared" ref="KM258" si="8457">COUNTIF($M$258,KL258)*$D$47</f>
        <v>0</v>
      </c>
      <c r="KN258" s="63"/>
      <c r="KO258" s="79"/>
      <c r="KP258" s="80">
        <f t="shared" ref="KP258" si="8458">COUNTIF($M$258,KO258)*$D$47</f>
        <v>0</v>
      </c>
      <c r="KQ258" s="63"/>
      <c r="KR258" s="79"/>
      <c r="KS258" s="80">
        <f t="shared" ref="KS258" si="8459">COUNTIF($M$258,KR258)*$D$47</f>
        <v>0</v>
      </c>
      <c r="KT258" s="63"/>
      <c r="KU258" s="79"/>
      <c r="KV258" s="80">
        <f t="shared" ref="KV258" si="8460">COUNTIF($M$258,KU258)*$D$47</f>
        <v>0</v>
      </c>
      <c r="KW258" s="63"/>
      <c r="KX258" s="79"/>
      <c r="KY258" s="80">
        <f t="shared" ref="KY258" si="8461">COUNTIF($M$258,KX258)*$D$47</f>
        <v>0</v>
      </c>
      <c r="KZ258" s="63"/>
      <c r="LA258" s="79"/>
      <c r="LB258" s="80">
        <f t="shared" ref="LB258" si="8462">COUNTIF($M$258,LA258)*$D$47</f>
        <v>0</v>
      </c>
      <c r="LC258" s="63"/>
      <c r="LD258" s="79"/>
      <c r="LE258" s="80">
        <f t="shared" ref="LE258" si="8463">COUNTIF($M$258,LD258)*$D$47</f>
        <v>0</v>
      </c>
      <c r="LF258" s="63"/>
    </row>
    <row r="259" spans="1:465" s="784" customFormat="1">
      <c r="A259" s="49"/>
      <c r="B259" s="49"/>
      <c r="C259" s="49"/>
      <c r="D259" s="49"/>
      <c r="E259" s="109"/>
      <c r="F259" s="721"/>
      <c r="G259" s="722"/>
      <c r="H259" s="49"/>
      <c r="I259" s="50"/>
      <c r="J259" s="92"/>
      <c r="K259" s="432" t="str">
        <f>Idiomas!D469</f>
        <v xml:space="preserve">Cuadro de Honor </v>
      </c>
      <c r="L259" s="433"/>
      <c r="M259" s="432" t="str">
        <f>"Max: "&amp;SUM($D$39:$D$47)</f>
        <v>Max: 235</v>
      </c>
      <c r="N259" s="19"/>
      <c r="O259" s="19"/>
      <c r="P259" s="19"/>
      <c r="Q259" s="19"/>
      <c r="R259" s="295"/>
      <c r="S259" s="792"/>
      <c r="T259" s="70">
        <f t="shared" ref="T259" si="8464">SUM(T250:T258)</f>
        <v>0</v>
      </c>
      <c r="U259" s="64"/>
      <c r="V259" s="70"/>
      <c r="W259" s="70">
        <f t="shared" ref="W259" si="8465">SUM(W250:W258)</f>
        <v>0</v>
      </c>
      <c r="X259" s="64"/>
      <c r="Y259" s="792"/>
      <c r="Z259" s="70">
        <f t="shared" ref="Z259" si="8466">SUM(Z250:Z258)</f>
        <v>0</v>
      </c>
      <c r="AA259" s="64"/>
      <c r="AB259" s="792"/>
      <c r="AC259" s="70">
        <f t="shared" ref="AC259" si="8467">SUM(AC250:AC258)</f>
        <v>0</v>
      </c>
      <c r="AD259" s="64"/>
      <c r="AE259" s="792"/>
      <c r="AF259" s="70">
        <f t="shared" ref="AF259" si="8468">SUM(AF250:AF258)</f>
        <v>0</v>
      </c>
      <c r="AG259" s="64"/>
      <c r="AH259" s="792"/>
      <c r="AI259" s="70">
        <f t="shared" ref="AI259" si="8469">SUM(AI250:AI258)</f>
        <v>0</v>
      </c>
      <c r="AJ259" s="64"/>
      <c r="AK259" s="808"/>
      <c r="AL259" s="70">
        <f t="shared" ref="AL259" si="8470">SUM(AL250:AL258)</f>
        <v>0</v>
      </c>
      <c r="AM259" s="64"/>
      <c r="AN259" s="792"/>
      <c r="AO259" s="70">
        <f t="shared" ref="AO259" si="8471">SUM(AO250:AO258)</f>
        <v>0</v>
      </c>
      <c r="AP259" s="64"/>
      <c r="AQ259" s="808"/>
      <c r="AR259" s="70">
        <f t="shared" ref="AR259" si="8472">SUM(AR250:AR258)</f>
        <v>0</v>
      </c>
      <c r="AS259" s="64"/>
      <c r="AT259" s="792"/>
      <c r="AU259" s="70">
        <f t="shared" ref="AU259" si="8473">SUM(AU250:AU258)</f>
        <v>0</v>
      </c>
      <c r="AV259" s="64"/>
      <c r="AW259" s="792"/>
      <c r="AX259" s="70">
        <f t="shared" ref="AX259" si="8474">SUM(AX250:AX258)</f>
        <v>0</v>
      </c>
      <c r="AY259" s="64"/>
      <c r="AZ259" s="792"/>
      <c r="BA259" s="70">
        <f t="shared" ref="BA259" si="8475">SUM(BA250:BA258)</f>
        <v>0</v>
      </c>
      <c r="BB259" s="64"/>
      <c r="BC259" s="792"/>
      <c r="BD259" s="70">
        <f t="shared" ref="BD259" si="8476">SUM(BD250:BD258)</f>
        <v>0</v>
      </c>
      <c r="BE259" s="64"/>
      <c r="BF259" s="792"/>
      <c r="BG259" s="70">
        <f t="shared" ref="BG259" si="8477">SUM(BG250:BG258)</f>
        <v>0</v>
      </c>
      <c r="BH259" s="64"/>
      <c r="BI259" s="792"/>
      <c r="BJ259" s="70">
        <f t="shared" ref="BJ259" si="8478">SUM(BJ250:BJ258)</f>
        <v>0</v>
      </c>
      <c r="BK259" s="64"/>
      <c r="BL259" s="792"/>
      <c r="BM259" s="70">
        <f t="shared" ref="BM259" si="8479">SUM(BM250:BM258)</f>
        <v>0</v>
      </c>
      <c r="BN259" s="64"/>
      <c r="BO259" s="818"/>
      <c r="BP259" s="70">
        <f t="shared" ref="BP259" si="8480">SUM(BP250:BP258)</f>
        <v>0</v>
      </c>
      <c r="BQ259" s="64"/>
      <c r="BR259" s="792"/>
      <c r="BS259" s="70">
        <f t="shared" ref="BS259" si="8481">SUM(BS250:BS258)</f>
        <v>0</v>
      </c>
      <c r="BT259" s="64"/>
      <c r="BU259" s="792"/>
      <c r="BV259" s="70">
        <f t="shared" ref="BV259" si="8482">SUM(BV250:BV258)</f>
        <v>0</v>
      </c>
      <c r="BW259" s="64"/>
      <c r="BX259" s="70"/>
      <c r="BY259" s="70">
        <f t="shared" ref="BY259" si="8483">SUM(BY250:BY258)</f>
        <v>0</v>
      </c>
      <c r="BZ259" s="64"/>
      <c r="CA259" s="818"/>
      <c r="CB259" s="70">
        <f t="shared" ref="CB259" si="8484">SUM(CB250:CB258)</f>
        <v>0</v>
      </c>
      <c r="CC259" s="64"/>
      <c r="CD259" s="827"/>
      <c r="CE259" s="70">
        <f t="shared" ref="CE259" si="8485">SUM(CE250:CE258)</f>
        <v>0</v>
      </c>
      <c r="CF259" s="64"/>
      <c r="CG259" s="792"/>
      <c r="CH259" s="70">
        <f t="shared" ref="CH259" si="8486">SUM(CH250:CH258)</f>
        <v>0</v>
      </c>
      <c r="CI259" s="64"/>
      <c r="CJ259" s="792"/>
      <c r="CK259" s="70">
        <f t="shared" ref="CK259" si="8487">SUM(CK250:CK258)</f>
        <v>0</v>
      </c>
      <c r="CL259" s="64"/>
      <c r="CM259" s="792"/>
      <c r="CN259" s="70">
        <f t="shared" ref="CN259" si="8488">SUM(CN250:CN258)</f>
        <v>0</v>
      </c>
      <c r="CO259" s="64"/>
      <c r="CP259" s="792"/>
      <c r="CQ259" s="70">
        <f t="shared" ref="CQ259" si="8489">SUM(CQ250:CQ258)</f>
        <v>0</v>
      </c>
      <c r="CR259" s="64"/>
      <c r="CS259" s="792"/>
      <c r="CT259" s="70">
        <f t="shared" ref="CT259" si="8490">SUM(CT250:CT258)</f>
        <v>0</v>
      </c>
      <c r="CU259" s="64"/>
      <c r="CV259" s="792"/>
      <c r="CW259" s="70">
        <f t="shared" ref="CW259" si="8491">SUM(CW250:CW258)</f>
        <v>0</v>
      </c>
      <c r="CX259" s="64"/>
      <c r="CY259" s="792"/>
      <c r="CZ259" s="70">
        <f t="shared" ref="CZ259" si="8492">SUM(CZ250:CZ258)</f>
        <v>0</v>
      </c>
      <c r="DA259" s="64"/>
      <c r="DB259" s="792"/>
      <c r="DC259" s="70">
        <f t="shared" ref="DC259" si="8493">SUM(DC250:DC258)</f>
        <v>0</v>
      </c>
      <c r="DD259" s="64"/>
      <c r="DE259" s="792"/>
      <c r="DF259" s="70">
        <f t="shared" ref="DF259" si="8494">SUM(DF250:DF258)</f>
        <v>0</v>
      </c>
      <c r="DG259" s="64"/>
      <c r="DH259" s="792"/>
      <c r="DI259" s="70">
        <f t="shared" ref="DI259" si="8495">SUM(DI250:DI258)</f>
        <v>0</v>
      </c>
      <c r="DJ259" s="64"/>
      <c r="DK259" s="792"/>
      <c r="DL259" s="70">
        <f t="shared" ref="DL259" si="8496">SUM(DL250:DL258)</f>
        <v>0</v>
      </c>
      <c r="DM259" s="64"/>
      <c r="DN259" s="70"/>
      <c r="DO259" s="70">
        <f t="shared" ref="DO259" si="8497">SUM(DO250:DO258)</f>
        <v>0</v>
      </c>
      <c r="DP259" s="64"/>
      <c r="DQ259" s="792"/>
      <c r="DR259" s="70">
        <f t="shared" ref="DR259" si="8498">SUM(DR250:DR258)</f>
        <v>0</v>
      </c>
      <c r="DS259" s="64"/>
      <c r="DT259" s="70"/>
      <c r="DU259" s="70">
        <f t="shared" ref="DU259" si="8499">SUM(DU250:DU258)</f>
        <v>0</v>
      </c>
      <c r="DV259" s="64"/>
      <c r="DW259" s="70"/>
      <c r="DX259" s="70">
        <f t="shared" ref="DX259" si="8500">SUM(DX250:DX258)</f>
        <v>0</v>
      </c>
      <c r="DY259" s="64"/>
      <c r="DZ259" s="70"/>
      <c r="EA259" s="70">
        <f t="shared" ref="EA259" si="8501">SUM(EA250:EA258)</f>
        <v>0</v>
      </c>
      <c r="EB259" s="64"/>
      <c r="EC259" s="70"/>
      <c r="ED259" s="70">
        <f t="shared" ref="ED259" si="8502">SUM(ED250:ED258)</f>
        <v>0</v>
      </c>
      <c r="EE259" s="64"/>
      <c r="EF259" s="70"/>
      <c r="EG259" s="70">
        <f t="shared" ref="EG259" si="8503">SUM(EG250:EG258)</f>
        <v>0</v>
      </c>
      <c r="EH259" s="64"/>
      <c r="EI259" s="70"/>
      <c r="EJ259" s="70">
        <f t="shared" ref="EJ259" si="8504">SUM(EJ250:EJ258)</f>
        <v>0</v>
      </c>
      <c r="EK259" s="64"/>
      <c r="EL259" s="70"/>
      <c r="EM259" s="70">
        <f t="shared" ref="EM259" si="8505">SUM(EM250:EM258)</f>
        <v>0</v>
      </c>
      <c r="EN259" s="64"/>
      <c r="EO259" s="70"/>
      <c r="EP259" s="70">
        <f t="shared" ref="EP259" si="8506">SUM(EP250:EP258)</f>
        <v>0</v>
      </c>
      <c r="EQ259" s="64"/>
      <c r="ER259" s="70"/>
      <c r="ES259" s="70">
        <f t="shared" ref="ES259" si="8507">SUM(ES250:ES258)</f>
        <v>0</v>
      </c>
      <c r="ET259" s="64"/>
      <c r="EU259" s="70"/>
      <c r="EV259" s="70">
        <f t="shared" ref="EV259" si="8508">SUM(EV250:EV258)</f>
        <v>0</v>
      </c>
      <c r="EW259" s="64"/>
      <c r="EX259" s="70"/>
      <c r="EY259" s="70">
        <f t="shared" ref="EY259" si="8509">SUM(EY250:EY258)</f>
        <v>0</v>
      </c>
      <c r="EZ259" s="64"/>
      <c r="FA259" s="70"/>
      <c r="FB259" s="70">
        <f t="shared" ref="FB259" si="8510">SUM(FB250:FB258)</f>
        <v>0</v>
      </c>
      <c r="FC259" s="64"/>
      <c r="FD259" s="70"/>
      <c r="FE259" s="70">
        <f t="shared" ref="FE259" si="8511">SUM(FE250:FE258)</f>
        <v>0</v>
      </c>
      <c r="FF259" s="64"/>
      <c r="FG259" s="70"/>
      <c r="FH259" s="70">
        <f t="shared" ref="FH259" si="8512">SUM(FH250:FH258)</f>
        <v>0</v>
      </c>
      <c r="FI259" s="64"/>
      <c r="FJ259" s="70"/>
      <c r="FK259" s="70">
        <f t="shared" ref="FK259" si="8513">SUM(FK250:FK258)</f>
        <v>0</v>
      </c>
      <c r="FL259" s="64"/>
      <c r="FM259" s="70"/>
      <c r="FN259" s="70">
        <f t="shared" ref="FN259" si="8514">SUM(FN250:FN258)</f>
        <v>0</v>
      </c>
      <c r="FO259" s="64"/>
      <c r="FP259" s="70"/>
      <c r="FQ259" s="70">
        <f t="shared" ref="FQ259" si="8515">SUM(FQ250:FQ258)</f>
        <v>0</v>
      </c>
      <c r="FR259" s="64"/>
      <c r="FS259" s="70"/>
      <c r="FT259" s="70">
        <f t="shared" ref="FT259" si="8516">SUM(FT250:FT258)</f>
        <v>0</v>
      </c>
      <c r="FU259" s="64"/>
      <c r="FV259" s="70"/>
      <c r="FW259" s="70">
        <f t="shared" ref="FW259" si="8517">SUM(FW250:FW258)</f>
        <v>0</v>
      </c>
      <c r="FX259" s="64"/>
      <c r="FY259" s="70"/>
      <c r="FZ259" s="70">
        <f t="shared" ref="FZ259" si="8518">SUM(FZ250:FZ258)</f>
        <v>0</v>
      </c>
      <c r="GA259" s="64"/>
      <c r="GB259" s="70"/>
      <c r="GC259" s="70">
        <f t="shared" ref="GC259" si="8519">SUM(GC250:GC258)</f>
        <v>0</v>
      </c>
      <c r="GD259" s="64"/>
      <c r="GE259" s="70"/>
      <c r="GF259" s="70">
        <f t="shared" ref="GF259" si="8520">SUM(GF250:GF258)</f>
        <v>0</v>
      </c>
      <c r="GG259" s="64"/>
      <c r="GH259" s="70"/>
      <c r="GI259" s="70">
        <f t="shared" ref="GI259" si="8521">SUM(GI250:GI258)</f>
        <v>0</v>
      </c>
      <c r="GJ259" s="64"/>
      <c r="GK259" s="70"/>
      <c r="GL259" s="70">
        <f t="shared" ref="GL259" si="8522">SUM(GL250:GL258)</f>
        <v>0</v>
      </c>
      <c r="GM259" s="64"/>
      <c r="GN259" s="70"/>
      <c r="GO259" s="70">
        <f t="shared" ref="GO259" si="8523">SUM(GO250:GO258)</f>
        <v>0</v>
      </c>
      <c r="GP259" s="64"/>
      <c r="GQ259" s="70"/>
      <c r="GR259" s="70">
        <f t="shared" ref="GR259" si="8524">SUM(GR250:GR258)</f>
        <v>0</v>
      </c>
      <c r="GS259" s="64"/>
      <c r="GT259" s="70"/>
      <c r="GU259" s="70">
        <f t="shared" ref="GU259" si="8525">SUM(GU250:GU258)</f>
        <v>0</v>
      </c>
      <c r="GV259" s="64"/>
      <c r="GW259" s="70"/>
      <c r="GX259" s="70">
        <f t="shared" ref="GX259" si="8526">SUM(GX250:GX258)</f>
        <v>0</v>
      </c>
      <c r="GY259" s="64"/>
      <c r="GZ259" s="70"/>
      <c r="HA259" s="70">
        <f t="shared" ref="HA259" si="8527">SUM(HA250:HA258)</f>
        <v>0</v>
      </c>
      <c r="HB259" s="64"/>
      <c r="HC259" s="70"/>
      <c r="HD259" s="70">
        <f t="shared" ref="HD259" si="8528">SUM(HD250:HD258)</f>
        <v>0</v>
      </c>
      <c r="HE259" s="64"/>
      <c r="HF259" s="70"/>
      <c r="HG259" s="70">
        <f t="shared" ref="HG259" si="8529">SUM(HG250:HG258)</f>
        <v>0</v>
      </c>
      <c r="HH259" s="64"/>
      <c r="HI259" s="70"/>
      <c r="HJ259" s="70">
        <f t="shared" ref="HJ259" si="8530">SUM(HJ250:HJ258)</f>
        <v>0</v>
      </c>
      <c r="HK259" s="64"/>
      <c r="HL259" s="70"/>
      <c r="HM259" s="70">
        <f t="shared" ref="HM259" si="8531">SUM(HM250:HM258)</f>
        <v>0</v>
      </c>
      <c r="HN259" s="64"/>
      <c r="HO259" s="70"/>
      <c r="HP259" s="70">
        <f t="shared" ref="HP259" si="8532">SUM(HP250:HP258)</f>
        <v>0</v>
      </c>
      <c r="HQ259" s="64"/>
      <c r="HR259" s="70"/>
      <c r="HS259" s="70">
        <f t="shared" ref="HS259" si="8533">SUM(HS250:HS258)</f>
        <v>0</v>
      </c>
      <c r="HT259" s="64"/>
      <c r="HU259" s="70"/>
      <c r="HV259" s="70">
        <f t="shared" ref="HV259" si="8534">SUM(HV250:HV258)</f>
        <v>0</v>
      </c>
      <c r="HW259" s="64"/>
      <c r="HX259" s="70"/>
      <c r="HY259" s="70">
        <f t="shared" ref="HY259" si="8535">SUM(HY250:HY258)</f>
        <v>0</v>
      </c>
      <c r="HZ259" s="64"/>
      <c r="IA259" s="70"/>
      <c r="IB259" s="70">
        <f t="shared" ref="IB259" si="8536">SUM(IB250:IB258)</f>
        <v>0</v>
      </c>
      <c r="IC259" s="64"/>
      <c r="ID259" s="70"/>
      <c r="IE259" s="70">
        <f t="shared" ref="IE259" si="8537">SUM(IE250:IE258)</f>
        <v>0</v>
      </c>
      <c r="IF259" s="64"/>
      <c r="IG259" s="70"/>
      <c r="IH259" s="70">
        <f t="shared" ref="IH259" si="8538">SUM(IH250:IH258)</f>
        <v>0</v>
      </c>
      <c r="II259" s="64"/>
      <c r="IJ259" s="70"/>
      <c r="IK259" s="70">
        <f t="shared" ref="IK259" si="8539">SUM(IK250:IK258)</f>
        <v>0</v>
      </c>
      <c r="IL259" s="64"/>
      <c r="IM259" s="70"/>
      <c r="IN259" s="70">
        <f t="shared" ref="IN259" si="8540">SUM(IN250:IN258)</f>
        <v>0</v>
      </c>
      <c r="IO259" s="64"/>
      <c r="IP259" s="70"/>
      <c r="IQ259" s="70">
        <f t="shared" ref="IQ259" si="8541">SUM(IQ250:IQ258)</f>
        <v>0</v>
      </c>
      <c r="IR259" s="64"/>
      <c r="IS259" s="70"/>
      <c r="IT259" s="70">
        <f t="shared" ref="IT259" si="8542">SUM(IT250:IT258)</f>
        <v>0</v>
      </c>
      <c r="IU259" s="64"/>
      <c r="IV259" s="70"/>
      <c r="IW259" s="70">
        <f t="shared" ref="IW259" si="8543">SUM(IW250:IW258)</f>
        <v>0</v>
      </c>
      <c r="IX259" s="64"/>
      <c r="IY259" s="70"/>
      <c r="IZ259" s="70">
        <f t="shared" ref="IZ259" si="8544">SUM(IZ250:IZ258)</f>
        <v>0</v>
      </c>
      <c r="JA259" s="64"/>
      <c r="JB259" s="70"/>
      <c r="JC259" s="70">
        <f t="shared" ref="JC259" si="8545">SUM(JC250:JC258)</f>
        <v>0</v>
      </c>
      <c r="JD259" s="64"/>
      <c r="JE259" s="70"/>
      <c r="JF259" s="70">
        <f t="shared" ref="JF259" si="8546">SUM(JF250:JF258)</f>
        <v>0</v>
      </c>
      <c r="JG259" s="64"/>
      <c r="JH259" s="70"/>
      <c r="JI259" s="70">
        <f t="shared" ref="JI259" si="8547">SUM(JI250:JI258)</f>
        <v>0</v>
      </c>
      <c r="JJ259" s="64"/>
      <c r="JK259" s="70"/>
      <c r="JL259" s="70">
        <f t="shared" ref="JL259" si="8548">SUM(JL250:JL258)</f>
        <v>0</v>
      </c>
      <c r="JM259" s="64"/>
      <c r="JN259" s="70"/>
      <c r="JO259" s="70">
        <f t="shared" ref="JO259" si="8549">SUM(JO250:JO258)</f>
        <v>0</v>
      </c>
      <c r="JP259" s="64"/>
      <c r="JQ259" s="70"/>
      <c r="JR259" s="70">
        <f t="shared" ref="JR259" si="8550">SUM(JR250:JR258)</f>
        <v>0</v>
      </c>
      <c r="JS259" s="64"/>
      <c r="JT259" s="70"/>
      <c r="JU259" s="70">
        <f t="shared" ref="JU259" si="8551">SUM(JU250:JU258)</f>
        <v>0</v>
      </c>
      <c r="JV259" s="64"/>
      <c r="JW259" s="70"/>
      <c r="JX259" s="70">
        <f t="shared" ref="JX259" si="8552">SUM(JX250:JX258)</f>
        <v>0</v>
      </c>
      <c r="JY259" s="64"/>
      <c r="JZ259" s="70"/>
      <c r="KA259" s="70">
        <f t="shared" ref="KA259" si="8553">SUM(KA250:KA258)</f>
        <v>0</v>
      </c>
      <c r="KB259" s="64"/>
      <c r="KC259" s="70"/>
      <c r="KD259" s="70">
        <f t="shared" ref="KD259" si="8554">SUM(KD250:KD258)</f>
        <v>0</v>
      </c>
      <c r="KE259" s="64"/>
      <c r="KF259" s="70"/>
      <c r="KG259" s="70">
        <f t="shared" ref="KG259" si="8555">SUM(KG250:KG258)</f>
        <v>0</v>
      </c>
      <c r="KH259" s="64"/>
      <c r="KI259" s="70"/>
      <c r="KJ259" s="70">
        <f t="shared" ref="KJ259" si="8556">SUM(KJ250:KJ258)</f>
        <v>0</v>
      </c>
      <c r="KK259" s="64"/>
      <c r="KL259" s="70"/>
      <c r="KM259" s="70">
        <f t="shared" ref="KM259" si="8557">SUM(KM250:KM258)</f>
        <v>0</v>
      </c>
      <c r="KN259" s="64"/>
      <c r="KO259" s="70"/>
      <c r="KP259" s="70">
        <f t="shared" ref="KP259" si="8558">SUM(KP250:KP258)</f>
        <v>0</v>
      </c>
      <c r="KQ259" s="64"/>
      <c r="KR259" s="70"/>
      <c r="KS259" s="70">
        <f t="shared" ref="KS259" si="8559">SUM(KS250:KS258)</f>
        <v>0</v>
      </c>
      <c r="KT259" s="64"/>
      <c r="KU259" s="70"/>
      <c r="KV259" s="70">
        <f t="shared" ref="KV259" si="8560">SUM(KV250:KV258)</f>
        <v>0</v>
      </c>
      <c r="KW259" s="64"/>
      <c r="KX259" s="70"/>
      <c r="KY259" s="70">
        <f t="shared" ref="KY259" si="8561">SUM(KY250:KY258)</f>
        <v>0</v>
      </c>
      <c r="KZ259" s="64"/>
      <c r="LA259" s="70"/>
      <c r="LB259" s="70">
        <f t="shared" ref="LB259" si="8562">SUM(LB250:LB258)</f>
        <v>0</v>
      </c>
      <c r="LC259" s="64"/>
      <c r="LD259" s="70"/>
      <c r="LE259" s="70">
        <f t="shared" ref="LE259" si="8563">SUM(LE250:LE258)</f>
        <v>0</v>
      </c>
      <c r="LF259" s="64"/>
    </row>
    <row r="260" spans="1:465" s="784" customFormat="1">
      <c r="A260" s="49"/>
      <c r="B260" s="49"/>
      <c r="C260" s="49"/>
      <c r="D260" s="49"/>
      <c r="E260" s="109"/>
      <c r="F260" s="721"/>
      <c r="G260" s="49"/>
      <c r="H260" s="49"/>
      <c r="I260" s="50"/>
      <c r="J260" s="92"/>
      <c r="K260" s="787" t="s">
        <v>1940</v>
      </c>
      <c r="L260" s="113">
        <v>20</v>
      </c>
      <c r="M260" s="114"/>
      <c r="N260" s="720"/>
      <c r="O260" s="720"/>
      <c r="P260" s="720"/>
      <c r="Q260" s="720"/>
      <c r="R260" s="720"/>
      <c r="S260" s="800" t="s">
        <v>2002</v>
      </c>
      <c r="T260" s="80">
        <f t="shared" ref="T260" si="8564">COUNTIF($M$258,S260)*$D$47</f>
        <v>0</v>
      </c>
      <c r="U260" s="49"/>
      <c r="V260" s="79" t="s">
        <v>2046</v>
      </c>
      <c r="W260" s="80">
        <f t="shared" ref="W260:W264" si="8565">COUNTIF($M$258,V260)*$D$47</f>
        <v>0</v>
      </c>
      <c r="X260" s="64"/>
      <c r="Y260" s="800" t="s">
        <v>2086</v>
      </c>
      <c r="Z260" s="80">
        <f t="shared" ref="Z260:Z264" si="8566">COUNTIF($M$258,Y260)*$D$47</f>
        <v>0</v>
      </c>
      <c r="AA260" s="64"/>
      <c r="AB260" s="800" t="s">
        <v>2121</v>
      </c>
      <c r="AC260" s="80">
        <f t="shared" ref="AC260:AC264" si="8567">COUNTIF($M$258,AB260)*$D$47</f>
        <v>0</v>
      </c>
      <c r="AD260" s="49"/>
      <c r="AE260" s="800" t="s">
        <v>2155</v>
      </c>
      <c r="AF260" s="80">
        <f t="shared" ref="AF260:AF264" si="8568">COUNTIF($M$258,AE260)*$D$47</f>
        <v>0</v>
      </c>
      <c r="AG260" s="64"/>
      <c r="AH260" s="800" t="s">
        <v>1999</v>
      </c>
      <c r="AI260" s="80">
        <f t="shared" ref="AI260:AI264" si="8569">COUNTIF($M$258,AH260)*$D$47</f>
        <v>0</v>
      </c>
      <c r="AJ260" s="64"/>
      <c r="AK260" s="809" t="s">
        <v>2000</v>
      </c>
      <c r="AL260" s="80">
        <f t="shared" ref="AL260:AL264" si="8570">COUNTIF($M$258,AK260)*$D$47</f>
        <v>0</v>
      </c>
      <c r="AM260" s="49"/>
      <c r="AN260" s="800" t="s">
        <v>2155</v>
      </c>
      <c r="AO260" s="80">
        <f t="shared" ref="AO260:AO264" si="8571">COUNTIF($M$258,AN260)*$D$47</f>
        <v>0</v>
      </c>
      <c r="AP260" s="64"/>
      <c r="AQ260" s="809" t="s">
        <v>2282</v>
      </c>
      <c r="AR260" s="80">
        <f t="shared" ref="AR260:AR264" si="8572">COUNTIF($M$258,AQ260)*$D$47</f>
        <v>0</v>
      </c>
      <c r="AS260" s="64"/>
      <c r="AT260" s="800" t="s">
        <v>2001</v>
      </c>
      <c r="AU260" s="80">
        <f t="shared" ref="AU260:AU264" si="8573">COUNTIF($M$258,AT260)*$D$47</f>
        <v>0</v>
      </c>
      <c r="AV260" s="49"/>
      <c r="AW260" s="800" t="s">
        <v>2121</v>
      </c>
      <c r="AX260" s="80">
        <f t="shared" ref="AX260:AX264" si="8574">COUNTIF($M$258,AW260)*$D$47</f>
        <v>0</v>
      </c>
      <c r="AY260" s="64"/>
      <c r="AZ260" s="800" t="s">
        <v>2387</v>
      </c>
      <c r="BA260" s="80">
        <f t="shared" ref="BA260:BA264" si="8575">COUNTIF($M$258,AZ260)*$D$47</f>
        <v>0</v>
      </c>
      <c r="BB260" s="64"/>
      <c r="BC260" s="800" t="s">
        <v>2001</v>
      </c>
      <c r="BD260" s="80">
        <f t="shared" ref="BD260:BD264" si="8576">COUNTIF($M$258,BC260)*$D$47</f>
        <v>0</v>
      </c>
      <c r="BE260" s="49"/>
      <c r="BF260" s="800" t="s">
        <v>2445</v>
      </c>
      <c r="BG260" s="80">
        <f t="shared" ref="BG260:BG264" si="8577">COUNTIF($M$258,BF260)*$D$47</f>
        <v>0</v>
      </c>
      <c r="BH260" s="64"/>
      <c r="BI260" s="800" t="s">
        <v>2155</v>
      </c>
      <c r="BJ260" s="80">
        <f t="shared" ref="BJ260:BJ264" si="8578">COUNTIF($M$258,BI260)*$D$47</f>
        <v>0</v>
      </c>
      <c r="BK260" s="64"/>
      <c r="BL260" s="800" t="s">
        <v>2155</v>
      </c>
      <c r="BM260" s="80">
        <f t="shared" ref="BM260:BM264" si="8579">COUNTIF($M$258,BL260)*$D$47</f>
        <v>0</v>
      </c>
      <c r="BN260" s="49"/>
      <c r="BO260" s="819" t="s">
        <v>2000</v>
      </c>
      <c r="BP260" s="80">
        <f t="shared" ref="BP260:BP264" si="8580">COUNTIF($M$258,BO260)*$D$47</f>
        <v>0</v>
      </c>
      <c r="BQ260" s="64"/>
      <c r="BR260" s="800" t="s">
        <v>2155</v>
      </c>
      <c r="BS260" s="80">
        <f t="shared" ref="BS260:BS264" si="8581">COUNTIF($M$258,BR260)*$D$47</f>
        <v>0</v>
      </c>
      <c r="BT260" s="64"/>
      <c r="BU260" s="800" t="s">
        <v>2000</v>
      </c>
      <c r="BV260" s="80">
        <f t="shared" ref="BV260:BV264" si="8582">COUNTIF($M$258,BU260)*$D$47</f>
        <v>0</v>
      </c>
      <c r="BW260" s="49"/>
      <c r="BX260" s="79" t="s">
        <v>2573</v>
      </c>
      <c r="BY260" s="80">
        <f t="shared" ref="BY260:BY264" si="8583">COUNTIF($M$258,BX260)*$D$47</f>
        <v>0</v>
      </c>
      <c r="BZ260" s="64"/>
      <c r="CA260" s="819" t="s">
        <v>2000</v>
      </c>
      <c r="CB260" s="80">
        <f t="shared" ref="CB260:CB264" si="8584">COUNTIF($M$258,CA260)*$D$47</f>
        <v>0</v>
      </c>
      <c r="CC260" s="64"/>
      <c r="CD260" s="828" t="s">
        <v>2001</v>
      </c>
      <c r="CE260" s="80">
        <f t="shared" ref="CE260:CE264" si="8585">COUNTIF($M$258,CD260)*$D$47</f>
        <v>0</v>
      </c>
      <c r="CF260" s="49"/>
      <c r="CG260" s="800" t="s">
        <v>2000</v>
      </c>
      <c r="CH260" s="80">
        <f t="shared" ref="CH260:CH264" si="8586">COUNTIF($M$258,CG260)*$D$47</f>
        <v>0</v>
      </c>
      <c r="CI260" s="64"/>
      <c r="CJ260" s="800" t="s">
        <v>2121</v>
      </c>
      <c r="CK260" s="80">
        <f t="shared" ref="CK260:CK264" si="8587">COUNTIF($M$258,CJ260)*$D$47</f>
        <v>0</v>
      </c>
      <c r="CL260" s="64"/>
      <c r="CM260" s="800" t="s">
        <v>2085</v>
      </c>
      <c r="CN260" s="80">
        <f t="shared" ref="CN260:CN264" si="8588">COUNTIF($M$258,CM260)*$D$47</f>
        <v>0</v>
      </c>
      <c r="CO260" s="49"/>
      <c r="CP260" s="800" t="s">
        <v>2086</v>
      </c>
      <c r="CQ260" s="80">
        <f t="shared" ref="CQ260:CQ264" si="8589">COUNTIF($M$258,CP260)*$D$47</f>
        <v>0</v>
      </c>
      <c r="CR260" s="64"/>
      <c r="CS260" s="800" t="s">
        <v>2710</v>
      </c>
      <c r="CT260" s="80">
        <f t="shared" ref="CT260:CT264" si="8590">COUNTIF($M$258,CS260)*$D$47</f>
        <v>0</v>
      </c>
      <c r="CU260" s="64"/>
      <c r="CV260" s="800" t="s">
        <v>2553</v>
      </c>
      <c r="CW260" s="80">
        <f t="shared" ref="CW260:CW264" si="8591">COUNTIF($M$258,CV260)*$D$47</f>
        <v>0</v>
      </c>
      <c r="CX260" s="49"/>
      <c r="CY260" s="800" t="s">
        <v>2121</v>
      </c>
      <c r="CZ260" s="80">
        <f t="shared" ref="CZ260:CZ264" si="8592">COUNTIF($M$258,CY260)*$D$47</f>
        <v>0</v>
      </c>
      <c r="DA260" s="64"/>
      <c r="DB260" s="800" t="s">
        <v>2002</v>
      </c>
      <c r="DC260" s="80">
        <f t="shared" ref="DC260:DC264" si="8593">COUNTIF($M$258,DB260)*$D$47</f>
        <v>0</v>
      </c>
      <c r="DD260" s="64"/>
      <c r="DE260" s="800" t="s">
        <v>2121</v>
      </c>
      <c r="DF260" s="80">
        <f>COUNTIF($M$258,DE260)*$D$47</f>
        <v>0</v>
      </c>
      <c r="DG260" s="49"/>
      <c r="DH260" s="800" t="s">
        <v>2313</v>
      </c>
      <c r="DI260" s="80">
        <f>COUNTIF($M$258,DH260)*$D$47</f>
        <v>0</v>
      </c>
      <c r="DJ260" s="64"/>
      <c r="DK260" s="800" t="s">
        <v>1999</v>
      </c>
      <c r="DL260" s="80">
        <f>COUNTIF($M$258,DK260)*$D$47</f>
        <v>0</v>
      </c>
      <c r="DM260" s="64"/>
      <c r="DN260" s="79"/>
      <c r="DO260" s="80">
        <f t="shared" ref="DO260:DO264" si="8594">COUNTIF($M$258,DN260)*$D$47</f>
        <v>0</v>
      </c>
      <c r="DP260" s="49"/>
      <c r="DQ260" s="800" t="s">
        <v>2086</v>
      </c>
      <c r="DR260" s="80">
        <f t="shared" ref="DR260:DR264" si="8595">COUNTIF($M$258,DQ260)*$D$47</f>
        <v>0</v>
      </c>
      <c r="DS260" s="64"/>
      <c r="DT260" s="79" t="s">
        <v>2877</v>
      </c>
      <c r="DU260" s="80">
        <f t="shared" ref="DU260:DU264" si="8596">COUNTIF($M$258,DT260)*$D$47</f>
        <v>0</v>
      </c>
      <c r="DV260" s="64"/>
      <c r="DW260" s="79"/>
      <c r="DX260" s="80">
        <f t="shared" ref="DX260:DX264" si="8597">COUNTIF($M$258,DW260)*$D$47</f>
        <v>0</v>
      </c>
      <c r="DY260" s="49"/>
      <c r="DZ260" s="79"/>
      <c r="EA260" s="80">
        <f>COUNTIF($M$258,DZ260)*$D$47</f>
        <v>0</v>
      </c>
      <c r="EB260" s="64"/>
      <c r="EC260" s="79"/>
      <c r="ED260" s="80">
        <f t="shared" ref="ED260:ED264" si="8598">COUNTIF($M$258,EC260)*$D$47</f>
        <v>0</v>
      </c>
      <c r="EE260" s="64"/>
      <c r="EF260" s="79"/>
      <c r="EG260" s="80">
        <f t="shared" ref="EG260:EG264" si="8599">COUNTIF($M$258,EF260)*$D$47</f>
        <v>0</v>
      </c>
      <c r="EH260" s="49"/>
      <c r="EI260" s="79"/>
      <c r="EJ260" s="80">
        <f t="shared" ref="EJ260:EJ264" si="8600">COUNTIF($M$258,EI260)*$D$47</f>
        <v>0</v>
      </c>
      <c r="EK260" s="64"/>
      <c r="EL260" s="79"/>
      <c r="EM260" s="80">
        <f t="shared" ref="EM260:EM264" si="8601">COUNTIF($M$258,EL260)*$D$47</f>
        <v>0</v>
      </c>
      <c r="EN260" s="64"/>
      <c r="EO260" s="79"/>
      <c r="EP260" s="80">
        <f t="shared" ref="EP260:EP264" si="8602">COUNTIF($M$258,EO260)*$D$47</f>
        <v>0</v>
      </c>
      <c r="EQ260" s="49"/>
      <c r="ER260" s="79"/>
      <c r="ES260" s="80">
        <f t="shared" ref="ES260:ES264" si="8603">COUNTIF($M$258,ER260)*$D$47</f>
        <v>0</v>
      </c>
      <c r="ET260" s="64"/>
      <c r="EU260" s="79"/>
      <c r="EV260" s="80">
        <f t="shared" ref="EV260:EV264" si="8604">COUNTIF($M$258,EU260)*$D$47</f>
        <v>0</v>
      </c>
      <c r="EW260" s="64"/>
      <c r="EX260" s="79"/>
      <c r="EY260" s="80">
        <f t="shared" ref="EY260:EY264" si="8605">COUNTIF($M$258,EX260)*$D$47</f>
        <v>0</v>
      </c>
      <c r="EZ260" s="49"/>
      <c r="FA260" s="79"/>
      <c r="FB260" s="80">
        <f t="shared" ref="FB260:FB264" si="8606">COUNTIF($M$258,FA260)*$D$47</f>
        <v>0</v>
      </c>
      <c r="FC260" s="64"/>
      <c r="FD260" s="79"/>
      <c r="FE260" s="80">
        <f t="shared" ref="FE260:FE264" si="8607">COUNTIF($M$258,FD260)*$D$47</f>
        <v>0</v>
      </c>
      <c r="FF260" s="64"/>
      <c r="FG260" s="79"/>
      <c r="FH260" s="80">
        <f t="shared" ref="FH260:FH264" si="8608">COUNTIF($M$258,FG260)*$D$47</f>
        <v>0</v>
      </c>
      <c r="FI260" s="49"/>
      <c r="FJ260" s="79"/>
      <c r="FK260" s="80">
        <f t="shared" ref="FK260:FK264" si="8609">COUNTIF($M$258,FJ260)*$D$47</f>
        <v>0</v>
      </c>
      <c r="FL260" s="64"/>
      <c r="FM260" s="79"/>
      <c r="FN260" s="80">
        <f t="shared" ref="FN260:FN264" si="8610">COUNTIF($M$258,FM260)*$D$47</f>
        <v>0</v>
      </c>
      <c r="FO260" s="64"/>
      <c r="FP260" s="79"/>
      <c r="FQ260" s="80">
        <f t="shared" ref="FQ260:FQ264" si="8611">COUNTIF($M$258,FP260)*$D$47</f>
        <v>0</v>
      </c>
      <c r="FR260" s="49"/>
      <c r="FS260" s="79"/>
      <c r="FT260" s="80">
        <f t="shared" ref="FT260:FT264" si="8612">COUNTIF($M$258,FS260)*$D$47</f>
        <v>0</v>
      </c>
      <c r="FU260" s="64"/>
      <c r="FV260" s="79"/>
      <c r="FW260" s="80">
        <f t="shared" ref="FW260:FW264" si="8613">COUNTIF($M$258,FV260)*$D$47</f>
        <v>0</v>
      </c>
      <c r="FX260" s="64"/>
      <c r="FY260" s="79"/>
      <c r="FZ260" s="80">
        <f t="shared" ref="FZ260:FZ264" si="8614">COUNTIF($M$258,FY260)*$D$47</f>
        <v>0</v>
      </c>
      <c r="GA260" s="49"/>
      <c r="GB260" s="79"/>
      <c r="GC260" s="80">
        <f t="shared" ref="GC260:GC264" si="8615">COUNTIF($M$258,GB260)*$D$47</f>
        <v>0</v>
      </c>
      <c r="GD260" s="64"/>
      <c r="GE260" s="79"/>
      <c r="GF260" s="80">
        <f t="shared" ref="GF260:GF264" si="8616">COUNTIF($M$258,GE260)*$D$47</f>
        <v>0</v>
      </c>
      <c r="GG260" s="64"/>
      <c r="GH260" s="79"/>
      <c r="GI260" s="80">
        <f t="shared" ref="GI260:GI264" si="8617">COUNTIF($M$258,GH260)*$D$47</f>
        <v>0</v>
      </c>
      <c r="GJ260" s="49"/>
      <c r="GK260" s="79"/>
      <c r="GL260" s="80">
        <f t="shared" ref="GL260:GL264" si="8618">COUNTIF($M$258,GK260)*$D$47</f>
        <v>0</v>
      </c>
      <c r="GM260" s="64"/>
      <c r="GN260" s="79"/>
      <c r="GO260" s="80">
        <f t="shared" ref="GO260:GO264" si="8619">COUNTIF($M$258,GN260)*$D$47</f>
        <v>0</v>
      </c>
      <c r="GP260" s="64"/>
      <c r="GQ260" s="79"/>
      <c r="GR260" s="80">
        <f t="shared" ref="GR260:GR264" si="8620">COUNTIF($M$258,GQ260)*$D$47</f>
        <v>0</v>
      </c>
      <c r="GS260" s="49"/>
      <c r="GT260" s="79"/>
      <c r="GU260" s="80">
        <f t="shared" ref="GU260:GU264" si="8621">COUNTIF($M$258,GT260)*$D$47</f>
        <v>0</v>
      </c>
      <c r="GV260" s="64"/>
      <c r="GW260" s="79"/>
      <c r="GX260" s="80">
        <f t="shared" ref="GX260:GX264" si="8622">COUNTIF($M$258,GW260)*$D$47</f>
        <v>0</v>
      </c>
      <c r="GY260" s="64"/>
      <c r="GZ260" s="79"/>
      <c r="HA260" s="80">
        <f t="shared" ref="HA260:HA264" si="8623">COUNTIF($M$258,GZ260)*$D$47</f>
        <v>0</v>
      </c>
      <c r="HB260" s="49"/>
      <c r="HC260" s="79"/>
      <c r="HD260" s="80">
        <f t="shared" ref="HD260:HD264" si="8624">COUNTIF($M$258,HC260)*$D$47</f>
        <v>0</v>
      </c>
      <c r="HE260" s="64"/>
      <c r="HF260" s="79"/>
      <c r="HG260" s="80">
        <f t="shared" ref="HG260:HG264" si="8625">COUNTIF($M$258,HF260)*$D$47</f>
        <v>0</v>
      </c>
      <c r="HH260" s="64"/>
      <c r="HI260" s="79"/>
      <c r="HJ260" s="80">
        <f t="shared" ref="HJ260:HJ264" si="8626">COUNTIF($M$258,HI260)*$D$47</f>
        <v>0</v>
      </c>
      <c r="HK260" s="49"/>
      <c r="HL260" s="79"/>
      <c r="HM260" s="80">
        <f t="shared" ref="HM260:HM264" si="8627">COUNTIF($M$258,HL260)*$D$47</f>
        <v>0</v>
      </c>
      <c r="HN260" s="64"/>
      <c r="HO260" s="79"/>
      <c r="HP260" s="80">
        <f t="shared" ref="HP260:HP264" si="8628">COUNTIF($M$258,HO260)*$D$47</f>
        <v>0</v>
      </c>
      <c r="HQ260" s="64"/>
      <c r="HR260" s="79"/>
      <c r="HS260" s="80">
        <f t="shared" ref="HS260:HS264" si="8629">COUNTIF($M$258,HR260)*$D$47</f>
        <v>0</v>
      </c>
      <c r="HT260" s="49"/>
      <c r="HU260" s="79"/>
      <c r="HV260" s="80">
        <f t="shared" ref="HV260:HV264" si="8630">COUNTIF($M$258,HU260)*$D$47</f>
        <v>0</v>
      </c>
      <c r="HW260" s="64"/>
      <c r="HX260" s="79"/>
      <c r="HY260" s="80">
        <f t="shared" ref="HY260:HY264" si="8631">COUNTIF($M$258,HX260)*$D$47</f>
        <v>0</v>
      </c>
      <c r="HZ260" s="64"/>
      <c r="IA260" s="79"/>
      <c r="IB260" s="80">
        <f t="shared" ref="IB260:IB264" si="8632">COUNTIF($M$258,IA260)*$D$47</f>
        <v>0</v>
      </c>
      <c r="IC260" s="49"/>
      <c r="ID260" s="79"/>
      <c r="IE260" s="80">
        <f t="shared" ref="IE260:IE264" si="8633">COUNTIF($M$258,ID260)*$D$47</f>
        <v>0</v>
      </c>
      <c r="IF260" s="64"/>
      <c r="IG260" s="79"/>
      <c r="IH260" s="80">
        <f t="shared" ref="IH260:IH264" si="8634">COUNTIF($M$258,IG260)*$D$47</f>
        <v>0</v>
      </c>
      <c r="II260" s="64"/>
      <c r="IJ260" s="79"/>
      <c r="IK260" s="80">
        <f t="shared" ref="IK260:IK264" si="8635">COUNTIF($M$258,IJ260)*$D$47</f>
        <v>0</v>
      </c>
      <c r="IL260" s="64"/>
      <c r="IM260" s="79"/>
      <c r="IN260" s="80">
        <f t="shared" ref="IN260:IN264" si="8636">COUNTIF($M$258,IM260)*$D$47</f>
        <v>0</v>
      </c>
      <c r="IO260" s="64"/>
      <c r="IP260" s="79"/>
      <c r="IQ260" s="80">
        <f t="shared" ref="IQ260:IQ264" si="8637">COUNTIF($M$258,IP260)*$D$47</f>
        <v>0</v>
      </c>
      <c r="IR260" s="49"/>
      <c r="IS260" s="79"/>
      <c r="IT260" s="80">
        <f t="shared" ref="IT260:IT264" si="8638">COUNTIF($M$258,IS260)*$D$47</f>
        <v>0</v>
      </c>
      <c r="IU260" s="64"/>
      <c r="IV260" s="79"/>
      <c r="IW260" s="80">
        <f t="shared" ref="IW260:IW264" si="8639">COUNTIF($M$258,IV260)*$D$47</f>
        <v>0</v>
      </c>
      <c r="IX260" s="64"/>
      <c r="IY260" s="79"/>
      <c r="IZ260" s="80">
        <f t="shared" ref="IZ260:IZ264" si="8640">COUNTIF($M$258,IY260)*$D$47</f>
        <v>0</v>
      </c>
      <c r="JA260" s="49"/>
      <c r="JB260" s="79"/>
      <c r="JC260" s="80">
        <f t="shared" ref="JC260:JC264" si="8641">COUNTIF($M$258,JB260)*$D$47</f>
        <v>0</v>
      </c>
      <c r="JD260" s="64"/>
      <c r="JE260" s="79"/>
      <c r="JF260" s="80">
        <f t="shared" ref="JF260:JF264" si="8642">COUNTIF($M$258,JE260)*$D$47</f>
        <v>0</v>
      </c>
      <c r="JG260" s="64"/>
      <c r="JH260" s="79"/>
      <c r="JI260" s="80">
        <f t="shared" ref="JI260:JI264" si="8643">COUNTIF($M$258,JH260)*$D$47</f>
        <v>0</v>
      </c>
      <c r="JJ260" s="49"/>
      <c r="JK260" s="79"/>
      <c r="JL260" s="80">
        <f t="shared" ref="JL260:JL264" si="8644">COUNTIF($M$258,JK260)*$D$47</f>
        <v>0</v>
      </c>
      <c r="JM260" s="64"/>
      <c r="JN260" s="79"/>
      <c r="JO260" s="80">
        <f t="shared" ref="JO260:JO264" si="8645">COUNTIF($M$258,JN260)*$D$47</f>
        <v>0</v>
      </c>
      <c r="JP260" s="64"/>
      <c r="JQ260" s="79"/>
      <c r="JR260" s="80">
        <f t="shared" ref="JR260:JR264" si="8646">COUNTIF($M$258,JQ260)*$D$47</f>
        <v>0</v>
      </c>
      <c r="JS260" s="49"/>
      <c r="JT260" s="79"/>
      <c r="JU260" s="80">
        <f t="shared" ref="JU260:JU264" si="8647">COUNTIF($M$258,JT260)*$D$47</f>
        <v>0</v>
      </c>
      <c r="JV260" s="64"/>
      <c r="JW260" s="79"/>
      <c r="JX260" s="80">
        <f t="shared" ref="JX260:JX264" si="8648">COUNTIF($M$258,JW260)*$D$47</f>
        <v>0</v>
      </c>
      <c r="JY260" s="64"/>
      <c r="JZ260" s="79"/>
      <c r="KA260" s="80">
        <f t="shared" ref="KA260:KA264" si="8649">COUNTIF($M$258,JZ260)*$D$47</f>
        <v>0</v>
      </c>
      <c r="KB260" s="49"/>
      <c r="KC260" s="79"/>
      <c r="KD260" s="80">
        <f t="shared" ref="KD260:KD264" si="8650">COUNTIF($M$258,KC260)*$D$47</f>
        <v>0</v>
      </c>
      <c r="KE260" s="64"/>
      <c r="KF260" s="79"/>
      <c r="KG260" s="80">
        <f t="shared" ref="KG260:KG264" si="8651">COUNTIF($M$258,KF260)*$D$47</f>
        <v>0</v>
      </c>
      <c r="KH260" s="64"/>
      <c r="KI260" s="79"/>
      <c r="KJ260" s="80">
        <f t="shared" ref="KJ260:KJ264" si="8652">COUNTIF($M$258,KI260)*$D$47</f>
        <v>0</v>
      </c>
      <c r="KK260" s="49"/>
      <c r="KL260" s="79"/>
      <c r="KM260" s="80">
        <f t="shared" ref="KM260:KM264" si="8653">COUNTIF($M$258,KL260)*$D$47</f>
        <v>0</v>
      </c>
      <c r="KN260" s="64"/>
      <c r="KO260" s="79"/>
      <c r="KP260" s="80">
        <f t="shared" ref="KP260:KP264" si="8654">COUNTIF($M$258,KO260)*$D$47</f>
        <v>0</v>
      </c>
      <c r="KQ260" s="64"/>
      <c r="KR260" s="79"/>
      <c r="KS260" s="80">
        <f t="shared" ref="KS260:KS264" si="8655">COUNTIF($M$258,KR260)*$D$47</f>
        <v>0</v>
      </c>
      <c r="KT260" s="49"/>
      <c r="KU260" s="79"/>
      <c r="KV260" s="80">
        <f t="shared" ref="KV260:KV264" si="8656">COUNTIF($M$258,KU260)*$D$47</f>
        <v>0</v>
      </c>
      <c r="KW260" s="64"/>
      <c r="KX260" s="79"/>
      <c r="KY260" s="80">
        <f t="shared" ref="KY260:KY264" si="8657">COUNTIF($M$258,KX260)*$D$47</f>
        <v>0</v>
      </c>
      <c r="KZ260" s="64"/>
      <c r="LA260" s="79"/>
      <c r="LB260" s="80">
        <f t="shared" ref="LB260:LB264" si="8658">COUNTIF($M$258,LA260)*$D$47</f>
        <v>0</v>
      </c>
      <c r="LC260" s="49"/>
      <c r="LD260" s="79"/>
      <c r="LE260" s="80">
        <f t="shared" ref="LE260:LE264" si="8659">COUNTIF($M$258,LD260)*$D$47</f>
        <v>0</v>
      </c>
      <c r="LF260" s="64"/>
      <c r="LG260" s="790"/>
      <c r="LH260" s="791">
        <f t="shared" ref="LH260:LH264" si="8660">COUNTIF($M$258,LG260)*$D$47</f>
        <v>0</v>
      </c>
      <c r="LI260" s="64"/>
      <c r="LJ260" s="790"/>
      <c r="LK260" s="791">
        <f t="shared" ref="LK260:LK264" si="8661">COUNTIF($M$258,LJ260)*$D$47</f>
        <v>0</v>
      </c>
      <c r="LL260" s="64"/>
      <c r="LM260" s="790"/>
      <c r="LN260" s="791">
        <f t="shared" ref="LN260:LN264" si="8662">COUNTIF($M$258,LM260)*$D$47</f>
        <v>0</v>
      </c>
      <c r="LO260" s="64"/>
      <c r="LP260" s="790"/>
      <c r="LQ260" s="791">
        <f t="shared" ref="LQ260:LQ264" si="8663">COUNTIF($M$258,LP260)*$D$47</f>
        <v>0</v>
      </c>
      <c r="LR260" s="64"/>
      <c r="LS260" s="790"/>
      <c r="LT260" s="791">
        <f t="shared" ref="LT260:LT264" si="8664">COUNTIF($M$258,LS260)*$D$47</f>
        <v>0</v>
      </c>
      <c r="LU260" s="64"/>
      <c r="LV260" s="790"/>
      <c r="LW260" s="791">
        <f t="shared" ref="LW260:LW264" si="8665">COUNTIF($M$258,LV260)*$D$47</f>
        <v>0</v>
      </c>
      <c r="LX260" s="64"/>
      <c r="LY260" s="790"/>
      <c r="LZ260" s="791">
        <f t="shared" ref="LZ260:LZ264" si="8666">COUNTIF($M$258,LY260)*$D$47</f>
        <v>0</v>
      </c>
      <c r="MA260" s="64"/>
      <c r="MB260" s="790"/>
      <c r="MC260" s="791">
        <f t="shared" ref="MC260:MC264" si="8667">COUNTIF($M$258,MB260)*$D$47</f>
        <v>0</v>
      </c>
      <c r="MD260" s="64"/>
      <c r="ME260" s="790"/>
      <c r="MF260" s="791">
        <f t="shared" ref="MF260:MF264" si="8668">COUNTIF($M$258,ME260)*$D$47</f>
        <v>0</v>
      </c>
      <c r="MG260" s="64"/>
      <c r="MH260" s="790"/>
      <c r="MI260" s="791">
        <f t="shared" ref="MI260:MI264" si="8669">COUNTIF($M$258,MH260)*$D$47</f>
        <v>0</v>
      </c>
      <c r="MJ260" s="64"/>
      <c r="MK260" s="790"/>
      <c r="ML260" s="791">
        <f t="shared" ref="ML260:ML264" si="8670">COUNTIF($M$258,MK260)*$D$47</f>
        <v>0</v>
      </c>
      <c r="MM260" s="64"/>
      <c r="MN260" s="790"/>
      <c r="MO260" s="791">
        <f t="shared" ref="MO260:MO264" si="8671">COUNTIF($M$258,MN260)*$D$47</f>
        <v>0</v>
      </c>
      <c r="MP260" s="64"/>
      <c r="MQ260" s="790"/>
      <c r="MR260" s="791">
        <f t="shared" ref="MR260:MR264" si="8672">COUNTIF($M$258,MQ260)*$D$47</f>
        <v>0</v>
      </c>
      <c r="MS260" s="64"/>
      <c r="MT260" s="790"/>
      <c r="MU260" s="791">
        <f t="shared" ref="MU260:MU264" si="8673">COUNTIF($M$258,MT260)*$D$47</f>
        <v>0</v>
      </c>
      <c r="MV260" s="64"/>
      <c r="MW260" s="790"/>
      <c r="MX260" s="791">
        <f t="shared" ref="MX260:MX264" si="8674">COUNTIF($M$258,MW260)*$D$47</f>
        <v>0</v>
      </c>
      <c r="MY260" s="64"/>
      <c r="MZ260" s="790"/>
      <c r="NA260" s="791">
        <f t="shared" ref="NA260:NA264" si="8675">COUNTIF($M$258,MZ260)*$D$47</f>
        <v>0</v>
      </c>
      <c r="NB260" s="64"/>
      <c r="NC260" s="790"/>
      <c r="ND260" s="791">
        <f t="shared" ref="ND260:ND264" si="8676">COUNTIF($M$258,NC260)*$D$47</f>
        <v>0</v>
      </c>
      <c r="NE260" s="64"/>
      <c r="NF260" s="790"/>
      <c r="NG260" s="791">
        <f t="shared" ref="NG260:NG264" si="8677">COUNTIF($M$258,NF260)*$D$47</f>
        <v>0</v>
      </c>
      <c r="NH260" s="64"/>
      <c r="NI260" s="790"/>
      <c r="NJ260" s="791">
        <f t="shared" ref="NJ260:NJ264" si="8678">COUNTIF($M$258,NI260)*$D$47</f>
        <v>0</v>
      </c>
      <c r="NK260" s="64"/>
      <c r="NL260" s="790"/>
      <c r="NM260" s="791">
        <f t="shared" ref="NM260:NM264" si="8679">COUNTIF($M$258,NL260)*$D$47</f>
        <v>0</v>
      </c>
      <c r="NN260" s="64"/>
      <c r="NO260" s="790"/>
      <c r="NP260" s="791">
        <f t="shared" ref="NP260:NP264" si="8680">COUNTIF($M$258,NO260)*$D$47</f>
        <v>0</v>
      </c>
      <c r="NQ260" s="64"/>
      <c r="NR260" s="790"/>
      <c r="NS260" s="791">
        <f t="shared" ref="NS260:NS264" si="8681">COUNTIF($M$258,NR260)*$D$47</f>
        <v>0</v>
      </c>
      <c r="NT260" s="64"/>
      <c r="NU260" s="790"/>
      <c r="NV260" s="791">
        <f t="shared" ref="NV260:NV264" si="8682">COUNTIF($M$258,NU260)*$D$47</f>
        <v>0</v>
      </c>
      <c r="NW260" s="64"/>
      <c r="NX260" s="790"/>
      <c r="NY260" s="791">
        <f t="shared" ref="NY260:NY264" si="8683">COUNTIF($M$258,NX260)*$D$47</f>
        <v>0</v>
      </c>
      <c r="NZ260" s="64"/>
      <c r="OA260" s="790"/>
      <c r="OB260" s="791">
        <f t="shared" ref="OB260:OB264" si="8684">COUNTIF($M$258,OA260)*$D$47</f>
        <v>0</v>
      </c>
      <c r="OC260" s="64"/>
      <c r="OD260" s="790"/>
      <c r="OE260" s="791">
        <f t="shared" ref="OE260:OE264" si="8685">COUNTIF($M$258,OD260)*$D$47</f>
        <v>0</v>
      </c>
      <c r="OF260" s="64"/>
      <c r="OG260" s="790"/>
      <c r="OH260" s="791">
        <f t="shared" ref="OH260:OH264" si="8686">COUNTIF($M$258,OG260)*$D$47</f>
        <v>0</v>
      </c>
      <c r="OI260" s="64"/>
      <c r="OJ260" s="790"/>
      <c r="OK260" s="791">
        <f t="shared" ref="OK260:OK264" si="8687">COUNTIF($M$258,OJ260)*$D$47</f>
        <v>0</v>
      </c>
      <c r="OL260" s="64"/>
      <c r="OM260" s="790"/>
      <c r="ON260" s="791">
        <f t="shared" ref="ON260:ON264" si="8688">COUNTIF($M$258,OM260)*$D$47</f>
        <v>0</v>
      </c>
      <c r="OO260" s="64"/>
      <c r="OP260" s="790"/>
      <c r="OQ260" s="791">
        <f t="shared" ref="OQ260:OQ264" si="8689">COUNTIF($M$258,OP260)*$D$47</f>
        <v>0</v>
      </c>
      <c r="OR260" s="64"/>
      <c r="OS260" s="790"/>
      <c r="OT260" s="791">
        <f t="shared" ref="OT260:OT264" si="8690">COUNTIF($M$258,OS260)*$D$47</f>
        <v>0</v>
      </c>
      <c r="OU260" s="64"/>
      <c r="OV260" s="790"/>
      <c r="OW260" s="791">
        <f t="shared" ref="OW260:OW264" si="8691">COUNTIF($M$258,OV260)*$D$47</f>
        <v>0</v>
      </c>
      <c r="OX260" s="64"/>
      <c r="OY260" s="790"/>
      <c r="OZ260" s="791">
        <f t="shared" ref="OZ260:OZ264" si="8692">COUNTIF($M$258,OY260)*$D$47</f>
        <v>0</v>
      </c>
      <c r="PA260" s="64"/>
      <c r="PB260" s="790"/>
      <c r="PC260" s="791">
        <f t="shared" ref="PC260:PC264" si="8693">COUNTIF($M$258,PB260)*$D$47</f>
        <v>0</v>
      </c>
      <c r="PD260" s="64"/>
      <c r="PE260" s="790"/>
      <c r="PF260" s="791">
        <f t="shared" ref="PF260:PF264" si="8694">COUNTIF($M$258,PE260)*$D$47</f>
        <v>0</v>
      </c>
      <c r="PG260" s="64"/>
      <c r="PH260" s="790"/>
      <c r="PI260" s="791">
        <f t="shared" ref="PI260:PI264" si="8695">COUNTIF($M$258,PH260)*$D$47</f>
        <v>0</v>
      </c>
      <c r="PJ260" s="64"/>
      <c r="PK260" s="790"/>
      <c r="PL260" s="791">
        <f t="shared" ref="PL260:PL264" si="8696">COUNTIF($M$258,PK260)*$D$47</f>
        <v>0</v>
      </c>
      <c r="PM260" s="64"/>
      <c r="PN260" s="790"/>
      <c r="PO260" s="791">
        <f t="shared" ref="PO260:PO264" si="8697">COUNTIF($M$258,PN260)*$D$47</f>
        <v>0</v>
      </c>
      <c r="PP260" s="64"/>
      <c r="PQ260" s="790"/>
      <c r="PR260" s="791">
        <f t="shared" ref="PR260:PR264" si="8698">COUNTIF($M$258,PQ260)*$D$47</f>
        <v>0</v>
      </c>
      <c r="PS260" s="64"/>
      <c r="PT260" s="790"/>
      <c r="PU260" s="791">
        <f t="shared" ref="PU260:PU264" si="8699">COUNTIF($M$258,PT260)*$D$47</f>
        <v>0</v>
      </c>
      <c r="PV260" s="64"/>
      <c r="PW260" s="790"/>
      <c r="PX260" s="791">
        <f t="shared" ref="PX260:PX264" si="8700">COUNTIF($M$258,PW260)*$D$47</f>
        <v>0</v>
      </c>
      <c r="PY260" s="64"/>
      <c r="PZ260" s="790"/>
      <c r="QA260" s="791">
        <f t="shared" ref="QA260:QA264" si="8701">COUNTIF($M$258,PZ260)*$D$47</f>
        <v>0</v>
      </c>
      <c r="QB260" s="64"/>
      <c r="QC260" s="790"/>
      <c r="QD260" s="791">
        <f t="shared" ref="QD260:QD264" si="8702">COUNTIF($M$258,QC260)*$D$47</f>
        <v>0</v>
      </c>
      <c r="QE260" s="64"/>
      <c r="QF260" s="790"/>
      <c r="QG260" s="791">
        <f t="shared" ref="QG260:QG264" si="8703">COUNTIF($M$258,QF260)*$D$47</f>
        <v>0</v>
      </c>
      <c r="QH260" s="64"/>
      <c r="QI260" s="790"/>
      <c r="QJ260" s="791">
        <f t="shared" ref="QJ260:QJ264" si="8704">COUNTIF($M$258,QI260)*$D$47</f>
        <v>0</v>
      </c>
      <c r="QK260" s="64"/>
      <c r="QL260" s="790"/>
      <c r="QM260" s="791">
        <f t="shared" ref="QM260:QM264" si="8705">COUNTIF($M$258,QL260)*$D$47</f>
        <v>0</v>
      </c>
      <c r="QN260" s="64"/>
      <c r="QO260" s="790"/>
      <c r="QP260" s="791">
        <f t="shared" ref="QP260:QP264" si="8706">COUNTIF($M$258,QO260)*$D$47</f>
        <v>0</v>
      </c>
      <c r="QQ260" s="64"/>
      <c r="QR260" s="790"/>
      <c r="QS260" s="791">
        <f t="shared" ref="QS260:QS264" si="8707">COUNTIF($M$258,QR260)*$D$47</f>
        <v>0</v>
      </c>
      <c r="QT260" s="64"/>
      <c r="QU260" s="790"/>
      <c r="QV260" s="791">
        <f t="shared" ref="QV260:QV264" si="8708">COUNTIF($M$258,QU260)*$D$47</f>
        <v>0</v>
      </c>
      <c r="QW260" s="64"/>
    </row>
    <row r="261" spans="1:465" s="783" customFormat="1">
      <c r="A261" s="17"/>
      <c r="B261" s="17"/>
      <c r="C261" s="17"/>
      <c r="D261" s="17"/>
      <c r="E261" s="88"/>
      <c r="F261" s="720"/>
      <c r="G261" s="720"/>
      <c r="H261" s="720"/>
      <c r="I261" s="17"/>
      <c r="J261" s="17"/>
      <c r="K261" s="788" t="s">
        <v>1941</v>
      </c>
      <c r="L261" s="113">
        <v>20</v>
      </c>
      <c r="M261" s="114"/>
      <c r="N261" s="720"/>
      <c r="O261" s="720"/>
      <c r="P261" s="720"/>
      <c r="Q261" s="720"/>
      <c r="R261" s="720"/>
      <c r="S261" s="800" t="s">
        <v>2003</v>
      </c>
      <c r="T261" s="80">
        <f t="shared" ref="T261:T264" si="8709">COUNTIF($M$258,S261)*$D$47</f>
        <v>0</v>
      </c>
      <c r="U261" s="720"/>
      <c r="V261" s="79" t="s">
        <v>2047</v>
      </c>
      <c r="W261" s="80">
        <f t="shared" si="8565"/>
        <v>0</v>
      </c>
      <c r="X261" s="17"/>
      <c r="Y261" s="800" t="s">
        <v>2086</v>
      </c>
      <c r="Z261" s="80">
        <f t="shared" si="8566"/>
        <v>0</v>
      </c>
      <c r="AA261" s="17"/>
      <c r="AB261" s="800" t="s">
        <v>2122</v>
      </c>
      <c r="AC261" s="80">
        <f t="shared" si="8567"/>
        <v>0</v>
      </c>
      <c r="AD261" s="720"/>
      <c r="AE261" s="800" t="s">
        <v>2156</v>
      </c>
      <c r="AF261" s="80">
        <f t="shared" si="8568"/>
        <v>0</v>
      </c>
      <c r="AG261" s="17"/>
      <c r="AH261" s="800" t="s">
        <v>2192</v>
      </c>
      <c r="AI261" s="80">
        <f t="shared" si="8569"/>
        <v>0</v>
      </c>
      <c r="AJ261" s="17"/>
      <c r="AK261" s="809" t="s">
        <v>2226</v>
      </c>
      <c r="AL261" s="80">
        <f t="shared" si="8570"/>
        <v>0</v>
      </c>
      <c r="AM261" s="720"/>
      <c r="AN261" s="800" t="s">
        <v>2226</v>
      </c>
      <c r="AO261" s="80">
        <f t="shared" si="8571"/>
        <v>0</v>
      </c>
      <c r="AP261" s="17"/>
      <c r="AQ261" s="809" t="s">
        <v>2283</v>
      </c>
      <c r="AR261" s="80">
        <f t="shared" si="8572"/>
        <v>0</v>
      </c>
      <c r="AS261" s="17"/>
      <c r="AT261" s="800" t="s">
        <v>2226</v>
      </c>
      <c r="AU261" s="80">
        <f t="shared" si="8573"/>
        <v>0</v>
      </c>
      <c r="AV261" s="720"/>
      <c r="AW261" s="800" t="s">
        <v>2335</v>
      </c>
      <c r="AX261" s="80">
        <f t="shared" si="8574"/>
        <v>0</v>
      </c>
      <c r="AY261" s="17"/>
      <c r="AZ261" s="800" t="s">
        <v>2001</v>
      </c>
      <c r="BA261" s="80">
        <f t="shared" si="8575"/>
        <v>0</v>
      </c>
      <c r="BB261" s="17"/>
      <c r="BC261" s="800" t="s">
        <v>2003</v>
      </c>
      <c r="BD261" s="80">
        <f t="shared" si="8576"/>
        <v>0</v>
      </c>
      <c r="BE261" s="720"/>
      <c r="BF261" s="800" t="s">
        <v>2446</v>
      </c>
      <c r="BG261" s="80">
        <f t="shared" si="8577"/>
        <v>0</v>
      </c>
      <c r="BH261" s="17"/>
      <c r="BI261" s="800" t="s">
        <v>2226</v>
      </c>
      <c r="BJ261" s="80">
        <f t="shared" si="8578"/>
        <v>0</v>
      </c>
      <c r="BK261" s="17"/>
      <c r="BL261" s="800" t="s">
        <v>2226</v>
      </c>
      <c r="BM261" s="80">
        <f t="shared" si="8579"/>
        <v>0</v>
      </c>
      <c r="BN261" s="720"/>
      <c r="BO261" s="819" t="s">
        <v>2226</v>
      </c>
      <c r="BP261" s="80">
        <f t="shared" si="8580"/>
        <v>0</v>
      </c>
      <c r="BQ261" s="17"/>
      <c r="BR261" s="800" t="s">
        <v>2226</v>
      </c>
      <c r="BS261" s="80">
        <f t="shared" si="8581"/>
        <v>0</v>
      </c>
      <c r="BT261" s="17"/>
      <c r="BU261" s="800" t="s">
        <v>2554</v>
      </c>
      <c r="BV261" s="80">
        <f t="shared" si="8582"/>
        <v>0</v>
      </c>
      <c r="BW261" s="720"/>
      <c r="BX261" s="79" t="s">
        <v>2574</v>
      </c>
      <c r="BY261" s="80">
        <f t="shared" si="8583"/>
        <v>0</v>
      </c>
      <c r="BZ261" s="17"/>
      <c r="CA261" s="819" t="s">
        <v>2192</v>
      </c>
      <c r="CB261" s="80">
        <f t="shared" si="8584"/>
        <v>0</v>
      </c>
      <c r="CC261" s="17"/>
      <c r="CD261" s="828" t="s">
        <v>2605</v>
      </c>
      <c r="CE261" s="80">
        <f t="shared" si="8585"/>
        <v>0</v>
      </c>
      <c r="CF261" s="720"/>
      <c r="CG261" s="800" t="s">
        <v>2192</v>
      </c>
      <c r="CH261" s="80">
        <f t="shared" si="8586"/>
        <v>0</v>
      </c>
      <c r="CI261" s="17"/>
      <c r="CJ261" s="800" t="s">
        <v>2640</v>
      </c>
      <c r="CK261" s="80">
        <f t="shared" si="8587"/>
        <v>0</v>
      </c>
      <c r="CL261" s="17"/>
      <c r="CM261" s="800" t="s">
        <v>2666</v>
      </c>
      <c r="CN261" s="80">
        <f t="shared" si="8588"/>
        <v>0</v>
      </c>
      <c r="CO261" s="720"/>
      <c r="CP261" s="800" t="s">
        <v>2086</v>
      </c>
      <c r="CQ261" s="80">
        <f t="shared" si="8589"/>
        <v>0</v>
      </c>
      <c r="CR261" s="17"/>
      <c r="CS261" s="800" t="s">
        <v>2711</v>
      </c>
      <c r="CT261" s="80">
        <f t="shared" si="8590"/>
        <v>0</v>
      </c>
      <c r="CU261" s="17"/>
      <c r="CV261" s="800" t="s">
        <v>2192</v>
      </c>
      <c r="CW261" s="80">
        <f t="shared" si="8591"/>
        <v>0</v>
      </c>
      <c r="CX261" s="720"/>
      <c r="CY261" s="800" t="s">
        <v>2335</v>
      </c>
      <c r="CZ261" s="80">
        <f t="shared" si="8592"/>
        <v>0</v>
      </c>
      <c r="DA261" s="17"/>
      <c r="DB261" s="800" t="s">
        <v>2789</v>
      </c>
      <c r="DC261" s="80">
        <f t="shared" si="8593"/>
        <v>0</v>
      </c>
      <c r="DD261" s="17"/>
      <c r="DE261" s="800" t="s">
        <v>2810</v>
      </c>
      <c r="DF261" s="80">
        <f>COUNTIF($M$258,DE261)*$D$47</f>
        <v>0</v>
      </c>
      <c r="DG261" s="720"/>
      <c r="DH261" s="800" t="s">
        <v>2865</v>
      </c>
      <c r="DI261" s="80">
        <f>COUNTIF($M$258,DH261)*$D$47</f>
        <v>0</v>
      </c>
      <c r="DJ261" s="17"/>
      <c r="DK261" s="800" t="s">
        <v>2827</v>
      </c>
      <c r="DL261" s="80">
        <f>COUNTIF($M$258,DK261)*$D$47</f>
        <v>0</v>
      </c>
      <c r="DM261" s="17"/>
      <c r="DN261" s="79"/>
      <c r="DO261" s="80">
        <f t="shared" si="8594"/>
        <v>0</v>
      </c>
      <c r="DP261" s="720"/>
      <c r="DQ261" s="800" t="s">
        <v>2849</v>
      </c>
      <c r="DR261" s="80">
        <f t="shared" si="8595"/>
        <v>0</v>
      </c>
      <c r="DS261" s="17"/>
      <c r="DT261" s="79" t="s">
        <v>2878</v>
      </c>
      <c r="DU261" s="80">
        <f t="shared" si="8596"/>
        <v>0</v>
      </c>
      <c r="DV261" s="17"/>
      <c r="DW261" s="79"/>
      <c r="DX261" s="80">
        <f t="shared" si="8597"/>
        <v>0</v>
      </c>
      <c r="DY261" s="720"/>
      <c r="DZ261" s="79"/>
      <c r="EA261" s="80">
        <f>COUNTIF($M$258,DZ261)*$D$47</f>
        <v>0</v>
      </c>
      <c r="EB261" s="17"/>
      <c r="EC261" s="79"/>
      <c r="ED261" s="80">
        <f t="shared" si="8598"/>
        <v>0</v>
      </c>
      <c r="EE261" s="17"/>
      <c r="EF261" s="79"/>
      <c r="EG261" s="80">
        <f t="shared" si="8599"/>
        <v>0</v>
      </c>
      <c r="EH261" s="720"/>
      <c r="EI261" s="79"/>
      <c r="EJ261" s="80">
        <f t="shared" si="8600"/>
        <v>0</v>
      </c>
      <c r="EK261" s="17"/>
      <c r="EL261" s="79"/>
      <c r="EM261" s="80">
        <f t="shared" si="8601"/>
        <v>0</v>
      </c>
      <c r="EN261" s="17"/>
      <c r="EO261" s="79"/>
      <c r="EP261" s="80">
        <f t="shared" si="8602"/>
        <v>0</v>
      </c>
      <c r="EQ261" s="720"/>
      <c r="ER261" s="79"/>
      <c r="ES261" s="80">
        <f t="shared" si="8603"/>
        <v>0</v>
      </c>
      <c r="ET261" s="17"/>
      <c r="EU261" s="79"/>
      <c r="EV261" s="80">
        <f t="shared" si="8604"/>
        <v>0</v>
      </c>
      <c r="EW261" s="17"/>
      <c r="EX261" s="79"/>
      <c r="EY261" s="80">
        <f t="shared" si="8605"/>
        <v>0</v>
      </c>
      <c r="EZ261" s="720"/>
      <c r="FA261" s="79"/>
      <c r="FB261" s="80">
        <f t="shared" si="8606"/>
        <v>0</v>
      </c>
      <c r="FC261" s="17"/>
      <c r="FD261" s="79"/>
      <c r="FE261" s="80">
        <f t="shared" si="8607"/>
        <v>0</v>
      </c>
      <c r="FF261" s="17"/>
      <c r="FG261" s="79"/>
      <c r="FH261" s="80">
        <f t="shared" si="8608"/>
        <v>0</v>
      </c>
      <c r="FI261" s="720"/>
      <c r="FJ261" s="79"/>
      <c r="FK261" s="80">
        <f t="shared" si="8609"/>
        <v>0</v>
      </c>
      <c r="FL261" s="17"/>
      <c r="FM261" s="79"/>
      <c r="FN261" s="80">
        <f t="shared" si="8610"/>
        <v>0</v>
      </c>
      <c r="FO261" s="17"/>
      <c r="FP261" s="79"/>
      <c r="FQ261" s="80">
        <f t="shared" si="8611"/>
        <v>0</v>
      </c>
      <c r="FR261" s="720"/>
      <c r="FS261" s="79"/>
      <c r="FT261" s="80">
        <f t="shared" si="8612"/>
        <v>0</v>
      </c>
      <c r="FU261" s="17"/>
      <c r="FV261" s="79"/>
      <c r="FW261" s="80">
        <f t="shared" si="8613"/>
        <v>0</v>
      </c>
      <c r="FX261" s="17"/>
      <c r="FY261" s="79"/>
      <c r="FZ261" s="80">
        <f t="shared" si="8614"/>
        <v>0</v>
      </c>
      <c r="GA261" s="720"/>
      <c r="GB261" s="79"/>
      <c r="GC261" s="80">
        <f t="shared" si="8615"/>
        <v>0</v>
      </c>
      <c r="GD261" s="17"/>
      <c r="GE261" s="79"/>
      <c r="GF261" s="80">
        <f t="shared" si="8616"/>
        <v>0</v>
      </c>
      <c r="GG261" s="17"/>
      <c r="GH261" s="79"/>
      <c r="GI261" s="80">
        <f t="shared" si="8617"/>
        <v>0</v>
      </c>
      <c r="GJ261" s="720"/>
      <c r="GK261" s="79"/>
      <c r="GL261" s="80">
        <f t="shared" si="8618"/>
        <v>0</v>
      </c>
      <c r="GM261" s="17"/>
      <c r="GN261" s="79"/>
      <c r="GO261" s="80">
        <f t="shared" si="8619"/>
        <v>0</v>
      </c>
      <c r="GP261" s="17"/>
      <c r="GQ261" s="79"/>
      <c r="GR261" s="80">
        <f t="shared" si="8620"/>
        <v>0</v>
      </c>
      <c r="GS261" s="720"/>
      <c r="GT261" s="79"/>
      <c r="GU261" s="80">
        <f t="shared" si="8621"/>
        <v>0</v>
      </c>
      <c r="GV261" s="17"/>
      <c r="GW261" s="79"/>
      <c r="GX261" s="80">
        <f t="shared" si="8622"/>
        <v>0</v>
      </c>
      <c r="GY261" s="17"/>
      <c r="GZ261" s="79"/>
      <c r="HA261" s="80">
        <f t="shared" si="8623"/>
        <v>0</v>
      </c>
      <c r="HB261" s="720"/>
      <c r="HC261" s="79"/>
      <c r="HD261" s="80">
        <f t="shared" si="8624"/>
        <v>0</v>
      </c>
      <c r="HE261" s="17"/>
      <c r="HF261" s="79"/>
      <c r="HG261" s="80">
        <f t="shared" si="8625"/>
        <v>0</v>
      </c>
      <c r="HH261" s="17"/>
      <c r="HI261" s="79"/>
      <c r="HJ261" s="80">
        <f t="shared" si="8626"/>
        <v>0</v>
      </c>
      <c r="HK261" s="720"/>
      <c r="HL261" s="79"/>
      <c r="HM261" s="80">
        <f t="shared" si="8627"/>
        <v>0</v>
      </c>
      <c r="HN261" s="17"/>
      <c r="HO261" s="79"/>
      <c r="HP261" s="80">
        <f t="shared" si="8628"/>
        <v>0</v>
      </c>
      <c r="HQ261" s="17"/>
      <c r="HR261" s="79"/>
      <c r="HS261" s="80">
        <f t="shared" si="8629"/>
        <v>0</v>
      </c>
      <c r="HT261" s="720"/>
      <c r="HU261" s="79"/>
      <c r="HV261" s="80">
        <f t="shared" si="8630"/>
        <v>0</v>
      </c>
      <c r="HW261" s="17"/>
      <c r="HX261" s="79"/>
      <c r="HY261" s="80">
        <f t="shared" si="8631"/>
        <v>0</v>
      </c>
      <c r="HZ261" s="17"/>
      <c r="IA261" s="79"/>
      <c r="IB261" s="80">
        <f t="shared" si="8632"/>
        <v>0</v>
      </c>
      <c r="IC261" s="720"/>
      <c r="ID261" s="79"/>
      <c r="IE261" s="80">
        <f t="shared" si="8633"/>
        <v>0</v>
      </c>
      <c r="IF261" s="17"/>
      <c r="IG261" s="79"/>
      <c r="IH261" s="80">
        <f t="shared" si="8634"/>
        <v>0</v>
      </c>
      <c r="II261" s="17"/>
      <c r="IJ261" s="79"/>
      <c r="IK261" s="80">
        <f t="shared" si="8635"/>
        <v>0</v>
      </c>
      <c r="IL261" s="17"/>
      <c r="IM261" s="79"/>
      <c r="IN261" s="80">
        <f t="shared" si="8636"/>
        <v>0</v>
      </c>
      <c r="IO261" s="17"/>
      <c r="IP261" s="79"/>
      <c r="IQ261" s="80">
        <f t="shared" si="8637"/>
        <v>0</v>
      </c>
      <c r="IR261" s="720"/>
      <c r="IS261" s="79"/>
      <c r="IT261" s="80">
        <f t="shared" si="8638"/>
        <v>0</v>
      </c>
      <c r="IU261" s="17"/>
      <c r="IV261" s="79"/>
      <c r="IW261" s="80">
        <f t="shared" si="8639"/>
        <v>0</v>
      </c>
      <c r="IX261" s="17"/>
      <c r="IY261" s="79"/>
      <c r="IZ261" s="80">
        <f t="shared" si="8640"/>
        <v>0</v>
      </c>
      <c r="JA261" s="720"/>
      <c r="JB261" s="79"/>
      <c r="JC261" s="80">
        <f t="shared" si="8641"/>
        <v>0</v>
      </c>
      <c r="JD261" s="17"/>
      <c r="JE261" s="79"/>
      <c r="JF261" s="80">
        <f t="shared" si="8642"/>
        <v>0</v>
      </c>
      <c r="JG261" s="17"/>
      <c r="JH261" s="79"/>
      <c r="JI261" s="80">
        <f t="shared" si="8643"/>
        <v>0</v>
      </c>
      <c r="JJ261" s="720"/>
      <c r="JK261" s="79"/>
      <c r="JL261" s="80">
        <f t="shared" si="8644"/>
        <v>0</v>
      </c>
      <c r="JM261" s="17"/>
      <c r="JN261" s="79"/>
      <c r="JO261" s="80">
        <f t="shared" si="8645"/>
        <v>0</v>
      </c>
      <c r="JP261" s="17"/>
      <c r="JQ261" s="79"/>
      <c r="JR261" s="80">
        <f t="shared" si="8646"/>
        <v>0</v>
      </c>
      <c r="JS261" s="720"/>
      <c r="JT261" s="79"/>
      <c r="JU261" s="80">
        <f t="shared" si="8647"/>
        <v>0</v>
      </c>
      <c r="JV261" s="17"/>
      <c r="JW261" s="79"/>
      <c r="JX261" s="80">
        <f t="shared" si="8648"/>
        <v>0</v>
      </c>
      <c r="JY261" s="17"/>
      <c r="JZ261" s="79"/>
      <c r="KA261" s="80">
        <f t="shared" si="8649"/>
        <v>0</v>
      </c>
      <c r="KB261" s="720"/>
      <c r="KC261" s="79"/>
      <c r="KD261" s="80">
        <f t="shared" si="8650"/>
        <v>0</v>
      </c>
      <c r="KE261" s="17"/>
      <c r="KF261" s="79"/>
      <c r="KG261" s="80">
        <f t="shared" si="8651"/>
        <v>0</v>
      </c>
      <c r="KH261" s="17"/>
      <c r="KI261" s="79"/>
      <c r="KJ261" s="80">
        <f t="shared" si="8652"/>
        <v>0</v>
      </c>
      <c r="KK261" s="720"/>
      <c r="KL261" s="79"/>
      <c r="KM261" s="80">
        <f t="shared" si="8653"/>
        <v>0</v>
      </c>
      <c r="KN261" s="17"/>
      <c r="KO261" s="79"/>
      <c r="KP261" s="80">
        <f t="shared" si="8654"/>
        <v>0</v>
      </c>
      <c r="KQ261" s="17"/>
      <c r="KR261" s="79"/>
      <c r="KS261" s="80">
        <f t="shared" si="8655"/>
        <v>0</v>
      </c>
      <c r="KT261" s="720"/>
      <c r="KU261" s="79"/>
      <c r="KV261" s="80">
        <f t="shared" si="8656"/>
        <v>0</v>
      </c>
      <c r="KW261" s="17"/>
      <c r="KX261" s="79"/>
      <c r="KY261" s="80">
        <f t="shared" si="8657"/>
        <v>0</v>
      </c>
      <c r="KZ261" s="17"/>
      <c r="LA261" s="79"/>
      <c r="LB261" s="80">
        <f t="shared" si="8658"/>
        <v>0</v>
      </c>
      <c r="LC261" s="720"/>
      <c r="LD261" s="79"/>
      <c r="LE261" s="80">
        <f t="shared" si="8659"/>
        <v>0</v>
      </c>
      <c r="LF261" s="17"/>
      <c r="LG261" s="790"/>
      <c r="LH261" s="791">
        <f t="shared" si="8660"/>
        <v>0</v>
      </c>
      <c r="LI261" s="25"/>
      <c r="LJ261" s="790"/>
      <c r="LK261" s="791">
        <f t="shared" si="8661"/>
        <v>0</v>
      </c>
      <c r="LL261" s="25"/>
      <c r="LM261" s="790"/>
      <c r="LN261" s="791">
        <f t="shared" si="8662"/>
        <v>0</v>
      </c>
      <c r="LO261" s="25"/>
      <c r="LP261" s="790"/>
      <c r="LQ261" s="791">
        <f t="shared" si="8663"/>
        <v>0</v>
      </c>
      <c r="LR261" s="25"/>
      <c r="LS261" s="790"/>
      <c r="LT261" s="791">
        <f t="shared" si="8664"/>
        <v>0</v>
      </c>
      <c r="LU261" s="25"/>
      <c r="LV261" s="790"/>
      <c r="LW261" s="791">
        <f t="shared" si="8665"/>
        <v>0</v>
      </c>
      <c r="LX261" s="25"/>
      <c r="LY261" s="790"/>
      <c r="LZ261" s="791">
        <f t="shared" si="8666"/>
        <v>0</v>
      </c>
      <c r="MA261" s="25"/>
      <c r="MB261" s="790"/>
      <c r="MC261" s="791">
        <f t="shared" si="8667"/>
        <v>0</v>
      </c>
      <c r="MD261" s="25"/>
      <c r="ME261" s="790"/>
      <c r="MF261" s="791">
        <f t="shared" si="8668"/>
        <v>0</v>
      </c>
      <c r="MG261" s="25"/>
      <c r="MH261" s="790"/>
      <c r="MI261" s="791">
        <f t="shared" si="8669"/>
        <v>0</v>
      </c>
      <c r="MJ261" s="25"/>
      <c r="MK261" s="790"/>
      <c r="ML261" s="791">
        <f t="shared" si="8670"/>
        <v>0</v>
      </c>
      <c r="MM261" s="25"/>
      <c r="MN261" s="790"/>
      <c r="MO261" s="791">
        <f t="shared" si="8671"/>
        <v>0</v>
      </c>
      <c r="MP261" s="25"/>
      <c r="MQ261" s="790"/>
      <c r="MR261" s="791">
        <f t="shared" si="8672"/>
        <v>0</v>
      </c>
      <c r="MS261" s="25"/>
      <c r="MT261" s="790"/>
      <c r="MU261" s="791">
        <f t="shared" si="8673"/>
        <v>0</v>
      </c>
      <c r="MV261" s="25"/>
      <c r="MW261" s="790"/>
      <c r="MX261" s="791">
        <f t="shared" si="8674"/>
        <v>0</v>
      </c>
      <c r="MY261" s="25"/>
      <c r="MZ261" s="790"/>
      <c r="NA261" s="791">
        <f t="shared" si="8675"/>
        <v>0</v>
      </c>
      <c r="NB261" s="25"/>
      <c r="NC261" s="790"/>
      <c r="ND261" s="791">
        <f t="shared" si="8676"/>
        <v>0</v>
      </c>
      <c r="NE261" s="25"/>
      <c r="NF261" s="790"/>
      <c r="NG261" s="791">
        <f t="shared" si="8677"/>
        <v>0</v>
      </c>
      <c r="NH261" s="25"/>
      <c r="NI261" s="790"/>
      <c r="NJ261" s="791">
        <f t="shared" si="8678"/>
        <v>0</v>
      </c>
      <c r="NK261" s="25"/>
      <c r="NL261" s="790"/>
      <c r="NM261" s="791">
        <f t="shared" si="8679"/>
        <v>0</v>
      </c>
      <c r="NN261" s="25"/>
      <c r="NO261" s="790"/>
      <c r="NP261" s="791">
        <f t="shared" si="8680"/>
        <v>0</v>
      </c>
      <c r="NQ261" s="25"/>
      <c r="NR261" s="790"/>
      <c r="NS261" s="791">
        <f t="shared" si="8681"/>
        <v>0</v>
      </c>
      <c r="NT261" s="25"/>
      <c r="NU261" s="790"/>
      <c r="NV261" s="791">
        <f t="shared" si="8682"/>
        <v>0</v>
      </c>
      <c r="NW261" s="25"/>
      <c r="NX261" s="790"/>
      <c r="NY261" s="791">
        <f t="shared" si="8683"/>
        <v>0</v>
      </c>
      <c r="NZ261" s="25"/>
      <c r="OA261" s="790"/>
      <c r="OB261" s="791">
        <f t="shared" si="8684"/>
        <v>0</v>
      </c>
      <c r="OC261" s="25"/>
      <c r="OD261" s="790"/>
      <c r="OE261" s="791">
        <f t="shared" si="8685"/>
        <v>0</v>
      </c>
      <c r="OF261" s="25"/>
      <c r="OG261" s="790"/>
      <c r="OH261" s="791">
        <f t="shared" si="8686"/>
        <v>0</v>
      </c>
      <c r="OI261" s="25"/>
      <c r="OJ261" s="790"/>
      <c r="OK261" s="791">
        <f t="shared" si="8687"/>
        <v>0</v>
      </c>
      <c r="OL261" s="25"/>
      <c r="OM261" s="790"/>
      <c r="ON261" s="791">
        <f t="shared" si="8688"/>
        <v>0</v>
      </c>
      <c r="OO261" s="25"/>
      <c r="OP261" s="790"/>
      <c r="OQ261" s="791">
        <f t="shared" si="8689"/>
        <v>0</v>
      </c>
      <c r="OR261" s="25"/>
      <c r="OS261" s="790"/>
      <c r="OT261" s="791">
        <f t="shared" si="8690"/>
        <v>0</v>
      </c>
      <c r="OU261" s="25"/>
      <c r="OV261" s="790"/>
      <c r="OW261" s="791">
        <f t="shared" si="8691"/>
        <v>0</v>
      </c>
      <c r="OX261" s="25"/>
      <c r="OY261" s="790"/>
      <c r="OZ261" s="791">
        <f t="shared" si="8692"/>
        <v>0</v>
      </c>
      <c r="PA261" s="25"/>
      <c r="PB261" s="790"/>
      <c r="PC261" s="791">
        <f t="shared" si="8693"/>
        <v>0</v>
      </c>
      <c r="PD261" s="25"/>
      <c r="PE261" s="790"/>
      <c r="PF261" s="791">
        <f t="shared" si="8694"/>
        <v>0</v>
      </c>
      <c r="PG261" s="25"/>
      <c r="PH261" s="790"/>
      <c r="PI261" s="791">
        <f t="shared" si="8695"/>
        <v>0</v>
      </c>
      <c r="PJ261" s="25"/>
      <c r="PK261" s="790"/>
      <c r="PL261" s="791">
        <f t="shared" si="8696"/>
        <v>0</v>
      </c>
      <c r="PM261" s="25"/>
      <c r="PN261" s="790"/>
      <c r="PO261" s="791">
        <f t="shared" si="8697"/>
        <v>0</v>
      </c>
      <c r="PP261" s="25"/>
      <c r="PQ261" s="790"/>
      <c r="PR261" s="791">
        <f t="shared" si="8698"/>
        <v>0</v>
      </c>
      <c r="PS261" s="25"/>
      <c r="PT261" s="790"/>
      <c r="PU261" s="791">
        <f t="shared" si="8699"/>
        <v>0</v>
      </c>
      <c r="PV261" s="25"/>
      <c r="PW261" s="790"/>
      <c r="PX261" s="791">
        <f t="shared" si="8700"/>
        <v>0</v>
      </c>
      <c r="PY261" s="25"/>
      <c r="PZ261" s="790"/>
      <c r="QA261" s="791">
        <f t="shared" si="8701"/>
        <v>0</v>
      </c>
      <c r="QB261" s="25"/>
      <c r="QC261" s="790"/>
      <c r="QD261" s="791">
        <f t="shared" si="8702"/>
        <v>0</v>
      </c>
      <c r="QE261" s="25"/>
      <c r="QF261" s="790"/>
      <c r="QG261" s="791">
        <f t="shared" si="8703"/>
        <v>0</v>
      </c>
      <c r="QH261" s="25"/>
      <c r="QI261" s="790"/>
      <c r="QJ261" s="791">
        <f t="shared" si="8704"/>
        <v>0</v>
      </c>
      <c r="QK261" s="25"/>
      <c r="QL261" s="790"/>
      <c r="QM261" s="791">
        <f t="shared" si="8705"/>
        <v>0</v>
      </c>
      <c r="QN261" s="25"/>
      <c r="QO261" s="790"/>
      <c r="QP261" s="791">
        <f t="shared" si="8706"/>
        <v>0</v>
      </c>
      <c r="QQ261" s="25"/>
      <c r="QR261" s="790"/>
      <c r="QS261" s="791">
        <f t="shared" si="8707"/>
        <v>0</v>
      </c>
      <c r="QT261" s="25"/>
      <c r="QU261" s="790"/>
      <c r="QV261" s="791">
        <f t="shared" si="8708"/>
        <v>0</v>
      </c>
      <c r="QW261" s="25"/>
    </row>
    <row r="262" spans="1:465" s="783" customFormat="1">
      <c r="A262" s="17"/>
      <c r="B262" s="17"/>
      <c r="C262" s="17"/>
      <c r="D262" s="17"/>
      <c r="E262" s="88"/>
      <c r="F262" s="720"/>
      <c r="G262" s="720"/>
      <c r="H262" s="720"/>
      <c r="I262" s="17"/>
      <c r="J262" s="25" t="s">
        <v>1706</v>
      </c>
      <c r="K262" s="789" t="s">
        <v>1942</v>
      </c>
      <c r="L262" s="113">
        <v>20</v>
      </c>
      <c r="M262" s="114"/>
      <c r="S262" s="800" t="s">
        <v>2000</v>
      </c>
      <c r="T262" s="80">
        <f t="shared" si="8709"/>
        <v>0</v>
      </c>
      <c r="V262" s="79" t="s">
        <v>2048</v>
      </c>
      <c r="W262" s="80">
        <f t="shared" si="8565"/>
        <v>0</v>
      </c>
      <c r="Y262" s="800" t="s">
        <v>2086</v>
      </c>
      <c r="Z262" s="80">
        <f t="shared" si="8566"/>
        <v>0</v>
      </c>
      <c r="AB262" s="800" t="s">
        <v>2121</v>
      </c>
      <c r="AC262" s="80">
        <f t="shared" si="8567"/>
        <v>0</v>
      </c>
      <c r="AE262" s="800" t="s">
        <v>2157</v>
      </c>
      <c r="AF262" s="80">
        <f t="shared" si="8568"/>
        <v>0</v>
      </c>
      <c r="AH262" s="800" t="s">
        <v>2190</v>
      </c>
      <c r="AI262" s="80">
        <f t="shared" si="8569"/>
        <v>0</v>
      </c>
      <c r="AK262" s="809" t="s">
        <v>2000</v>
      </c>
      <c r="AL262" s="80">
        <f t="shared" si="8570"/>
        <v>0</v>
      </c>
      <c r="AN262" s="800" t="s">
        <v>2000</v>
      </c>
      <c r="AO262" s="80">
        <f t="shared" si="8571"/>
        <v>0</v>
      </c>
      <c r="AQ262" s="809" t="s">
        <v>2284</v>
      </c>
      <c r="AR262" s="80">
        <f t="shared" si="8572"/>
        <v>0</v>
      </c>
      <c r="AT262" s="800" t="s">
        <v>2190</v>
      </c>
      <c r="AU262" s="80">
        <f t="shared" si="8573"/>
        <v>0</v>
      </c>
      <c r="AW262" s="800" t="s">
        <v>2121</v>
      </c>
      <c r="AX262" s="80">
        <f t="shared" si="8574"/>
        <v>0</v>
      </c>
      <c r="AZ262" s="800" t="s">
        <v>2388</v>
      </c>
      <c r="BA262" s="80">
        <f t="shared" si="8575"/>
        <v>0</v>
      </c>
      <c r="BC262" s="800" t="s">
        <v>2000</v>
      </c>
      <c r="BD262" s="80">
        <f t="shared" si="8576"/>
        <v>0</v>
      </c>
      <c r="BF262" s="800" t="s">
        <v>2447</v>
      </c>
      <c r="BG262" s="80">
        <f t="shared" si="8577"/>
        <v>0</v>
      </c>
      <c r="BI262" s="800" t="s">
        <v>2472</v>
      </c>
      <c r="BJ262" s="80">
        <f t="shared" si="8578"/>
        <v>0</v>
      </c>
      <c r="BL262" s="800" t="s">
        <v>2086</v>
      </c>
      <c r="BM262" s="80">
        <f t="shared" si="8579"/>
        <v>0</v>
      </c>
      <c r="BO262" s="819" t="s">
        <v>2000</v>
      </c>
      <c r="BP262" s="80">
        <f t="shared" si="8580"/>
        <v>0</v>
      </c>
      <c r="BR262" s="800" t="s">
        <v>2000</v>
      </c>
      <c r="BS262" s="80">
        <f t="shared" si="8581"/>
        <v>0</v>
      </c>
      <c r="BU262" s="800" t="s">
        <v>2000</v>
      </c>
      <c r="BV262" s="80">
        <f t="shared" si="8582"/>
        <v>0</v>
      </c>
      <c r="BX262" s="79" t="s">
        <v>2572</v>
      </c>
      <c r="BY262" s="80">
        <f t="shared" si="8583"/>
        <v>0</v>
      </c>
      <c r="CA262" s="819" t="s">
        <v>2000</v>
      </c>
      <c r="CB262" s="80">
        <f t="shared" si="8584"/>
        <v>0</v>
      </c>
      <c r="CD262" s="828" t="s">
        <v>2157</v>
      </c>
      <c r="CE262" s="80">
        <f t="shared" si="8585"/>
        <v>0</v>
      </c>
      <c r="CG262" s="800" t="s">
        <v>2000</v>
      </c>
      <c r="CH262" s="80">
        <f t="shared" si="8586"/>
        <v>0</v>
      </c>
      <c r="CJ262" s="800" t="s">
        <v>2641</v>
      </c>
      <c r="CK262" s="80">
        <f t="shared" si="8587"/>
        <v>0</v>
      </c>
      <c r="CM262" s="800" t="s">
        <v>2666</v>
      </c>
      <c r="CN262" s="80">
        <f t="shared" si="8588"/>
        <v>0</v>
      </c>
      <c r="CP262" s="800" t="s">
        <v>2086</v>
      </c>
      <c r="CQ262" s="80">
        <f t="shared" si="8589"/>
        <v>0</v>
      </c>
      <c r="CS262" s="800" t="s">
        <v>2712</v>
      </c>
      <c r="CT262" s="80">
        <f t="shared" si="8590"/>
        <v>0</v>
      </c>
      <c r="CV262" s="800" t="s">
        <v>2157</v>
      </c>
      <c r="CW262" s="80">
        <f t="shared" si="8591"/>
        <v>0</v>
      </c>
      <c r="CY262" s="800" t="s">
        <v>2765</v>
      </c>
      <c r="CZ262" s="80">
        <f t="shared" si="8592"/>
        <v>0</v>
      </c>
      <c r="DB262" s="800" t="s">
        <v>2790</v>
      </c>
      <c r="DC262" s="80">
        <f t="shared" si="8593"/>
        <v>0</v>
      </c>
      <c r="DE262" s="800" t="s">
        <v>2121</v>
      </c>
      <c r="DF262" s="80">
        <f>COUNTIF($M$258,DE262)*$D$47</f>
        <v>0</v>
      </c>
      <c r="DH262" s="800" t="s">
        <v>2866</v>
      </c>
      <c r="DI262" s="80">
        <f>COUNTIF($M$258,DH262)*$D$47</f>
        <v>0</v>
      </c>
      <c r="DK262" s="800" t="s">
        <v>2000</v>
      </c>
      <c r="DL262" s="80">
        <f>COUNTIF($M$258,DK262)*$D$47</f>
        <v>0</v>
      </c>
      <c r="DN262" s="79"/>
      <c r="DO262" s="80">
        <f t="shared" si="8594"/>
        <v>0</v>
      </c>
      <c r="DQ262" s="800" t="s">
        <v>2086</v>
      </c>
      <c r="DR262" s="80">
        <f t="shared" si="8595"/>
        <v>0</v>
      </c>
      <c r="DT262" s="79" t="s">
        <v>2000</v>
      </c>
      <c r="DU262" s="80">
        <f t="shared" si="8596"/>
        <v>0</v>
      </c>
      <c r="DW262" s="79"/>
      <c r="DX262" s="80">
        <f t="shared" si="8597"/>
        <v>0</v>
      </c>
      <c r="DZ262" s="79"/>
      <c r="EA262" s="80">
        <f>COUNTIF($M$258,DZ262)*$D$47</f>
        <v>0</v>
      </c>
      <c r="EC262" s="79"/>
      <c r="ED262" s="80">
        <f t="shared" si="8598"/>
        <v>0</v>
      </c>
      <c r="EF262" s="79"/>
      <c r="EG262" s="80">
        <f t="shared" si="8599"/>
        <v>0</v>
      </c>
      <c r="EI262" s="79"/>
      <c r="EJ262" s="80">
        <f t="shared" si="8600"/>
        <v>0</v>
      </c>
      <c r="EL262" s="79"/>
      <c r="EM262" s="80">
        <f t="shared" si="8601"/>
        <v>0</v>
      </c>
      <c r="EO262" s="79"/>
      <c r="EP262" s="80">
        <f t="shared" si="8602"/>
        <v>0</v>
      </c>
      <c r="ER262" s="79"/>
      <c r="ES262" s="80">
        <f t="shared" si="8603"/>
        <v>0</v>
      </c>
      <c r="EU262" s="79"/>
      <c r="EV262" s="80">
        <f t="shared" si="8604"/>
        <v>0</v>
      </c>
      <c r="EX262" s="79"/>
      <c r="EY262" s="80">
        <f t="shared" si="8605"/>
        <v>0</v>
      </c>
      <c r="FA262" s="79"/>
      <c r="FB262" s="80">
        <f t="shared" si="8606"/>
        <v>0</v>
      </c>
      <c r="FD262" s="79"/>
      <c r="FE262" s="80">
        <f t="shared" si="8607"/>
        <v>0</v>
      </c>
      <c r="FG262" s="79"/>
      <c r="FH262" s="80">
        <f t="shared" si="8608"/>
        <v>0</v>
      </c>
      <c r="FJ262" s="79"/>
      <c r="FK262" s="80">
        <f t="shared" si="8609"/>
        <v>0</v>
      </c>
      <c r="FM262" s="79"/>
      <c r="FN262" s="80">
        <f t="shared" si="8610"/>
        <v>0</v>
      </c>
      <c r="FP262" s="79"/>
      <c r="FQ262" s="80">
        <f t="shared" si="8611"/>
        <v>0</v>
      </c>
      <c r="FS262" s="79"/>
      <c r="FT262" s="80">
        <f t="shared" si="8612"/>
        <v>0</v>
      </c>
      <c r="FV262" s="79"/>
      <c r="FW262" s="80">
        <f t="shared" si="8613"/>
        <v>0</v>
      </c>
      <c r="FY262" s="79"/>
      <c r="FZ262" s="80">
        <f t="shared" si="8614"/>
        <v>0</v>
      </c>
      <c r="GB262" s="79"/>
      <c r="GC262" s="80">
        <f t="shared" si="8615"/>
        <v>0</v>
      </c>
      <c r="GE262" s="79"/>
      <c r="GF262" s="80">
        <f t="shared" si="8616"/>
        <v>0</v>
      </c>
      <c r="GH262" s="79"/>
      <c r="GI262" s="80">
        <f t="shared" si="8617"/>
        <v>0</v>
      </c>
      <c r="GK262" s="79"/>
      <c r="GL262" s="80">
        <f t="shared" si="8618"/>
        <v>0</v>
      </c>
      <c r="GN262" s="79"/>
      <c r="GO262" s="80">
        <f t="shared" si="8619"/>
        <v>0</v>
      </c>
      <c r="GQ262" s="79"/>
      <c r="GR262" s="80">
        <f t="shared" si="8620"/>
        <v>0</v>
      </c>
      <c r="GT262" s="79"/>
      <c r="GU262" s="80">
        <f t="shared" si="8621"/>
        <v>0</v>
      </c>
      <c r="GW262" s="79"/>
      <c r="GX262" s="80">
        <f t="shared" si="8622"/>
        <v>0</v>
      </c>
      <c r="GZ262" s="79"/>
      <c r="HA262" s="80">
        <f t="shared" si="8623"/>
        <v>0</v>
      </c>
      <c r="HC262" s="79"/>
      <c r="HD262" s="80">
        <f t="shared" si="8624"/>
        <v>0</v>
      </c>
      <c r="HF262" s="79"/>
      <c r="HG262" s="80">
        <f t="shared" si="8625"/>
        <v>0</v>
      </c>
      <c r="HI262" s="79"/>
      <c r="HJ262" s="80">
        <f t="shared" si="8626"/>
        <v>0</v>
      </c>
      <c r="HL262" s="79"/>
      <c r="HM262" s="80">
        <f t="shared" si="8627"/>
        <v>0</v>
      </c>
      <c r="HO262" s="79"/>
      <c r="HP262" s="80">
        <f t="shared" si="8628"/>
        <v>0</v>
      </c>
      <c r="HR262" s="79"/>
      <c r="HS262" s="80">
        <f t="shared" si="8629"/>
        <v>0</v>
      </c>
      <c r="HU262" s="79"/>
      <c r="HV262" s="80">
        <f t="shared" si="8630"/>
        <v>0</v>
      </c>
      <c r="HX262" s="79"/>
      <c r="HY262" s="80">
        <f t="shared" si="8631"/>
        <v>0</v>
      </c>
      <c r="IA262" s="79"/>
      <c r="IB262" s="80">
        <f t="shared" si="8632"/>
        <v>0</v>
      </c>
      <c r="ID262" s="79"/>
      <c r="IE262" s="80">
        <f t="shared" si="8633"/>
        <v>0</v>
      </c>
      <c r="IG262" s="79"/>
      <c r="IH262" s="80">
        <f t="shared" si="8634"/>
        <v>0</v>
      </c>
      <c r="IJ262" s="79"/>
      <c r="IK262" s="80">
        <f t="shared" si="8635"/>
        <v>0</v>
      </c>
      <c r="IM262" s="79"/>
      <c r="IN262" s="80">
        <f t="shared" si="8636"/>
        <v>0</v>
      </c>
      <c r="IP262" s="79"/>
      <c r="IQ262" s="80">
        <f t="shared" si="8637"/>
        <v>0</v>
      </c>
      <c r="IS262" s="79"/>
      <c r="IT262" s="80">
        <f t="shared" si="8638"/>
        <v>0</v>
      </c>
      <c r="IV262" s="79"/>
      <c r="IW262" s="80">
        <f t="shared" si="8639"/>
        <v>0</v>
      </c>
      <c r="IY262" s="79"/>
      <c r="IZ262" s="80">
        <f t="shared" si="8640"/>
        <v>0</v>
      </c>
      <c r="JB262" s="79"/>
      <c r="JC262" s="80">
        <f t="shared" si="8641"/>
        <v>0</v>
      </c>
      <c r="JE262" s="79"/>
      <c r="JF262" s="80">
        <f t="shared" si="8642"/>
        <v>0</v>
      </c>
      <c r="JH262" s="79"/>
      <c r="JI262" s="80">
        <f t="shared" si="8643"/>
        <v>0</v>
      </c>
      <c r="JK262" s="79"/>
      <c r="JL262" s="80">
        <f t="shared" si="8644"/>
        <v>0</v>
      </c>
      <c r="JN262" s="79"/>
      <c r="JO262" s="80">
        <f t="shared" si="8645"/>
        <v>0</v>
      </c>
      <c r="JQ262" s="79"/>
      <c r="JR262" s="80">
        <f t="shared" si="8646"/>
        <v>0</v>
      </c>
      <c r="JT262" s="79"/>
      <c r="JU262" s="80">
        <f t="shared" si="8647"/>
        <v>0</v>
      </c>
      <c r="JW262" s="79"/>
      <c r="JX262" s="80">
        <f t="shared" si="8648"/>
        <v>0</v>
      </c>
      <c r="JZ262" s="79"/>
      <c r="KA262" s="80">
        <f t="shared" si="8649"/>
        <v>0</v>
      </c>
      <c r="KC262" s="79"/>
      <c r="KD262" s="80">
        <f t="shared" si="8650"/>
        <v>0</v>
      </c>
      <c r="KF262" s="79"/>
      <c r="KG262" s="80">
        <f t="shared" si="8651"/>
        <v>0</v>
      </c>
      <c r="KI262" s="79"/>
      <c r="KJ262" s="80">
        <f t="shared" si="8652"/>
        <v>0</v>
      </c>
      <c r="KL262" s="79"/>
      <c r="KM262" s="80">
        <f t="shared" si="8653"/>
        <v>0</v>
      </c>
      <c r="KO262" s="79"/>
      <c r="KP262" s="80">
        <f t="shared" si="8654"/>
        <v>0</v>
      </c>
      <c r="KR262" s="79"/>
      <c r="KS262" s="80">
        <f t="shared" si="8655"/>
        <v>0</v>
      </c>
      <c r="KU262" s="79"/>
      <c r="KV262" s="80">
        <f t="shared" si="8656"/>
        <v>0</v>
      </c>
      <c r="KX262" s="79"/>
      <c r="KY262" s="80">
        <f t="shared" si="8657"/>
        <v>0</v>
      </c>
      <c r="LA262" s="79"/>
      <c r="LB262" s="80">
        <f t="shared" si="8658"/>
        <v>0</v>
      </c>
      <c r="LD262" s="79"/>
      <c r="LE262" s="80">
        <f t="shared" si="8659"/>
        <v>0</v>
      </c>
      <c r="LG262" s="790"/>
      <c r="LH262" s="791">
        <f t="shared" si="8660"/>
        <v>0</v>
      </c>
      <c r="LI262" s="25"/>
      <c r="LJ262" s="790"/>
      <c r="LK262" s="791">
        <f t="shared" si="8661"/>
        <v>0</v>
      </c>
      <c r="LL262" s="25"/>
      <c r="LM262" s="790"/>
      <c r="LN262" s="791">
        <f t="shared" si="8662"/>
        <v>0</v>
      </c>
      <c r="LO262" s="25"/>
      <c r="LP262" s="790"/>
      <c r="LQ262" s="791">
        <f t="shared" si="8663"/>
        <v>0</v>
      </c>
      <c r="LR262" s="25"/>
      <c r="LS262" s="790"/>
      <c r="LT262" s="791">
        <f t="shared" si="8664"/>
        <v>0</v>
      </c>
      <c r="LU262" s="25"/>
      <c r="LV262" s="790"/>
      <c r="LW262" s="791">
        <f t="shared" si="8665"/>
        <v>0</v>
      </c>
      <c r="LX262" s="25"/>
      <c r="LY262" s="790"/>
      <c r="LZ262" s="791">
        <f t="shared" si="8666"/>
        <v>0</v>
      </c>
      <c r="MA262" s="25"/>
      <c r="MB262" s="790"/>
      <c r="MC262" s="791">
        <f t="shared" si="8667"/>
        <v>0</v>
      </c>
      <c r="MD262" s="25"/>
      <c r="ME262" s="790"/>
      <c r="MF262" s="791">
        <f t="shared" si="8668"/>
        <v>0</v>
      </c>
      <c r="MG262" s="25"/>
      <c r="MH262" s="790"/>
      <c r="MI262" s="791">
        <f t="shared" si="8669"/>
        <v>0</v>
      </c>
      <c r="MJ262" s="25"/>
      <c r="MK262" s="790"/>
      <c r="ML262" s="791">
        <f t="shared" si="8670"/>
        <v>0</v>
      </c>
      <c r="MM262" s="25"/>
      <c r="MN262" s="790"/>
      <c r="MO262" s="791">
        <f t="shared" si="8671"/>
        <v>0</v>
      </c>
      <c r="MP262" s="25"/>
      <c r="MQ262" s="790"/>
      <c r="MR262" s="791">
        <f t="shared" si="8672"/>
        <v>0</v>
      </c>
      <c r="MS262" s="25"/>
      <c r="MT262" s="790"/>
      <c r="MU262" s="791">
        <f t="shared" si="8673"/>
        <v>0</v>
      </c>
      <c r="MV262" s="25"/>
      <c r="MW262" s="790"/>
      <c r="MX262" s="791">
        <f t="shared" si="8674"/>
        <v>0</v>
      </c>
      <c r="MY262" s="25"/>
      <c r="MZ262" s="790"/>
      <c r="NA262" s="791">
        <f t="shared" si="8675"/>
        <v>0</v>
      </c>
      <c r="NB262" s="25"/>
      <c r="NC262" s="790"/>
      <c r="ND262" s="791">
        <f t="shared" si="8676"/>
        <v>0</v>
      </c>
      <c r="NE262" s="25"/>
      <c r="NF262" s="790"/>
      <c r="NG262" s="791">
        <f t="shared" si="8677"/>
        <v>0</v>
      </c>
      <c r="NH262" s="25"/>
      <c r="NI262" s="790"/>
      <c r="NJ262" s="791">
        <f t="shared" si="8678"/>
        <v>0</v>
      </c>
      <c r="NK262" s="25"/>
      <c r="NL262" s="790"/>
      <c r="NM262" s="791">
        <f t="shared" si="8679"/>
        <v>0</v>
      </c>
      <c r="NN262" s="25"/>
      <c r="NO262" s="790"/>
      <c r="NP262" s="791">
        <f t="shared" si="8680"/>
        <v>0</v>
      </c>
      <c r="NQ262" s="25"/>
      <c r="NR262" s="790"/>
      <c r="NS262" s="791">
        <f t="shared" si="8681"/>
        <v>0</v>
      </c>
      <c r="NT262" s="25"/>
      <c r="NU262" s="790"/>
      <c r="NV262" s="791">
        <f t="shared" si="8682"/>
        <v>0</v>
      </c>
      <c r="NW262" s="25"/>
      <c r="NX262" s="790"/>
      <c r="NY262" s="791">
        <f t="shared" si="8683"/>
        <v>0</v>
      </c>
      <c r="NZ262" s="25"/>
      <c r="OA262" s="790"/>
      <c r="OB262" s="791">
        <f t="shared" si="8684"/>
        <v>0</v>
      </c>
      <c r="OC262" s="25"/>
      <c r="OD262" s="790"/>
      <c r="OE262" s="791">
        <f t="shared" si="8685"/>
        <v>0</v>
      </c>
      <c r="OF262" s="25"/>
      <c r="OG262" s="790"/>
      <c r="OH262" s="791">
        <f t="shared" si="8686"/>
        <v>0</v>
      </c>
      <c r="OI262" s="25"/>
      <c r="OJ262" s="790"/>
      <c r="OK262" s="791">
        <f t="shared" si="8687"/>
        <v>0</v>
      </c>
      <c r="OL262" s="25"/>
      <c r="OM262" s="790"/>
      <c r="ON262" s="791">
        <f t="shared" si="8688"/>
        <v>0</v>
      </c>
      <c r="OO262" s="25"/>
      <c r="OP262" s="790"/>
      <c r="OQ262" s="791">
        <f t="shared" si="8689"/>
        <v>0</v>
      </c>
      <c r="OR262" s="25"/>
      <c r="OS262" s="790"/>
      <c r="OT262" s="791">
        <f t="shared" si="8690"/>
        <v>0</v>
      </c>
      <c r="OU262" s="25"/>
      <c r="OV262" s="790"/>
      <c r="OW262" s="791">
        <f t="shared" si="8691"/>
        <v>0</v>
      </c>
      <c r="OX262" s="25"/>
      <c r="OY262" s="790"/>
      <c r="OZ262" s="791">
        <f t="shared" si="8692"/>
        <v>0</v>
      </c>
      <c r="PA262" s="25"/>
      <c r="PB262" s="790"/>
      <c r="PC262" s="791">
        <f t="shared" si="8693"/>
        <v>0</v>
      </c>
      <c r="PD262" s="25"/>
      <c r="PE262" s="790"/>
      <c r="PF262" s="791">
        <f t="shared" si="8694"/>
        <v>0</v>
      </c>
      <c r="PG262" s="25"/>
      <c r="PH262" s="790"/>
      <c r="PI262" s="791">
        <f t="shared" si="8695"/>
        <v>0</v>
      </c>
      <c r="PJ262" s="25"/>
      <c r="PK262" s="790"/>
      <c r="PL262" s="791">
        <f t="shared" si="8696"/>
        <v>0</v>
      </c>
      <c r="PM262" s="25"/>
      <c r="PN262" s="790"/>
      <c r="PO262" s="791">
        <f t="shared" si="8697"/>
        <v>0</v>
      </c>
      <c r="PP262" s="25"/>
      <c r="PQ262" s="790"/>
      <c r="PR262" s="791">
        <f t="shared" si="8698"/>
        <v>0</v>
      </c>
      <c r="PS262" s="25"/>
      <c r="PT262" s="790"/>
      <c r="PU262" s="791">
        <f t="shared" si="8699"/>
        <v>0</v>
      </c>
      <c r="PV262" s="25"/>
      <c r="PW262" s="790"/>
      <c r="PX262" s="791">
        <f t="shared" si="8700"/>
        <v>0</v>
      </c>
      <c r="PY262" s="25"/>
      <c r="PZ262" s="790"/>
      <c r="QA262" s="791">
        <f t="shared" si="8701"/>
        <v>0</v>
      </c>
      <c r="QB262" s="25"/>
      <c r="QC262" s="790"/>
      <c r="QD262" s="791">
        <f t="shared" si="8702"/>
        <v>0</v>
      </c>
      <c r="QE262" s="25"/>
      <c r="QF262" s="790"/>
      <c r="QG262" s="791">
        <f t="shared" si="8703"/>
        <v>0</v>
      </c>
      <c r="QH262" s="25"/>
      <c r="QI262" s="790"/>
      <c r="QJ262" s="791">
        <f t="shared" si="8704"/>
        <v>0</v>
      </c>
      <c r="QK262" s="25"/>
      <c r="QL262" s="790"/>
      <c r="QM262" s="791">
        <f t="shared" si="8705"/>
        <v>0</v>
      </c>
      <c r="QN262" s="25"/>
      <c r="QO262" s="790"/>
      <c r="QP262" s="791">
        <f t="shared" si="8706"/>
        <v>0</v>
      </c>
      <c r="QQ262" s="25"/>
      <c r="QR262" s="790"/>
      <c r="QS262" s="791">
        <f t="shared" si="8707"/>
        <v>0</v>
      </c>
      <c r="QT262" s="25"/>
      <c r="QU262" s="790"/>
      <c r="QV262" s="791">
        <f t="shared" si="8708"/>
        <v>0</v>
      </c>
      <c r="QW262" s="25"/>
    </row>
    <row r="263" spans="1:465" s="783" customFormat="1">
      <c r="K263" s="788" t="s">
        <v>1943</v>
      </c>
      <c r="L263" s="113">
        <v>10</v>
      </c>
      <c r="M263" s="114"/>
      <c r="S263" s="800" t="s">
        <v>1726</v>
      </c>
      <c r="T263" s="80">
        <f t="shared" si="8709"/>
        <v>0</v>
      </c>
      <c r="V263" s="79" t="s">
        <v>2049</v>
      </c>
      <c r="W263" s="80">
        <f t="shared" si="8565"/>
        <v>0</v>
      </c>
      <c r="Y263" s="800" t="s">
        <v>2086</v>
      </c>
      <c r="Z263" s="80">
        <f t="shared" si="8566"/>
        <v>0</v>
      </c>
      <c r="AB263" s="800" t="s">
        <v>2123</v>
      </c>
      <c r="AC263" s="80">
        <f t="shared" si="8567"/>
        <v>0</v>
      </c>
      <c r="AE263" s="800" t="s">
        <v>2158</v>
      </c>
      <c r="AF263" s="80">
        <f t="shared" si="8568"/>
        <v>0</v>
      </c>
      <c r="AH263" s="800" t="s">
        <v>135</v>
      </c>
      <c r="AI263" s="80">
        <f t="shared" si="8569"/>
        <v>0</v>
      </c>
      <c r="AK263" s="809" t="s">
        <v>135</v>
      </c>
      <c r="AL263" s="80">
        <f t="shared" si="8570"/>
        <v>0</v>
      </c>
      <c r="AN263" s="800" t="s">
        <v>75</v>
      </c>
      <c r="AO263" s="80">
        <f t="shared" si="8571"/>
        <v>0</v>
      </c>
      <c r="AQ263" s="809" t="s">
        <v>2285</v>
      </c>
      <c r="AR263" s="80">
        <f t="shared" si="8572"/>
        <v>0</v>
      </c>
      <c r="AT263" s="800" t="s">
        <v>2314</v>
      </c>
      <c r="AU263" s="80">
        <f t="shared" si="8573"/>
        <v>0</v>
      </c>
      <c r="AW263" s="800" t="s">
        <v>2336</v>
      </c>
      <c r="AX263" s="80">
        <f t="shared" si="8574"/>
        <v>0</v>
      </c>
      <c r="AZ263" s="800" t="s">
        <v>1729</v>
      </c>
      <c r="BA263" s="80">
        <f t="shared" si="8575"/>
        <v>0</v>
      </c>
      <c r="BC263" s="800" t="s">
        <v>1261</v>
      </c>
      <c r="BD263" s="80">
        <f t="shared" si="8576"/>
        <v>0</v>
      </c>
      <c r="BF263" s="800" t="s">
        <v>2448</v>
      </c>
      <c r="BG263" s="80">
        <f t="shared" si="8577"/>
        <v>0</v>
      </c>
      <c r="BI263" s="800" t="s">
        <v>1320</v>
      </c>
      <c r="BJ263" s="80">
        <f t="shared" si="8578"/>
        <v>0</v>
      </c>
      <c r="BL263" s="800" t="s">
        <v>135</v>
      </c>
      <c r="BM263" s="80">
        <f t="shared" si="8579"/>
        <v>0</v>
      </c>
      <c r="BO263" s="819" t="s">
        <v>1835</v>
      </c>
      <c r="BP263" s="80">
        <f t="shared" si="8580"/>
        <v>0</v>
      </c>
      <c r="BR263" s="800" t="s">
        <v>1319</v>
      </c>
      <c r="BS263" s="80">
        <f t="shared" si="8581"/>
        <v>0</v>
      </c>
      <c r="BU263" s="800" t="s">
        <v>1263</v>
      </c>
      <c r="BV263" s="80">
        <f t="shared" si="8582"/>
        <v>0</v>
      </c>
      <c r="BX263" s="79" t="s">
        <v>2575</v>
      </c>
      <c r="BY263" s="80">
        <f t="shared" si="8583"/>
        <v>0</v>
      </c>
      <c r="CA263" s="819" t="s">
        <v>1321</v>
      </c>
      <c r="CB263" s="80">
        <f t="shared" si="8584"/>
        <v>0</v>
      </c>
      <c r="CD263" s="828" t="s">
        <v>1261</v>
      </c>
      <c r="CE263" s="80">
        <f t="shared" si="8585"/>
        <v>0</v>
      </c>
      <c r="CG263" s="800" t="s">
        <v>2625</v>
      </c>
      <c r="CH263" s="80">
        <f t="shared" si="8586"/>
        <v>0</v>
      </c>
      <c r="CJ263" s="800" t="s">
        <v>2642</v>
      </c>
      <c r="CK263" s="80">
        <f t="shared" si="8587"/>
        <v>0</v>
      </c>
      <c r="CM263" s="800" t="s">
        <v>2666</v>
      </c>
      <c r="CN263" s="80">
        <f t="shared" si="8588"/>
        <v>0</v>
      </c>
      <c r="CP263" s="800" t="s">
        <v>2086</v>
      </c>
      <c r="CQ263" s="80">
        <f t="shared" si="8589"/>
        <v>0</v>
      </c>
      <c r="CS263" s="800" t="s">
        <v>2642</v>
      </c>
      <c r="CT263" s="80">
        <f t="shared" si="8590"/>
        <v>0</v>
      </c>
      <c r="CV263" s="800" t="s">
        <v>1835</v>
      </c>
      <c r="CW263" s="80">
        <f t="shared" si="8591"/>
        <v>0</v>
      </c>
      <c r="CY263" s="800" t="s">
        <v>2336</v>
      </c>
      <c r="CZ263" s="80">
        <f t="shared" si="8592"/>
        <v>0</v>
      </c>
      <c r="DB263" s="800" t="s">
        <v>1261</v>
      </c>
      <c r="DC263" s="80">
        <f t="shared" si="8593"/>
        <v>0</v>
      </c>
      <c r="DE263" s="800" t="s">
        <v>2811</v>
      </c>
      <c r="DF263" s="80">
        <f>COUNTIF($M$258,DE263)*$D$47</f>
        <v>0</v>
      </c>
      <c r="DH263" s="800" t="s">
        <v>2867</v>
      </c>
      <c r="DI263" s="80">
        <f>COUNTIF($M$258,DH263)*$D$47</f>
        <v>0</v>
      </c>
      <c r="DK263" s="800" t="s">
        <v>2828</v>
      </c>
      <c r="DL263" s="80">
        <f>COUNTIF($M$258,DK263)*$D$47</f>
        <v>0</v>
      </c>
      <c r="DN263" s="79"/>
      <c r="DO263" s="80">
        <f t="shared" si="8594"/>
        <v>0</v>
      </c>
      <c r="DQ263" s="800" t="s">
        <v>1261</v>
      </c>
      <c r="DR263" s="80">
        <f t="shared" si="8595"/>
        <v>0</v>
      </c>
      <c r="DT263" s="79" t="s">
        <v>135</v>
      </c>
      <c r="DU263" s="80">
        <f t="shared" si="8596"/>
        <v>0</v>
      </c>
      <c r="DW263" s="79"/>
      <c r="DX263" s="80">
        <f t="shared" si="8597"/>
        <v>0</v>
      </c>
      <c r="DZ263" s="79"/>
      <c r="EA263" s="80">
        <f>COUNTIF($M$258,DZ263)*$D$47</f>
        <v>0</v>
      </c>
      <c r="EC263" s="79"/>
      <c r="ED263" s="80">
        <f t="shared" si="8598"/>
        <v>0</v>
      </c>
      <c r="EF263" s="79"/>
      <c r="EG263" s="80">
        <f t="shared" si="8599"/>
        <v>0</v>
      </c>
      <c r="EI263" s="79"/>
      <c r="EJ263" s="80">
        <f t="shared" si="8600"/>
        <v>0</v>
      </c>
      <c r="EL263" s="79"/>
      <c r="EM263" s="80">
        <f t="shared" si="8601"/>
        <v>0</v>
      </c>
      <c r="EO263" s="79"/>
      <c r="EP263" s="80">
        <f t="shared" si="8602"/>
        <v>0</v>
      </c>
      <c r="ER263" s="79"/>
      <c r="ES263" s="80">
        <f t="shared" si="8603"/>
        <v>0</v>
      </c>
      <c r="EU263" s="79"/>
      <c r="EV263" s="80">
        <f t="shared" si="8604"/>
        <v>0</v>
      </c>
      <c r="EX263" s="79"/>
      <c r="EY263" s="80">
        <f t="shared" si="8605"/>
        <v>0</v>
      </c>
      <c r="FA263" s="79"/>
      <c r="FB263" s="80">
        <f t="shared" si="8606"/>
        <v>0</v>
      </c>
      <c r="FD263" s="79"/>
      <c r="FE263" s="80">
        <f t="shared" si="8607"/>
        <v>0</v>
      </c>
      <c r="FG263" s="79"/>
      <c r="FH263" s="80">
        <f t="shared" si="8608"/>
        <v>0</v>
      </c>
      <c r="FJ263" s="79"/>
      <c r="FK263" s="80">
        <f t="shared" si="8609"/>
        <v>0</v>
      </c>
      <c r="FM263" s="79"/>
      <c r="FN263" s="80">
        <f t="shared" si="8610"/>
        <v>0</v>
      </c>
      <c r="FP263" s="79"/>
      <c r="FQ263" s="80">
        <f t="shared" si="8611"/>
        <v>0</v>
      </c>
      <c r="FS263" s="79"/>
      <c r="FT263" s="80">
        <f t="shared" si="8612"/>
        <v>0</v>
      </c>
      <c r="FV263" s="79"/>
      <c r="FW263" s="80">
        <f t="shared" si="8613"/>
        <v>0</v>
      </c>
      <c r="FY263" s="79"/>
      <c r="FZ263" s="80">
        <f t="shared" si="8614"/>
        <v>0</v>
      </c>
      <c r="GB263" s="79"/>
      <c r="GC263" s="80">
        <f t="shared" si="8615"/>
        <v>0</v>
      </c>
      <c r="GE263" s="79"/>
      <c r="GF263" s="80">
        <f t="shared" si="8616"/>
        <v>0</v>
      </c>
      <c r="GH263" s="79"/>
      <c r="GI263" s="80">
        <f t="shared" si="8617"/>
        <v>0</v>
      </c>
      <c r="GK263" s="79"/>
      <c r="GL263" s="80">
        <f t="shared" si="8618"/>
        <v>0</v>
      </c>
      <c r="GN263" s="79"/>
      <c r="GO263" s="80">
        <f t="shared" si="8619"/>
        <v>0</v>
      </c>
      <c r="GQ263" s="79"/>
      <c r="GR263" s="80">
        <f t="shared" si="8620"/>
        <v>0</v>
      </c>
      <c r="GT263" s="79"/>
      <c r="GU263" s="80">
        <f t="shared" si="8621"/>
        <v>0</v>
      </c>
      <c r="GW263" s="79"/>
      <c r="GX263" s="80">
        <f t="shared" si="8622"/>
        <v>0</v>
      </c>
      <c r="GZ263" s="79"/>
      <c r="HA263" s="80">
        <f t="shared" si="8623"/>
        <v>0</v>
      </c>
      <c r="HC263" s="79"/>
      <c r="HD263" s="80">
        <f t="shared" si="8624"/>
        <v>0</v>
      </c>
      <c r="HF263" s="79"/>
      <c r="HG263" s="80">
        <f t="shared" si="8625"/>
        <v>0</v>
      </c>
      <c r="HI263" s="79"/>
      <c r="HJ263" s="80">
        <f t="shared" si="8626"/>
        <v>0</v>
      </c>
      <c r="HL263" s="79"/>
      <c r="HM263" s="80">
        <f t="shared" si="8627"/>
        <v>0</v>
      </c>
      <c r="HO263" s="79"/>
      <c r="HP263" s="80">
        <f t="shared" si="8628"/>
        <v>0</v>
      </c>
      <c r="HR263" s="79"/>
      <c r="HS263" s="80">
        <f t="shared" si="8629"/>
        <v>0</v>
      </c>
      <c r="HU263" s="79"/>
      <c r="HV263" s="80">
        <f t="shared" si="8630"/>
        <v>0</v>
      </c>
      <c r="HX263" s="79"/>
      <c r="HY263" s="80">
        <f t="shared" si="8631"/>
        <v>0</v>
      </c>
      <c r="IA263" s="79"/>
      <c r="IB263" s="80">
        <f t="shared" si="8632"/>
        <v>0</v>
      </c>
      <c r="ID263" s="79"/>
      <c r="IE263" s="80">
        <f t="shared" si="8633"/>
        <v>0</v>
      </c>
      <c r="IG263" s="79"/>
      <c r="IH263" s="80">
        <f t="shared" si="8634"/>
        <v>0</v>
      </c>
      <c r="IJ263" s="79"/>
      <c r="IK263" s="80">
        <f t="shared" si="8635"/>
        <v>0</v>
      </c>
      <c r="IM263" s="79"/>
      <c r="IN263" s="80">
        <f t="shared" si="8636"/>
        <v>0</v>
      </c>
      <c r="IP263" s="79"/>
      <c r="IQ263" s="80">
        <f t="shared" si="8637"/>
        <v>0</v>
      </c>
      <c r="IS263" s="79"/>
      <c r="IT263" s="80">
        <f t="shared" si="8638"/>
        <v>0</v>
      </c>
      <c r="IV263" s="79"/>
      <c r="IW263" s="80">
        <f t="shared" si="8639"/>
        <v>0</v>
      </c>
      <c r="IY263" s="79"/>
      <c r="IZ263" s="80">
        <f t="shared" si="8640"/>
        <v>0</v>
      </c>
      <c r="JB263" s="79"/>
      <c r="JC263" s="80">
        <f t="shared" si="8641"/>
        <v>0</v>
      </c>
      <c r="JE263" s="79"/>
      <c r="JF263" s="80">
        <f t="shared" si="8642"/>
        <v>0</v>
      </c>
      <c r="JH263" s="79"/>
      <c r="JI263" s="80">
        <f t="shared" si="8643"/>
        <v>0</v>
      </c>
      <c r="JK263" s="79"/>
      <c r="JL263" s="80">
        <f t="shared" si="8644"/>
        <v>0</v>
      </c>
      <c r="JN263" s="79"/>
      <c r="JO263" s="80">
        <f t="shared" si="8645"/>
        <v>0</v>
      </c>
      <c r="JQ263" s="79"/>
      <c r="JR263" s="80">
        <f t="shared" si="8646"/>
        <v>0</v>
      </c>
      <c r="JT263" s="79"/>
      <c r="JU263" s="80">
        <f t="shared" si="8647"/>
        <v>0</v>
      </c>
      <c r="JW263" s="79"/>
      <c r="JX263" s="80">
        <f t="shared" si="8648"/>
        <v>0</v>
      </c>
      <c r="JZ263" s="79"/>
      <c r="KA263" s="80">
        <f t="shared" si="8649"/>
        <v>0</v>
      </c>
      <c r="KC263" s="79"/>
      <c r="KD263" s="80">
        <f t="shared" si="8650"/>
        <v>0</v>
      </c>
      <c r="KF263" s="79"/>
      <c r="KG263" s="80">
        <f t="shared" si="8651"/>
        <v>0</v>
      </c>
      <c r="KI263" s="79"/>
      <c r="KJ263" s="80">
        <f t="shared" si="8652"/>
        <v>0</v>
      </c>
      <c r="KL263" s="79"/>
      <c r="KM263" s="80">
        <f t="shared" si="8653"/>
        <v>0</v>
      </c>
      <c r="KO263" s="79"/>
      <c r="KP263" s="80">
        <f t="shared" si="8654"/>
        <v>0</v>
      </c>
      <c r="KR263" s="79"/>
      <c r="KS263" s="80">
        <f t="shared" si="8655"/>
        <v>0</v>
      </c>
      <c r="KU263" s="79"/>
      <c r="KV263" s="80">
        <f t="shared" si="8656"/>
        <v>0</v>
      </c>
      <c r="KX263" s="79"/>
      <c r="KY263" s="80">
        <f t="shared" si="8657"/>
        <v>0</v>
      </c>
      <c r="LA263" s="79"/>
      <c r="LB263" s="80">
        <f t="shared" si="8658"/>
        <v>0</v>
      </c>
      <c r="LD263" s="79"/>
      <c r="LE263" s="80">
        <f t="shared" si="8659"/>
        <v>0</v>
      </c>
      <c r="LG263" s="790"/>
      <c r="LH263" s="791">
        <f t="shared" si="8660"/>
        <v>0</v>
      </c>
      <c r="LI263" s="25"/>
      <c r="LJ263" s="790"/>
      <c r="LK263" s="791">
        <f t="shared" si="8661"/>
        <v>0</v>
      </c>
      <c r="LL263" s="25"/>
      <c r="LM263" s="790"/>
      <c r="LN263" s="791">
        <f t="shared" si="8662"/>
        <v>0</v>
      </c>
      <c r="LO263" s="25"/>
      <c r="LP263" s="790"/>
      <c r="LQ263" s="791">
        <f t="shared" si="8663"/>
        <v>0</v>
      </c>
      <c r="LR263" s="25"/>
      <c r="LS263" s="790"/>
      <c r="LT263" s="791">
        <f t="shared" si="8664"/>
        <v>0</v>
      </c>
      <c r="LU263" s="25"/>
      <c r="LV263" s="790"/>
      <c r="LW263" s="791">
        <f t="shared" si="8665"/>
        <v>0</v>
      </c>
      <c r="LX263" s="25"/>
      <c r="LY263" s="790"/>
      <c r="LZ263" s="791">
        <f t="shared" si="8666"/>
        <v>0</v>
      </c>
      <c r="MA263" s="25"/>
      <c r="MB263" s="790"/>
      <c r="MC263" s="791">
        <f t="shared" si="8667"/>
        <v>0</v>
      </c>
      <c r="MD263" s="25"/>
      <c r="ME263" s="790"/>
      <c r="MF263" s="791">
        <f t="shared" si="8668"/>
        <v>0</v>
      </c>
      <c r="MG263" s="25"/>
      <c r="MH263" s="790"/>
      <c r="MI263" s="791">
        <f t="shared" si="8669"/>
        <v>0</v>
      </c>
      <c r="MJ263" s="25"/>
      <c r="MK263" s="790"/>
      <c r="ML263" s="791">
        <f t="shared" si="8670"/>
        <v>0</v>
      </c>
      <c r="MM263" s="25"/>
      <c r="MN263" s="790"/>
      <c r="MO263" s="791">
        <f t="shared" si="8671"/>
        <v>0</v>
      </c>
      <c r="MP263" s="25"/>
      <c r="MQ263" s="790"/>
      <c r="MR263" s="791">
        <f t="shared" si="8672"/>
        <v>0</v>
      </c>
      <c r="MS263" s="25"/>
      <c r="MT263" s="790"/>
      <c r="MU263" s="791">
        <f t="shared" si="8673"/>
        <v>0</v>
      </c>
      <c r="MV263" s="25"/>
      <c r="MW263" s="790"/>
      <c r="MX263" s="791">
        <f t="shared" si="8674"/>
        <v>0</v>
      </c>
      <c r="MY263" s="25"/>
      <c r="MZ263" s="790"/>
      <c r="NA263" s="791">
        <f t="shared" si="8675"/>
        <v>0</v>
      </c>
      <c r="NB263" s="25"/>
      <c r="NC263" s="790"/>
      <c r="ND263" s="791">
        <f t="shared" si="8676"/>
        <v>0</v>
      </c>
      <c r="NE263" s="25"/>
      <c r="NF263" s="790"/>
      <c r="NG263" s="791">
        <f t="shared" si="8677"/>
        <v>0</v>
      </c>
      <c r="NH263" s="25"/>
      <c r="NI263" s="790"/>
      <c r="NJ263" s="791">
        <f t="shared" si="8678"/>
        <v>0</v>
      </c>
      <c r="NK263" s="25"/>
      <c r="NL263" s="790"/>
      <c r="NM263" s="791">
        <f t="shared" si="8679"/>
        <v>0</v>
      </c>
      <c r="NN263" s="25"/>
      <c r="NO263" s="790"/>
      <c r="NP263" s="791">
        <f t="shared" si="8680"/>
        <v>0</v>
      </c>
      <c r="NQ263" s="25"/>
      <c r="NR263" s="790"/>
      <c r="NS263" s="791">
        <f t="shared" si="8681"/>
        <v>0</v>
      </c>
      <c r="NT263" s="25"/>
      <c r="NU263" s="790"/>
      <c r="NV263" s="791">
        <f t="shared" si="8682"/>
        <v>0</v>
      </c>
      <c r="NW263" s="25"/>
      <c r="NX263" s="790"/>
      <c r="NY263" s="791">
        <f t="shared" si="8683"/>
        <v>0</v>
      </c>
      <c r="NZ263" s="25"/>
      <c r="OA263" s="790"/>
      <c r="OB263" s="791">
        <f t="shared" si="8684"/>
        <v>0</v>
      </c>
      <c r="OC263" s="25"/>
      <c r="OD263" s="790"/>
      <c r="OE263" s="791">
        <f t="shared" si="8685"/>
        <v>0</v>
      </c>
      <c r="OF263" s="25"/>
      <c r="OG263" s="790"/>
      <c r="OH263" s="791">
        <f t="shared" si="8686"/>
        <v>0</v>
      </c>
      <c r="OI263" s="25"/>
      <c r="OJ263" s="790"/>
      <c r="OK263" s="791">
        <f t="shared" si="8687"/>
        <v>0</v>
      </c>
      <c r="OL263" s="25"/>
      <c r="OM263" s="790"/>
      <c r="ON263" s="791">
        <f t="shared" si="8688"/>
        <v>0</v>
      </c>
      <c r="OO263" s="25"/>
      <c r="OP263" s="790"/>
      <c r="OQ263" s="791">
        <f t="shared" si="8689"/>
        <v>0</v>
      </c>
      <c r="OR263" s="25"/>
      <c r="OS263" s="790"/>
      <c r="OT263" s="791">
        <f t="shared" si="8690"/>
        <v>0</v>
      </c>
      <c r="OU263" s="25"/>
      <c r="OV263" s="790"/>
      <c r="OW263" s="791">
        <f t="shared" si="8691"/>
        <v>0</v>
      </c>
      <c r="OX263" s="25"/>
      <c r="OY263" s="790"/>
      <c r="OZ263" s="791">
        <f t="shared" si="8692"/>
        <v>0</v>
      </c>
      <c r="PA263" s="25"/>
      <c r="PB263" s="790"/>
      <c r="PC263" s="791">
        <f t="shared" si="8693"/>
        <v>0</v>
      </c>
      <c r="PD263" s="25"/>
      <c r="PE263" s="790"/>
      <c r="PF263" s="791">
        <f t="shared" si="8694"/>
        <v>0</v>
      </c>
      <c r="PG263" s="25"/>
      <c r="PH263" s="790"/>
      <c r="PI263" s="791">
        <f t="shared" si="8695"/>
        <v>0</v>
      </c>
      <c r="PJ263" s="25"/>
      <c r="PK263" s="790"/>
      <c r="PL263" s="791">
        <f t="shared" si="8696"/>
        <v>0</v>
      </c>
      <c r="PM263" s="25"/>
      <c r="PN263" s="790"/>
      <c r="PO263" s="791">
        <f t="shared" si="8697"/>
        <v>0</v>
      </c>
      <c r="PP263" s="25"/>
      <c r="PQ263" s="790"/>
      <c r="PR263" s="791">
        <f t="shared" si="8698"/>
        <v>0</v>
      </c>
      <c r="PS263" s="25"/>
      <c r="PT263" s="790"/>
      <c r="PU263" s="791">
        <f t="shared" si="8699"/>
        <v>0</v>
      </c>
      <c r="PV263" s="25"/>
      <c r="PW263" s="790"/>
      <c r="PX263" s="791">
        <f t="shared" si="8700"/>
        <v>0</v>
      </c>
      <c r="PY263" s="25"/>
      <c r="PZ263" s="790"/>
      <c r="QA263" s="791">
        <f t="shared" si="8701"/>
        <v>0</v>
      </c>
      <c r="QB263" s="25"/>
      <c r="QC263" s="790"/>
      <c r="QD263" s="791">
        <f t="shared" si="8702"/>
        <v>0</v>
      </c>
      <c r="QE263" s="25"/>
      <c r="QF263" s="790"/>
      <c r="QG263" s="791">
        <f t="shared" si="8703"/>
        <v>0</v>
      </c>
      <c r="QH263" s="25"/>
      <c r="QI263" s="790"/>
      <c r="QJ263" s="791">
        <f t="shared" si="8704"/>
        <v>0</v>
      </c>
      <c r="QK263" s="25"/>
      <c r="QL263" s="790"/>
      <c r="QM263" s="791">
        <f t="shared" si="8705"/>
        <v>0</v>
      </c>
      <c r="QN263" s="25"/>
      <c r="QO263" s="790"/>
      <c r="QP263" s="791">
        <f t="shared" si="8706"/>
        <v>0</v>
      </c>
      <c r="QQ263" s="25"/>
      <c r="QR263" s="790"/>
      <c r="QS263" s="791">
        <f t="shared" si="8707"/>
        <v>0</v>
      </c>
      <c r="QT263" s="25"/>
      <c r="QU263" s="790"/>
      <c r="QV263" s="791">
        <f t="shared" si="8708"/>
        <v>0</v>
      </c>
      <c r="QW263" s="25"/>
    </row>
    <row r="264" spans="1:465" s="783" customFormat="1">
      <c r="K264" s="788" t="s">
        <v>1944</v>
      </c>
      <c r="L264" s="113">
        <v>10</v>
      </c>
      <c r="M264" s="114"/>
      <c r="S264" s="801" t="s">
        <v>74</v>
      </c>
      <c r="T264" s="80">
        <f t="shared" si="8709"/>
        <v>0</v>
      </c>
      <c r="V264" s="79" t="s">
        <v>2050</v>
      </c>
      <c r="W264" s="80">
        <f t="shared" si="8565"/>
        <v>0</v>
      </c>
      <c r="Y264" s="801" t="s">
        <v>2086</v>
      </c>
      <c r="Z264" s="80">
        <f t="shared" si="8566"/>
        <v>0</v>
      </c>
      <c r="AB264" s="801" t="s">
        <v>2050</v>
      </c>
      <c r="AC264" s="80">
        <f t="shared" si="8567"/>
        <v>0</v>
      </c>
      <c r="AE264" s="801" t="s">
        <v>77</v>
      </c>
      <c r="AF264" s="80">
        <f t="shared" si="8568"/>
        <v>0</v>
      </c>
      <c r="AH264" s="801" t="s">
        <v>1258</v>
      </c>
      <c r="AI264" s="80">
        <f t="shared" si="8569"/>
        <v>0</v>
      </c>
      <c r="AK264" s="805" t="s">
        <v>111</v>
      </c>
      <c r="AL264" s="80">
        <f t="shared" si="8570"/>
        <v>0</v>
      </c>
      <c r="AN264" s="801" t="s">
        <v>74</v>
      </c>
      <c r="AO264" s="80">
        <f t="shared" si="8571"/>
        <v>0</v>
      </c>
      <c r="AQ264" s="805" t="s">
        <v>2286</v>
      </c>
      <c r="AR264" s="80">
        <f t="shared" si="8572"/>
        <v>0</v>
      </c>
      <c r="AT264" s="801" t="s">
        <v>76</v>
      </c>
      <c r="AU264" s="80">
        <f t="shared" si="8573"/>
        <v>0</v>
      </c>
      <c r="AW264" s="801" t="s">
        <v>2050</v>
      </c>
      <c r="AX264" s="80">
        <f t="shared" si="8574"/>
        <v>0</v>
      </c>
      <c r="AZ264" s="801" t="s">
        <v>1288</v>
      </c>
      <c r="BA264" s="80">
        <f t="shared" si="8575"/>
        <v>0</v>
      </c>
      <c r="BC264" s="801" t="s">
        <v>1318</v>
      </c>
      <c r="BD264" s="80">
        <f t="shared" si="8576"/>
        <v>0</v>
      </c>
      <c r="BF264" s="801" t="s">
        <v>2449</v>
      </c>
      <c r="BG264" s="80">
        <f t="shared" si="8577"/>
        <v>0</v>
      </c>
      <c r="BI264" s="801" t="s">
        <v>1318</v>
      </c>
      <c r="BJ264" s="80">
        <f t="shared" si="8578"/>
        <v>0</v>
      </c>
      <c r="BL264" s="801" t="s">
        <v>2496</v>
      </c>
      <c r="BM264" s="80">
        <f t="shared" si="8579"/>
        <v>0</v>
      </c>
      <c r="BO264" s="815" t="s">
        <v>77</v>
      </c>
      <c r="BP264" s="80">
        <f t="shared" si="8580"/>
        <v>0</v>
      </c>
      <c r="BR264" s="801" t="s">
        <v>74</v>
      </c>
      <c r="BS264" s="80">
        <f t="shared" si="8581"/>
        <v>0</v>
      </c>
      <c r="BU264" s="801" t="s">
        <v>1258</v>
      </c>
      <c r="BV264" s="80">
        <f t="shared" si="8582"/>
        <v>0</v>
      </c>
      <c r="BX264" s="79" t="s">
        <v>2576</v>
      </c>
      <c r="BY264" s="80">
        <f t="shared" si="8583"/>
        <v>0</v>
      </c>
      <c r="CA264" s="815" t="s">
        <v>1256</v>
      </c>
      <c r="CB264" s="80">
        <f t="shared" si="8584"/>
        <v>0</v>
      </c>
      <c r="CD264" s="824" t="s">
        <v>1256</v>
      </c>
      <c r="CE264" s="80">
        <f t="shared" si="8585"/>
        <v>0</v>
      </c>
      <c r="CG264" s="801" t="s">
        <v>76</v>
      </c>
      <c r="CH264" s="80">
        <f t="shared" si="8586"/>
        <v>0</v>
      </c>
      <c r="CJ264" s="801" t="s">
        <v>2643</v>
      </c>
      <c r="CK264" s="80">
        <f t="shared" si="8587"/>
        <v>0</v>
      </c>
      <c r="CM264" s="801" t="s">
        <v>2667</v>
      </c>
      <c r="CN264" s="80">
        <f t="shared" si="8588"/>
        <v>0</v>
      </c>
      <c r="CP264" s="801" t="s">
        <v>2086</v>
      </c>
      <c r="CQ264" s="80">
        <f t="shared" si="8589"/>
        <v>0</v>
      </c>
      <c r="CS264" s="801" t="s">
        <v>2713</v>
      </c>
      <c r="CT264" s="80">
        <f t="shared" si="8590"/>
        <v>0</v>
      </c>
      <c r="CV264" s="801" t="s">
        <v>1258</v>
      </c>
      <c r="CW264" s="80">
        <f t="shared" si="8591"/>
        <v>0</v>
      </c>
      <c r="CY264" s="801" t="s">
        <v>2643</v>
      </c>
      <c r="CZ264" s="80">
        <f t="shared" si="8592"/>
        <v>0</v>
      </c>
      <c r="DB264" s="801" t="s">
        <v>1258</v>
      </c>
      <c r="DC264" s="80">
        <f t="shared" si="8593"/>
        <v>0</v>
      </c>
      <c r="DE264" s="801" t="s">
        <v>2812</v>
      </c>
      <c r="DF264" s="80">
        <f>COUNTIF($M$258,DE264)*$D$47</f>
        <v>0</v>
      </c>
      <c r="DH264" s="801" t="s">
        <v>1258</v>
      </c>
      <c r="DI264" s="80">
        <f>COUNTIF($M$258,DH264)*$D$47</f>
        <v>0</v>
      </c>
      <c r="DK264" s="801" t="s">
        <v>2829</v>
      </c>
      <c r="DL264" s="80">
        <f>COUNTIF($M$258,DK264)*$D$47</f>
        <v>0</v>
      </c>
      <c r="DN264" s="79"/>
      <c r="DO264" s="80">
        <f t="shared" si="8594"/>
        <v>0</v>
      </c>
      <c r="DQ264" s="801" t="s">
        <v>79</v>
      </c>
      <c r="DR264" s="80">
        <f t="shared" si="8595"/>
        <v>0</v>
      </c>
      <c r="DT264" s="79" t="s">
        <v>77</v>
      </c>
      <c r="DU264" s="80">
        <f t="shared" si="8596"/>
        <v>0</v>
      </c>
      <c r="DW264" s="79"/>
      <c r="DX264" s="80">
        <f t="shared" si="8597"/>
        <v>0</v>
      </c>
      <c r="DZ264" s="79"/>
      <c r="EA264" s="80">
        <f>COUNTIF($M$258,DZ264)*$D$47</f>
        <v>0</v>
      </c>
      <c r="EC264" s="79"/>
      <c r="ED264" s="80">
        <f t="shared" si="8598"/>
        <v>0</v>
      </c>
      <c r="EF264" s="79"/>
      <c r="EG264" s="80">
        <f t="shared" si="8599"/>
        <v>0</v>
      </c>
      <c r="EI264" s="79"/>
      <c r="EJ264" s="80">
        <f t="shared" si="8600"/>
        <v>0</v>
      </c>
      <c r="EL264" s="79"/>
      <c r="EM264" s="80">
        <f t="shared" si="8601"/>
        <v>0</v>
      </c>
      <c r="EO264" s="79"/>
      <c r="EP264" s="80">
        <f t="shared" si="8602"/>
        <v>0</v>
      </c>
      <c r="ER264" s="79"/>
      <c r="ES264" s="80">
        <f t="shared" si="8603"/>
        <v>0</v>
      </c>
      <c r="EU264" s="79"/>
      <c r="EV264" s="80">
        <f t="shared" si="8604"/>
        <v>0</v>
      </c>
      <c r="EX264" s="79"/>
      <c r="EY264" s="80">
        <f t="shared" si="8605"/>
        <v>0</v>
      </c>
      <c r="FA264" s="79"/>
      <c r="FB264" s="80">
        <f t="shared" si="8606"/>
        <v>0</v>
      </c>
      <c r="FD264" s="79"/>
      <c r="FE264" s="80">
        <f t="shared" si="8607"/>
        <v>0</v>
      </c>
      <c r="FG264" s="79"/>
      <c r="FH264" s="80">
        <f t="shared" si="8608"/>
        <v>0</v>
      </c>
      <c r="FJ264" s="79"/>
      <c r="FK264" s="80">
        <f t="shared" si="8609"/>
        <v>0</v>
      </c>
      <c r="FM264" s="79"/>
      <c r="FN264" s="80">
        <f t="shared" si="8610"/>
        <v>0</v>
      </c>
      <c r="FP264" s="79"/>
      <c r="FQ264" s="80">
        <f t="shared" si="8611"/>
        <v>0</v>
      </c>
      <c r="FS264" s="79"/>
      <c r="FT264" s="80">
        <f t="shared" si="8612"/>
        <v>0</v>
      </c>
      <c r="FV264" s="79"/>
      <c r="FW264" s="80">
        <f t="shared" si="8613"/>
        <v>0</v>
      </c>
      <c r="FY264" s="79"/>
      <c r="FZ264" s="80">
        <f t="shared" si="8614"/>
        <v>0</v>
      </c>
      <c r="GB264" s="79"/>
      <c r="GC264" s="80">
        <f t="shared" si="8615"/>
        <v>0</v>
      </c>
      <c r="GE264" s="79"/>
      <c r="GF264" s="80">
        <f t="shared" si="8616"/>
        <v>0</v>
      </c>
      <c r="GH264" s="79"/>
      <c r="GI264" s="80">
        <f t="shared" si="8617"/>
        <v>0</v>
      </c>
      <c r="GK264" s="79"/>
      <c r="GL264" s="80">
        <f t="shared" si="8618"/>
        <v>0</v>
      </c>
      <c r="GN264" s="79"/>
      <c r="GO264" s="80">
        <f t="shared" si="8619"/>
        <v>0</v>
      </c>
      <c r="GQ264" s="79"/>
      <c r="GR264" s="80">
        <f t="shared" si="8620"/>
        <v>0</v>
      </c>
      <c r="GT264" s="79"/>
      <c r="GU264" s="80">
        <f t="shared" si="8621"/>
        <v>0</v>
      </c>
      <c r="GW264" s="79"/>
      <c r="GX264" s="80">
        <f t="shared" si="8622"/>
        <v>0</v>
      </c>
      <c r="GZ264" s="79"/>
      <c r="HA264" s="80">
        <f t="shared" si="8623"/>
        <v>0</v>
      </c>
      <c r="HC264" s="79"/>
      <c r="HD264" s="80">
        <f t="shared" si="8624"/>
        <v>0</v>
      </c>
      <c r="HF264" s="79"/>
      <c r="HG264" s="80">
        <f t="shared" si="8625"/>
        <v>0</v>
      </c>
      <c r="HI264" s="79"/>
      <c r="HJ264" s="80">
        <f t="shared" si="8626"/>
        <v>0</v>
      </c>
      <c r="HL264" s="79"/>
      <c r="HM264" s="80">
        <f t="shared" si="8627"/>
        <v>0</v>
      </c>
      <c r="HO264" s="79"/>
      <c r="HP264" s="80">
        <f t="shared" si="8628"/>
        <v>0</v>
      </c>
      <c r="HR264" s="79"/>
      <c r="HS264" s="80">
        <f t="shared" si="8629"/>
        <v>0</v>
      </c>
      <c r="HU264" s="79"/>
      <c r="HV264" s="80">
        <f t="shared" si="8630"/>
        <v>0</v>
      </c>
      <c r="HX264" s="79"/>
      <c r="HY264" s="80">
        <f t="shared" si="8631"/>
        <v>0</v>
      </c>
      <c r="IA264" s="79"/>
      <c r="IB264" s="80">
        <f t="shared" si="8632"/>
        <v>0</v>
      </c>
      <c r="ID264" s="79"/>
      <c r="IE264" s="80">
        <f t="shared" si="8633"/>
        <v>0</v>
      </c>
      <c r="IG264" s="79"/>
      <c r="IH264" s="80">
        <f t="shared" si="8634"/>
        <v>0</v>
      </c>
      <c r="IJ264" s="79"/>
      <c r="IK264" s="80">
        <f t="shared" si="8635"/>
        <v>0</v>
      </c>
      <c r="IM264" s="79"/>
      <c r="IN264" s="80">
        <f t="shared" si="8636"/>
        <v>0</v>
      </c>
      <c r="IP264" s="79"/>
      <c r="IQ264" s="80">
        <f t="shared" si="8637"/>
        <v>0</v>
      </c>
      <c r="IS264" s="79"/>
      <c r="IT264" s="80">
        <f t="shared" si="8638"/>
        <v>0</v>
      </c>
      <c r="IV264" s="79"/>
      <c r="IW264" s="80">
        <f t="shared" si="8639"/>
        <v>0</v>
      </c>
      <c r="IY264" s="79"/>
      <c r="IZ264" s="80">
        <f t="shared" si="8640"/>
        <v>0</v>
      </c>
      <c r="JB264" s="79"/>
      <c r="JC264" s="80">
        <f t="shared" si="8641"/>
        <v>0</v>
      </c>
      <c r="JE264" s="79"/>
      <c r="JF264" s="80">
        <f t="shared" si="8642"/>
        <v>0</v>
      </c>
      <c r="JH264" s="79"/>
      <c r="JI264" s="80">
        <f t="shared" si="8643"/>
        <v>0</v>
      </c>
      <c r="JK264" s="79"/>
      <c r="JL264" s="80">
        <f t="shared" si="8644"/>
        <v>0</v>
      </c>
      <c r="JN264" s="79"/>
      <c r="JO264" s="80">
        <f t="shared" si="8645"/>
        <v>0</v>
      </c>
      <c r="JQ264" s="79"/>
      <c r="JR264" s="80">
        <f t="shared" si="8646"/>
        <v>0</v>
      </c>
      <c r="JT264" s="79"/>
      <c r="JU264" s="80">
        <f t="shared" si="8647"/>
        <v>0</v>
      </c>
      <c r="JW264" s="79"/>
      <c r="JX264" s="80">
        <f t="shared" si="8648"/>
        <v>0</v>
      </c>
      <c r="JZ264" s="79"/>
      <c r="KA264" s="80">
        <f t="shared" si="8649"/>
        <v>0</v>
      </c>
      <c r="KC264" s="79"/>
      <c r="KD264" s="80">
        <f t="shared" si="8650"/>
        <v>0</v>
      </c>
      <c r="KF264" s="79"/>
      <c r="KG264" s="80">
        <f t="shared" si="8651"/>
        <v>0</v>
      </c>
      <c r="KI264" s="79"/>
      <c r="KJ264" s="80">
        <f t="shared" si="8652"/>
        <v>0</v>
      </c>
      <c r="KL264" s="79"/>
      <c r="KM264" s="80">
        <f t="shared" si="8653"/>
        <v>0</v>
      </c>
      <c r="KO264" s="79"/>
      <c r="KP264" s="80">
        <f t="shared" si="8654"/>
        <v>0</v>
      </c>
      <c r="KR264" s="79"/>
      <c r="KS264" s="80">
        <f t="shared" si="8655"/>
        <v>0</v>
      </c>
      <c r="KU264" s="79"/>
      <c r="KV264" s="80">
        <f t="shared" si="8656"/>
        <v>0</v>
      </c>
      <c r="KX264" s="79"/>
      <c r="KY264" s="80">
        <f t="shared" si="8657"/>
        <v>0</v>
      </c>
      <c r="LA264" s="79"/>
      <c r="LB264" s="80">
        <f t="shared" si="8658"/>
        <v>0</v>
      </c>
      <c r="LD264" s="79"/>
      <c r="LE264" s="80">
        <f t="shared" si="8659"/>
        <v>0</v>
      </c>
      <c r="LG264" s="790"/>
      <c r="LH264" s="791">
        <f t="shared" si="8660"/>
        <v>0</v>
      </c>
      <c r="LI264" s="25"/>
      <c r="LJ264" s="790"/>
      <c r="LK264" s="791">
        <f t="shared" si="8661"/>
        <v>0</v>
      </c>
      <c r="LL264" s="25"/>
      <c r="LM264" s="790"/>
      <c r="LN264" s="791">
        <f t="shared" si="8662"/>
        <v>0</v>
      </c>
      <c r="LO264" s="25"/>
      <c r="LP264" s="790"/>
      <c r="LQ264" s="791">
        <f t="shared" si="8663"/>
        <v>0</v>
      </c>
      <c r="LR264" s="25"/>
      <c r="LS264" s="790"/>
      <c r="LT264" s="791">
        <f t="shared" si="8664"/>
        <v>0</v>
      </c>
      <c r="LU264" s="25"/>
      <c r="LV264" s="790"/>
      <c r="LW264" s="791">
        <f t="shared" si="8665"/>
        <v>0</v>
      </c>
      <c r="LX264" s="25"/>
      <c r="LY264" s="790"/>
      <c r="LZ264" s="791">
        <f t="shared" si="8666"/>
        <v>0</v>
      </c>
      <c r="MA264" s="25"/>
      <c r="MB264" s="790"/>
      <c r="MC264" s="791">
        <f t="shared" si="8667"/>
        <v>0</v>
      </c>
      <c r="MD264" s="25"/>
      <c r="ME264" s="790"/>
      <c r="MF264" s="791">
        <f t="shared" si="8668"/>
        <v>0</v>
      </c>
      <c r="MG264" s="25"/>
      <c r="MH264" s="790"/>
      <c r="MI264" s="791">
        <f t="shared" si="8669"/>
        <v>0</v>
      </c>
      <c r="MJ264" s="25"/>
      <c r="MK264" s="790"/>
      <c r="ML264" s="791">
        <f t="shared" si="8670"/>
        <v>0</v>
      </c>
      <c r="MM264" s="25"/>
      <c r="MN264" s="790"/>
      <c r="MO264" s="791">
        <f t="shared" si="8671"/>
        <v>0</v>
      </c>
      <c r="MP264" s="25"/>
      <c r="MQ264" s="790"/>
      <c r="MR264" s="791">
        <f t="shared" si="8672"/>
        <v>0</v>
      </c>
      <c r="MS264" s="25"/>
      <c r="MT264" s="790"/>
      <c r="MU264" s="791">
        <f t="shared" si="8673"/>
        <v>0</v>
      </c>
      <c r="MV264" s="25"/>
      <c r="MW264" s="790"/>
      <c r="MX264" s="791">
        <f t="shared" si="8674"/>
        <v>0</v>
      </c>
      <c r="MY264" s="25"/>
      <c r="MZ264" s="790"/>
      <c r="NA264" s="791">
        <f t="shared" si="8675"/>
        <v>0</v>
      </c>
      <c r="NB264" s="25"/>
      <c r="NC264" s="790"/>
      <c r="ND264" s="791">
        <f t="shared" si="8676"/>
        <v>0</v>
      </c>
      <c r="NE264" s="25"/>
      <c r="NF264" s="790"/>
      <c r="NG264" s="791">
        <f t="shared" si="8677"/>
        <v>0</v>
      </c>
      <c r="NH264" s="25"/>
      <c r="NI264" s="790"/>
      <c r="NJ264" s="791">
        <f t="shared" si="8678"/>
        <v>0</v>
      </c>
      <c r="NK264" s="25"/>
      <c r="NL264" s="790"/>
      <c r="NM264" s="791">
        <f t="shared" si="8679"/>
        <v>0</v>
      </c>
      <c r="NN264" s="25"/>
      <c r="NO264" s="790"/>
      <c r="NP264" s="791">
        <f t="shared" si="8680"/>
        <v>0</v>
      </c>
      <c r="NQ264" s="25"/>
      <c r="NR264" s="790"/>
      <c r="NS264" s="791">
        <f t="shared" si="8681"/>
        <v>0</v>
      </c>
      <c r="NT264" s="25"/>
      <c r="NU264" s="790"/>
      <c r="NV264" s="791">
        <f t="shared" si="8682"/>
        <v>0</v>
      </c>
      <c r="NW264" s="25"/>
      <c r="NX264" s="790"/>
      <c r="NY264" s="791">
        <f t="shared" si="8683"/>
        <v>0</v>
      </c>
      <c r="NZ264" s="25"/>
      <c r="OA264" s="790"/>
      <c r="OB264" s="791">
        <f t="shared" si="8684"/>
        <v>0</v>
      </c>
      <c r="OC264" s="25"/>
      <c r="OD264" s="790"/>
      <c r="OE264" s="791">
        <f t="shared" si="8685"/>
        <v>0</v>
      </c>
      <c r="OF264" s="25"/>
      <c r="OG264" s="790"/>
      <c r="OH264" s="791">
        <f t="shared" si="8686"/>
        <v>0</v>
      </c>
      <c r="OI264" s="25"/>
      <c r="OJ264" s="790"/>
      <c r="OK264" s="791">
        <f t="shared" si="8687"/>
        <v>0</v>
      </c>
      <c r="OL264" s="25"/>
      <c r="OM264" s="790"/>
      <c r="ON264" s="791">
        <f t="shared" si="8688"/>
        <v>0</v>
      </c>
      <c r="OO264" s="25"/>
      <c r="OP264" s="790"/>
      <c r="OQ264" s="791">
        <f t="shared" si="8689"/>
        <v>0</v>
      </c>
      <c r="OR264" s="25"/>
      <c r="OS264" s="790"/>
      <c r="OT264" s="791">
        <f t="shared" si="8690"/>
        <v>0</v>
      </c>
      <c r="OU264" s="25"/>
      <c r="OV264" s="790"/>
      <c r="OW264" s="791">
        <f t="shared" si="8691"/>
        <v>0</v>
      </c>
      <c r="OX264" s="25"/>
      <c r="OY264" s="790"/>
      <c r="OZ264" s="791">
        <f t="shared" si="8692"/>
        <v>0</v>
      </c>
      <c r="PA264" s="25"/>
      <c r="PB264" s="790"/>
      <c r="PC264" s="791">
        <f t="shared" si="8693"/>
        <v>0</v>
      </c>
      <c r="PD264" s="25"/>
      <c r="PE264" s="790"/>
      <c r="PF264" s="791">
        <f t="shared" si="8694"/>
        <v>0</v>
      </c>
      <c r="PG264" s="25"/>
      <c r="PH264" s="790"/>
      <c r="PI264" s="791">
        <f t="shared" si="8695"/>
        <v>0</v>
      </c>
      <c r="PJ264" s="25"/>
      <c r="PK264" s="790"/>
      <c r="PL264" s="791">
        <f t="shared" si="8696"/>
        <v>0</v>
      </c>
      <c r="PM264" s="25"/>
      <c r="PN264" s="790"/>
      <c r="PO264" s="791">
        <f t="shared" si="8697"/>
        <v>0</v>
      </c>
      <c r="PP264" s="25"/>
      <c r="PQ264" s="790"/>
      <c r="PR264" s="791">
        <f t="shared" si="8698"/>
        <v>0</v>
      </c>
      <c r="PS264" s="25"/>
      <c r="PT264" s="790"/>
      <c r="PU264" s="791">
        <f t="shared" si="8699"/>
        <v>0</v>
      </c>
      <c r="PV264" s="25"/>
      <c r="PW264" s="790"/>
      <c r="PX264" s="791">
        <f t="shared" si="8700"/>
        <v>0</v>
      </c>
      <c r="PY264" s="25"/>
      <c r="PZ264" s="790"/>
      <c r="QA264" s="791">
        <f t="shared" si="8701"/>
        <v>0</v>
      </c>
      <c r="QB264" s="25"/>
      <c r="QC264" s="790"/>
      <c r="QD264" s="791">
        <f t="shared" si="8702"/>
        <v>0</v>
      </c>
      <c r="QE264" s="25"/>
      <c r="QF264" s="790"/>
      <c r="QG264" s="791">
        <f t="shared" si="8703"/>
        <v>0</v>
      </c>
      <c r="QH264" s="25"/>
      <c r="QI264" s="790"/>
      <c r="QJ264" s="791">
        <f t="shared" si="8704"/>
        <v>0</v>
      </c>
      <c r="QK264" s="25"/>
      <c r="QL264" s="790"/>
      <c r="QM264" s="791">
        <f t="shared" si="8705"/>
        <v>0</v>
      </c>
      <c r="QN264" s="25"/>
      <c r="QO264" s="790"/>
      <c r="QP264" s="791">
        <f t="shared" si="8706"/>
        <v>0</v>
      </c>
      <c r="QQ264" s="25"/>
      <c r="QR264" s="790"/>
      <c r="QS264" s="791">
        <f t="shared" si="8707"/>
        <v>0</v>
      </c>
      <c r="QT264" s="25"/>
      <c r="QU264" s="790"/>
      <c r="QV264" s="791">
        <f t="shared" si="8708"/>
        <v>0</v>
      </c>
      <c r="QW264" s="25"/>
    </row>
    <row r="265" spans="1:465" s="783" customFormat="1">
      <c r="K265" s="786"/>
    </row>
    <row r="266" spans="1:465" s="783" customFormat="1">
      <c r="M266" s="450"/>
      <c r="N266" s="450"/>
      <c r="O266" s="450"/>
      <c r="P266" s="450"/>
      <c r="Q266" s="450"/>
      <c r="R266" s="450"/>
      <c r="S266" s="450"/>
      <c r="T266" s="450"/>
      <c r="U266" s="450"/>
      <c r="V266" s="450"/>
      <c r="W266" s="450"/>
      <c r="X266" s="450"/>
      <c r="Y266" s="450"/>
    </row>
    <row r="267" spans="1:465" s="783" customFormat="1">
      <c r="A267" s="17"/>
      <c r="B267" s="17"/>
      <c r="C267" s="17"/>
      <c r="D267" s="17"/>
      <c r="E267" s="88"/>
      <c r="F267" s="720"/>
      <c r="G267" s="720"/>
      <c r="H267" s="720"/>
      <c r="I267" s="17"/>
      <c r="J267" s="25"/>
      <c r="K267" s="720"/>
      <c r="L267" s="720"/>
      <c r="M267" s="450"/>
      <c r="N267" s="450"/>
      <c r="O267" s="450"/>
      <c r="P267" s="450"/>
      <c r="Q267" s="450"/>
      <c r="R267" s="450"/>
      <c r="S267" s="450"/>
      <c r="T267" s="450"/>
      <c r="U267" s="450"/>
      <c r="V267" s="450"/>
      <c r="W267" s="450"/>
      <c r="X267" s="450"/>
      <c r="Y267" s="450"/>
    </row>
    <row r="268" spans="1:465" s="783" customFormat="1">
      <c r="A268" s="17"/>
      <c r="B268" s="17"/>
      <c r="C268" s="17"/>
      <c r="D268" s="17"/>
      <c r="E268" s="88"/>
      <c r="F268" s="720"/>
      <c r="G268" s="720"/>
      <c r="H268" s="720"/>
      <c r="I268" s="17"/>
      <c r="J268" s="25"/>
      <c r="K268" s="720"/>
      <c r="L268" s="720"/>
      <c r="M268" s="703">
        <f>DailyClas!I1</f>
        <v>46186</v>
      </c>
      <c r="N268" s="25"/>
      <c r="O268" s="25"/>
      <c r="P268" s="25"/>
      <c r="Q268" s="25"/>
      <c r="R268" s="25"/>
      <c r="S268" s="25"/>
      <c r="T268" s="25"/>
      <c r="U268" s="25"/>
      <c r="V268" s="25"/>
      <c r="W268" s="25"/>
      <c r="X268" s="25"/>
      <c r="Y268" s="25"/>
      <c r="Z268" s="25"/>
      <c r="AA268" s="25"/>
      <c r="AB268" s="25"/>
      <c r="AC268" s="25"/>
      <c r="AD268" s="25"/>
      <c r="AE268" s="25"/>
      <c r="AF268" s="25"/>
      <c r="AG268" s="25"/>
      <c r="AI268" s="25"/>
      <c r="AJ268" s="25"/>
      <c r="AK268" s="25"/>
      <c r="AL268" s="25"/>
      <c r="AM268" s="25"/>
      <c r="AN268" s="25"/>
      <c r="AO268" s="25"/>
      <c r="AP268" s="25"/>
      <c r="AQ268" s="25"/>
      <c r="AR268" s="25"/>
      <c r="AS268" s="25"/>
      <c r="AT268" s="25"/>
      <c r="AU268" s="25"/>
      <c r="AV268" s="25"/>
      <c r="AX268" s="25"/>
      <c r="AY268" s="25"/>
      <c r="AZ268" s="25"/>
      <c r="BA268" s="25"/>
      <c r="BB268" s="25"/>
      <c r="BC268" s="25"/>
      <c r="BD268" s="25"/>
      <c r="BE268" s="25"/>
      <c r="BF268" s="25"/>
      <c r="BG268" s="25"/>
      <c r="BH268" s="25"/>
      <c r="BI268" s="25"/>
      <c r="BJ268" s="25"/>
      <c r="BK268" s="25"/>
      <c r="BM268" s="25"/>
      <c r="BN268" s="25"/>
      <c r="BO268" s="25"/>
      <c r="BP268" s="25"/>
      <c r="BQ268" s="25"/>
      <c r="BR268" s="25"/>
      <c r="BS268" s="25"/>
      <c r="BT268" s="25"/>
      <c r="BU268" s="25"/>
      <c r="BV268" s="25"/>
      <c r="BW268" s="25"/>
      <c r="BX268" s="25"/>
      <c r="BY268" s="25"/>
      <c r="BZ268" s="25"/>
      <c r="CB268" s="25"/>
      <c r="CC268" s="25"/>
      <c r="CD268" s="25"/>
      <c r="CE268" s="25"/>
      <c r="CF268" s="25"/>
      <c r="CG268" s="25"/>
      <c r="CH268" s="25"/>
      <c r="CI268" s="25"/>
      <c r="CJ268" s="25"/>
      <c r="CK268" s="25"/>
      <c r="CL268" s="25"/>
      <c r="CM268" s="25"/>
      <c r="CN268" s="25"/>
      <c r="CO268" s="25"/>
      <c r="CQ268" s="25"/>
      <c r="CR268" s="25"/>
      <c r="CS268" s="25"/>
      <c r="CT268" s="25"/>
      <c r="CU268" s="25"/>
      <c r="CV268" s="25"/>
      <c r="CW268" s="25"/>
      <c r="CX268" s="25"/>
      <c r="CY268" s="25"/>
      <c r="CZ268" s="25"/>
      <c r="DA268" s="25"/>
      <c r="DB268" s="25"/>
      <c r="DC268" s="25"/>
      <c r="DD268" s="25"/>
      <c r="DF268" s="25"/>
      <c r="DG268" s="25"/>
      <c r="DH268" s="25"/>
      <c r="DI268" s="25"/>
      <c r="DJ268" s="25"/>
      <c r="DK268" s="25"/>
      <c r="DL268" s="25"/>
      <c r="DM268" s="25"/>
      <c r="DN268" s="25"/>
      <c r="DO268" s="25"/>
      <c r="DP268" s="25"/>
      <c r="DQ268" s="25"/>
      <c r="DR268" s="25"/>
      <c r="DS268" s="25"/>
      <c r="DU268" s="25"/>
      <c r="DV268" s="25"/>
      <c r="DW268" s="25"/>
      <c r="DX268" s="25"/>
      <c r="DY268" s="25"/>
      <c r="DZ268" s="25"/>
      <c r="EA268" s="25"/>
      <c r="EB268" s="25"/>
      <c r="EC268" s="25"/>
      <c r="ED268" s="25"/>
      <c r="EE268" s="25"/>
      <c r="EF268" s="25"/>
      <c r="EG268" s="25"/>
      <c r="EH268" s="25"/>
      <c r="EJ268" s="25"/>
      <c r="EK268" s="25"/>
      <c r="EL268" s="25"/>
      <c r="EM268" s="25"/>
      <c r="EN268" s="25"/>
      <c r="EO268" s="25"/>
      <c r="EP268" s="25"/>
      <c r="EQ268" s="25"/>
      <c r="ER268" s="25"/>
      <c r="ES268" s="25"/>
      <c r="ET268" s="25"/>
      <c r="EU268" s="25"/>
      <c r="EV268" s="25"/>
      <c r="EW268" s="25"/>
      <c r="EY268" s="25"/>
      <c r="EZ268" s="25"/>
      <c r="FA268" s="25"/>
      <c r="FB268" s="25"/>
      <c r="FC268" s="25"/>
      <c r="FD268" s="25"/>
      <c r="FE268" s="25"/>
      <c r="FF268" s="25"/>
      <c r="FG268" s="25"/>
      <c r="FH268" s="25"/>
      <c r="FI268" s="25"/>
      <c r="FJ268" s="25"/>
      <c r="FK268" s="25"/>
      <c r="FL268" s="25"/>
      <c r="FN268" s="25"/>
      <c r="FO268" s="25"/>
      <c r="FP268" s="25"/>
      <c r="FQ268" s="25"/>
      <c r="FR268" s="25"/>
      <c r="FS268" s="25"/>
      <c r="FT268" s="25"/>
      <c r="FU268" s="25"/>
      <c r="FV268" s="25"/>
      <c r="FW268" s="25"/>
      <c r="FX268" s="25"/>
      <c r="FY268" s="25"/>
      <c r="FZ268" s="25"/>
      <c r="GA268" s="25"/>
      <c r="GC268" s="25"/>
      <c r="GD268" s="25"/>
      <c r="GE268" s="25"/>
      <c r="GF268" s="25"/>
      <c r="GG268" s="25"/>
      <c r="GH268" s="25"/>
      <c r="GI268" s="25"/>
      <c r="GJ268" s="25"/>
      <c r="GK268" s="25"/>
      <c r="GL268" s="25"/>
      <c r="GM268" s="25"/>
      <c r="GN268" s="25"/>
      <c r="GO268" s="25"/>
      <c r="GP268" s="25"/>
      <c r="GR268" s="25"/>
      <c r="GS268" s="25"/>
      <c r="GT268" s="25"/>
      <c r="GU268" s="25"/>
      <c r="GV268" s="25"/>
      <c r="GW268" s="450"/>
      <c r="GX268" s="450"/>
      <c r="GY268" s="450"/>
      <c r="GZ268" s="450"/>
      <c r="HA268" s="450"/>
      <c r="HB268" s="450"/>
      <c r="HC268" s="450"/>
      <c r="HD268" s="450"/>
      <c r="HE268" s="450"/>
      <c r="HF268" s="450"/>
      <c r="HG268" s="450"/>
      <c r="HH268" s="450"/>
      <c r="HI268" s="450"/>
      <c r="HJ268" s="25"/>
      <c r="HK268" s="25"/>
      <c r="HL268" s="25"/>
      <c r="HM268" s="25"/>
      <c r="HN268" s="25"/>
      <c r="HO268" s="25"/>
      <c r="HP268" s="25"/>
      <c r="HQ268" s="25"/>
      <c r="HR268" s="25"/>
      <c r="HS268" s="25"/>
      <c r="HT268" s="25"/>
      <c r="HV268" s="25"/>
      <c r="HW268" s="25"/>
      <c r="HX268" s="25"/>
      <c r="HY268" s="25"/>
      <c r="HZ268" s="25"/>
      <c r="IA268" s="25"/>
      <c r="IB268" s="25"/>
      <c r="IC268" s="25"/>
      <c r="ID268" s="25"/>
      <c r="IE268" s="25"/>
      <c r="IF268" s="25"/>
      <c r="IG268" s="25"/>
      <c r="IH268" s="25"/>
      <c r="II268" s="25"/>
      <c r="IK268" s="25"/>
      <c r="IL268" s="25"/>
      <c r="IM268" s="25"/>
      <c r="IN268" s="25"/>
      <c r="IO268" s="25"/>
      <c r="IP268" s="25"/>
      <c r="IQ268" s="25"/>
      <c r="IR268" s="25"/>
      <c r="IS268" s="25"/>
      <c r="IT268" s="25"/>
      <c r="IU268" s="25"/>
      <c r="IV268" s="25"/>
      <c r="IW268" s="25"/>
      <c r="IX268" s="25"/>
      <c r="IZ268" s="25"/>
      <c r="JA268" s="25"/>
      <c r="JB268" s="25"/>
      <c r="JC268" s="25"/>
      <c r="JD268" s="25"/>
      <c r="JE268" s="25"/>
      <c r="JF268" s="25"/>
      <c r="JG268" s="25"/>
      <c r="JH268" s="25"/>
      <c r="JI268" s="25"/>
      <c r="JJ268" s="25"/>
      <c r="JK268" s="25"/>
      <c r="JL268" s="25"/>
      <c r="JM268" s="25"/>
      <c r="JO268" s="25"/>
      <c r="JP268" s="25"/>
      <c r="JQ268" s="25"/>
      <c r="JR268" s="25"/>
      <c r="JS268" s="25"/>
      <c r="JT268" s="25"/>
      <c r="JU268" s="25"/>
      <c r="JV268" s="25"/>
      <c r="JW268" s="25"/>
      <c r="JX268" s="25"/>
      <c r="JY268" s="25"/>
      <c r="JZ268" s="25"/>
      <c r="KA268" s="25"/>
      <c r="KB268" s="25"/>
      <c r="KD268" s="25"/>
      <c r="KE268" s="25"/>
      <c r="KF268" s="25"/>
      <c r="KG268" s="25"/>
      <c r="KH268" s="25"/>
      <c r="KI268" s="25"/>
      <c r="KJ268" s="25"/>
      <c r="KK268" s="25"/>
      <c r="KL268" s="25"/>
      <c r="KM268" s="25"/>
      <c r="KN268" s="25"/>
      <c r="KO268" s="25"/>
      <c r="KP268" s="25"/>
      <c r="KQ268" s="25"/>
      <c r="KS268" s="25"/>
      <c r="KT268" s="25"/>
      <c r="KU268" s="25"/>
      <c r="KV268" s="25"/>
      <c r="KW268" s="25"/>
      <c r="KX268" s="25"/>
      <c r="KY268" s="25"/>
      <c r="KZ268" s="25"/>
      <c r="LA268" s="25"/>
      <c r="LB268" s="25"/>
      <c r="LC268" s="25"/>
      <c r="LD268" s="25"/>
      <c r="LE268" s="25"/>
      <c r="LF268" s="25"/>
    </row>
    <row r="269" spans="1:465" s="783" customFormat="1">
      <c r="A269" s="17"/>
      <c r="B269" s="17"/>
      <c r="C269" s="17"/>
      <c r="D269" s="17"/>
      <c r="E269" s="88"/>
      <c r="F269" s="720"/>
      <c r="G269" s="720"/>
      <c r="H269" s="720"/>
      <c r="I269" s="17"/>
      <c r="J269" s="25"/>
      <c r="K269" s="720"/>
      <c r="L269" s="720"/>
      <c r="M269" s="25" t="s">
        <v>1707</v>
      </c>
      <c r="N269" s="25"/>
      <c r="O269" s="25"/>
      <c r="P269" s="25"/>
      <c r="Q269" s="25"/>
      <c r="R269" s="25"/>
      <c r="S269" s="25">
        <f ca="1">RANK(S270,OFFSET($S$270,0,0,1,$D$5*3),0)</f>
        <v>1</v>
      </c>
      <c r="T269" s="25"/>
      <c r="U269" s="25"/>
      <c r="V269" s="25">
        <f ca="1">RANK(V270,OFFSET($S$270,0,0,1,$D$5*3),0)</f>
        <v>2</v>
      </c>
      <c r="W269" s="25"/>
      <c r="X269" s="25"/>
      <c r="Y269" s="25">
        <f ca="1">RANK(Y270,OFFSET($S$270,0,0,1,$D$5*3),0)</f>
        <v>3</v>
      </c>
      <c r="Z269" s="25"/>
      <c r="AA269" s="25"/>
      <c r="AB269" s="25">
        <f ca="1">RANK(AB270,OFFSET($S$270,0,0,1,$D$5*3),0)</f>
        <v>4</v>
      </c>
      <c r="AC269" s="25"/>
      <c r="AD269" s="25"/>
      <c r="AE269" s="25">
        <f ca="1">RANK(AE270,OFFSET($S$270,0,0,1,$D$5*3),0)</f>
        <v>5</v>
      </c>
      <c r="AF269" s="25"/>
      <c r="AG269" s="25"/>
      <c r="AH269" s="783">
        <f ca="1">RANK(AH270,OFFSET($S$270,0,0,1,$D$5*3),0)</f>
        <v>6</v>
      </c>
      <c r="AI269" s="25"/>
      <c r="AJ269" s="25"/>
      <c r="AK269" s="25">
        <f ca="1">RANK(AK270,OFFSET($S$270,0,0,1,$D$5*3),0)</f>
        <v>7</v>
      </c>
      <c r="AL269" s="25"/>
      <c r="AM269" s="25"/>
      <c r="AN269" s="25">
        <f ca="1">RANK(AN270,OFFSET($S$270,0,0,1,$D$5*3),0)</f>
        <v>8</v>
      </c>
      <c r="AO269" s="25"/>
      <c r="AP269" s="25"/>
      <c r="AQ269" s="25">
        <f ca="1">RANK(AQ270,OFFSET($S$270,0,0,1,$D$5*3),0)</f>
        <v>9</v>
      </c>
      <c r="AR269" s="25"/>
      <c r="AS269" s="25"/>
      <c r="AT269" s="25">
        <f ca="1">RANK(AT270,OFFSET($S$270,0,0,1,$D$5*3),0)</f>
        <v>10</v>
      </c>
      <c r="AU269" s="25"/>
      <c r="AV269" s="25"/>
      <c r="AW269" s="783">
        <f ca="1">RANK(AW270,OFFSET($S$270,0,0,1,$D$5*3),0)</f>
        <v>11</v>
      </c>
      <c r="AX269" s="25"/>
      <c r="AY269" s="25"/>
      <c r="AZ269" s="25">
        <f ca="1">RANK(AZ270,OFFSET($S$270,0,0,1,$D$5*3),0)</f>
        <v>12</v>
      </c>
      <c r="BA269" s="25"/>
      <c r="BB269" s="25"/>
      <c r="BC269" s="25">
        <f ca="1">RANK(BC270,OFFSET($S$270,0,0,1,$D$5*3),0)</f>
        <v>13</v>
      </c>
      <c r="BD269" s="25"/>
      <c r="BE269" s="25"/>
      <c r="BF269" s="25">
        <f ca="1">RANK(BF270,OFFSET($S$270,0,0,1,$D$5*3),0)</f>
        <v>14</v>
      </c>
      <c r="BG269" s="25"/>
      <c r="BH269" s="25"/>
      <c r="BI269" s="25">
        <f ca="1">RANK(BI270,OFFSET($S$270,0,0,1,$D$5*3),0)</f>
        <v>15</v>
      </c>
      <c r="BJ269" s="25"/>
      <c r="BK269" s="25"/>
      <c r="BL269" s="783">
        <f ca="1">RANK(BL270,OFFSET($S$270,0,0,1,$D$5*3),0)</f>
        <v>16</v>
      </c>
      <c r="BM269" s="25"/>
      <c r="BN269" s="25"/>
      <c r="BO269" s="25">
        <f ca="1">RANK(BO270,OFFSET($S$270,0,0,1,$D$5*3),0)</f>
        <v>17</v>
      </c>
      <c r="BP269" s="25"/>
      <c r="BQ269" s="25"/>
      <c r="BR269" s="25">
        <f ca="1">RANK(BR270,OFFSET($S$270,0,0,1,$D$5*3),0)</f>
        <v>18</v>
      </c>
      <c r="BS269" s="25"/>
      <c r="BT269" s="25"/>
      <c r="BU269" s="25">
        <f ca="1">RANK(BU270,OFFSET($S$270,0,0,1,$D$5*3),0)</f>
        <v>19</v>
      </c>
      <c r="BV269" s="25"/>
      <c r="BW269" s="25"/>
      <c r="BX269" s="25">
        <f ca="1">RANK(BX270,OFFSET($S$270,0,0,1,$D$5*3),0)</f>
        <v>20</v>
      </c>
      <c r="BY269" s="25"/>
      <c r="BZ269" s="25"/>
      <c r="CA269" s="783">
        <f ca="1">RANK(CA270,OFFSET($S$270,0,0,1,$D$5*3),0)</f>
        <v>21</v>
      </c>
      <c r="CB269" s="25"/>
      <c r="CC269" s="25"/>
      <c r="CD269" s="25">
        <f ca="1">RANK(CD270,OFFSET($S$270,0,0,1,$D$5*3),0)</f>
        <v>22</v>
      </c>
      <c r="CE269" s="25"/>
      <c r="CF269" s="25"/>
      <c r="CG269" s="25">
        <f ca="1">RANK(CG270,OFFSET($S$270,0,0,1,$D$5*3),0)</f>
        <v>23</v>
      </c>
      <c r="CH269" s="25"/>
      <c r="CI269" s="25"/>
      <c r="CJ269" s="25">
        <f ca="1">RANK(CJ270,OFFSET($S$270,0,0,1,$D$5*3),0)</f>
        <v>24</v>
      </c>
      <c r="CK269" s="25"/>
      <c r="CL269" s="25"/>
      <c r="CM269" s="25">
        <f ca="1">RANK(CM270,OFFSET($S$270,0,0,1,$D$5*3),0)</f>
        <v>25</v>
      </c>
      <c r="CN269" s="25"/>
      <c r="CO269" s="25"/>
      <c r="CP269" s="783">
        <f ca="1">RANK(CP270,OFFSET($S$270,0,0,1,$D$5*3),0)</f>
        <v>26</v>
      </c>
      <c r="CQ269" s="25"/>
      <c r="CR269" s="25"/>
      <c r="CS269" s="25">
        <f ca="1">RANK(CS270,OFFSET($S$270,0,0,1,$D$5*3),0)</f>
        <v>27</v>
      </c>
      <c r="CT269" s="25"/>
      <c r="CU269" s="25"/>
      <c r="CV269" s="25">
        <f ca="1">RANK(CV270,OFFSET($S$270,0,0,1,$D$5*3),0)</f>
        <v>28</v>
      </c>
      <c r="CW269" s="25"/>
      <c r="CX269" s="25"/>
      <c r="CY269" s="25">
        <f ca="1">RANK(CY270,OFFSET($S$270,0,0,1,$D$5*3),0)</f>
        <v>29</v>
      </c>
      <c r="CZ269" s="25"/>
      <c r="DA269" s="25"/>
      <c r="DB269" s="25">
        <f ca="1">RANK(DB270,OFFSET($S$270,0,0,1,$D$5*3),0)</f>
        <v>30</v>
      </c>
      <c r="DC269" s="25"/>
      <c r="DD269" s="25"/>
      <c r="DE269" s="783">
        <f ca="1">RANK(DE270,OFFSET($S$270,0,0,1,$D$5*3),0)</f>
        <v>31</v>
      </c>
      <c r="DF269" s="25"/>
      <c r="DG269" s="25"/>
      <c r="DH269" s="25">
        <f ca="1">RANK(DH270,OFFSET($S$270,0,0,1,$D$5*3),0)</f>
        <v>32</v>
      </c>
      <c r="DI269" s="25"/>
      <c r="DJ269" s="25"/>
      <c r="DK269" s="25">
        <f ca="1">RANK(DK270,OFFSET($S$270,0,0,1,$D$5*3),0)</f>
        <v>33</v>
      </c>
      <c r="DL269" s="25"/>
      <c r="DM269" s="25"/>
      <c r="DN269" s="25">
        <f ca="1">RANK(DN270,OFFSET($S$270,0,0,1,$D$5*3),0)</f>
        <v>34</v>
      </c>
      <c r="DO269" s="25"/>
      <c r="DP269" s="25"/>
      <c r="DQ269" s="25">
        <f ca="1">RANK(DQ270,OFFSET($S$270,0,0,1,$D$5*3),0)</f>
        <v>35</v>
      </c>
      <c r="DR269" s="25"/>
      <c r="DS269" s="25"/>
      <c r="DT269" s="783">
        <f ca="1">RANK(DT270,OFFSET($S$270,0,0,1,$D$5*3),0)</f>
        <v>36</v>
      </c>
      <c r="DU269" s="25"/>
      <c r="DV269" s="25"/>
      <c r="DW269" s="25" t="e">
        <f ca="1">RANK(DW270,OFFSET($S$270,0,0,1,$D$5*3),0)</f>
        <v>#N/A</v>
      </c>
      <c r="DX269" s="25"/>
      <c r="DY269" s="25"/>
      <c r="DZ269" s="25" t="e">
        <f ca="1">RANK(DZ270,OFFSET($S$270,0,0,1,$D$5*3),0)</f>
        <v>#N/A</v>
      </c>
      <c r="EA269" s="25"/>
      <c r="EB269" s="25"/>
      <c r="EC269" s="25" t="e">
        <f ca="1">RANK(EC270,OFFSET($S$270,0,0,1,$D$5*3),0)</f>
        <v>#N/A</v>
      </c>
      <c r="ED269" s="25"/>
      <c r="EE269" s="25"/>
      <c r="EF269" s="25" t="e">
        <f ca="1">RANK(EF270,OFFSET($S$270,0,0,1,$D$5*3),0)</f>
        <v>#N/A</v>
      </c>
      <c r="EG269" s="25"/>
      <c r="EH269" s="25"/>
      <c r="EI269" s="783" t="e">
        <f ca="1">RANK(EI270,OFFSET($S$270,0,0,1,$D$5*3),0)</f>
        <v>#N/A</v>
      </c>
      <c r="EJ269" s="25"/>
      <c r="EK269" s="25"/>
      <c r="EL269" s="25" t="e">
        <f ca="1">RANK(EL270,OFFSET($S$270,0,0,1,$D$5*3),0)</f>
        <v>#N/A</v>
      </c>
      <c r="EM269" s="25"/>
      <c r="EN269" s="25"/>
      <c r="EO269" s="25" t="e">
        <f ca="1">RANK(EO270,OFFSET($S$270,0,0,1,$D$5*3),0)</f>
        <v>#N/A</v>
      </c>
      <c r="EP269" s="25"/>
      <c r="EQ269" s="25"/>
      <c r="ER269" s="25" t="e">
        <f ca="1">RANK(ER270,OFFSET($S$270,0,0,1,$D$5*3),0)</f>
        <v>#N/A</v>
      </c>
      <c r="ES269" s="25"/>
      <c r="ET269" s="25"/>
      <c r="EU269" s="25" t="e">
        <f ca="1">RANK(EU270,OFFSET($S$270,0,0,1,$D$5*3),0)</f>
        <v>#N/A</v>
      </c>
      <c r="EV269" s="25"/>
      <c r="EW269" s="25"/>
      <c r="EX269" s="783" t="e">
        <f ca="1">RANK(EX270,OFFSET($S$270,0,0,1,$D$5*3),0)</f>
        <v>#N/A</v>
      </c>
      <c r="EY269" s="25"/>
      <c r="EZ269" s="25"/>
      <c r="FA269" s="25" t="e">
        <f ca="1">RANK(FA270,OFFSET($S$270,0,0,1,$D$5*3),0)</f>
        <v>#N/A</v>
      </c>
      <c r="FB269" s="25"/>
      <c r="FC269" s="25"/>
      <c r="FD269" s="25" t="e">
        <f ca="1">RANK(FD270,OFFSET($S$270,0,0,1,$D$5*3),0)</f>
        <v>#N/A</v>
      </c>
      <c r="FE269" s="25"/>
      <c r="FF269" s="25"/>
      <c r="FG269" s="25" t="e">
        <f ca="1">RANK(FG270,OFFSET($S$270,0,0,1,$D$5*3),0)</f>
        <v>#N/A</v>
      </c>
      <c r="FH269" s="25"/>
      <c r="FI269" s="25"/>
      <c r="FJ269" s="25" t="e">
        <f ca="1">RANK(FJ270,OFFSET($S$270,0,0,1,$D$5*3),0)</f>
        <v>#N/A</v>
      </c>
      <c r="FK269" s="25"/>
      <c r="FL269" s="25"/>
      <c r="FM269" s="783" t="e">
        <f ca="1">RANK(FM270,OFFSET($S$270,0,0,1,$D$5*3),0)</f>
        <v>#N/A</v>
      </c>
      <c r="FN269" s="25"/>
      <c r="FO269" s="25"/>
      <c r="FP269" s="25" t="e">
        <f ca="1">RANK(FP270,OFFSET($S$270,0,0,1,$D$5*3),0)</f>
        <v>#N/A</v>
      </c>
      <c r="FQ269" s="25"/>
      <c r="FR269" s="25"/>
      <c r="FS269" s="25" t="e">
        <f ca="1">RANK(FS270,OFFSET($S$270,0,0,1,$D$5*3),0)</f>
        <v>#N/A</v>
      </c>
      <c r="FT269" s="25"/>
      <c r="FU269" s="25"/>
      <c r="FV269" s="25" t="e">
        <f ca="1">RANK(FV270,OFFSET($S$270,0,0,1,$D$5*3),0)</f>
        <v>#N/A</v>
      </c>
      <c r="FW269" s="25"/>
      <c r="FX269" s="25"/>
      <c r="FY269" s="25" t="e">
        <f ca="1">RANK(FY270,OFFSET($S$270,0,0,1,$D$5*3),0)</f>
        <v>#N/A</v>
      </c>
      <c r="FZ269" s="25"/>
      <c r="GA269" s="25"/>
      <c r="GB269" s="783" t="e">
        <f ca="1">RANK(GB270,OFFSET($S$270,0,0,1,$D$5*3),0)</f>
        <v>#N/A</v>
      </c>
      <c r="GC269" s="25"/>
      <c r="GD269" s="25"/>
      <c r="GE269" s="25" t="e">
        <f ca="1">RANK(GE270,OFFSET($S$270,0,0,1,$D$5*3),0)</f>
        <v>#N/A</v>
      </c>
      <c r="GF269" s="25"/>
      <c r="GG269" s="25"/>
      <c r="GH269" s="25" t="e">
        <f ca="1">RANK(GH270,OFFSET($S$270,0,0,1,$D$5*3),0)</f>
        <v>#N/A</v>
      </c>
      <c r="GI269" s="25"/>
      <c r="GJ269" s="25"/>
      <c r="GK269" s="25" t="e">
        <f ca="1">RANK(GK270,OFFSET($S$270,0,0,1,$D$5*3),0)</f>
        <v>#N/A</v>
      </c>
      <c r="GL269" s="25"/>
      <c r="GM269" s="25"/>
      <c r="GN269" s="25" t="e">
        <f ca="1">RANK(GN270,OFFSET($S$270,0,0,1,$D$5*3),0)</f>
        <v>#N/A</v>
      </c>
      <c r="GO269" s="25"/>
      <c r="GP269" s="25"/>
      <c r="GQ269" s="783" t="e">
        <f ca="1">RANK(GQ270,OFFSET($S$270,0,0,1,$D$5*3),0)</f>
        <v>#N/A</v>
      </c>
      <c r="GR269" s="25"/>
      <c r="GS269" s="25"/>
      <c r="GT269" s="25" t="e">
        <f ca="1">RANK(GT270,OFFSET($S$270,0,0,1,$D$5*3),0)</f>
        <v>#N/A</v>
      </c>
      <c r="GU269" s="25"/>
      <c r="GV269" s="25"/>
      <c r="GW269" s="450" t="e">
        <f ca="1">RANK(GW270,OFFSET($S$270,0,0,1,$D$5*3),0)</f>
        <v>#N/A</v>
      </c>
      <c r="GX269" s="450"/>
      <c r="GY269" s="450"/>
      <c r="GZ269" s="450" t="e">
        <f ca="1">RANK(GZ270,OFFSET($S$270,0,0,1,$D$5*3),0)</f>
        <v>#N/A</v>
      </c>
      <c r="HA269" s="450"/>
      <c r="HB269" s="450"/>
      <c r="HC269" s="450" t="e">
        <f ca="1">RANK(HC270,OFFSET($S$270,0,0,1,$D$5*3),0)</f>
        <v>#N/A</v>
      </c>
      <c r="HD269" s="450"/>
      <c r="HE269" s="450"/>
      <c r="HF269" s="450" t="e">
        <f ca="1">RANK(HF270,OFFSET($S$270,0,0,1,$D$5*3),0)</f>
        <v>#N/A</v>
      </c>
      <c r="HG269" s="450"/>
      <c r="HH269" s="450"/>
      <c r="HI269" s="450" t="e">
        <f ca="1">RANK(HI270,OFFSET($S$270,0,0,1,$D$5*3),0)</f>
        <v>#N/A</v>
      </c>
      <c r="HJ269" s="25"/>
      <c r="HK269" s="25"/>
      <c r="HL269" s="25" t="e">
        <f ca="1">RANK(HL270,OFFSET($S$270,0,0,1,$D$5*3),0)</f>
        <v>#N/A</v>
      </c>
      <c r="HM269" s="25"/>
      <c r="HN269" s="25"/>
      <c r="HO269" s="25" t="e">
        <f ca="1">RANK(HO270,OFFSET($S$270,0,0,1,$D$5*3),0)</f>
        <v>#N/A</v>
      </c>
      <c r="HP269" s="25"/>
      <c r="HQ269" s="25"/>
      <c r="HR269" s="25" t="e">
        <f ca="1">RANK(HR270,OFFSET($S$270,0,0,1,$D$5*3),0)</f>
        <v>#N/A</v>
      </c>
      <c r="HS269" s="25"/>
      <c r="HT269" s="25"/>
      <c r="HU269" s="783" t="e">
        <f ca="1">RANK(HU270,OFFSET($S$270,0,0,1,$D$5*3),0)</f>
        <v>#N/A</v>
      </c>
      <c r="HV269" s="25"/>
      <c r="HW269" s="25"/>
      <c r="HX269" s="25" t="e">
        <f ca="1">RANK(HX270,OFFSET($S$270,0,0,1,$D$5*3),0)</f>
        <v>#N/A</v>
      </c>
      <c r="HY269" s="25"/>
      <c r="HZ269" s="25"/>
      <c r="IA269" s="25" t="e">
        <f ca="1">RANK(IA270,OFFSET($S$270,0,0,1,$D$5*3),0)</f>
        <v>#N/A</v>
      </c>
      <c r="IB269" s="25"/>
      <c r="IC269" s="25"/>
      <c r="ID269" s="25" t="e">
        <f ca="1">RANK(ID270,OFFSET($S$270,0,0,1,$D$5*3),0)</f>
        <v>#N/A</v>
      </c>
      <c r="IE269" s="25"/>
      <c r="IF269" s="25"/>
      <c r="IG269" s="25" t="e">
        <f ca="1">RANK(IG270,OFFSET($S$270,0,0,1,$D$5*3),0)</f>
        <v>#N/A</v>
      </c>
      <c r="IH269" s="25"/>
      <c r="II269" s="25"/>
      <c r="IJ269" s="783" t="e">
        <f ca="1">RANK(IJ270,OFFSET($S$270,0,0,1,$D$5*3),0)</f>
        <v>#N/A</v>
      </c>
      <c r="IK269" s="25"/>
      <c r="IL269" s="25"/>
      <c r="IM269" s="25" t="e">
        <f ca="1">RANK(IM270,OFFSET($S$270,0,0,1,$D$5*3),0)</f>
        <v>#N/A</v>
      </c>
      <c r="IN269" s="25"/>
      <c r="IO269" s="25"/>
      <c r="IP269" s="25" t="e">
        <f ca="1">RANK(IP270,OFFSET($S$270,0,0,1,$D$5*3),0)</f>
        <v>#N/A</v>
      </c>
      <c r="IQ269" s="25"/>
      <c r="IR269" s="25"/>
      <c r="IS269" s="25" t="e">
        <f ca="1">RANK(IS270,OFFSET($S$270,0,0,1,$D$5*3),0)</f>
        <v>#N/A</v>
      </c>
      <c r="IT269" s="25"/>
      <c r="IU269" s="25"/>
      <c r="IV269" s="25" t="e">
        <f ca="1">RANK(IV270,OFFSET($S$270,0,0,1,$D$5*3),0)</f>
        <v>#N/A</v>
      </c>
      <c r="IW269" s="25"/>
      <c r="IX269" s="25"/>
      <c r="IY269" s="783" t="e">
        <f ca="1">RANK(IY270,OFFSET($S$270,0,0,1,$D$5*3),0)</f>
        <v>#N/A</v>
      </c>
      <c r="IZ269" s="25"/>
      <c r="JA269" s="25"/>
      <c r="JB269" s="25" t="e">
        <f ca="1">RANK(JB270,OFFSET($S$270,0,0,1,$D$5*3),0)</f>
        <v>#N/A</v>
      </c>
      <c r="JC269" s="25"/>
      <c r="JD269" s="25"/>
      <c r="JE269" s="25" t="e">
        <f ca="1">RANK(JE270,OFFSET($S$270,0,0,1,$D$5*3),0)</f>
        <v>#N/A</v>
      </c>
      <c r="JF269" s="25"/>
      <c r="JG269" s="25"/>
      <c r="JH269" s="25" t="e">
        <f ca="1">RANK(JH270,OFFSET($S$270,0,0,1,$D$5*3),0)</f>
        <v>#N/A</v>
      </c>
      <c r="JI269" s="25"/>
      <c r="JJ269" s="25"/>
      <c r="JK269" s="25" t="e">
        <f ca="1">RANK(JK270,OFFSET($S$270,0,0,1,$D$5*3),0)</f>
        <v>#N/A</v>
      </c>
      <c r="JL269" s="25"/>
      <c r="JM269" s="25"/>
      <c r="JN269" s="783" t="e">
        <f ca="1">RANK(JN270,OFFSET($S$270,0,0,1,$D$5*3),0)</f>
        <v>#N/A</v>
      </c>
      <c r="JO269" s="25"/>
      <c r="JP269" s="25"/>
      <c r="JQ269" s="25" t="e">
        <f ca="1">RANK(JQ270,OFFSET($S$270,0,0,1,$D$5*3),0)</f>
        <v>#N/A</v>
      </c>
      <c r="JR269" s="25"/>
      <c r="JS269" s="25"/>
      <c r="JT269" s="25" t="e">
        <f ca="1">RANK(JT270,OFFSET($S$270,0,0,1,$D$5*3),0)</f>
        <v>#N/A</v>
      </c>
      <c r="JU269" s="25"/>
      <c r="JV269" s="25"/>
      <c r="JW269" s="25" t="e">
        <f ca="1">RANK(JW270,OFFSET($S$270,0,0,1,$D$5*3),0)</f>
        <v>#N/A</v>
      </c>
      <c r="JX269" s="25"/>
      <c r="JY269" s="25"/>
      <c r="JZ269" s="25" t="e">
        <f ca="1">RANK(JZ270,OFFSET($S$270,0,0,1,$D$5*3),0)</f>
        <v>#N/A</v>
      </c>
      <c r="KA269" s="25"/>
      <c r="KB269" s="25"/>
      <c r="KC269" s="783" t="e">
        <f ca="1">RANK(KC270,OFFSET($S$270,0,0,1,$D$5*3),0)</f>
        <v>#N/A</v>
      </c>
      <c r="KD269" s="25"/>
      <c r="KE269" s="25"/>
      <c r="KF269" s="25" t="e">
        <f ca="1">RANK(KF270,OFFSET($S$270,0,0,1,$D$5*3),0)</f>
        <v>#N/A</v>
      </c>
      <c r="KG269" s="25"/>
      <c r="KH269" s="25"/>
      <c r="KI269" s="25" t="e">
        <f ca="1">RANK(KI270,OFFSET($S$270,0,0,1,$D$5*3),0)</f>
        <v>#N/A</v>
      </c>
      <c r="KJ269" s="25"/>
      <c r="KK269" s="25"/>
      <c r="KL269" s="25" t="e">
        <f ca="1">RANK(KL270,OFFSET($S$270,0,0,1,$D$5*3),0)</f>
        <v>#N/A</v>
      </c>
      <c r="KM269" s="25"/>
      <c r="KN269" s="25"/>
      <c r="KO269" s="25" t="e">
        <f ca="1">RANK(KO270,OFFSET($S$270,0,0,1,$D$5*3),0)</f>
        <v>#N/A</v>
      </c>
      <c r="KP269" s="25"/>
      <c r="KQ269" s="25"/>
      <c r="KR269" s="783" t="e">
        <f ca="1">RANK(KR270,OFFSET($S$270,0,0,1,$D$5*3),0)</f>
        <v>#N/A</v>
      </c>
      <c r="KS269" s="25"/>
      <c r="KT269" s="25"/>
      <c r="KU269" s="25" t="e">
        <f ca="1">RANK(KU270,OFFSET($S$270,0,0,1,$D$5*3),0)</f>
        <v>#N/A</v>
      </c>
      <c r="KV269" s="25"/>
      <c r="KW269" s="25"/>
      <c r="KX269" s="25" t="e">
        <f ca="1">RANK(KX270,OFFSET($S$270,0,0,1,$D$5*3),0)</f>
        <v>#N/A</v>
      </c>
      <c r="KY269" s="25"/>
      <c r="KZ269" s="25"/>
      <c r="LA269" s="25" t="e">
        <f ca="1">RANK(LA270,OFFSET($S$270,0,0,1,$D$5*3),0)</f>
        <v>#N/A</v>
      </c>
      <c r="LB269" s="25"/>
      <c r="LC269" s="25"/>
      <c r="LD269" s="25" t="e">
        <f ca="1">RANK(LD270,OFFSET($S$270,0,0,1,$D$5*3),0)</f>
        <v>#N/A</v>
      </c>
      <c r="LE269" s="25"/>
      <c r="LF269" s="25"/>
    </row>
    <row r="270" spans="1:465" s="783" customFormat="1">
      <c r="A270" s="17"/>
      <c r="B270" s="17"/>
      <c r="C270" s="17"/>
      <c r="D270" s="17"/>
      <c r="E270" s="88"/>
      <c r="F270" s="720"/>
      <c r="G270" s="720"/>
      <c r="H270" s="720"/>
      <c r="I270" s="17"/>
      <c r="J270" s="25"/>
      <c r="K270" s="720"/>
      <c r="L270" s="720"/>
      <c r="M270" s="25" t="s">
        <v>1709</v>
      </c>
      <c r="N270" s="25"/>
      <c r="O270" s="25"/>
      <c r="P270" s="25"/>
      <c r="Q270" s="25"/>
      <c r="R270" s="25"/>
      <c r="S270" s="25">
        <f ca="1">S272-(COLUMN()/10000)</f>
        <v>-1.9E-3</v>
      </c>
      <c r="T270" s="25"/>
      <c r="U270" s="25"/>
      <c r="V270" s="25">
        <f t="shared" ref="V270" ca="1" si="8710">V272-(COLUMN()/10000)</f>
        <v>-2.2000000000000001E-3</v>
      </c>
      <c r="W270" s="25"/>
      <c r="X270" s="25"/>
      <c r="Y270" s="25">
        <f t="shared" ref="Y270" ca="1" si="8711">Y272-(COLUMN()/10000)</f>
        <v>-2.5000000000000001E-3</v>
      </c>
      <c r="Z270" s="25"/>
      <c r="AA270" s="25"/>
      <c r="AB270" s="25">
        <f t="shared" ref="AB270" ca="1" si="8712">AB272-(COLUMN()/10000)</f>
        <v>-2.8E-3</v>
      </c>
      <c r="AC270" s="25"/>
      <c r="AD270" s="25"/>
      <c r="AE270" s="25">
        <f t="shared" ref="AE270" ca="1" si="8713">AE272-(COLUMN()/10000)</f>
        <v>-3.0999999999999999E-3</v>
      </c>
      <c r="AF270" s="25"/>
      <c r="AG270" s="25"/>
      <c r="AH270" s="783">
        <f ca="1">AH272-(COLUMN()/10000)</f>
        <v>-3.3999999999999998E-3</v>
      </c>
      <c r="AI270" s="25"/>
      <c r="AJ270" s="25"/>
      <c r="AK270" s="25">
        <f t="shared" ref="AK270" ca="1" si="8714">AK272-(COLUMN()/10000)</f>
        <v>-3.7000000000000002E-3</v>
      </c>
      <c r="AL270" s="25"/>
      <c r="AM270" s="25"/>
      <c r="AN270" s="25">
        <f t="shared" ref="AN270" ca="1" si="8715">AN272-(COLUMN()/10000)</f>
        <v>-4.0000000000000001E-3</v>
      </c>
      <c r="AO270" s="25"/>
      <c r="AP270" s="25"/>
      <c r="AQ270" s="25">
        <f t="shared" ref="AQ270" ca="1" si="8716">AQ272-(COLUMN()/10000)</f>
        <v>-4.3E-3</v>
      </c>
      <c r="AR270" s="25"/>
      <c r="AS270" s="25"/>
      <c r="AT270" s="25">
        <f t="shared" ref="AT270" ca="1" si="8717">AT272-(COLUMN()/10000)</f>
        <v>-4.5999999999999999E-3</v>
      </c>
      <c r="AU270" s="25"/>
      <c r="AV270" s="25"/>
      <c r="AW270" s="783">
        <f ca="1">AW272-(COLUMN()/10000)</f>
        <v>-4.8999999999999998E-3</v>
      </c>
      <c r="AX270" s="25"/>
      <c r="AY270" s="25"/>
      <c r="AZ270" s="25">
        <f t="shared" ref="AZ270" ca="1" si="8718">AZ272-(COLUMN()/10000)</f>
        <v>-5.1999999999999998E-3</v>
      </c>
      <c r="BA270" s="25"/>
      <c r="BB270" s="25"/>
      <c r="BC270" s="25">
        <f t="shared" ref="BC270" ca="1" si="8719">BC272-(COLUMN()/10000)</f>
        <v>-5.4999999999999997E-3</v>
      </c>
      <c r="BD270" s="25"/>
      <c r="BE270" s="25"/>
      <c r="BF270" s="25">
        <f t="shared" ref="BF270" ca="1" si="8720">BF272-(COLUMN()/10000)</f>
        <v>-5.7999999999999996E-3</v>
      </c>
      <c r="BG270" s="25"/>
      <c r="BH270" s="25"/>
      <c r="BI270" s="25">
        <f t="shared" ref="BI270" ca="1" si="8721">BI272-(COLUMN()/10000)</f>
        <v>-6.1000000000000004E-3</v>
      </c>
      <c r="BJ270" s="25"/>
      <c r="BK270" s="25"/>
      <c r="BL270" s="783">
        <f ca="1">BL272-(COLUMN()/10000)</f>
        <v>-6.4000000000000003E-3</v>
      </c>
      <c r="BM270" s="25"/>
      <c r="BN270" s="25"/>
      <c r="BO270" s="25">
        <f t="shared" ref="BO270" ca="1" si="8722">BO272-(COLUMN()/10000)</f>
        <v>-6.7000000000000002E-3</v>
      </c>
      <c r="BP270" s="25"/>
      <c r="BQ270" s="25"/>
      <c r="BR270" s="25">
        <f t="shared" ref="BR270" ca="1" si="8723">BR272-(COLUMN()/10000)</f>
        <v>-7.0000000000000001E-3</v>
      </c>
      <c r="BS270" s="25"/>
      <c r="BT270" s="25"/>
      <c r="BU270" s="25">
        <f t="shared" ref="BU270" ca="1" si="8724">BU272-(COLUMN()/10000)</f>
        <v>-7.3000000000000001E-3</v>
      </c>
      <c r="BV270" s="25"/>
      <c r="BW270" s="25"/>
      <c r="BX270" s="25">
        <f t="shared" ref="BX270" ca="1" si="8725">BX272-(COLUMN()/10000)</f>
        <v>-7.6E-3</v>
      </c>
      <c r="BY270" s="25"/>
      <c r="BZ270" s="25"/>
      <c r="CA270" s="783">
        <f ca="1">CA272-(COLUMN()/10000)</f>
        <v>-7.9000000000000008E-3</v>
      </c>
      <c r="CB270" s="25"/>
      <c r="CC270" s="25"/>
      <c r="CD270" s="25">
        <f t="shared" ref="CD270" ca="1" si="8726">CD272-(COLUMN()/10000)</f>
        <v>-8.2000000000000007E-3</v>
      </c>
      <c r="CE270" s="25"/>
      <c r="CF270" s="25"/>
      <c r="CG270" s="25">
        <f t="shared" ref="CG270" ca="1" si="8727">CG272-(COLUMN()/10000)</f>
        <v>-8.5000000000000006E-3</v>
      </c>
      <c r="CH270" s="25"/>
      <c r="CI270" s="25"/>
      <c r="CJ270" s="25">
        <f t="shared" ref="CJ270" ca="1" si="8728">CJ272-(COLUMN()/10000)</f>
        <v>-8.8000000000000005E-3</v>
      </c>
      <c r="CK270" s="25"/>
      <c r="CL270" s="25"/>
      <c r="CM270" s="25">
        <f t="shared" ref="CM270" ca="1" si="8729">CM272-(COLUMN()/10000)</f>
        <v>-9.1000000000000004E-3</v>
      </c>
      <c r="CN270" s="25"/>
      <c r="CO270" s="25"/>
      <c r="CP270" s="783">
        <f ca="1">CP272-(COLUMN()/10000)</f>
        <v>-9.4000000000000004E-3</v>
      </c>
      <c r="CQ270" s="25"/>
      <c r="CR270" s="25"/>
      <c r="CS270" s="25">
        <f t="shared" ref="CS270" ca="1" si="8730">CS272-(COLUMN()/10000)</f>
        <v>-9.7000000000000003E-3</v>
      </c>
      <c r="CT270" s="25"/>
      <c r="CU270" s="25"/>
      <c r="CV270" s="25">
        <f t="shared" ref="CV270" ca="1" si="8731">CV272-(COLUMN()/10000)</f>
        <v>-0.01</v>
      </c>
      <c r="CW270" s="25"/>
      <c r="CX270" s="25"/>
      <c r="CY270" s="25">
        <f t="shared" ref="CY270" ca="1" si="8732">CY272-(COLUMN()/10000)</f>
        <v>-1.03E-2</v>
      </c>
      <c r="CZ270" s="25"/>
      <c r="DA270" s="25"/>
      <c r="DB270" s="25">
        <f t="shared" ref="DB270" ca="1" si="8733">DB272-(COLUMN()/10000)</f>
        <v>-1.06E-2</v>
      </c>
      <c r="DC270" s="25"/>
      <c r="DD270" s="25"/>
      <c r="DE270" s="783">
        <f ca="1">DE272-(COLUMN()/10000)</f>
        <v>-1.09E-2</v>
      </c>
      <c r="DF270" s="25"/>
      <c r="DG270" s="25"/>
      <c r="DH270" s="25">
        <f t="shared" ref="DH270" ca="1" si="8734">DH272-(COLUMN()/10000)</f>
        <v>-1.12E-2</v>
      </c>
      <c r="DI270" s="25"/>
      <c r="DJ270" s="25"/>
      <c r="DK270" s="25">
        <f t="shared" ref="DK270" ca="1" si="8735">DK272-(COLUMN()/10000)</f>
        <v>-1.15E-2</v>
      </c>
      <c r="DL270" s="25"/>
      <c r="DM270" s="25"/>
      <c r="DN270" s="25">
        <f t="shared" ref="DN270" ca="1" si="8736">DN272-(COLUMN()/10000)</f>
        <v>-1.18E-2</v>
      </c>
      <c r="DO270" s="25"/>
      <c r="DP270" s="25"/>
      <c r="DQ270" s="25">
        <f t="shared" ref="DQ270" ca="1" si="8737">DQ272-(COLUMN()/10000)</f>
        <v>-1.21E-2</v>
      </c>
      <c r="DR270" s="25"/>
      <c r="DS270" s="25"/>
      <c r="DT270" s="783">
        <f ca="1">DT272-(COLUMN()/10000)</f>
        <v>-1.24E-2</v>
      </c>
      <c r="DU270" s="25"/>
      <c r="DV270" s="25"/>
      <c r="DW270" s="25">
        <f t="shared" ref="DW270" ca="1" si="8738">DW272-(COLUMN()/10000)</f>
        <v>-1.2699999999999999E-2</v>
      </c>
      <c r="DX270" s="25"/>
      <c r="DY270" s="25"/>
      <c r="DZ270" s="25">
        <f t="shared" ref="DZ270" ca="1" si="8739">DZ272-(COLUMN()/10000)</f>
        <v>-1.2999999999999999E-2</v>
      </c>
      <c r="EA270" s="25"/>
      <c r="EB270" s="25"/>
      <c r="EC270" s="25">
        <f t="shared" ref="EC270" ca="1" si="8740">EC272-(COLUMN()/10000)</f>
        <v>-1.3299999999999999E-2</v>
      </c>
      <c r="ED270" s="25"/>
      <c r="EE270" s="25"/>
      <c r="EF270" s="25">
        <f t="shared" ref="EF270" ca="1" si="8741">EF272-(COLUMN()/10000)</f>
        <v>-1.3599999999999999E-2</v>
      </c>
      <c r="EG270" s="25"/>
      <c r="EH270" s="25"/>
      <c r="EI270" s="783">
        <f ca="1">EI272-(COLUMN()/10000)</f>
        <v>-1.3899999999999999E-2</v>
      </c>
      <c r="EJ270" s="25"/>
      <c r="EK270" s="25"/>
      <c r="EL270" s="25">
        <f t="shared" ref="EL270" ca="1" si="8742">EL272-(COLUMN()/10000)</f>
        <v>-1.4200000000000001E-2</v>
      </c>
      <c r="EM270" s="25"/>
      <c r="EN270" s="25"/>
      <c r="EO270" s="25">
        <f t="shared" ref="EO270" ca="1" si="8743">EO272-(COLUMN()/10000)</f>
        <v>-1.4500000000000001E-2</v>
      </c>
      <c r="EP270" s="25"/>
      <c r="EQ270" s="25"/>
      <c r="ER270" s="25">
        <f t="shared" ref="ER270" ca="1" si="8744">ER272-(COLUMN()/10000)</f>
        <v>-1.4800000000000001E-2</v>
      </c>
      <c r="ES270" s="25"/>
      <c r="ET270" s="25"/>
      <c r="EU270" s="25">
        <f t="shared" ref="EU270" ca="1" si="8745">EU272-(COLUMN()/10000)</f>
        <v>-1.5100000000000001E-2</v>
      </c>
      <c r="EV270" s="25"/>
      <c r="EW270" s="25"/>
      <c r="EX270" s="783">
        <f ca="1">EX272-(COLUMN()/10000)</f>
        <v>-1.54E-2</v>
      </c>
      <c r="EY270" s="25"/>
      <c r="EZ270" s="25"/>
      <c r="FA270" s="25">
        <f t="shared" ref="FA270" ca="1" si="8746">FA272-(COLUMN()/10000)</f>
        <v>-1.5699999999999999E-2</v>
      </c>
      <c r="FB270" s="25"/>
      <c r="FC270" s="25"/>
      <c r="FD270" s="25">
        <f t="shared" ref="FD270" ca="1" si="8747">FD272-(COLUMN()/10000)</f>
        <v>-1.6E-2</v>
      </c>
      <c r="FE270" s="25"/>
      <c r="FF270" s="25"/>
      <c r="FG270" s="25">
        <f t="shared" ref="FG270" ca="1" si="8748">FG272-(COLUMN()/10000)</f>
        <v>-1.6299999999999999E-2</v>
      </c>
      <c r="FH270" s="25"/>
      <c r="FI270" s="25"/>
      <c r="FJ270" s="25">
        <f t="shared" ref="FJ270" ca="1" si="8749">FJ272-(COLUMN()/10000)</f>
        <v>-1.66E-2</v>
      </c>
      <c r="FK270" s="25"/>
      <c r="FL270" s="25"/>
      <c r="FM270" s="783">
        <f ca="1">FM272-(COLUMN()/10000)</f>
        <v>-1.6899999999999998E-2</v>
      </c>
      <c r="FN270" s="25"/>
      <c r="FO270" s="25"/>
      <c r="FP270" s="25">
        <f t="shared" ref="FP270" ca="1" si="8750">FP272-(COLUMN()/10000)</f>
        <v>-1.72E-2</v>
      </c>
      <c r="FQ270" s="25"/>
      <c r="FR270" s="25"/>
      <c r="FS270" s="25">
        <f t="shared" ref="FS270" ca="1" si="8751">FS272-(COLUMN()/10000)</f>
        <v>-1.7500000000000002E-2</v>
      </c>
      <c r="FT270" s="25"/>
      <c r="FU270" s="25"/>
      <c r="FV270" s="25">
        <f t="shared" ref="FV270" ca="1" si="8752">FV272-(COLUMN()/10000)</f>
        <v>-1.78E-2</v>
      </c>
      <c r="FW270" s="25"/>
      <c r="FX270" s="25"/>
      <c r="FY270" s="25">
        <f t="shared" ref="FY270" ca="1" si="8753">FY272-(COLUMN()/10000)</f>
        <v>-1.8100000000000002E-2</v>
      </c>
      <c r="FZ270" s="25"/>
      <c r="GA270" s="25"/>
      <c r="GB270" s="783">
        <f ca="1">GB272-(COLUMN()/10000)</f>
        <v>-1.84E-2</v>
      </c>
      <c r="GC270" s="25"/>
      <c r="GD270" s="25"/>
      <c r="GE270" s="25">
        <f t="shared" ref="GE270" ca="1" si="8754">GE272-(COLUMN()/10000)</f>
        <v>-1.8700000000000001E-2</v>
      </c>
      <c r="GF270" s="25"/>
      <c r="GG270" s="25"/>
      <c r="GH270" s="25">
        <f t="shared" ref="GH270" ca="1" si="8755">GH272-(COLUMN()/10000)</f>
        <v>-1.9E-2</v>
      </c>
      <c r="GI270" s="25"/>
      <c r="GJ270" s="25"/>
      <c r="GK270" s="25">
        <f t="shared" ref="GK270" ca="1" si="8756">GK272-(COLUMN()/10000)</f>
        <v>-1.9300000000000001E-2</v>
      </c>
      <c r="GL270" s="25"/>
      <c r="GM270" s="25"/>
      <c r="GN270" s="25">
        <f t="shared" ref="GN270" ca="1" si="8757">GN272-(COLUMN()/10000)</f>
        <v>-1.9599999999999999E-2</v>
      </c>
      <c r="GO270" s="25"/>
      <c r="GP270" s="25"/>
      <c r="GQ270" s="783">
        <f ca="1">GQ272-(COLUMN()/10000)</f>
        <v>-1.9900000000000001E-2</v>
      </c>
      <c r="GR270" s="25"/>
      <c r="GS270" s="25"/>
      <c r="GT270" s="25">
        <f t="shared" ref="GT270" ca="1" si="8758">GT272-(COLUMN()/10000)</f>
        <v>-2.0199999999999999E-2</v>
      </c>
      <c r="GU270" s="25"/>
      <c r="GV270" s="25"/>
      <c r="GW270" s="450">
        <f t="shared" ref="GW270" ca="1" si="8759">GW272-(COLUMN()/10000)</f>
        <v>-2.0500000000000001E-2</v>
      </c>
      <c r="GX270" s="450"/>
      <c r="GY270" s="450"/>
      <c r="GZ270" s="450">
        <f t="shared" ref="GZ270" ca="1" si="8760">GZ272-(COLUMN()/10000)</f>
        <v>-2.0799999999999999E-2</v>
      </c>
      <c r="HA270" s="450"/>
      <c r="HB270" s="450"/>
      <c r="HC270" s="450">
        <f t="shared" ref="HC270" ca="1" si="8761">HC272-(COLUMN()/10000)</f>
        <v>-2.1100000000000001E-2</v>
      </c>
      <c r="HD270" s="450"/>
      <c r="HE270" s="450"/>
      <c r="HF270" s="450">
        <f ca="1">HF272-(COLUMN()/10000)</f>
        <v>-2.1399999999999999E-2</v>
      </c>
      <c r="HG270" s="450"/>
      <c r="HH270" s="450"/>
      <c r="HI270" s="450">
        <f t="shared" ref="HI270" ca="1" si="8762">HI272-(COLUMN()/10000)</f>
        <v>-2.1700000000000001E-2</v>
      </c>
      <c r="HJ270" s="25"/>
      <c r="HK270" s="25"/>
      <c r="HL270" s="25">
        <f t="shared" ref="HL270" ca="1" si="8763">HL272-(COLUMN()/10000)</f>
        <v>-2.1999999999999999E-2</v>
      </c>
      <c r="HM270" s="25"/>
      <c r="HN270" s="25"/>
      <c r="HO270" s="25">
        <f t="shared" ref="HO270" ca="1" si="8764">HO272-(COLUMN()/10000)</f>
        <v>-2.23E-2</v>
      </c>
      <c r="HP270" s="25"/>
      <c r="HQ270" s="25"/>
      <c r="HR270" s="25">
        <f t="shared" ref="HR270" ca="1" si="8765">HR272-(COLUMN()/10000)</f>
        <v>-2.2599999999999999E-2</v>
      </c>
      <c r="HS270" s="25"/>
      <c r="HT270" s="25"/>
      <c r="HU270" s="783">
        <f ca="1">HU272-(COLUMN()/10000)</f>
        <v>-2.29E-2</v>
      </c>
      <c r="HV270" s="25"/>
      <c r="HW270" s="25"/>
      <c r="HX270" s="25">
        <f t="shared" ref="HX270" ca="1" si="8766">HX272-(COLUMN()/10000)</f>
        <v>-2.3199999999999998E-2</v>
      </c>
      <c r="HY270" s="25"/>
      <c r="HZ270" s="25"/>
      <c r="IA270" s="25">
        <f t="shared" ref="IA270" ca="1" si="8767">IA272-(COLUMN()/10000)</f>
        <v>-2.35E-2</v>
      </c>
      <c r="IB270" s="25"/>
      <c r="IC270" s="25"/>
      <c r="ID270" s="25">
        <f t="shared" ref="ID270" ca="1" si="8768">ID272-(COLUMN()/10000)</f>
        <v>-2.3800000000000002E-2</v>
      </c>
      <c r="IE270" s="25"/>
      <c r="IF270" s="25"/>
      <c r="IG270" s="25">
        <f t="shared" ref="IG270" ca="1" si="8769">IG272-(COLUMN()/10000)</f>
        <v>-2.41E-2</v>
      </c>
      <c r="IH270" s="25"/>
      <c r="II270" s="25"/>
      <c r="IJ270" s="783">
        <f ca="1">IJ272-(COLUMN()/10000)</f>
        <v>-2.4400000000000002E-2</v>
      </c>
      <c r="IK270" s="25"/>
      <c r="IL270" s="25"/>
      <c r="IM270" s="25">
        <f t="shared" ref="IM270" ca="1" si="8770">IM272-(COLUMN()/10000)</f>
        <v>-2.47E-2</v>
      </c>
      <c r="IN270" s="25"/>
      <c r="IO270" s="25"/>
      <c r="IP270" s="25">
        <f t="shared" ref="IP270" ca="1" si="8771">IP272-(COLUMN()/10000)</f>
        <v>-2.5000000000000001E-2</v>
      </c>
      <c r="IQ270" s="25"/>
      <c r="IR270" s="25"/>
      <c r="IS270" s="25">
        <f t="shared" ref="IS270" ca="1" si="8772">IS272-(COLUMN()/10000)</f>
        <v>-2.53E-2</v>
      </c>
      <c r="IT270" s="25"/>
      <c r="IU270" s="25"/>
      <c r="IV270" s="25">
        <f t="shared" ref="IV270" ca="1" si="8773">IV272-(COLUMN()/10000)</f>
        <v>-2.5600000000000001E-2</v>
      </c>
      <c r="IW270" s="25"/>
      <c r="IX270" s="25"/>
      <c r="IY270" s="783">
        <f ca="1">IY272-(COLUMN()/10000)</f>
        <v>-2.5899999999999999E-2</v>
      </c>
      <c r="IZ270" s="25"/>
      <c r="JA270" s="25"/>
      <c r="JB270" s="25">
        <f t="shared" ref="JB270" ca="1" si="8774">JB272-(COLUMN()/10000)</f>
        <v>-2.6200000000000001E-2</v>
      </c>
      <c r="JC270" s="25"/>
      <c r="JD270" s="25"/>
      <c r="JE270" s="25">
        <f t="shared" ref="JE270" ca="1" si="8775">JE272-(COLUMN()/10000)</f>
        <v>-2.6499999999999999E-2</v>
      </c>
      <c r="JF270" s="25"/>
      <c r="JG270" s="25"/>
      <c r="JH270" s="25">
        <f t="shared" ref="JH270" ca="1" si="8776">JH272-(COLUMN()/10000)</f>
        <v>-2.6800000000000001E-2</v>
      </c>
      <c r="JI270" s="25"/>
      <c r="JJ270" s="25"/>
      <c r="JK270" s="25">
        <f t="shared" ref="JK270" ca="1" si="8777">JK272-(COLUMN()/10000)</f>
        <v>-2.7099999999999999E-2</v>
      </c>
      <c r="JL270" s="25"/>
      <c r="JM270" s="25"/>
      <c r="JN270" s="783">
        <f ca="1">JN272-(COLUMN()/10000)</f>
        <v>-2.7400000000000001E-2</v>
      </c>
      <c r="JO270" s="25"/>
      <c r="JP270" s="25"/>
      <c r="JQ270" s="25">
        <f t="shared" ref="JQ270" ca="1" si="8778">JQ272-(COLUMN()/10000)</f>
        <v>-2.7699999999999999E-2</v>
      </c>
      <c r="JR270" s="25"/>
      <c r="JS270" s="25"/>
      <c r="JT270" s="25">
        <f t="shared" ref="JT270" ca="1" si="8779">JT272-(COLUMN()/10000)</f>
        <v>-2.8000000000000001E-2</v>
      </c>
      <c r="JU270" s="25"/>
      <c r="JV270" s="25"/>
      <c r="JW270" s="25">
        <f t="shared" ref="JW270" ca="1" si="8780">JW272-(COLUMN()/10000)</f>
        <v>-2.8299999999999999E-2</v>
      </c>
      <c r="JX270" s="25"/>
      <c r="JY270" s="25"/>
      <c r="JZ270" s="25">
        <f t="shared" ref="JZ270" ca="1" si="8781">JZ272-(COLUMN()/10000)</f>
        <v>-2.86E-2</v>
      </c>
      <c r="KA270" s="25"/>
      <c r="KB270" s="25"/>
      <c r="KC270" s="783">
        <f ca="1">KC272-(COLUMN()/10000)</f>
        <v>-2.8899999999999999E-2</v>
      </c>
      <c r="KD270" s="25"/>
      <c r="KE270" s="25"/>
      <c r="KF270" s="25">
        <f t="shared" ref="KF270" ca="1" si="8782">KF272-(COLUMN()/10000)</f>
        <v>-2.92E-2</v>
      </c>
      <c r="KG270" s="25"/>
      <c r="KH270" s="25"/>
      <c r="KI270" s="25">
        <f t="shared" ref="KI270" ca="1" si="8783">KI272-(COLUMN()/10000)</f>
        <v>-2.9499999999999998E-2</v>
      </c>
      <c r="KJ270" s="25"/>
      <c r="KK270" s="25"/>
      <c r="KL270" s="25">
        <f t="shared" ref="KL270" ca="1" si="8784">KL272-(COLUMN()/10000)</f>
        <v>-2.98E-2</v>
      </c>
      <c r="KM270" s="25"/>
      <c r="KN270" s="25"/>
      <c r="KO270" s="25">
        <f t="shared" ref="KO270" ca="1" si="8785">KO272-(COLUMN()/10000)</f>
        <v>-3.0099999999999998E-2</v>
      </c>
      <c r="KP270" s="25"/>
      <c r="KQ270" s="25"/>
      <c r="KR270" s="783">
        <f ca="1">KR272-(COLUMN()/10000)</f>
        <v>-3.04E-2</v>
      </c>
      <c r="KS270" s="25"/>
      <c r="KT270" s="25"/>
      <c r="KU270" s="25">
        <f t="shared" ref="KU270" ca="1" si="8786">KU272-(COLUMN()/10000)</f>
        <v>-3.0700000000000002E-2</v>
      </c>
      <c r="KV270" s="25"/>
      <c r="KW270" s="25"/>
      <c r="KX270" s="25">
        <f t="shared" ref="KX270" ca="1" si="8787">KX272-(COLUMN()/10000)</f>
        <v>-3.1E-2</v>
      </c>
      <c r="KY270" s="25"/>
      <c r="KZ270" s="25"/>
      <c r="LA270" s="25">
        <f t="shared" ref="LA270" ca="1" si="8788">LA272-(COLUMN()/10000)</f>
        <v>-3.1300000000000001E-2</v>
      </c>
      <c r="LB270" s="25"/>
      <c r="LC270" s="25"/>
      <c r="LD270" s="25">
        <f t="shared" ref="LD270" ca="1" si="8789">LD272-(COLUMN()/10000)</f>
        <v>-3.1600000000000003E-2</v>
      </c>
      <c r="LE270" s="25"/>
      <c r="LF270" s="25"/>
    </row>
    <row r="271" spans="1:465" s="783" customFormat="1">
      <c r="A271" s="17"/>
      <c r="B271" s="17"/>
      <c r="C271" s="17"/>
      <c r="D271" s="17"/>
      <c r="E271" s="88"/>
      <c r="F271" s="720"/>
      <c r="G271" s="720"/>
      <c r="H271" s="720"/>
      <c r="I271" s="17"/>
      <c r="J271" s="25"/>
      <c r="K271" s="720"/>
      <c r="L271" s="720"/>
      <c r="M271" s="25" t="s">
        <v>1708</v>
      </c>
      <c r="N271" s="25"/>
      <c r="O271" s="25"/>
      <c r="P271" s="25"/>
      <c r="Q271" s="25"/>
      <c r="R271" s="25"/>
      <c r="S271" s="25">
        <f ca="1">RANK(S272,OFFSET($S$272,0,0,1,$D$5*3),0)</f>
        <v>1</v>
      </c>
      <c r="T271" s="25"/>
      <c r="U271" s="25"/>
      <c r="V271" s="25">
        <f ca="1">RANK(V272,OFFSET($S$272,0,0,1,$D$5*3),0)</f>
        <v>1</v>
      </c>
      <c r="W271" s="25"/>
      <c r="X271" s="25"/>
      <c r="Y271" s="25">
        <f ca="1">RANK(Y272,OFFSET($S$272,0,0,1,$D$5*3),0)</f>
        <v>1</v>
      </c>
      <c r="Z271" s="25"/>
      <c r="AA271" s="25"/>
      <c r="AB271" s="25">
        <f ca="1">RANK(AB272,OFFSET($S$272,0,0,1,$D$5*3),0)</f>
        <v>1</v>
      </c>
      <c r="AC271" s="25"/>
      <c r="AD271" s="25"/>
      <c r="AE271" s="25">
        <f ca="1">RANK(AE272,OFFSET($S$272,0,0,1,$D$5*3),0)</f>
        <v>1</v>
      </c>
      <c r="AF271" s="25"/>
      <c r="AG271" s="25"/>
      <c r="AH271" s="783">
        <f ca="1">RANK(AH272,OFFSET($S$272,0,0,1,$D$5*3),0)</f>
        <v>1</v>
      </c>
      <c r="AI271" s="25"/>
      <c r="AJ271" s="25"/>
      <c r="AK271" s="25">
        <f ca="1">RANK(AK272,OFFSET($S$272,0,0,1,$D$5*3),0)</f>
        <v>1</v>
      </c>
      <c r="AL271" s="25"/>
      <c r="AM271" s="25"/>
      <c r="AN271" s="25">
        <f ca="1">RANK(AN272,OFFSET($S$272,0,0,1,$D$5*3),0)</f>
        <v>1</v>
      </c>
      <c r="AO271" s="25"/>
      <c r="AP271" s="25"/>
      <c r="AQ271" s="25">
        <f ca="1">RANK(AQ272,OFFSET($S$272,0,0,1,$D$5*3),0)</f>
        <v>1</v>
      </c>
      <c r="AR271" s="25"/>
      <c r="AS271" s="25"/>
      <c r="AT271" s="25">
        <f ca="1">RANK(AT272,OFFSET($S$272,0,0,1,$D$5*3),0)</f>
        <v>1</v>
      </c>
      <c r="AU271" s="25"/>
      <c r="AV271" s="25"/>
      <c r="AW271" s="783">
        <f ca="1">RANK(AW272,OFFSET($S$272,0,0,1,$D$5*3),0)</f>
        <v>1</v>
      </c>
      <c r="AX271" s="25"/>
      <c r="AY271" s="25"/>
      <c r="AZ271" s="25">
        <f ca="1">RANK(AZ272,OFFSET($S$272,0,0,1,$D$5*3),0)</f>
        <v>1</v>
      </c>
      <c r="BA271" s="25"/>
      <c r="BB271" s="25"/>
      <c r="BC271" s="25">
        <f ca="1">RANK(BC272,OFFSET($S$272,0,0,1,$D$5*3),0)</f>
        <v>1</v>
      </c>
      <c r="BD271" s="25"/>
      <c r="BE271" s="25"/>
      <c r="BF271" s="25">
        <f ca="1">RANK(BF272,OFFSET($S$272,0,0,1,$D$5*3),0)</f>
        <v>1</v>
      </c>
      <c r="BG271" s="25"/>
      <c r="BH271" s="25"/>
      <c r="BI271" s="25">
        <f ca="1">RANK(BI272,OFFSET($S$272,0,0,1,$D$5*3),0)</f>
        <v>1</v>
      </c>
      <c r="BJ271" s="25"/>
      <c r="BK271" s="25"/>
      <c r="BL271" s="783">
        <f ca="1">RANK(BL272,OFFSET($S$272,0,0,1,$D$5*3),0)</f>
        <v>1</v>
      </c>
      <c r="BM271" s="25"/>
      <c r="BN271" s="25"/>
      <c r="BO271" s="25">
        <f ca="1">RANK(BO272,OFFSET($S$272,0,0,1,$D$5*3),0)</f>
        <v>1</v>
      </c>
      <c r="BP271" s="25"/>
      <c r="BQ271" s="25"/>
      <c r="BR271" s="25">
        <f ca="1">RANK(BR272,OFFSET($S$272,0,0,1,$D$5*3),0)</f>
        <v>1</v>
      </c>
      <c r="BS271" s="25"/>
      <c r="BT271" s="25"/>
      <c r="BU271" s="25">
        <f ca="1">RANK(BU272,OFFSET($S$272,0,0,1,$D$5*3),0)</f>
        <v>1</v>
      </c>
      <c r="BV271" s="25"/>
      <c r="BW271" s="25"/>
      <c r="BX271" s="25">
        <f ca="1">RANK(BX272,OFFSET($S$272,0,0,1,$D$5*3),0)</f>
        <v>1</v>
      </c>
      <c r="BY271" s="25"/>
      <c r="BZ271" s="25"/>
      <c r="CA271" s="783">
        <f ca="1">RANK(CA272,OFFSET($S$272,0,0,1,$D$5*3),0)</f>
        <v>1</v>
      </c>
      <c r="CB271" s="25"/>
      <c r="CC271" s="25"/>
      <c r="CD271" s="25">
        <f ca="1">RANK(CD272,OFFSET($S$272,0,0,1,$D$5*3),0)</f>
        <v>1</v>
      </c>
      <c r="CE271" s="25"/>
      <c r="CF271" s="25"/>
      <c r="CG271" s="25">
        <f ca="1">RANK(CG272,OFFSET($S$272,0,0,1,$D$5*3),0)</f>
        <v>1</v>
      </c>
      <c r="CH271" s="25"/>
      <c r="CI271" s="25"/>
      <c r="CJ271" s="25">
        <f ca="1">RANK(CJ272,OFFSET($S$272,0,0,1,$D$5*3),0)</f>
        <v>1</v>
      </c>
      <c r="CK271" s="25"/>
      <c r="CL271" s="25"/>
      <c r="CM271" s="25">
        <f ca="1">RANK(CM272,OFFSET($S$272,0,0,1,$D$5*3),0)</f>
        <v>1</v>
      </c>
      <c r="CN271" s="25"/>
      <c r="CO271" s="25"/>
      <c r="CP271" s="783">
        <f ca="1">RANK(CP272,OFFSET($S$272,0,0,1,$D$5*3),0)</f>
        <v>1</v>
      </c>
      <c r="CQ271" s="25"/>
      <c r="CR271" s="25"/>
      <c r="CS271" s="25">
        <f ca="1">RANK(CS272,OFFSET($S$272,0,0,1,$D$5*3),0)</f>
        <v>1</v>
      </c>
      <c r="CT271" s="25"/>
      <c r="CU271" s="25"/>
      <c r="CV271" s="25">
        <f ca="1">RANK(CV272,OFFSET($S$272,0,0,1,$D$5*3),0)</f>
        <v>1</v>
      </c>
      <c r="CW271" s="25"/>
      <c r="CX271" s="25"/>
      <c r="CY271" s="25">
        <f ca="1">RANK(CY272,OFFSET($S$272,0,0,1,$D$5*3),0)</f>
        <v>1</v>
      </c>
      <c r="CZ271" s="25"/>
      <c r="DA271" s="25"/>
      <c r="DB271" s="25">
        <f ca="1">RANK(DB272,OFFSET($S$272,0,0,1,$D$5*3),0)</f>
        <v>1</v>
      </c>
      <c r="DC271" s="25"/>
      <c r="DD271" s="25"/>
      <c r="DE271" s="783">
        <f ca="1">RANK(DE272,OFFSET($S$272,0,0,1,$D$5*3),0)</f>
        <v>1</v>
      </c>
      <c r="DF271" s="25"/>
      <c r="DG271" s="25"/>
      <c r="DH271" s="25">
        <f ca="1">RANK(DH272,OFFSET($S$272,0,0,1,$D$5*3),0)</f>
        <v>1</v>
      </c>
      <c r="DI271" s="25"/>
      <c r="DJ271" s="25"/>
      <c r="DK271" s="25">
        <f ca="1">RANK(DK272,OFFSET($S$272,0,0,1,$D$5*3),0)</f>
        <v>1</v>
      </c>
      <c r="DL271" s="25"/>
      <c r="DM271" s="25"/>
      <c r="DN271" s="25">
        <f ca="1">RANK(DN272,OFFSET($S$272,0,0,1,$D$5*3),0)</f>
        <v>1</v>
      </c>
      <c r="DO271" s="25"/>
      <c r="DP271" s="25"/>
      <c r="DQ271" s="25">
        <f ca="1">RANK(DQ272,OFFSET($S$272,0,0,1,$D$5*3),0)</f>
        <v>1</v>
      </c>
      <c r="DR271" s="25"/>
      <c r="DS271" s="25"/>
      <c r="DT271" s="783">
        <f ca="1">RANK(DT272,OFFSET($S$272,0,0,1,$D$5*3),0)</f>
        <v>1</v>
      </c>
      <c r="DU271" s="25"/>
      <c r="DV271" s="25"/>
      <c r="DW271" s="25">
        <f ca="1">RANK(DW272,OFFSET($S$272,0,0,1,$D$5*3),0)</f>
        <v>1</v>
      </c>
      <c r="DX271" s="25"/>
      <c r="DY271" s="25"/>
      <c r="DZ271" s="25">
        <f ca="1">RANK(DZ272,OFFSET($S$272,0,0,1,$D$5*3),0)</f>
        <v>1</v>
      </c>
      <c r="EA271" s="25"/>
      <c r="EB271" s="25"/>
      <c r="EC271" s="25">
        <f ca="1">RANK(EC272,OFFSET($S$272,0,0,1,$D$5*3),0)</f>
        <v>1</v>
      </c>
      <c r="ED271" s="25"/>
      <c r="EE271" s="25"/>
      <c r="EF271" s="25">
        <f ca="1">RANK(EF272,OFFSET($S$272,0,0,1,$D$5*3),0)</f>
        <v>1</v>
      </c>
      <c r="EG271" s="25"/>
      <c r="EH271" s="25"/>
      <c r="EI271" s="783">
        <f ca="1">RANK(EI272,OFFSET($S$272,0,0,1,$D$5*3),0)</f>
        <v>1</v>
      </c>
      <c r="EJ271" s="25"/>
      <c r="EK271" s="25"/>
      <c r="EL271" s="25">
        <f ca="1">RANK(EL272,OFFSET($S$272,0,0,1,$D$5*3),0)</f>
        <v>1</v>
      </c>
      <c r="EM271" s="25"/>
      <c r="EN271" s="25"/>
      <c r="EO271" s="25">
        <f ca="1">RANK(EO272,OFFSET($S$272,0,0,1,$D$5*3),0)</f>
        <v>1</v>
      </c>
      <c r="EP271" s="25"/>
      <c r="EQ271" s="25"/>
      <c r="ER271" s="25">
        <f ca="1">RANK(ER272,OFFSET($S$272,0,0,1,$D$5*3),0)</f>
        <v>1</v>
      </c>
      <c r="ES271" s="25"/>
      <c r="ET271" s="25"/>
      <c r="EU271" s="25">
        <f ca="1">RANK(EU272,OFFSET($S$272,0,0,1,$D$5*3),0)</f>
        <v>1</v>
      </c>
      <c r="EV271" s="25"/>
      <c r="EW271" s="25"/>
      <c r="EX271" s="783">
        <f ca="1">RANK(EX272,OFFSET($S$272,0,0,1,$D$5*3),0)</f>
        <v>1</v>
      </c>
      <c r="EY271" s="25"/>
      <c r="EZ271" s="25"/>
      <c r="FA271" s="25">
        <f ca="1">RANK(FA272,OFFSET($S$272,0,0,1,$D$5*3),0)</f>
        <v>1</v>
      </c>
      <c r="FB271" s="25"/>
      <c r="FC271" s="25"/>
      <c r="FD271" s="25">
        <f ca="1">RANK(FD272,OFFSET($S$272,0,0,1,$D$5*3),0)</f>
        <v>1</v>
      </c>
      <c r="FE271" s="25"/>
      <c r="FF271" s="25"/>
      <c r="FG271" s="25">
        <f ca="1">RANK(FG272,OFFSET($S$272,0,0,1,$D$5*3),0)</f>
        <v>1</v>
      </c>
      <c r="FH271" s="25"/>
      <c r="FI271" s="25"/>
      <c r="FJ271" s="25">
        <f ca="1">RANK(FJ272,OFFSET($S$272,0,0,1,$D$5*3),0)</f>
        <v>1</v>
      </c>
      <c r="FK271" s="25"/>
      <c r="FL271" s="25"/>
      <c r="FM271" s="783">
        <f ca="1">RANK(FM272,OFFSET($S$272,0,0,1,$D$5*3),0)</f>
        <v>1</v>
      </c>
      <c r="FN271" s="25"/>
      <c r="FO271" s="25"/>
      <c r="FP271" s="25">
        <f ca="1">RANK(FP272,OFFSET($S$272,0,0,1,$D$5*3),0)</f>
        <v>1</v>
      </c>
      <c r="FQ271" s="25"/>
      <c r="FR271" s="25"/>
      <c r="FS271" s="25">
        <f ca="1">RANK(FS272,OFFSET($S$272,0,0,1,$D$5*3),0)</f>
        <v>1</v>
      </c>
      <c r="FT271" s="25"/>
      <c r="FU271" s="25"/>
      <c r="FV271" s="25">
        <f ca="1">RANK(FV272,OFFSET($S$272,0,0,1,$D$5*3),0)</f>
        <v>1</v>
      </c>
      <c r="FW271" s="25"/>
      <c r="FX271" s="25"/>
      <c r="FY271" s="25">
        <f ca="1">RANK(FY272,OFFSET($S$272,0,0,1,$D$5*3),0)</f>
        <v>1</v>
      </c>
      <c r="FZ271" s="25"/>
      <c r="GA271" s="25"/>
      <c r="GB271" s="783">
        <f ca="1">RANK(GB272,OFFSET($S$272,0,0,1,$D$5*3),0)</f>
        <v>1</v>
      </c>
      <c r="GC271" s="25"/>
      <c r="GD271" s="25"/>
      <c r="GE271" s="25">
        <f ca="1">RANK(GE272,OFFSET($S$272,0,0,1,$D$5*3),0)</f>
        <v>1</v>
      </c>
      <c r="GF271" s="25"/>
      <c r="GG271" s="25"/>
      <c r="GH271" s="25">
        <f ca="1">RANK(GH272,OFFSET($S$272,0,0,1,$D$5*3),0)</f>
        <v>1</v>
      </c>
      <c r="GI271" s="25"/>
      <c r="GJ271" s="25"/>
      <c r="GK271" s="25">
        <f ca="1">RANK(GK272,OFFSET($S$272,0,0,1,$D$5*3),0)</f>
        <v>1</v>
      </c>
      <c r="GL271" s="25"/>
      <c r="GM271" s="25"/>
      <c r="GN271" s="25">
        <f ca="1">RANK(GN272,OFFSET($S$272,0,0,1,$D$5*3),0)</f>
        <v>1</v>
      </c>
      <c r="GO271" s="25"/>
      <c r="GP271" s="25"/>
      <c r="GQ271" s="783">
        <f ca="1">RANK(GQ272,OFFSET($S$272,0,0,1,$D$5*3),0)</f>
        <v>1</v>
      </c>
      <c r="GR271" s="25"/>
      <c r="GS271" s="25"/>
      <c r="GT271" s="25">
        <f ca="1">RANK(GT272,OFFSET($S$272,0,0,1,$D$5*3),0)</f>
        <v>1</v>
      </c>
      <c r="GU271" s="25"/>
      <c r="GV271" s="25"/>
      <c r="GW271" s="450">
        <f ca="1">RANK(GW272,OFFSET($S$272,0,0,1,$D$5*3),0)</f>
        <v>1</v>
      </c>
      <c r="GX271" s="450"/>
      <c r="GY271" s="450"/>
      <c r="GZ271" s="450">
        <f ca="1">RANK(GZ272,OFFSET($S$272,0,0,1,$D$5*3),0)</f>
        <v>1</v>
      </c>
      <c r="HA271" s="450"/>
      <c r="HB271" s="450"/>
      <c r="HC271" s="450">
        <f ca="1">RANK(HC272,OFFSET($S$272,0,0,1,$D$5*3),0)</f>
        <v>1</v>
      </c>
      <c r="HD271" s="450"/>
      <c r="HE271" s="450"/>
      <c r="HF271" s="450">
        <f ca="1">RANK(HF272,OFFSET($S$272,0,0,1,$D$5*3),0)</f>
        <v>1</v>
      </c>
      <c r="HG271" s="450"/>
      <c r="HH271" s="450"/>
      <c r="HI271" s="450">
        <f ca="1">RANK(HI272,OFFSET($S$272,0,0,1,$D$5*3),0)</f>
        <v>1</v>
      </c>
      <c r="HJ271" s="25"/>
      <c r="HK271" s="25"/>
      <c r="HL271" s="25">
        <f ca="1">RANK(HL272,OFFSET($S$272,0,0,1,$D$5*3),0)</f>
        <v>1</v>
      </c>
      <c r="HM271" s="25"/>
      <c r="HN271" s="25"/>
      <c r="HO271" s="25">
        <f ca="1">RANK(HO272,OFFSET($S$272,0,0,1,$D$5*3),0)</f>
        <v>1</v>
      </c>
      <c r="HP271" s="25"/>
      <c r="HQ271" s="25"/>
      <c r="HR271" s="25">
        <f ca="1">RANK(HR272,OFFSET($S$272,0,0,1,$D$5*3),0)</f>
        <v>1</v>
      </c>
      <c r="HS271" s="25"/>
      <c r="HT271" s="25"/>
      <c r="HU271" s="783">
        <f ca="1">RANK(HU272,OFFSET($S$272,0,0,1,$D$5*3),0)</f>
        <v>1</v>
      </c>
      <c r="HV271" s="25"/>
      <c r="HW271" s="25"/>
      <c r="HX271" s="25">
        <f ca="1">RANK(HX272,OFFSET($S$272,0,0,1,$D$5*3),0)</f>
        <v>1</v>
      </c>
      <c r="HY271" s="25"/>
      <c r="HZ271" s="25"/>
      <c r="IA271" s="25">
        <f ca="1">RANK(IA272,OFFSET($S$272,0,0,1,$D$5*3),0)</f>
        <v>1</v>
      </c>
      <c r="IB271" s="25"/>
      <c r="IC271" s="25"/>
      <c r="ID271" s="25">
        <f ca="1">RANK(ID272,OFFSET($S$272,0,0,1,$D$5*3),0)</f>
        <v>1</v>
      </c>
      <c r="IE271" s="25"/>
      <c r="IF271" s="25"/>
      <c r="IG271" s="25">
        <f ca="1">RANK(IG272,OFFSET($S$272,0,0,1,$D$5*3),0)</f>
        <v>1</v>
      </c>
      <c r="IH271" s="25"/>
      <c r="II271" s="25"/>
      <c r="IJ271" s="783">
        <f ca="1">RANK(IJ272,OFFSET($S$272,0,0,1,$D$5*3),0)</f>
        <v>1</v>
      </c>
      <c r="IK271" s="25"/>
      <c r="IL271" s="25"/>
      <c r="IM271" s="25">
        <f ca="1">RANK(IM272,OFFSET($S$272,0,0,1,$D$5*3),0)</f>
        <v>1</v>
      </c>
      <c r="IN271" s="25"/>
      <c r="IO271" s="25"/>
      <c r="IP271" s="25">
        <f ca="1">RANK(IP272,OFFSET($S$272,0,0,1,$D$5*3),0)</f>
        <v>1</v>
      </c>
      <c r="IQ271" s="25"/>
      <c r="IR271" s="25"/>
      <c r="IS271" s="25">
        <f ca="1">RANK(IS272,OFFSET($S$272,0,0,1,$D$5*3),0)</f>
        <v>1</v>
      </c>
      <c r="IT271" s="25"/>
      <c r="IU271" s="25"/>
      <c r="IV271" s="25">
        <f ca="1">RANK(IV272,OFFSET($S$272,0,0,1,$D$5*3),0)</f>
        <v>1</v>
      </c>
      <c r="IW271" s="25"/>
      <c r="IX271" s="25"/>
      <c r="IY271" s="783">
        <f ca="1">RANK(IY272,OFFSET($S$272,0,0,1,$D$5*3),0)</f>
        <v>1</v>
      </c>
      <c r="IZ271" s="25"/>
      <c r="JA271" s="25"/>
      <c r="JB271" s="25">
        <f ca="1">RANK(JB272,OFFSET($S$272,0,0,1,$D$5*3),0)</f>
        <v>1</v>
      </c>
      <c r="JC271" s="25"/>
      <c r="JD271" s="25"/>
      <c r="JE271" s="25">
        <f ca="1">RANK(JE272,OFFSET($S$272,0,0,1,$D$5*3),0)</f>
        <v>1</v>
      </c>
      <c r="JF271" s="25"/>
      <c r="JG271" s="25"/>
      <c r="JH271" s="25">
        <f ca="1">RANK(JH272,OFFSET($S$272,0,0,1,$D$5*3),0)</f>
        <v>1</v>
      </c>
      <c r="JI271" s="25"/>
      <c r="JJ271" s="25"/>
      <c r="JK271" s="25">
        <f ca="1">RANK(JK272,OFFSET($S$272,0,0,1,$D$5*3),0)</f>
        <v>1</v>
      </c>
      <c r="JL271" s="25"/>
      <c r="JM271" s="25"/>
      <c r="JN271" s="783">
        <f ca="1">RANK(JN272,OFFSET($S$272,0,0,1,$D$5*3),0)</f>
        <v>1</v>
      </c>
      <c r="JO271" s="25"/>
      <c r="JP271" s="25"/>
      <c r="JQ271" s="25">
        <f ca="1">RANK(JQ272,OFFSET($S$272,0,0,1,$D$5*3),0)</f>
        <v>1</v>
      </c>
      <c r="JR271" s="25"/>
      <c r="JS271" s="25"/>
      <c r="JT271" s="25">
        <f ca="1">RANK(JT272,OFFSET($S$272,0,0,1,$D$5*3),0)</f>
        <v>1</v>
      </c>
      <c r="JU271" s="25"/>
      <c r="JV271" s="25"/>
      <c r="JW271" s="25">
        <f ca="1">RANK(JW272,OFFSET($S$272,0,0,1,$D$5*3),0)</f>
        <v>1</v>
      </c>
      <c r="JX271" s="25"/>
      <c r="JY271" s="25"/>
      <c r="JZ271" s="25">
        <f ca="1">RANK(JZ272,OFFSET($S$272,0,0,1,$D$5*3),0)</f>
        <v>1</v>
      </c>
      <c r="KA271" s="25"/>
      <c r="KB271" s="25"/>
      <c r="KC271" s="783">
        <f ca="1">RANK(KC272,OFFSET($S$272,0,0,1,$D$5*3),0)</f>
        <v>1</v>
      </c>
      <c r="KD271" s="25"/>
      <c r="KE271" s="25"/>
      <c r="KF271" s="25">
        <f ca="1">RANK(KF272,OFFSET($S$272,0,0,1,$D$5*3),0)</f>
        <v>1</v>
      </c>
      <c r="KG271" s="25"/>
      <c r="KH271" s="25"/>
      <c r="KI271" s="25">
        <f ca="1">RANK(KI272,OFFSET($S$272,0,0,1,$D$5*3),0)</f>
        <v>1</v>
      </c>
      <c r="KJ271" s="25"/>
      <c r="KK271" s="25"/>
      <c r="KL271" s="25">
        <f ca="1">RANK(KL272,OFFSET($S$272,0,0,1,$D$5*3),0)</f>
        <v>1</v>
      </c>
      <c r="KM271" s="25"/>
      <c r="KN271" s="25"/>
      <c r="KO271" s="25">
        <f ca="1">RANK(KO272,OFFSET($S$272,0,0,1,$D$5*3),0)</f>
        <v>1</v>
      </c>
      <c r="KP271" s="25"/>
      <c r="KQ271" s="25"/>
      <c r="KR271" s="783">
        <f ca="1">RANK(KR272,OFFSET($S$272,0,0,1,$D$5*3),0)</f>
        <v>1</v>
      </c>
      <c r="KS271" s="25"/>
      <c r="KT271" s="25"/>
      <c r="KU271" s="25">
        <f ca="1">RANK(KU272,OFFSET($S$272,0,0,1,$D$5*3),0)</f>
        <v>1</v>
      </c>
      <c r="KV271" s="25"/>
      <c r="KW271" s="25"/>
      <c r="KX271" s="25">
        <f ca="1">RANK(KX272,OFFSET($S$272,0,0,1,$D$5*3),0)</f>
        <v>1</v>
      </c>
      <c r="KY271" s="25"/>
      <c r="KZ271" s="25"/>
      <c r="LA271" s="25">
        <f ca="1">RANK(LA272,OFFSET($S$272,0,0,1,$D$5*3),0)</f>
        <v>1</v>
      </c>
      <c r="LB271" s="25"/>
      <c r="LC271" s="25"/>
      <c r="LD271" s="25">
        <f ca="1">RANK(LD272,OFFSET($S$272,0,0,1,$D$5*3),0)</f>
        <v>1</v>
      </c>
      <c r="LE271" s="25"/>
      <c r="LF271" s="25"/>
    </row>
    <row r="272" spans="1:465" s="783" customFormat="1">
      <c r="A272" s="17"/>
      <c r="B272" s="17"/>
      <c r="C272" s="17"/>
      <c r="D272" s="17"/>
      <c r="E272" s="88"/>
      <c r="F272" s="720"/>
      <c r="G272" s="720"/>
      <c r="H272" s="720"/>
      <c r="I272" s="17"/>
      <c r="J272" s="17"/>
      <c r="K272" s="720"/>
      <c r="L272" s="720"/>
      <c r="M272" s="25" t="s">
        <v>614</v>
      </c>
      <c r="N272" s="25"/>
      <c r="O272" s="25"/>
      <c r="P272" s="25"/>
      <c r="Q272" s="25"/>
      <c r="R272" s="25"/>
      <c r="S272" s="25">
        <f ca="1">SUMIFS((T6:T259),$H$6:$H$259,$M$268)</f>
        <v>0</v>
      </c>
      <c r="T272" s="25"/>
      <c r="U272" s="25"/>
      <c r="V272" s="25">
        <f ca="1">SUMIFS((W6:W259),$H$6:$H$259,$M$268)</f>
        <v>0</v>
      </c>
      <c r="W272" s="25"/>
      <c r="X272" s="25"/>
      <c r="Y272" s="25">
        <f ca="1">SUMIFS((Z6:Z259),$H$6:$H$259,$M$268)</f>
        <v>0</v>
      </c>
      <c r="Z272" s="25"/>
      <c r="AA272" s="25"/>
      <c r="AB272" s="25">
        <f ca="1">SUMIFS((AC6:AC259),$H$6:$H$259,$M$268)</f>
        <v>0</v>
      </c>
      <c r="AC272" s="25"/>
      <c r="AD272" s="25"/>
      <c r="AE272" s="25">
        <f ca="1">SUMIFS((AF6:AF259),$H$6:$H$259,$M$268)</f>
        <v>0</v>
      </c>
      <c r="AF272" s="25"/>
      <c r="AG272" s="25"/>
      <c r="AH272" s="783">
        <f ca="1">SUMIFS((AI6:AI259),$H$6:$H$259,$M$268)</f>
        <v>0</v>
      </c>
      <c r="AI272" s="25"/>
      <c r="AJ272" s="25"/>
      <c r="AK272" s="25">
        <f ca="1">SUMIFS((AL6:AL259),$H$6:$H$259,$M$268)</f>
        <v>0</v>
      </c>
      <c r="AL272" s="25"/>
      <c r="AM272" s="25"/>
      <c r="AN272" s="25">
        <f ca="1">SUMIFS((AO6:AO259),$H$6:$H$259,$M$268)</f>
        <v>0</v>
      </c>
      <c r="AO272" s="25"/>
      <c r="AP272" s="25"/>
      <c r="AQ272" s="25">
        <f ca="1">SUMIFS((AR6:AR259),$H$6:$H$259,$M$268)</f>
        <v>0</v>
      </c>
      <c r="AR272" s="25"/>
      <c r="AS272" s="25"/>
      <c r="AT272" s="25">
        <f ca="1">SUMIFS((AU6:AU259),$H$6:$H$259,$M$268)</f>
        <v>0</v>
      </c>
      <c r="AU272" s="25"/>
      <c r="AV272" s="25"/>
      <c r="AW272" s="783">
        <f ca="1">SUMIFS((AX6:AX259),$H$6:$H$259,$M$268)</f>
        <v>0</v>
      </c>
      <c r="AX272" s="25"/>
      <c r="AY272" s="25"/>
      <c r="AZ272" s="25">
        <f ca="1">SUMIFS((BA6:BA259),$H$6:$H$259,$M$268)</f>
        <v>0</v>
      </c>
      <c r="BA272" s="25"/>
      <c r="BB272" s="25"/>
      <c r="BC272" s="25">
        <f ca="1">SUMIFS((BD6:BD259),$H$6:$H$259,$M$268)</f>
        <v>0</v>
      </c>
      <c r="BD272" s="25"/>
      <c r="BE272" s="25"/>
      <c r="BF272" s="25">
        <f ca="1">SUMIFS((BG6:BG259),$H$6:$H$259,$M$268)</f>
        <v>0</v>
      </c>
      <c r="BG272" s="25"/>
      <c r="BH272" s="25"/>
      <c r="BI272" s="25">
        <f ca="1">SUMIFS((BJ6:BJ259),$H$6:$H$259,$M$268)</f>
        <v>0</v>
      </c>
      <c r="BJ272" s="25"/>
      <c r="BK272" s="25"/>
      <c r="BL272" s="783">
        <f ca="1">SUMIFS((BM6:BM259),$H$6:$H$259,$M$268)</f>
        <v>0</v>
      </c>
      <c r="BM272" s="25"/>
      <c r="BN272" s="25"/>
      <c r="BO272" s="25">
        <f ca="1">SUMIFS((BP6:BP259),$H$6:$H$259,$M$268)</f>
        <v>0</v>
      </c>
      <c r="BP272" s="25"/>
      <c r="BQ272" s="25"/>
      <c r="BR272" s="25">
        <f ca="1">SUMIFS((BS6:BS259),$H$6:$H$259,$M$268)</f>
        <v>0</v>
      </c>
      <c r="BS272" s="25"/>
      <c r="BT272" s="25"/>
      <c r="BU272" s="25">
        <f ca="1">SUMIFS((BV6:BV259),$H$6:$H$259,$M$268)</f>
        <v>0</v>
      </c>
      <c r="BV272" s="25"/>
      <c r="BW272" s="25"/>
      <c r="BX272" s="25">
        <f ca="1">SUMIFS((BY6:BY259),$H$6:$H$259,$M$268)</f>
        <v>0</v>
      </c>
      <c r="BY272" s="25"/>
      <c r="BZ272" s="25"/>
      <c r="CA272" s="783">
        <f ca="1">SUMIFS((CB6:CB259),$H$6:$H$259,$M$268)</f>
        <v>0</v>
      </c>
      <c r="CB272" s="25"/>
      <c r="CC272" s="25"/>
      <c r="CD272" s="25">
        <f ca="1">SUMIFS((CE6:CE259),$H$6:$H$259,$M$268)</f>
        <v>0</v>
      </c>
      <c r="CE272" s="25"/>
      <c r="CF272" s="25"/>
      <c r="CG272" s="25">
        <f ca="1">SUMIFS((CH6:CH259),$H$6:$H$259,$M$268)</f>
        <v>0</v>
      </c>
      <c r="CH272" s="25"/>
      <c r="CI272" s="25"/>
      <c r="CJ272" s="25">
        <f ca="1">SUMIFS((CK6:CK259),$H$6:$H$259,$M$268)</f>
        <v>0</v>
      </c>
      <c r="CK272" s="25"/>
      <c r="CL272" s="25"/>
      <c r="CM272" s="25">
        <f ca="1">SUMIFS((CN6:CN259),$H$6:$H$259,$M$268)</f>
        <v>0</v>
      </c>
      <c r="CN272" s="25"/>
      <c r="CO272" s="25"/>
      <c r="CP272" s="783">
        <f ca="1">SUMIFS((CQ6:CQ259),$H$6:$H$259,$M$268)</f>
        <v>0</v>
      </c>
      <c r="CQ272" s="25"/>
      <c r="CR272" s="25"/>
      <c r="CS272" s="25">
        <f ca="1">SUMIFS((CT6:CT259),$H$6:$H$259,$M$268)</f>
        <v>0</v>
      </c>
      <c r="CT272" s="25"/>
      <c r="CU272" s="25"/>
      <c r="CV272" s="25">
        <f ca="1">SUMIFS((CW6:CW259),$H$6:$H$259,$M$268)</f>
        <v>0</v>
      </c>
      <c r="CW272" s="25"/>
      <c r="CX272" s="25"/>
      <c r="CY272" s="25">
        <f ca="1">SUMIFS((CZ6:CZ259),$H$6:$H$259,$M$268)</f>
        <v>0</v>
      </c>
      <c r="CZ272" s="25"/>
      <c r="DA272" s="25"/>
      <c r="DB272" s="25">
        <f ca="1">SUMIFS((DC6:DC259),$H$6:$H$259,$M$268)</f>
        <v>0</v>
      </c>
      <c r="DC272" s="25"/>
      <c r="DD272" s="25"/>
      <c r="DE272" s="783">
        <f ca="1">SUMIFS((DF6:DF259),$H$6:$H$259,$M$268)</f>
        <v>0</v>
      </c>
      <c r="DF272" s="25"/>
      <c r="DG272" s="25"/>
      <c r="DH272" s="25">
        <f ca="1">SUMIFS((DI6:DI259),$H$6:$H$259,$M$268)</f>
        <v>0</v>
      </c>
      <c r="DI272" s="25"/>
      <c r="DJ272" s="25"/>
      <c r="DK272" s="25">
        <f ca="1">SUMIFS((DL6:DL259),$H$6:$H$259,$M$268)</f>
        <v>0</v>
      </c>
      <c r="DL272" s="25"/>
      <c r="DM272" s="25"/>
      <c r="DN272" s="25">
        <f ca="1">SUMIFS((DO6:DO259),$H$6:$H$259,$M$268)</f>
        <v>0</v>
      </c>
      <c r="DO272" s="25"/>
      <c r="DP272" s="25"/>
      <c r="DQ272" s="25">
        <f ca="1">SUMIFS((DR6:DR259),$H$6:$H$259,$M$268)</f>
        <v>0</v>
      </c>
      <c r="DR272" s="25"/>
      <c r="DS272" s="25"/>
      <c r="DT272" s="783">
        <f ca="1">SUMIFS((DU6:DU259),$H$6:$H$259,$M$268)</f>
        <v>0</v>
      </c>
      <c r="DU272" s="25"/>
      <c r="DV272" s="25"/>
      <c r="DW272" s="25">
        <f ca="1">SUMIFS((DX6:DX259),$H$6:$H$259,$M$268)</f>
        <v>0</v>
      </c>
      <c r="DX272" s="25"/>
      <c r="DY272" s="25"/>
      <c r="DZ272" s="25">
        <f ca="1">SUMIFS((EA6:EA259),$H$6:$H$259,$M$268)</f>
        <v>0</v>
      </c>
      <c r="EA272" s="25"/>
      <c r="EB272" s="25"/>
      <c r="EC272" s="25">
        <f ca="1">SUMIFS((ED6:ED259),$H$6:$H$259,$M$268)</f>
        <v>0</v>
      </c>
      <c r="ED272" s="25"/>
      <c r="EE272" s="25"/>
      <c r="EF272" s="25">
        <f ca="1">SUMIFS((EG6:EG259),$H$6:$H$259,$M$268)</f>
        <v>0</v>
      </c>
      <c r="EG272" s="25"/>
      <c r="EH272" s="25"/>
      <c r="EI272" s="783">
        <f ca="1">SUMIFS((EJ6:EJ259),$H$6:$H$259,$M$268)</f>
        <v>0</v>
      </c>
      <c r="EJ272" s="25"/>
      <c r="EK272" s="25"/>
      <c r="EL272" s="25">
        <f ca="1">SUMIFS((EM6:EM259),$H$6:$H$259,$M$268)</f>
        <v>0</v>
      </c>
      <c r="EM272" s="25"/>
      <c r="EN272" s="25"/>
      <c r="EO272" s="25">
        <f ca="1">SUMIFS((EP6:EP259),$H$6:$H$259,$M$268)</f>
        <v>0</v>
      </c>
      <c r="EP272" s="25"/>
      <c r="EQ272" s="25"/>
      <c r="ER272" s="25">
        <f ca="1">SUMIFS((ES6:ES259),$H$6:$H$259,$M$268)</f>
        <v>0</v>
      </c>
      <c r="ES272" s="25"/>
      <c r="ET272" s="25"/>
      <c r="EU272" s="25">
        <f ca="1">SUMIFS((EV6:EV259),$H$6:$H$259,$M$268)</f>
        <v>0</v>
      </c>
      <c r="EV272" s="25"/>
      <c r="EW272" s="25"/>
      <c r="EX272" s="783">
        <f ca="1">SUMIFS((EY6:EY259),$H$6:$H$259,$M$268)</f>
        <v>0</v>
      </c>
      <c r="EY272" s="25"/>
      <c r="EZ272" s="25"/>
      <c r="FA272" s="25">
        <f ca="1">SUMIFS((FB6:FB259),$H$6:$H$259,$M$268)</f>
        <v>0</v>
      </c>
      <c r="FB272" s="25"/>
      <c r="FC272" s="25"/>
      <c r="FD272" s="25">
        <f ca="1">SUMIFS((FE6:FE259),$H$6:$H$259,$M$268)</f>
        <v>0</v>
      </c>
      <c r="FE272" s="25"/>
      <c r="FF272" s="25"/>
      <c r="FG272" s="25">
        <f ca="1">SUMIFS((FH6:FH259),$H$6:$H$259,$M$268)</f>
        <v>0</v>
      </c>
      <c r="FH272" s="25"/>
      <c r="FI272" s="25"/>
      <c r="FJ272" s="25">
        <f ca="1">SUMIFS((FK6:FK259),$H$6:$H$259,$M$268)</f>
        <v>0</v>
      </c>
      <c r="FK272" s="25"/>
      <c r="FL272" s="25"/>
      <c r="FM272" s="783">
        <f ca="1">SUMIFS((FN6:FN259),$H$6:$H$259,$M$268)</f>
        <v>0</v>
      </c>
      <c r="FN272" s="25"/>
      <c r="FO272" s="25"/>
      <c r="FP272" s="25">
        <f ca="1">SUMIFS((FQ6:FQ259),$H$6:$H$259,$M$268)</f>
        <v>0</v>
      </c>
      <c r="FQ272" s="25"/>
      <c r="FR272" s="25"/>
      <c r="FS272" s="25">
        <f ca="1">SUMIFS((FT6:FT259),$H$6:$H$259,$M$268)</f>
        <v>0</v>
      </c>
      <c r="FT272" s="25"/>
      <c r="FU272" s="25"/>
      <c r="FV272" s="25">
        <f ca="1">SUMIFS((FW6:FW259),$H$6:$H$259,$M$268)</f>
        <v>0</v>
      </c>
      <c r="FW272" s="25"/>
      <c r="FX272" s="25"/>
      <c r="FY272" s="25">
        <f ca="1">SUMIFS((FZ6:FZ259),$H$6:$H$259,$M$268)</f>
        <v>0</v>
      </c>
      <c r="FZ272" s="25"/>
      <c r="GA272" s="25"/>
      <c r="GB272" s="783">
        <f ca="1">SUMIFS((GC6:GC259),$H$6:$H$259,$M$268)</f>
        <v>0</v>
      </c>
      <c r="GC272" s="25"/>
      <c r="GD272" s="25"/>
      <c r="GE272" s="25">
        <f ca="1">SUMIFS((GF6:GF259),$H$6:$H$259,$M$268)</f>
        <v>0</v>
      </c>
      <c r="GF272" s="25"/>
      <c r="GG272" s="25"/>
      <c r="GH272" s="25">
        <f ca="1">SUMIFS((GI6:GI259),$H$6:$H$259,$M$268)</f>
        <v>0</v>
      </c>
      <c r="GI272" s="25"/>
      <c r="GJ272" s="25"/>
      <c r="GK272" s="25">
        <f ca="1">SUMIFS((GL6:GL259),$H$6:$H$259,$M$268)</f>
        <v>0</v>
      </c>
      <c r="GL272" s="25"/>
      <c r="GM272" s="25"/>
      <c r="GN272" s="25">
        <f ca="1">SUMIFS((GO6:GO259),$H$6:$H$259,$M$268)</f>
        <v>0</v>
      </c>
      <c r="GO272" s="25"/>
      <c r="GP272" s="25"/>
      <c r="GQ272" s="783">
        <f ca="1">SUMIFS((GR6:GR259),$H$6:$H$259,$M$268)</f>
        <v>0</v>
      </c>
      <c r="GR272" s="25"/>
      <c r="GS272" s="25"/>
      <c r="GT272" s="25">
        <f ca="1">SUMIFS((GU6:GU259),$H$6:$H$259,$M$268)</f>
        <v>0</v>
      </c>
      <c r="GU272" s="25"/>
      <c r="GV272" s="25"/>
      <c r="GW272" s="450">
        <f ca="1">SUMIFS((GX6:GX259),$H$6:$H$259,$M$268)</f>
        <v>0</v>
      </c>
      <c r="GX272" s="450"/>
      <c r="GY272" s="450"/>
      <c r="GZ272" s="450">
        <f ca="1">SUMIFS((HA6:HA259),$H$6:$H$259,$M$268)</f>
        <v>0</v>
      </c>
      <c r="HA272" s="450"/>
      <c r="HB272" s="450"/>
      <c r="HC272" s="450">
        <f ca="1">SUMIFS((HD6:HD259),$H$6:$H$259,$M$268)</f>
        <v>0</v>
      </c>
      <c r="HD272" s="450"/>
      <c r="HE272" s="450"/>
      <c r="HF272" s="450">
        <f ca="1">SUMIFS((HG6:HG259),$H$6:$H$259,$M$268)</f>
        <v>0</v>
      </c>
      <c r="HG272" s="450"/>
      <c r="HH272" s="450"/>
      <c r="HI272" s="450">
        <f ca="1">SUMIFS((HJ6:HJ259),$H$6:$H$259,$M$268)</f>
        <v>0</v>
      </c>
      <c r="HJ272" s="25"/>
      <c r="HK272" s="25"/>
      <c r="HL272" s="25">
        <f ca="1">SUMIFS((HM6:HM259),$H$6:$H$259,$M$268)</f>
        <v>0</v>
      </c>
      <c r="HM272" s="25"/>
      <c r="HN272" s="25"/>
      <c r="HO272" s="25">
        <f ca="1">SUMIFS((HP6:HP259),$H$6:$H$259,$M$268)</f>
        <v>0</v>
      </c>
      <c r="HP272" s="25"/>
      <c r="HQ272" s="25"/>
      <c r="HR272" s="25">
        <f ca="1">SUMIFS((HS6:HS259),$H$6:$H$259,$M$268)</f>
        <v>0</v>
      </c>
      <c r="HS272" s="25"/>
      <c r="HT272" s="25"/>
      <c r="HU272" s="783">
        <f ca="1">SUMIFS((HV6:HV259),$H$6:$H$259,$M$268)</f>
        <v>0</v>
      </c>
      <c r="HV272" s="25"/>
      <c r="HW272" s="25"/>
      <c r="HX272" s="25">
        <f ca="1">SUMIFS((HY6:HY259),$H$6:$H$259,$M$268)</f>
        <v>0</v>
      </c>
      <c r="HY272" s="25"/>
      <c r="HZ272" s="25"/>
      <c r="IA272" s="25">
        <f ca="1">SUMIFS((IB6:IB259),$H$6:$H$259,$M$268)</f>
        <v>0</v>
      </c>
      <c r="IB272" s="25"/>
      <c r="IC272" s="25"/>
      <c r="ID272" s="25">
        <f ca="1">SUMIFS((IE6:IE259),$H$6:$H$259,$M$268)</f>
        <v>0</v>
      </c>
      <c r="IE272" s="25"/>
      <c r="IF272" s="25"/>
      <c r="IG272" s="25">
        <f ca="1">SUMIFS((IH6:IH259),$H$6:$H$259,$M$268)</f>
        <v>0</v>
      </c>
      <c r="IH272" s="25"/>
      <c r="II272" s="25"/>
      <c r="IJ272" s="783">
        <f ca="1">SUMIFS((IK6:IK259),$H$6:$H$259,$M$268)</f>
        <v>0</v>
      </c>
      <c r="IK272" s="25"/>
      <c r="IL272" s="25"/>
      <c r="IM272" s="25">
        <f ca="1">SUMIFS((IN6:IN259),$H$6:$H$259,$M$268)</f>
        <v>0</v>
      </c>
      <c r="IN272" s="25"/>
      <c r="IO272" s="25"/>
      <c r="IP272" s="25">
        <f ca="1">SUMIFS((IQ6:IQ259),$H$6:$H$259,$M$268)</f>
        <v>0</v>
      </c>
      <c r="IQ272" s="25"/>
      <c r="IR272" s="25"/>
      <c r="IS272" s="25">
        <f ca="1">SUMIFS((IT6:IT259),$H$6:$H$259,$M$268)</f>
        <v>0</v>
      </c>
      <c r="IT272" s="25"/>
      <c r="IU272" s="25"/>
      <c r="IV272" s="25">
        <f ca="1">SUMIFS((IW6:IW259),$H$6:$H$259,$M$268)</f>
        <v>0</v>
      </c>
      <c r="IW272" s="25"/>
      <c r="IX272" s="25"/>
      <c r="IY272" s="783">
        <f ca="1">SUMIFS((IZ6:IZ259),$H$6:$H$259,$M$268)</f>
        <v>0</v>
      </c>
      <c r="IZ272" s="25"/>
      <c r="JA272" s="25"/>
      <c r="JB272" s="25">
        <f ca="1">SUMIFS((JC6:JC259),$H$6:$H$259,$M$268)</f>
        <v>0</v>
      </c>
      <c r="JC272" s="25"/>
      <c r="JD272" s="25"/>
      <c r="JE272" s="25">
        <f ca="1">SUMIFS((JF6:JF259),$H$6:$H$259,$M$268)</f>
        <v>0</v>
      </c>
      <c r="JF272" s="25"/>
      <c r="JG272" s="25"/>
      <c r="JH272" s="25">
        <f ca="1">SUMIFS((JI6:JI259),$H$6:$H$259,$M$268)</f>
        <v>0</v>
      </c>
      <c r="JI272" s="25"/>
      <c r="JJ272" s="25"/>
      <c r="JK272" s="25">
        <f ca="1">SUMIFS((JL6:JL259),$H$6:$H$259,$M$268)</f>
        <v>0</v>
      </c>
      <c r="JL272" s="25"/>
      <c r="JM272" s="25"/>
      <c r="JN272" s="783">
        <f ca="1">SUMIFS((JO6:JO259),$H$6:$H$259,$M$268)</f>
        <v>0</v>
      </c>
      <c r="JO272" s="25"/>
      <c r="JP272" s="25"/>
      <c r="JQ272" s="25">
        <f ca="1">SUMIFS((JR6:JR259),$H$6:$H$259,$M$268)</f>
        <v>0</v>
      </c>
      <c r="JR272" s="25"/>
      <c r="JS272" s="25"/>
      <c r="JT272" s="25">
        <f ca="1">SUMIFS((JU6:JU259),$H$6:$H$259,$M$268)</f>
        <v>0</v>
      </c>
      <c r="JU272" s="25"/>
      <c r="JV272" s="25"/>
      <c r="JW272" s="25">
        <f ca="1">SUMIFS((JX6:JX259),$H$6:$H$259,$M$268)</f>
        <v>0</v>
      </c>
      <c r="JX272" s="25"/>
      <c r="JY272" s="25"/>
      <c r="JZ272" s="25">
        <f ca="1">SUMIFS((KA6:KA259),$H$6:$H$259,$M$268)</f>
        <v>0</v>
      </c>
      <c r="KA272" s="25"/>
      <c r="KB272" s="25"/>
      <c r="KC272" s="783">
        <f ca="1">SUMIFS((KD6:KD259),$H$6:$H$259,$M$268)</f>
        <v>0</v>
      </c>
      <c r="KD272" s="25"/>
      <c r="KE272" s="25"/>
      <c r="KF272" s="25">
        <f ca="1">SUMIFS((KG6:KG259),$H$6:$H$259,$M$268)</f>
        <v>0</v>
      </c>
      <c r="KG272" s="25"/>
      <c r="KH272" s="25"/>
      <c r="KI272" s="25">
        <f ca="1">SUMIFS((KJ6:KJ259),$H$6:$H$259,$M$268)</f>
        <v>0</v>
      </c>
      <c r="KJ272" s="25"/>
      <c r="KK272" s="25"/>
      <c r="KL272" s="25">
        <f ca="1">SUMIFS((KM6:KM259),$H$6:$H$259,$M$268)</f>
        <v>0</v>
      </c>
      <c r="KM272" s="25"/>
      <c r="KN272" s="25"/>
      <c r="KO272" s="25">
        <f ca="1">SUMIFS((KP6:KP259),$H$6:$H$259,$M$268)</f>
        <v>0</v>
      </c>
      <c r="KP272" s="25"/>
      <c r="KQ272" s="25"/>
      <c r="KR272" s="783">
        <f ca="1">SUMIFS((KS6:KS259),$H$6:$H$259,$M$268)</f>
        <v>0</v>
      </c>
      <c r="KS272" s="25"/>
      <c r="KT272" s="25"/>
      <c r="KU272" s="25">
        <f ca="1">SUMIFS((KV6:KV259),$H$6:$H$259,$M$268)</f>
        <v>0</v>
      </c>
      <c r="KV272" s="25"/>
      <c r="KW272" s="25"/>
      <c r="KX272" s="25">
        <f ca="1">SUMIFS((KY6:KY259),$H$6:$H$259,$M$268)</f>
        <v>0</v>
      </c>
      <c r="KY272" s="25"/>
      <c r="KZ272" s="25"/>
      <c r="LA272" s="25">
        <f ca="1">SUMIFS((LB6:LB259),$H$6:$H$259,$M$268)</f>
        <v>0</v>
      </c>
      <c r="LB272" s="25"/>
      <c r="LC272" s="25"/>
      <c r="LD272" s="25">
        <f ca="1">SUMIFS((LE6:LE259),$H$6:$H$259,$M$268)</f>
        <v>0</v>
      </c>
      <c r="LE272" s="25"/>
      <c r="LF272" s="25"/>
    </row>
    <row r="273" spans="1:318" s="783" customFormat="1">
      <c r="A273" s="17"/>
      <c r="B273" s="17"/>
      <c r="C273" s="17"/>
      <c r="D273" s="17"/>
      <c r="E273" s="88"/>
      <c r="F273" s="720"/>
      <c r="G273" s="720"/>
      <c r="H273" s="720"/>
      <c r="I273" s="17"/>
      <c r="J273" s="17"/>
      <c r="K273" s="720"/>
      <c r="L273" s="720"/>
      <c r="M273" s="25" t="s">
        <v>268</v>
      </c>
      <c r="N273" s="25"/>
      <c r="O273" s="25"/>
      <c r="P273" s="25"/>
      <c r="Q273" s="25"/>
      <c r="R273" s="25"/>
      <c r="S273" s="25" t="str">
        <f>S5</f>
        <v>Leiner Zavarce</v>
      </c>
      <c r="T273" s="25"/>
      <c r="U273" s="25"/>
      <c r="V273" s="25" t="str">
        <f>V5</f>
        <v>YUTA</v>
      </c>
      <c r="W273" s="25"/>
      <c r="X273" s="25"/>
      <c r="Y273" s="25" t="str">
        <f>Y5</f>
        <v>Andres Velasquez</v>
      </c>
      <c r="Z273" s="25"/>
      <c r="AA273" s="25"/>
      <c r="AB273" s="25" t="str">
        <f>AB5</f>
        <v>Alejando Velasquez</v>
      </c>
      <c r="AC273" s="25"/>
      <c r="AD273" s="25"/>
      <c r="AE273" s="25" t="str">
        <f>AE5</f>
        <v>Alvaro Gomes</v>
      </c>
      <c r="AF273" s="25"/>
      <c r="AG273" s="25"/>
      <c r="AH273" s="783" t="str">
        <f>AH5</f>
        <v>Anthony Pinto</v>
      </c>
      <c r="AI273" s="25"/>
      <c r="AJ273" s="25"/>
      <c r="AK273" s="25" t="str">
        <f>AK5</f>
        <v>CarBitos</v>
      </c>
      <c r="AL273" s="25"/>
      <c r="AM273" s="25"/>
      <c r="AN273" s="25" t="str">
        <f>AN5</f>
        <v>Carlos Quintero</v>
      </c>
      <c r="AO273" s="25"/>
      <c r="AP273" s="25"/>
      <c r="AQ273" s="25" t="str">
        <f>AQ5</f>
        <v>The special one</v>
      </c>
      <c r="AR273" s="25"/>
      <c r="AS273" s="25"/>
      <c r="AT273" s="25" t="str">
        <f>AT5</f>
        <v>Enmanuel Subero</v>
      </c>
      <c r="AU273" s="25"/>
      <c r="AV273" s="25"/>
      <c r="AW273" s="783" t="str">
        <f>AW5</f>
        <v>fenix</v>
      </c>
      <c r="AX273" s="25"/>
      <c r="AY273" s="25"/>
      <c r="AZ273" s="25" t="str">
        <f>AZ5</f>
        <v>CazaPutas669</v>
      </c>
      <c r="BA273" s="25"/>
      <c r="BB273" s="25"/>
      <c r="BC273" s="25" t="str">
        <f>BC5</f>
        <v>Gabo</v>
      </c>
      <c r="BD273" s="25"/>
      <c r="BE273" s="25"/>
      <c r="BF273" s="25" t="str">
        <f>BF5</f>
        <v>YUYU</v>
      </c>
      <c r="BG273" s="25"/>
      <c r="BH273" s="25"/>
      <c r="BI273" s="25" t="str">
        <f>BI5</f>
        <v>José Arturo De Abreu</v>
      </c>
      <c r="BJ273" s="25"/>
      <c r="BK273" s="25"/>
      <c r="BL273" s="783" t="str">
        <f>BL5</f>
        <v xml:space="preserve">Jose Juan De Abreu </v>
      </c>
      <c r="BM273" s="25"/>
      <c r="BN273" s="25"/>
      <c r="BO273" s="25" t="str">
        <f>BO5</f>
        <v>Juan Sánchez</v>
      </c>
      <c r="BP273" s="25"/>
      <c r="BQ273" s="25"/>
      <c r="BR273" s="25" t="str">
        <f>BR5</f>
        <v>Juan De Abreu</v>
      </c>
      <c r="BS273" s="25"/>
      <c r="BT273" s="25"/>
      <c r="BU273" s="25" t="str">
        <f>BU5</f>
        <v>Luis Piñero</v>
      </c>
      <c r="BV273" s="25"/>
      <c r="BW273" s="25"/>
      <c r="BX273" s="25" t="str">
        <f>BX5</f>
        <v>Luis Rondon</v>
      </c>
      <c r="BY273" s="25"/>
      <c r="BZ273" s="25"/>
      <c r="CA273" s="783" t="str">
        <f>CA5</f>
        <v>Manuel Coa</v>
      </c>
      <c r="CB273" s="25"/>
      <c r="CC273" s="25"/>
      <c r="CD273" s="25" t="str">
        <f>CD5</f>
        <v>Miguel Dousdebés</v>
      </c>
      <c r="CE273" s="25"/>
      <c r="CF273" s="25"/>
      <c r="CG273" s="25" t="str">
        <f>CG5</f>
        <v>Moisex Contreras</v>
      </c>
      <c r="CH273" s="25"/>
      <c r="CI273" s="25"/>
      <c r="CJ273" s="25" t="str">
        <f>CJ5</f>
        <v>nicolah</v>
      </c>
      <c r="CK273" s="25"/>
      <c r="CL273" s="25"/>
      <c r="CM273" s="25" t="str">
        <f>CM5</f>
        <v>DanielCV</v>
      </c>
      <c r="CN273" s="25"/>
      <c r="CO273" s="25"/>
      <c r="CP273" s="783" t="str">
        <f>CP5</f>
        <v>Andres Gioliti</v>
      </c>
      <c r="CQ273" s="25"/>
      <c r="CR273" s="25"/>
      <c r="CS273" s="25" t="str">
        <f>CS5</f>
        <v>Francisco Bejarano</v>
      </c>
      <c r="CT273" s="25"/>
      <c r="CU273" s="25"/>
      <c r="CV273" s="25" t="str">
        <f>CV5</f>
        <v>Humberto</v>
      </c>
      <c r="CW273" s="25"/>
      <c r="CX273" s="25"/>
      <c r="CY273" s="25" t="str">
        <f>CY5</f>
        <v>Andres Salcedo</v>
      </c>
      <c r="CZ273" s="25"/>
      <c r="DA273" s="25"/>
      <c r="DB273" s="25" t="str">
        <f>DB5</f>
        <v>Francisco Dinis</v>
      </c>
      <c r="DC273" s="25"/>
      <c r="DD273" s="25"/>
      <c r="DE273" s="783" t="str">
        <f>DE5</f>
        <v>Leonardo Herrera</v>
      </c>
      <c r="DF273" s="25"/>
      <c r="DG273" s="25"/>
      <c r="DH273" s="25" t="str">
        <f>DH5</f>
        <v xml:space="preserve">German </v>
      </c>
      <c r="DI273" s="25"/>
      <c r="DJ273" s="25"/>
      <c r="DK273" s="25" t="str">
        <f>DK5</f>
        <v xml:space="preserve">Orbert </v>
      </c>
      <c r="DL273" s="25"/>
      <c r="DM273" s="25"/>
      <c r="DN273" s="25" t="str">
        <f>DN5</f>
        <v>Alex Flores</v>
      </c>
      <c r="DO273" s="25"/>
      <c r="DP273" s="25"/>
      <c r="DQ273" s="25" t="str">
        <f>DQ5</f>
        <v>Erick Lavado</v>
      </c>
      <c r="DR273" s="25"/>
      <c r="DS273" s="25"/>
      <c r="DT273" s="783" t="str">
        <f>DT5</f>
        <v xml:space="preserve">Eleyton </v>
      </c>
      <c r="DU273" s="25"/>
      <c r="DV273" s="25"/>
      <c r="DW273" s="25" t="str">
        <f>DW5</f>
        <v>Pegar Valores Nombre J2</v>
      </c>
      <c r="DX273" s="25"/>
      <c r="DY273" s="25"/>
      <c r="DZ273" s="25" t="str">
        <f>DZ5</f>
        <v>Pegar Valores Nombre J3</v>
      </c>
      <c r="EA273" s="25"/>
      <c r="EB273" s="25"/>
      <c r="EC273" s="25" t="str">
        <f>EC5</f>
        <v>Pegar Valores Nombre J4</v>
      </c>
      <c r="ED273" s="25"/>
      <c r="EE273" s="25"/>
      <c r="EF273" s="25" t="str">
        <f>EF5</f>
        <v>Pegar Valores Nombre J5</v>
      </c>
      <c r="EG273" s="25"/>
      <c r="EH273" s="25"/>
      <c r="EI273" s="783" t="str">
        <f>EI5</f>
        <v>Pegar Valores Nombre J1</v>
      </c>
      <c r="EJ273" s="25"/>
      <c r="EK273" s="25"/>
      <c r="EL273" s="25" t="str">
        <f>EL5</f>
        <v>Pegar Valores Nombre J2</v>
      </c>
      <c r="EM273" s="25"/>
      <c r="EN273" s="25"/>
      <c r="EO273" s="25" t="str">
        <f>EO5</f>
        <v>Pegar Valores Nombre J3</v>
      </c>
      <c r="EP273" s="25"/>
      <c r="EQ273" s="25"/>
      <c r="ER273" s="25" t="str">
        <f>ER5</f>
        <v>Pegar Valores Nombre J4</v>
      </c>
      <c r="ES273" s="25"/>
      <c r="ET273" s="25"/>
      <c r="EU273" s="25" t="str">
        <f>EU5</f>
        <v>Pegar Valores Nombre J5</v>
      </c>
      <c r="EV273" s="25"/>
      <c r="EW273" s="25"/>
      <c r="EX273" s="783" t="str">
        <f>EX5</f>
        <v>Pegar Valores Nombre J1</v>
      </c>
      <c r="EY273" s="25"/>
      <c r="EZ273" s="25"/>
      <c r="FA273" s="25" t="str">
        <f>FA5</f>
        <v>Pegar Valores Nombre J2</v>
      </c>
      <c r="FB273" s="25"/>
      <c r="FC273" s="25"/>
      <c r="FD273" s="25" t="str">
        <f>FD5</f>
        <v>Pegar Valores Nombre J3</v>
      </c>
      <c r="FE273" s="25"/>
      <c r="FF273" s="25"/>
      <c r="FG273" s="25" t="str">
        <f>FG5</f>
        <v>Pegar Valores Nombre J4</v>
      </c>
      <c r="FH273" s="25"/>
      <c r="FI273" s="25"/>
      <c r="FJ273" s="25" t="str">
        <f>FJ5</f>
        <v>Pegar Valores Nombre J5</v>
      </c>
      <c r="FK273" s="25"/>
      <c r="FL273" s="25"/>
      <c r="FM273" s="783" t="str">
        <f>FM5</f>
        <v>Pegar Valores Nombre J1</v>
      </c>
      <c r="FN273" s="25"/>
      <c r="FO273" s="25"/>
      <c r="FP273" s="25" t="str">
        <f>FP5</f>
        <v>Pegar Valores Nombre J2</v>
      </c>
      <c r="FQ273" s="25"/>
      <c r="FR273" s="25"/>
      <c r="FS273" s="25" t="str">
        <f>FS5</f>
        <v>Pegar Valores Nombre J3</v>
      </c>
      <c r="FT273" s="25"/>
      <c r="FU273" s="25"/>
      <c r="FV273" s="25" t="str">
        <f>FV5</f>
        <v>Pegar Valores Nombre J4</v>
      </c>
      <c r="FW273" s="25"/>
      <c r="FX273" s="25"/>
      <c r="FY273" s="25" t="str">
        <f>FY5</f>
        <v>Pegar Valores Nombre J5</v>
      </c>
      <c r="FZ273" s="25"/>
      <c r="GA273" s="25"/>
      <c r="GB273" s="783" t="str">
        <f>GB5</f>
        <v>Pegar Valores Nombre J1</v>
      </c>
      <c r="GC273" s="25"/>
      <c r="GD273" s="25"/>
      <c r="GE273" s="25" t="str">
        <f>GE5</f>
        <v>Pegar Valores Nombre J2</v>
      </c>
      <c r="GF273" s="25"/>
      <c r="GG273" s="25"/>
      <c r="GH273" s="25" t="str">
        <f>GH5</f>
        <v>Pegar Valores Nombre J3</v>
      </c>
      <c r="GI273" s="25"/>
      <c r="GJ273" s="25"/>
      <c r="GK273" s="25" t="str">
        <f>GK5</f>
        <v>Pegar Valores Nombre J4</v>
      </c>
      <c r="GL273" s="25"/>
      <c r="GM273" s="25"/>
      <c r="GN273" s="25" t="str">
        <f>GN5</f>
        <v>Pegar Valores Nombre J5</v>
      </c>
      <c r="GO273" s="25"/>
      <c r="GP273" s="25"/>
      <c r="GQ273" s="783" t="str">
        <f>GQ5</f>
        <v>Pegar Valores Nombre J1</v>
      </c>
      <c r="GR273" s="25"/>
      <c r="GS273" s="25"/>
      <c r="GT273" s="25" t="str">
        <f>GT5</f>
        <v>Pegar Valores Nombre J2</v>
      </c>
      <c r="GU273" s="25"/>
      <c r="GV273" s="25"/>
      <c r="GW273" s="25" t="str">
        <f>GW5</f>
        <v>Pegar Valores Nombre J3</v>
      </c>
      <c r="GX273" s="25"/>
      <c r="GY273" s="25"/>
      <c r="GZ273" s="25" t="str">
        <f>GZ5</f>
        <v>Pegar Valores Nombre J4</v>
      </c>
      <c r="HA273" s="25"/>
      <c r="HB273" s="25"/>
      <c r="HC273" s="25" t="str">
        <f>HC5</f>
        <v>Pegar Valores Nombre J5</v>
      </c>
      <c r="HD273" s="25"/>
      <c r="HE273" s="25"/>
      <c r="HF273" s="783" t="str">
        <f>HF5</f>
        <v>Pegar Valores Nombre J1</v>
      </c>
      <c r="HG273" s="25"/>
      <c r="HH273" s="25"/>
      <c r="HI273" s="25" t="str">
        <f>HI5</f>
        <v>Pegar Valores Nombre J2</v>
      </c>
      <c r="HJ273" s="25"/>
      <c r="HK273" s="25"/>
      <c r="HL273" s="25" t="str">
        <f>HL5</f>
        <v>Pegar Valores Nombre J3</v>
      </c>
      <c r="HM273" s="25"/>
      <c r="HN273" s="25"/>
      <c r="HO273" s="25" t="str">
        <f>HO5</f>
        <v>Pegar Valores Nombre J4</v>
      </c>
      <c r="HP273" s="25"/>
      <c r="HQ273" s="25"/>
      <c r="HR273" s="25" t="str">
        <f>HR5</f>
        <v>Pegar Valores Nombre J5</v>
      </c>
      <c r="HS273" s="25"/>
      <c r="HT273" s="25"/>
      <c r="HU273" s="783" t="str">
        <f>HU5</f>
        <v>Pegar Valores Nombre J1</v>
      </c>
      <c r="HV273" s="25"/>
      <c r="HW273" s="25"/>
      <c r="HX273" s="25" t="str">
        <f>HX5</f>
        <v>Pegar Valores Nombre J2</v>
      </c>
      <c r="HY273" s="25"/>
      <c r="HZ273" s="25"/>
      <c r="IA273" s="25" t="str">
        <f>IA5</f>
        <v>Pegar Valores Nombre J3</v>
      </c>
      <c r="IB273" s="25"/>
      <c r="IC273" s="25"/>
      <c r="ID273" s="25" t="str">
        <f>ID5</f>
        <v>Pegar Valores Nombre J4</v>
      </c>
      <c r="IE273" s="25"/>
      <c r="IF273" s="25"/>
      <c r="IG273" s="25" t="str">
        <f>IG5</f>
        <v>Pegar Valores Nombre J5</v>
      </c>
      <c r="IH273" s="25"/>
      <c r="II273" s="25"/>
      <c r="IJ273" s="783" t="str">
        <f>IJ5</f>
        <v>Pegar Valores Nombre J1</v>
      </c>
      <c r="IK273" s="25"/>
      <c r="IL273" s="25"/>
      <c r="IM273" s="25" t="str">
        <f>IM5</f>
        <v>Pegar Valores Nombre J2</v>
      </c>
      <c r="IN273" s="25"/>
      <c r="IO273" s="25"/>
      <c r="IP273" s="25" t="str">
        <f>IP5</f>
        <v>Pegar Valores Nombre J3</v>
      </c>
      <c r="IQ273" s="25"/>
      <c r="IR273" s="25"/>
      <c r="IS273" s="25" t="str">
        <f>IS5</f>
        <v>Pegar Valores Nombre J4</v>
      </c>
      <c r="IT273" s="25"/>
      <c r="IU273" s="25"/>
      <c r="IV273" s="25" t="str">
        <f>IV5</f>
        <v>Pegar Valores Nombre J5</v>
      </c>
      <c r="IW273" s="25"/>
      <c r="IX273" s="25"/>
      <c r="IY273" s="783" t="str">
        <f>IY5</f>
        <v>Pegar Valores Nombre J1</v>
      </c>
      <c r="IZ273" s="25"/>
      <c r="JA273" s="25"/>
      <c r="JB273" s="25" t="str">
        <f>JB5</f>
        <v>Pegar Valores Nombre J2</v>
      </c>
      <c r="JC273" s="25"/>
      <c r="JD273" s="25"/>
      <c r="JE273" s="25" t="str">
        <f>JE5</f>
        <v>Pegar Valores Nombre J3</v>
      </c>
      <c r="JF273" s="25"/>
      <c r="JG273" s="25"/>
      <c r="JH273" s="25" t="str">
        <f>JH5</f>
        <v>Pegar Valores Nombre J4</v>
      </c>
      <c r="JI273" s="25"/>
      <c r="JJ273" s="25"/>
      <c r="JK273" s="25" t="str">
        <f>JK5</f>
        <v>Pegar Valores Nombre J5</v>
      </c>
      <c r="JL273" s="25"/>
      <c r="JM273" s="25"/>
      <c r="JN273" s="783" t="str">
        <f>JN5</f>
        <v>Pegar Valores Nombre J1</v>
      </c>
      <c r="JO273" s="25"/>
      <c r="JP273" s="25"/>
      <c r="JQ273" s="25" t="str">
        <f>JQ5</f>
        <v>Pegar Valores Nombre J2</v>
      </c>
      <c r="JR273" s="25"/>
      <c r="JS273" s="25"/>
      <c r="JT273" s="25" t="str">
        <f>JT5</f>
        <v>Pegar Valores Nombre J3</v>
      </c>
      <c r="JU273" s="25"/>
      <c r="JV273" s="25"/>
      <c r="JW273" s="25" t="str">
        <f>JW5</f>
        <v>Pegar Valores Nombre J4</v>
      </c>
      <c r="JX273" s="25"/>
      <c r="JY273" s="25"/>
      <c r="JZ273" s="25" t="str">
        <f>JZ5</f>
        <v>Pegar Valores Nombre J5</v>
      </c>
      <c r="KA273" s="25"/>
      <c r="KB273" s="25"/>
      <c r="KC273" s="783" t="str">
        <f>KC5</f>
        <v>Pegar Valores Nombre J1</v>
      </c>
      <c r="KD273" s="25"/>
      <c r="KE273" s="25"/>
      <c r="KF273" s="25" t="str">
        <f>KF5</f>
        <v>Pegar Valores Nombre J2</v>
      </c>
      <c r="KG273" s="25"/>
      <c r="KH273" s="25"/>
      <c r="KI273" s="25" t="str">
        <f>KI5</f>
        <v>Pegar Valores Nombre J3</v>
      </c>
      <c r="KJ273" s="25"/>
      <c r="KK273" s="25"/>
      <c r="KL273" s="25" t="str">
        <f>KL5</f>
        <v>Pegar Valores Nombre J4</v>
      </c>
      <c r="KM273" s="25"/>
      <c r="KN273" s="25"/>
      <c r="KO273" s="25" t="str">
        <f>KO5</f>
        <v>Pegar Valores Nombre J5</v>
      </c>
      <c r="KP273" s="25"/>
      <c r="KQ273" s="25"/>
      <c r="KR273" s="783" t="str">
        <f>KR5</f>
        <v>Pegar Valores Nombre J1</v>
      </c>
      <c r="KS273" s="25"/>
      <c r="KT273" s="25"/>
      <c r="KU273" s="25" t="str">
        <f>KU5</f>
        <v>Pegar Valores Nombre J2</v>
      </c>
      <c r="KV273" s="25"/>
      <c r="KW273" s="25"/>
      <c r="KX273" s="25" t="str">
        <f>KX5</f>
        <v>Pegar Valores Nombre J3</v>
      </c>
      <c r="KY273" s="25"/>
      <c r="KZ273" s="25"/>
      <c r="LA273" s="25" t="str">
        <f>LA5</f>
        <v>Pegar Valores Nombre J4</v>
      </c>
      <c r="LB273" s="25"/>
      <c r="LC273" s="25"/>
      <c r="LD273" s="25" t="str">
        <f>LD5</f>
        <v>Pegar Valores Nombre J5</v>
      </c>
      <c r="LE273" s="25"/>
      <c r="LF273" s="25"/>
    </row>
  </sheetData>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38" priority="1">
      <formula>IF($I6=3,1,0)</formula>
    </cfRule>
    <cfRule type="expression" dxfId="37" priority="2">
      <formula>IF($I6=2,1,0)</formula>
    </cfRule>
  </conditionalFormatting>
  <dataValidations count="1">
    <dataValidation type="whole" allowBlank="1" showInputMessage="1" showErrorMessage="1" sqref="D8:D47" xr:uid="{B83D1634-9417-4251-9188-C7BA47F4E28C}">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Equipos!$S$2:$S$101</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D14" sqref="AD14"/>
    </sheetView>
  </sheetViews>
  <sheetFormatPr baseColWidth="10" defaultColWidth="0" defaultRowHeight="14.4"/>
  <cols>
    <col min="1" max="2" width="10.77734375" style="5" hidden="1" customWidth="1"/>
    <col min="3" max="3" width="2.109375" style="9" hidden="1" customWidth="1"/>
    <col min="4" max="10" width="8.77734375" style="9" hidden="1" customWidth="1"/>
    <col min="11" max="11" width="12.77734375" style="9" hidden="1" customWidth="1"/>
    <col min="12" max="21" width="8.77734375" style="9" hidden="1" customWidth="1"/>
    <col min="22" max="22" width="3.44140625" customWidth="1"/>
    <col min="23" max="23" width="6.6640625" customWidth="1"/>
    <col min="24" max="24" width="12.77734375" customWidth="1"/>
    <col min="25" max="25" width="6.77734375" customWidth="1"/>
    <col min="26" max="26" width="4.44140625" customWidth="1"/>
    <col min="27" max="27" width="20.77734375" customWidth="1"/>
    <col min="28" max="28" width="3.77734375" customWidth="1"/>
    <col min="29" max="30" width="5.33203125" customWidth="1"/>
    <col min="31" max="31" width="3.77734375" customWidth="1"/>
    <col min="32" max="32" width="20.77734375" customWidth="1"/>
    <col min="33" max="33" width="3.44140625" customWidth="1"/>
    <col min="34" max="34" width="3.77734375" style="21" customWidth="1"/>
    <col min="35" max="35" width="3.33203125" style="21" customWidth="1"/>
    <col min="36" max="36" width="4.33203125" customWidth="1"/>
    <col min="37" max="37" width="3.33203125" customWidth="1"/>
    <col min="38" max="38" width="20.77734375" customWidth="1"/>
    <col min="39" max="39" width="5.77734375" customWidth="1"/>
    <col min="40" max="43" width="4.33203125" customWidth="1"/>
    <col min="44" max="45" width="5.44140625" customWidth="1"/>
    <col min="46" max="46" width="6" customWidth="1"/>
    <col min="47" max="47" width="3.33203125" style="23" customWidth="1"/>
    <col min="48" max="48" width="18.44140625" style="24" customWidth="1"/>
    <col min="49" max="49" width="3.44140625" style="6" customWidth="1"/>
    <col min="50" max="50" width="3.44140625" style="2" customWidth="1"/>
    <col min="51" max="51" width="17" style="10" customWidth="1"/>
    <col min="52" max="52" width="15.77734375" style="6" customWidth="1"/>
    <col min="53" max="53" width="3" customWidth="1"/>
    <col min="54" max="54" width="10.77734375" style="5" hidden="1" customWidth="1"/>
    <col min="55" max="55" width="6" style="5" hidden="1" customWidth="1"/>
    <col min="56" max="56" width="17" style="5" hidden="1" customWidth="1"/>
    <col min="57" max="57" width="3.44140625" style="5" hidden="1" customWidth="1"/>
    <col min="58" max="58" width="2.109375" style="5" hidden="1" customWidth="1"/>
    <col min="59" max="59" width="7.77734375" style="5" hidden="1" customWidth="1"/>
    <col min="60" max="61" width="2.109375" style="5" hidden="1" customWidth="1"/>
    <col min="62" max="63" width="4.10937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09375" style="5" hidden="1" customWidth="1"/>
    <col min="70" max="71" width="7.33203125" style="5" hidden="1" customWidth="1"/>
    <col min="72" max="100" width="8" style="5" hidden="1" customWidth="1"/>
    <col min="101" max="101" width="4.109375" style="5" hidden="1" customWidth="1"/>
    <col min="102" max="102" width="7.33203125" style="5" hidden="1" customWidth="1"/>
    <col min="103" max="103" width="10.77734375" style="5" hidden="1" customWidth="1"/>
    <col min="104" max="104" width="3.109375" style="5" hidden="1" customWidth="1"/>
    <col min="105" max="105" width="8.6640625" style="5" hidden="1" customWidth="1"/>
    <col min="106" max="106" width="8" style="5" hidden="1" customWidth="1"/>
    <col min="107" max="107" width="15.77734375" style="5" hidden="1" customWidth="1"/>
    <col min="108" max="108" width="10.77734375" style="5" hidden="1" customWidth="1"/>
    <col min="109" max="109" width="2.6640625" style="5" hidden="1" customWidth="1"/>
    <col min="110" max="126" width="10.77734375" style="5" hidden="1" customWidth="1"/>
    <col min="127" max="127" width="10.77734375" style="1" hidden="1" customWidth="1"/>
    <col min="128" max="16384" width="10.77734375" hidden="1"/>
  </cols>
  <sheetData>
    <row r="1" spans="1:127" ht="30" customHeight="1">
      <c r="A1" s="725"/>
      <c r="B1" s="725"/>
      <c r="C1" s="725"/>
      <c r="D1" s="725"/>
      <c r="E1" s="725"/>
      <c r="F1" s="725"/>
      <c r="G1" s="725"/>
      <c r="H1" s="725"/>
      <c r="I1" s="725"/>
      <c r="J1" s="725"/>
      <c r="K1" s="725"/>
      <c r="L1" s="725"/>
      <c r="M1" s="725"/>
      <c r="N1" s="725"/>
      <c r="O1" s="725"/>
      <c r="P1" s="725"/>
      <c r="Q1" s="725"/>
      <c r="R1" s="725"/>
      <c r="S1" s="725"/>
      <c r="T1" s="725"/>
      <c r="U1" s="725"/>
      <c r="V1" s="168"/>
      <c r="W1" s="851" t="str">
        <f>Idiomas!D8</f>
        <v>XXIII Mundial USA/MEX/CAN 2026</v>
      </c>
      <c r="X1" s="851"/>
      <c r="Y1" s="851"/>
      <c r="Z1" s="851"/>
      <c r="AA1" s="851"/>
      <c r="AB1" s="851"/>
      <c r="AC1" s="851"/>
      <c r="AD1" s="851"/>
      <c r="AE1" s="851"/>
      <c r="AF1" s="851"/>
      <c r="AG1" s="16"/>
      <c r="AH1" s="169"/>
      <c r="AI1" s="169"/>
      <c r="AJ1" s="16"/>
      <c r="AK1" s="16"/>
      <c r="AL1" s="17"/>
      <c r="AM1" s="16"/>
      <c r="AN1" s="16"/>
      <c r="AO1" s="16"/>
      <c r="AP1" s="16"/>
      <c r="AQ1" s="16"/>
      <c r="AR1" s="16"/>
      <c r="AS1" s="17"/>
      <c r="AT1" s="17"/>
      <c r="AU1" s="17"/>
      <c r="AV1" s="17"/>
      <c r="AW1" s="17"/>
      <c r="AX1" s="17"/>
      <c r="AY1" s="17"/>
      <c r="AZ1" s="17"/>
      <c r="BA1" s="16"/>
      <c r="BB1" s="729"/>
      <c r="BC1" s="729"/>
      <c r="BD1" s="729"/>
      <c r="BE1" s="729"/>
      <c r="BF1" s="729"/>
      <c r="BG1" s="729"/>
      <c r="BH1" s="729"/>
      <c r="BI1" s="729"/>
      <c r="BJ1" s="729"/>
      <c r="BK1" s="729"/>
      <c r="BL1" s="729"/>
      <c r="BM1" s="729"/>
      <c r="BN1" s="729"/>
      <c r="BO1" s="729"/>
      <c r="BP1" s="729"/>
      <c r="BQ1" s="729"/>
      <c r="BR1" s="729"/>
      <c r="BS1" s="729"/>
      <c r="BT1" s="729"/>
      <c r="BU1" s="729"/>
      <c r="BV1" s="729"/>
      <c r="BW1" s="729"/>
      <c r="BX1" s="729"/>
      <c r="BY1" s="729"/>
      <c r="BZ1" s="729"/>
      <c r="CA1" s="729"/>
      <c r="CB1" s="729"/>
      <c r="CC1" s="729"/>
      <c r="CD1" s="729"/>
      <c r="CE1" s="729"/>
      <c r="CF1" s="729"/>
      <c r="CG1" s="729"/>
      <c r="CH1" s="729"/>
      <c r="CI1" s="729"/>
      <c r="CJ1" s="729"/>
      <c r="CK1" s="729"/>
      <c r="CL1" s="729"/>
      <c r="CM1" s="729"/>
      <c r="CN1" s="729"/>
      <c r="CO1" s="729"/>
      <c r="CP1" s="729"/>
      <c r="CQ1" s="729"/>
      <c r="CR1" s="729"/>
      <c r="CS1" s="729"/>
      <c r="CT1" s="729"/>
      <c r="CU1" s="729"/>
      <c r="CV1" s="729"/>
      <c r="CW1" s="729"/>
      <c r="CX1" s="729"/>
      <c r="CY1" s="729"/>
      <c r="CZ1" s="729"/>
      <c r="DA1" s="729"/>
      <c r="DB1" s="729"/>
      <c r="DC1" s="729"/>
      <c r="DD1" s="729"/>
      <c r="DE1" s="729"/>
      <c r="DF1" s="729"/>
      <c r="DG1" s="729"/>
      <c r="DH1" s="729"/>
      <c r="DI1" s="729"/>
      <c r="DJ1" s="729"/>
      <c r="DK1" s="729"/>
      <c r="DL1" s="729"/>
      <c r="DM1" s="729"/>
      <c r="DN1" s="729" t="s">
        <v>1344</v>
      </c>
      <c r="DO1" s="729"/>
      <c r="DP1" s="729"/>
      <c r="DQ1" s="729"/>
      <c r="DR1" s="729"/>
      <c r="DS1" s="729"/>
      <c r="DT1" s="729"/>
      <c r="DU1" s="729"/>
      <c r="DV1" s="729"/>
      <c r="DW1" s="707"/>
    </row>
    <row r="2" spans="1:127" ht="10.050000000000001" customHeight="1" thickBot="1">
      <c r="A2" s="725"/>
      <c r="B2" s="725"/>
      <c r="C2" s="725"/>
      <c r="D2" s="725"/>
      <c r="E2" s="725"/>
      <c r="F2" s="725"/>
      <c r="G2" s="725"/>
      <c r="H2" s="725"/>
      <c r="I2" s="725"/>
      <c r="J2" s="725"/>
      <c r="K2" s="725"/>
      <c r="L2" s="725"/>
      <c r="M2" s="725"/>
      <c r="N2" s="725"/>
      <c r="O2" s="725"/>
      <c r="P2" s="725"/>
      <c r="Q2" s="725"/>
      <c r="R2" s="725"/>
      <c r="S2" s="725"/>
      <c r="T2" s="725"/>
      <c r="U2" s="725"/>
      <c r="V2" s="170"/>
      <c r="W2" s="171"/>
      <c r="X2" s="171"/>
      <c r="Y2" s="16"/>
      <c r="Z2" s="171"/>
      <c r="AA2" s="172"/>
      <c r="AB2" s="171"/>
      <c r="AC2" s="172"/>
      <c r="AD2" s="172"/>
      <c r="AE2" s="172"/>
      <c r="AF2" s="172"/>
      <c r="AG2" s="173"/>
      <c r="AH2" s="18"/>
      <c r="AI2" s="18"/>
      <c r="AJ2" s="173"/>
      <c r="AK2" s="173"/>
      <c r="AL2" s="173"/>
      <c r="AM2" s="173"/>
      <c r="AN2" s="173"/>
      <c r="AO2" s="173"/>
      <c r="AP2" s="173"/>
      <c r="AQ2" s="173"/>
      <c r="AR2" s="173"/>
      <c r="AS2" s="173"/>
      <c r="AT2" s="173"/>
      <c r="AU2" s="22"/>
      <c r="AV2" s="22"/>
      <c r="AW2" s="174"/>
      <c r="AX2" s="174"/>
      <c r="AY2" s="175"/>
      <c r="AZ2" s="176"/>
      <c r="BA2" s="173"/>
      <c r="BB2" s="730"/>
      <c r="BC2" s="730"/>
      <c r="BD2" s="730"/>
      <c r="BE2" s="730"/>
      <c r="BF2" s="730"/>
      <c r="BG2" s="730"/>
      <c r="BH2" s="730"/>
      <c r="BI2" s="730"/>
      <c r="BJ2" s="730"/>
      <c r="BK2" s="730"/>
      <c r="BL2" s="730"/>
      <c r="BM2" s="730"/>
      <c r="BN2" s="730"/>
      <c r="BO2" s="730"/>
      <c r="BP2" s="730"/>
      <c r="BQ2" s="730"/>
      <c r="BR2" s="730"/>
      <c r="BS2" s="730"/>
      <c r="BT2" s="730"/>
      <c r="BU2" s="730"/>
      <c r="BV2" s="730"/>
      <c r="BW2" s="730"/>
      <c r="BX2" s="730"/>
      <c r="BY2" s="730"/>
      <c r="BZ2" s="730"/>
      <c r="CA2" s="730"/>
      <c r="CB2" s="730"/>
      <c r="CC2" s="730"/>
      <c r="CD2" s="730"/>
      <c r="CE2" s="730"/>
      <c r="CF2" s="730"/>
      <c r="CG2" s="730"/>
      <c r="CH2" s="730"/>
      <c r="CI2" s="730"/>
      <c r="CJ2" s="730"/>
      <c r="CK2" s="730"/>
      <c r="CL2" s="730"/>
      <c r="CM2" s="730"/>
      <c r="CN2" s="730"/>
      <c r="CO2" s="730"/>
      <c r="CP2" s="730"/>
      <c r="CQ2" s="730"/>
      <c r="CR2" s="730"/>
      <c r="CS2" s="730"/>
      <c r="CT2" s="730"/>
      <c r="CU2" s="730"/>
      <c r="CV2" s="730"/>
      <c r="CW2" s="730"/>
      <c r="CX2" s="730"/>
      <c r="CY2" s="730"/>
      <c r="CZ2" s="730"/>
      <c r="DA2" s="730"/>
      <c r="DB2" s="730"/>
      <c r="DC2" s="737"/>
      <c r="DD2" s="730"/>
      <c r="DE2" s="730"/>
      <c r="DF2" s="730"/>
      <c r="DG2" s="730"/>
      <c r="DH2" s="730"/>
      <c r="DI2" s="730"/>
      <c r="DJ2" s="730"/>
      <c r="DK2" s="730"/>
      <c r="DL2" s="730"/>
      <c r="DM2" s="730"/>
      <c r="DN2" s="730"/>
      <c r="DO2" s="730"/>
      <c r="DP2" s="730"/>
      <c r="DQ2" s="730"/>
      <c r="DR2" s="730"/>
      <c r="DS2" s="730"/>
      <c r="DT2" s="730"/>
      <c r="DU2" s="730"/>
      <c r="DV2" s="730"/>
      <c r="DW2" s="8"/>
    </row>
    <row r="3" spans="1:127" ht="15" thickBot="1">
      <c r="A3" s="725"/>
      <c r="B3" s="725"/>
      <c r="C3" s="725"/>
      <c r="D3" s="725" t="s">
        <v>1199</v>
      </c>
      <c r="E3" s="726" t="s">
        <v>636</v>
      </c>
      <c r="F3" s="726" t="s">
        <v>637</v>
      </c>
      <c r="G3" s="725"/>
      <c r="H3" s="726" t="s">
        <v>638</v>
      </c>
      <c r="I3" s="726" t="s">
        <v>639</v>
      </c>
      <c r="J3" s="725"/>
      <c r="K3" s="726" t="s">
        <v>643</v>
      </c>
      <c r="L3" s="726" t="s">
        <v>644</v>
      </c>
      <c r="M3" s="726"/>
      <c r="N3" s="726" t="s">
        <v>1209</v>
      </c>
      <c r="O3" s="726" t="s">
        <v>1210</v>
      </c>
      <c r="P3" s="725"/>
      <c r="Q3" s="726" t="s">
        <v>1211</v>
      </c>
      <c r="R3" s="726" t="s">
        <v>1212</v>
      </c>
      <c r="S3" s="725"/>
      <c r="T3" s="726" t="s">
        <v>1213</v>
      </c>
      <c r="U3" s="726" t="s">
        <v>1214</v>
      </c>
      <c r="V3" s="170"/>
      <c r="W3" s="177"/>
      <c r="X3" s="178" t="str">
        <f>Idiomas!D16</f>
        <v>Fecha</v>
      </c>
      <c r="Y3" s="178" t="str">
        <f>Idiomas!D17</f>
        <v>Hora</v>
      </c>
      <c r="Z3" s="179" t="str">
        <f>Idiomas!D18</f>
        <v>Jor.</v>
      </c>
      <c r="AA3" s="180" t="str">
        <f>Idiomas!D19</f>
        <v>Casa</v>
      </c>
      <c r="AB3" s="181"/>
      <c r="AC3" s="179" t="str">
        <f>Idiomas!D20</f>
        <v>Gol</v>
      </c>
      <c r="AD3" s="179" t="str">
        <f>Idiomas!D20</f>
        <v>Gol</v>
      </c>
      <c r="AE3" s="181"/>
      <c r="AF3" s="182" t="str">
        <f>Idiomas!D21</f>
        <v>Fuera</v>
      </c>
      <c r="AG3" s="173"/>
      <c r="AH3" s="18"/>
      <c r="AI3" s="18"/>
      <c r="AJ3" s="18" t="str">
        <f>Idiomas!D22</f>
        <v>Grupo</v>
      </c>
      <c r="AK3" s="183"/>
      <c r="AL3" s="184"/>
      <c r="AM3" s="184"/>
      <c r="AN3" s="184"/>
      <c r="AO3" s="184"/>
      <c r="AP3" s="184"/>
      <c r="AQ3" s="184"/>
      <c r="AR3" s="184"/>
      <c r="AS3" s="184"/>
      <c r="AT3" s="184"/>
      <c r="AU3" s="22"/>
      <c r="AV3" s="185" t="str">
        <f>Idiomas!D23</f>
        <v>¡EMPATE! Puedes seleccionar el orden de los empatados.</v>
      </c>
      <c r="AW3" s="186"/>
      <c r="AX3" s="186"/>
      <c r="AY3" s="423" t="str">
        <f>Idiomas!D74</f>
        <v>¿Hay equipos penalizados?</v>
      </c>
      <c r="AZ3" s="424" t="s">
        <v>1220</v>
      </c>
      <c r="BA3" s="173"/>
      <c r="BB3" s="730"/>
      <c r="BC3" s="730"/>
      <c r="BD3" s="730"/>
      <c r="BE3" s="730"/>
      <c r="BF3" s="730"/>
      <c r="BG3" s="730"/>
      <c r="BH3" s="730"/>
      <c r="BI3" s="730"/>
      <c r="BJ3" s="730"/>
      <c r="BK3" s="730"/>
      <c r="BL3" s="730"/>
      <c r="BM3" s="730"/>
      <c r="BN3" s="730"/>
      <c r="BO3" s="730"/>
      <c r="BP3" s="730"/>
      <c r="BQ3" s="730"/>
      <c r="BR3" s="730"/>
      <c r="BS3" s="730"/>
      <c r="BT3" s="730"/>
      <c r="BU3" s="730"/>
      <c r="BV3" s="730"/>
      <c r="BW3" s="730"/>
      <c r="BX3" s="730"/>
      <c r="BY3" s="730"/>
      <c r="BZ3" s="730"/>
      <c r="CA3" s="730"/>
      <c r="CB3" s="730"/>
      <c r="CC3" s="730"/>
      <c r="CD3" s="730"/>
      <c r="CE3" s="730"/>
      <c r="CF3" s="730"/>
      <c r="CG3" s="730"/>
      <c r="CH3" s="730"/>
      <c r="CI3" s="730"/>
      <c r="CJ3" s="730"/>
      <c r="CK3" s="730"/>
      <c r="CL3" s="730"/>
      <c r="CM3" s="730"/>
      <c r="CN3" s="730"/>
      <c r="CO3" s="730"/>
      <c r="CP3" s="730"/>
      <c r="CQ3" s="730"/>
      <c r="CR3" s="730"/>
      <c r="CS3" s="730"/>
      <c r="CT3" s="730"/>
      <c r="CU3" s="730"/>
      <c r="CV3" s="730"/>
      <c r="CW3" s="730"/>
      <c r="CX3" s="730"/>
      <c r="CY3" s="730"/>
      <c r="CZ3" s="730"/>
      <c r="DA3" s="730"/>
      <c r="DB3" s="730"/>
      <c r="DC3" s="730"/>
      <c r="DD3" s="730"/>
      <c r="DE3" s="730"/>
      <c r="DF3" s="730"/>
      <c r="DG3" s="730"/>
      <c r="DH3" s="730"/>
      <c r="DI3" s="730"/>
      <c r="DJ3" s="730"/>
      <c r="DK3" s="730"/>
      <c r="DL3" s="730"/>
      <c r="DM3" s="730"/>
      <c r="DN3" s="730"/>
      <c r="DO3" s="730"/>
      <c r="DP3" s="730"/>
      <c r="DQ3" s="730"/>
      <c r="DR3" s="730"/>
      <c r="DS3" s="730"/>
      <c r="DT3" s="730" t="s">
        <v>1902</v>
      </c>
      <c r="DU3" s="730"/>
      <c r="DV3" s="730"/>
      <c r="DW3" s="8"/>
    </row>
    <row r="4" spans="1:127" ht="15" customHeight="1" thickBot="1">
      <c r="A4" s="727" t="s">
        <v>30</v>
      </c>
      <c r="B4" s="728" t="s">
        <v>0</v>
      </c>
      <c r="C4" s="729">
        <f>COUNTIF(Equipos!$C$2:$C$49,WORLDCUP!B4)</f>
        <v>4</v>
      </c>
      <c r="D4" s="730" t="str">
        <f t="shared" ref="D4:D9" si="0">IF(OR(AC4="",AD4=""),"Pendiente",IF(AC4&gt;AD4,"Local",IF(AC4&lt;AD4,"Visitante","Empate")))</f>
        <v>Local</v>
      </c>
      <c r="E4" s="730" t="str">
        <f t="shared" ref="E4:E9" ca="1" si="1">IF(D4="Pendiente","-",INDEX($BT$6:$BT$53,MATCH($AA4,$BD$6:$BD$53,0)))</f>
        <v>P.1 (2)</v>
      </c>
      <c r="F4" s="730" t="str">
        <f t="shared" ref="F4:F9" ca="1" si="2">IF(D4="Pendiente","-",INDEX($BT$6:$BT$53,MATCH($AF4,$BD$6:$BD$53,0)))</f>
        <v>P.3 (2)</v>
      </c>
      <c r="G4" s="730"/>
      <c r="H4" s="730" t="str">
        <f t="shared" ref="H4:H9" ca="1" si="3">IF(D4="Pendiente","-",INDEX($BZ$6:$BZ$53,MATCH($AA4,$BD$6:$BD$53,0)))</f>
        <v>P.1 (2)</v>
      </c>
      <c r="I4" s="730" t="str">
        <f t="shared" ref="I4:I9" ca="1" si="4">IF(D4="Pendiente","-",INDEX($BZ$6:$BZ$53,MATCH($AF4,$BD$6:$BD$53,0)))</f>
        <v>P.3 (2)</v>
      </c>
      <c r="J4" s="730"/>
      <c r="K4" s="730" t="str">
        <f t="shared" ref="K4:K9" ca="1" si="5">IF(D4="Pendiente","-",INDEX($CE$6:$CE$53,MATCH($AA4,$BD$6:$BD$53,0)))</f>
        <v>P.1 (2)</v>
      </c>
      <c r="L4" s="730" t="str">
        <f t="shared" ref="L4:L9" ca="1" si="6">IF(D4="Pendiente","-",INDEX($CE$6:$CE$53,MATCH($AF4,$BD$6:$BD$53,0)))</f>
        <v>P.3 (2)</v>
      </c>
      <c r="M4" s="730"/>
      <c r="N4" s="730" t="str">
        <f t="shared" ref="N4:N9" ca="1" si="7">IF(D4="Pendiente","-",INDEX($CH$6:$CH$53,MATCH($AA4,$BD$6:$BD$53,0)))</f>
        <v>P.1 (2)</v>
      </c>
      <c r="O4" s="730" t="str">
        <f t="shared" ref="O4:O9" ca="1" si="8">IF(D4="Pendiente","-",INDEX($CH$6:$CH$53,MATCH($AF4,$BD$6:$BD$53,0)))</f>
        <v>P.3 (2)</v>
      </c>
      <c r="P4" s="730"/>
      <c r="Q4" s="730" t="str">
        <f t="shared" ref="Q4:Q9" ca="1" si="9">IF(D4="Pendiente","-",INDEX($CN$6:$CN$53,MATCH($AA4,$BD$6:$BD$53,0)))</f>
        <v>P.1 (2)</v>
      </c>
      <c r="R4" s="730" t="str">
        <f t="shared" ref="R4:R9" ca="1" si="10">IF(D4="Pendiente","-",INDEX($CN$6:$CN$53,MATCH($AF4,$BD$6:$BD$53,0)))</f>
        <v>P.3 (2)</v>
      </c>
      <c r="S4" s="730"/>
      <c r="T4" s="730" t="str">
        <f t="shared" ref="T4:T9" ca="1" si="11">IF(D4="Pendiente","-",INDEX($CS$6:$CS$53,MATCH($AA4,$BD$6:$BD$53,0)))</f>
        <v>P.1 (2)</v>
      </c>
      <c r="U4" s="730" t="str">
        <f t="shared" ref="U4:U9" ca="1" si="12">IF(D4="Pendiente","-",INDEX($CS$6:$CS$53,MATCH($AF4,$BD$6:$BD$53,0)))</f>
        <v>P.3 (2)</v>
      </c>
      <c r="V4" s="170"/>
      <c r="W4" s="847" t="s">
        <v>0</v>
      </c>
      <c r="X4" s="187">
        <f ca="1">Horarios!C4</f>
        <v>46184.625</v>
      </c>
      <c r="Y4" s="188">
        <f ca="1">Horarios!C4</f>
        <v>46184.625</v>
      </c>
      <c r="Z4" s="189" t="str">
        <f>Idiomas!D63</f>
        <v>J1</v>
      </c>
      <c r="AA4" s="190" t="str">
        <f ca="1">+A5</f>
        <v>México</v>
      </c>
      <c r="AB4" s="477" t="e" cm="1" vm="1">
        <f t="array" aca="1" ref="AB4" ca="1">Ver_flag_local</f>
        <v>#VALUE!</v>
      </c>
      <c r="AC4" s="191">
        <v>2</v>
      </c>
      <c r="AD4" s="192">
        <v>0</v>
      </c>
      <c r="AE4" s="480" t="e" cm="1" vm="2">
        <f t="array" aca="1" ref="AE4" ca="1">Ver_flag_visit</f>
        <v>#VALUE!</v>
      </c>
      <c r="AF4" s="193" t="str">
        <f ca="1">A6</f>
        <v>Sudáfrica</v>
      </c>
      <c r="AG4" s="411">
        <f t="shared" ref="AG4:AG9" si="13">IF(NOT(OR(ISBLANK(AC4),ISBLANK(AD4))),1,0)</f>
        <v>1</v>
      </c>
      <c r="AH4" s="194">
        <v>1</v>
      </c>
      <c r="AI4" s="19"/>
      <c r="AJ4" s="195" t="str">
        <f>CONCATENATE(AJ3," ",B4)</f>
        <v>Grupo A</v>
      </c>
      <c r="AK4" s="196"/>
      <c r="AL4" s="196"/>
      <c r="AM4" s="196"/>
      <c r="AN4" s="196"/>
      <c r="AO4" s="196"/>
      <c r="AP4" s="196"/>
      <c r="AQ4" s="196"/>
      <c r="AR4" s="196"/>
      <c r="AS4" s="196"/>
      <c r="AT4" s="197"/>
      <c r="AU4" s="22"/>
      <c r="AV4" s="198" t="str">
        <f ca="1">IF(AU5&gt;0,$AV$3,"")</f>
        <v/>
      </c>
      <c r="AW4" s="199"/>
      <c r="AX4" s="199"/>
      <c r="AY4" s="200"/>
      <c r="AZ4" s="201"/>
      <c r="BA4" s="173"/>
      <c r="BB4" s="730"/>
      <c r="BC4" s="730"/>
      <c r="BD4" s="730"/>
      <c r="BE4" s="730"/>
      <c r="BF4" s="730"/>
      <c r="BG4" s="730"/>
      <c r="BH4" s="730"/>
      <c r="BI4" s="730"/>
      <c r="BJ4" s="730"/>
      <c r="BK4" s="730"/>
      <c r="BL4" s="730"/>
      <c r="BM4" s="730"/>
      <c r="BN4" s="730"/>
      <c r="BO4" s="730"/>
      <c r="BP4" s="730"/>
      <c r="BQ4" s="730"/>
      <c r="BR4" s="730"/>
      <c r="BS4" s="730"/>
      <c r="BT4" s="730"/>
      <c r="BU4" s="730"/>
      <c r="BV4" s="730"/>
      <c r="BW4" s="730"/>
      <c r="BX4" s="730"/>
      <c r="BY4" s="730"/>
      <c r="BZ4" s="730"/>
      <c r="CA4" s="730"/>
      <c r="CB4" s="730"/>
      <c r="CC4" s="730"/>
      <c r="CD4" s="730"/>
      <c r="CE4" s="730"/>
      <c r="CF4" s="730"/>
      <c r="CG4" s="730"/>
      <c r="CH4" s="730"/>
      <c r="CI4" s="730"/>
      <c r="CJ4" s="730"/>
      <c r="CK4" s="730"/>
      <c r="CL4" s="730"/>
      <c r="CM4" s="730"/>
      <c r="CN4" s="730"/>
      <c r="CO4" s="730"/>
      <c r="CP4" s="730"/>
      <c r="CQ4" s="730"/>
      <c r="CR4" s="730"/>
      <c r="CS4" s="730"/>
      <c r="CT4" s="730"/>
      <c r="CU4" s="730"/>
      <c r="CV4" s="730"/>
      <c r="CW4" s="730"/>
      <c r="CX4" s="730"/>
      <c r="CY4" s="735"/>
      <c r="CZ4" s="730"/>
      <c r="DA4" s="730"/>
      <c r="DB4" s="730"/>
      <c r="DC4" s="730" t="s">
        <v>1336</v>
      </c>
      <c r="DD4" s="730"/>
      <c r="DE4" s="730"/>
      <c r="DF4" s="730"/>
      <c r="DG4" s="730"/>
      <c r="DH4" s="730"/>
      <c r="DI4" s="730"/>
      <c r="DJ4" s="730"/>
      <c r="DK4" s="730"/>
      <c r="DL4" s="730"/>
      <c r="DM4" s="730"/>
      <c r="DN4" s="730"/>
      <c r="DO4" s="730"/>
      <c r="DP4" s="730"/>
      <c r="DQ4" s="730"/>
      <c r="DR4" s="730"/>
      <c r="DS4" s="730"/>
      <c r="DT4" s="730" t="str">
        <f ca="1">AA4&amp;"-"&amp;AF4</f>
        <v>México-Sudáfrica</v>
      </c>
      <c r="DU4" s="730"/>
      <c r="DV4" s="730"/>
      <c r="DW4" s="8"/>
    </row>
    <row r="5" spans="1:127" ht="16.95" customHeight="1">
      <c r="A5" s="731" t="str">
        <f ca="1">+Equipos!B2</f>
        <v>México</v>
      </c>
      <c r="B5" s="728"/>
      <c r="C5" s="728"/>
      <c r="D5" s="730" t="str">
        <f t="shared" si="0"/>
        <v>Local</v>
      </c>
      <c r="E5" s="730" t="str">
        <f t="shared" ca="1" si="1"/>
        <v>P.1 (2)</v>
      </c>
      <c r="F5" s="730" t="str">
        <f t="shared" ca="1" si="2"/>
        <v>P.3 (2)</v>
      </c>
      <c r="G5" s="730"/>
      <c r="H5" s="730" t="str">
        <f t="shared" ca="1" si="3"/>
        <v>P.1 (2)</v>
      </c>
      <c r="I5" s="730" t="str">
        <f t="shared" ca="1" si="4"/>
        <v>P.3 (2)</v>
      </c>
      <c r="J5" s="730"/>
      <c r="K5" s="730" t="str">
        <f t="shared" ca="1" si="5"/>
        <v>P.1 (2)</v>
      </c>
      <c r="L5" s="730" t="str">
        <f t="shared" ca="1" si="6"/>
        <v>P.3 (2)</v>
      </c>
      <c r="M5" s="730"/>
      <c r="N5" s="730" t="str">
        <f t="shared" ca="1" si="7"/>
        <v>P.1 (2)</v>
      </c>
      <c r="O5" s="730" t="str">
        <f t="shared" ca="1" si="8"/>
        <v>P.3 (2)</v>
      </c>
      <c r="P5" s="730"/>
      <c r="Q5" s="730" t="str">
        <f t="shared" ca="1" si="9"/>
        <v>P.1 (2)</v>
      </c>
      <c r="R5" s="730" t="str">
        <f t="shared" ca="1" si="10"/>
        <v>P.3 (2)</v>
      </c>
      <c r="S5" s="730"/>
      <c r="T5" s="730" t="str">
        <f t="shared" ca="1" si="11"/>
        <v>P.1 (2)</v>
      </c>
      <c r="U5" s="730" t="str">
        <f t="shared" ca="1" si="12"/>
        <v>P.3 (2)</v>
      </c>
      <c r="V5" s="170"/>
      <c r="W5" s="847"/>
      <c r="X5" s="187">
        <f ca="1">Horarios!C5</f>
        <v>46184.916666666664</v>
      </c>
      <c r="Y5" s="188">
        <f ca="1">Horarios!C5</f>
        <v>46184.916666666664</v>
      </c>
      <c r="Z5" s="189" t="str">
        <f>$Z$4</f>
        <v>J1</v>
      </c>
      <c r="AA5" s="190" t="str">
        <f ca="1">A7</f>
        <v>Corea del Sur</v>
      </c>
      <c r="AB5" s="477" t="e" cm="1" vm="3">
        <f t="array" aca="1" ref="AB5" ca="1">Ver_flag_local</f>
        <v>#VALUE!</v>
      </c>
      <c r="AC5" s="191">
        <v>2</v>
      </c>
      <c r="AD5" s="192">
        <v>1</v>
      </c>
      <c r="AE5" s="480" t="e" cm="1" vm="4">
        <f t="array" aca="1" ref="AE5" ca="1">Ver_flag_visit</f>
        <v>#VALUE!</v>
      </c>
      <c r="AF5" s="193" t="str">
        <f ca="1">A8</f>
        <v>República Checa</v>
      </c>
      <c r="AG5" s="411">
        <f t="shared" si="13"/>
        <v>1</v>
      </c>
      <c r="AH5" s="194">
        <v>2</v>
      </c>
      <c r="AI5" s="19"/>
      <c r="AJ5" s="202" t="str">
        <f>Idiomas!D53</f>
        <v>Pos</v>
      </c>
      <c r="AK5" s="203"/>
      <c r="AL5" s="204" t="str">
        <f>Idiomas!D54</f>
        <v>Selección</v>
      </c>
      <c r="AM5" s="203" t="str">
        <f>Idiomas!D55</f>
        <v>Pts</v>
      </c>
      <c r="AN5" s="203" t="str">
        <f>Idiomas!D56</f>
        <v>J</v>
      </c>
      <c r="AO5" s="203" t="str">
        <f>Idiomas!D57</f>
        <v>G</v>
      </c>
      <c r="AP5" s="203" t="str">
        <f>Idiomas!D58</f>
        <v>E</v>
      </c>
      <c r="AQ5" s="203" t="str">
        <f>Idiomas!D59</f>
        <v>P</v>
      </c>
      <c r="AR5" s="203" t="str">
        <f>Idiomas!D60</f>
        <v>GF</v>
      </c>
      <c r="AS5" s="203" t="str">
        <f>Idiomas!D61</f>
        <v>GC</v>
      </c>
      <c r="AT5" s="205" t="str">
        <f>Idiomas!D62</f>
        <v>DG</v>
      </c>
      <c r="AU5" s="22">
        <f ca="1">COUNTIF(AU6:AU9,"&gt;1")</f>
        <v>0</v>
      </c>
      <c r="AV5" s="206"/>
      <c r="AW5" s="199"/>
      <c r="AX5" s="199"/>
      <c r="AY5" s="207" t="str">
        <f>AL5</f>
        <v>Selección</v>
      </c>
      <c r="AZ5" s="208" t="str">
        <f>+Idiomas!$D$69</f>
        <v>Puntos penalizados</v>
      </c>
      <c r="BA5" s="173"/>
      <c r="BB5" s="730"/>
      <c r="BC5" s="738" t="str">
        <f>Idiomas!D22</f>
        <v>Grupo</v>
      </c>
      <c r="BD5" s="738" t="str">
        <f>Idiomas!D54</f>
        <v>Selección</v>
      </c>
      <c r="BE5" s="738" t="str">
        <f t="shared" ref="BE5:BL5" si="14">+AM5</f>
        <v>Pts</v>
      </c>
      <c r="BF5" s="738" t="str">
        <f t="shared" si="14"/>
        <v>J</v>
      </c>
      <c r="BG5" s="738" t="str">
        <f t="shared" si="14"/>
        <v>G</v>
      </c>
      <c r="BH5" s="738" t="str">
        <f t="shared" si="14"/>
        <v>E</v>
      </c>
      <c r="BI5" s="738" t="str">
        <f t="shared" si="14"/>
        <v>P</v>
      </c>
      <c r="BJ5" s="738" t="str">
        <f t="shared" si="14"/>
        <v>GF</v>
      </c>
      <c r="BK5" s="738" t="str">
        <f t="shared" si="14"/>
        <v>GC</v>
      </c>
      <c r="BL5" s="738" t="str">
        <f t="shared" si="14"/>
        <v>DG</v>
      </c>
      <c r="BM5" s="738" t="s">
        <v>612</v>
      </c>
      <c r="BN5" s="738" t="s">
        <v>613</v>
      </c>
      <c r="BO5" s="739" t="s">
        <v>1815</v>
      </c>
      <c r="BP5" s="739" t="s">
        <v>1816</v>
      </c>
      <c r="BQ5" s="739" t="s">
        <v>1817</v>
      </c>
      <c r="BR5" s="739" t="s">
        <v>614</v>
      </c>
      <c r="BS5" s="739" t="s">
        <v>617</v>
      </c>
      <c r="BT5" s="739" t="s">
        <v>615</v>
      </c>
      <c r="BU5" s="738" t="s">
        <v>632</v>
      </c>
      <c r="BV5" s="738" t="s">
        <v>633</v>
      </c>
      <c r="BW5" s="738" t="s">
        <v>634</v>
      </c>
      <c r="BX5" s="738" t="s">
        <v>635</v>
      </c>
      <c r="BY5" s="738" t="s">
        <v>618</v>
      </c>
      <c r="BZ5" s="739" t="s">
        <v>616</v>
      </c>
      <c r="CA5" s="739" t="s">
        <v>640</v>
      </c>
      <c r="CB5" s="739" t="s">
        <v>641</v>
      </c>
      <c r="CC5" s="739" t="s">
        <v>642</v>
      </c>
      <c r="CD5" s="739" t="s">
        <v>619</v>
      </c>
      <c r="CE5" s="739" t="s">
        <v>620</v>
      </c>
      <c r="CF5" s="738" t="s">
        <v>640</v>
      </c>
      <c r="CG5" s="738" t="s">
        <v>621</v>
      </c>
      <c r="CH5" s="739" t="s">
        <v>622</v>
      </c>
      <c r="CI5" s="738" t="s">
        <v>1203</v>
      </c>
      <c r="CJ5" s="738" t="s">
        <v>1204</v>
      </c>
      <c r="CK5" s="738" t="s">
        <v>1205</v>
      </c>
      <c r="CL5" s="738" t="s">
        <v>1206</v>
      </c>
      <c r="CM5" s="738" t="s">
        <v>623</v>
      </c>
      <c r="CN5" s="739" t="s">
        <v>624</v>
      </c>
      <c r="CO5" s="739" t="s">
        <v>1200</v>
      </c>
      <c r="CP5" s="739" t="s">
        <v>1201</v>
      </c>
      <c r="CQ5" s="739" t="s">
        <v>1202</v>
      </c>
      <c r="CR5" s="739" t="s">
        <v>625</v>
      </c>
      <c r="CS5" s="739" t="s">
        <v>626</v>
      </c>
      <c r="CT5" s="738" t="s">
        <v>1200</v>
      </c>
      <c r="CU5" s="738" t="s">
        <v>1207</v>
      </c>
      <c r="CV5" s="739" t="s">
        <v>1208</v>
      </c>
      <c r="CW5" s="739" t="s">
        <v>66</v>
      </c>
      <c r="CX5" s="739" t="s">
        <v>1215</v>
      </c>
      <c r="CY5" s="739" t="s">
        <v>1216</v>
      </c>
      <c r="CZ5" s="739" t="s">
        <v>8</v>
      </c>
      <c r="DA5" s="739" t="s">
        <v>1217</v>
      </c>
      <c r="DB5" s="739" t="s">
        <v>1218</v>
      </c>
      <c r="DC5" s="740" t="s">
        <v>1255</v>
      </c>
      <c r="DD5" s="740" t="s">
        <v>628</v>
      </c>
      <c r="DE5" s="741"/>
      <c r="DF5" s="740" t="s">
        <v>629</v>
      </c>
      <c r="DG5" s="740" t="s">
        <v>630</v>
      </c>
      <c r="DH5" s="740" t="s">
        <v>631</v>
      </c>
      <c r="DI5" s="730"/>
      <c r="DJ5" s="732" t="s">
        <v>652</v>
      </c>
      <c r="DK5" s="732" t="s">
        <v>1195</v>
      </c>
      <c r="DL5" s="732" t="s">
        <v>653</v>
      </c>
      <c r="DM5" s="732" t="s">
        <v>654</v>
      </c>
      <c r="DN5" s="732" t="s">
        <v>655</v>
      </c>
      <c r="DO5" s="732"/>
      <c r="DP5" s="732" t="s">
        <v>762</v>
      </c>
      <c r="DQ5" s="732" t="s">
        <v>763</v>
      </c>
      <c r="DR5" s="730"/>
      <c r="DS5" s="730"/>
      <c r="DT5" s="730" t="str">
        <f t="shared" ref="DT5:DT68" ca="1" si="15">AA5&amp;"-"&amp;AF5</f>
        <v>Corea del Sur-República Checa</v>
      </c>
      <c r="DU5" s="730"/>
      <c r="DV5" s="730"/>
      <c r="DW5" s="8"/>
    </row>
    <row r="6" spans="1:127" ht="16.95" customHeight="1">
      <c r="A6" s="731" t="str">
        <f ca="1">+Equipos!B3</f>
        <v>Sudáfrica</v>
      </c>
      <c r="B6" s="728"/>
      <c r="C6" s="732"/>
      <c r="D6" s="730" t="str">
        <f t="shared" si="0"/>
        <v>Pendiente</v>
      </c>
      <c r="E6" s="730" t="str">
        <f t="shared" si="1"/>
        <v>-</v>
      </c>
      <c r="F6" s="730" t="str">
        <f t="shared" si="2"/>
        <v>-</v>
      </c>
      <c r="G6" s="730"/>
      <c r="H6" s="730" t="str">
        <f t="shared" si="3"/>
        <v>-</v>
      </c>
      <c r="I6" s="730" t="str">
        <f t="shared" si="4"/>
        <v>-</v>
      </c>
      <c r="J6" s="730"/>
      <c r="K6" s="730" t="str">
        <f t="shared" si="5"/>
        <v>-</v>
      </c>
      <c r="L6" s="730" t="str">
        <f t="shared" si="6"/>
        <v>-</v>
      </c>
      <c r="M6" s="730"/>
      <c r="N6" s="730" t="str">
        <f t="shared" si="7"/>
        <v>-</v>
      </c>
      <c r="O6" s="730" t="str">
        <f t="shared" si="8"/>
        <v>-</v>
      </c>
      <c r="P6" s="730"/>
      <c r="Q6" s="730" t="str">
        <f t="shared" si="9"/>
        <v>-</v>
      </c>
      <c r="R6" s="730" t="str">
        <f t="shared" si="10"/>
        <v>-</v>
      </c>
      <c r="S6" s="730"/>
      <c r="T6" s="730" t="str">
        <f t="shared" si="11"/>
        <v>-</v>
      </c>
      <c r="U6" s="730" t="str">
        <f t="shared" si="12"/>
        <v>-</v>
      </c>
      <c r="V6" s="170"/>
      <c r="W6" s="847"/>
      <c r="X6" s="187">
        <f ca="1">Horarios!C6</f>
        <v>46191.5</v>
      </c>
      <c r="Y6" s="188">
        <f ca="1">Horarios!C6</f>
        <v>46191.5</v>
      </c>
      <c r="Z6" s="189" t="str">
        <f>Idiomas!D64</f>
        <v>J2</v>
      </c>
      <c r="AA6" s="190" t="str">
        <f ca="1">A8</f>
        <v>República Checa</v>
      </c>
      <c r="AB6" s="477" t="e" cm="1" vm="4">
        <f t="array" aca="1" ref="AB6" ca="1">Ver_flag_local</f>
        <v>#VALUE!</v>
      </c>
      <c r="AC6" s="191"/>
      <c r="AD6" s="192"/>
      <c r="AE6" s="480" t="e" cm="1" vm="2">
        <f t="array" aca="1" ref="AE6" ca="1">Ver_flag_visit</f>
        <v>#VALUE!</v>
      </c>
      <c r="AF6" s="193" t="str">
        <f ca="1">A6</f>
        <v>Sudáfrica</v>
      </c>
      <c r="AG6" s="411">
        <f t="shared" si="13"/>
        <v>0</v>
      </c>
      <c r="AH6" s="194">
        <v>25</v>
      </c>
      <c r="AI6" s="19" t="str">
        <f>AJ6&amp;$B$4</f>
        <v>1A</v>
      </c>
      <c r="AJ6" s="209">
        <v>1</v>
      </c>
      <c r="AK6" s="487" t="e" cm="1" vm="1">
        <f t="array" aca="1" ref="AK6" ca="1">Ver_flag_visit</f>
        <v>#VALUE!</v>
      </c>
      <c r="AL6" s="210" t="str">
        <f ca="1">IFERROR(INDEX($BD$6:$BD$53,MATCH(AI6,$BN$6:$BN$53,0)),"")</f>
        <v>México</v>
      </c>
      <c r="AM6" s="211">
        <f t="shared" ref="AM6:AT9" ca="1" si="16">INDEX($BE$6:$BN$53,MATCH($AL6,$BD$6:$BD$53,0),MATCH(AM$5,$BE$5:$BN$5,0))</f>
        <v>3</v>
      </c>
      <c r="AN6" s="212">
        <f t="shared" ca="1" si="16"/>
        <v>1</v>
      </c>
      <c r="AO6" s="212">
        <f t="shared" ca="1" si="16"/>
        <v>1</v>
      </c>
      <c r="AP6" s="212">
        <f t="shared" ca="1" si="16"/>
        <v>0</v>
      </c>
      <c r="AQ6" s="212">
        <f t="shared" ca="1" si="16"/>
        <v>0</v>
      </c>
      <c r="AR6" s="212">
        <f t="shared" ca="1" si="16"/>
        <v>2</v>
      </c>
      <c r="AS6" s="212">
        <f t="shared" ca="1" si="16"/>
        <v>0</v>
      </c>
      <c r="AT6" s="213">
        <f t="shared" ca="1" si="16"/>
        <v>2</v>
      </c>
      <c r="AU6" s="418">
        <f ca="1">INDEX($DL$6:$DL$53,MATCH(AI6,$DP$6:$DP$53,0))</f>
        <v>1</v>
      </c>
      <c r="AV6" s="215" t="str">
        <f ca="1">INDEX($BD$6:$BD$53,MATCH(AI6,$BM$6:$BM$53,0))</f>
        <v>México</v>
      </c>
      <c r="AW6" s="425"/>
      <c r="AX6" s="216"/>
      <c r="AY6" s="217" t="str">
        <f ca="1">+A5</f>
        <v>México</v>
      </c>
      <c r="AZ6" s="218"/>
      <c r="BA6" s="173"/>
      <c r="BB6" s="730"/>
      <c r="BC6" s="742" t="str">
        <f ca="1">+INDEX(T_Equipos[Grupo],MATCH(WORLDCUP!BD6,T_Equipos[NombreEquipo],0))</f>
        <v>A</v>
      </c>
      <c r="BD6" s="730" t="str">
        <f ca="1">+Equipos!B2</f>
        <v>México</v>
      </c>
      <c r="BE6" s="734">
        <f ca="1">+BG6*3+BH6+IF($AZ$3="no",0,INDEX($AZ$6:$AZ$97,MATCH(BD6,$AY$6:$AY$97,0)))</f>
        <v>3</v>
      </c>
      <c r="BF6" s="734">
        <f ca="1">+BG6+BH6+BI6</f>
        <v>1</v>
      </c>
      <c r="BG6" s="734">
        <f t="shared" ref="BG6:BG53" ca="1" si="17">+COUNTIFS(FGLocal,BD6,Ganador,"Local")+COUNTIFS(FGVisitante,BD6,Ganador,"Visitante")</f>
        <v>1</v>
      </c>
      <c r="BH6" s="734">
        <f t="shared" ref="BH6:BH53" ca="1" si="18">+COUNTIFS(FGLocal,BD6,Ganador,"Empate")+COUNTIFS(FGVisitante,BD6,Ganador,"Empate")</f>
        <v>0</v>
      </c>
      <c r="BI6" s="734">
        <f t="shared" ref="BI6:BI53" ca="1" si="19">+COUNTIFS(FGVisitante,BD6,Ganador,"Local")+COUNTIFS(FGLocal,BD6,Ganador,"Visitante")</f>
        <v>0</v>
      </c>
      <c r="BJ6" s="734">
        <f t="shared" ref="BJ6:BJ53" ca="1" si="20">+SUMIFS(FG_GolesLocal,FGLocal,BD6,Ganador,"&lt;&gt;"&amp;"Pendiente",FG_GolesLocal,"&lt;&gt;"&amp;"",FG_GolesVisitante,"&lt;&gt;"&amp;"")+SUMIFS(FG_GolesVisitante,FGVisitante,BD6,Ganador,"&lt;&gt;"&amp;"Pendiente",FG_GolesLocal,"&lt;&gt;"&amp;"",FG_GolesVisitante,"&lt;&gt;"&amp;"")</f>
        <v>2</v>
      </c>
      <c r="BK6" s="734">
        <f t="shared" ref="BK6:BK53" ca="1" si="21">+SUMIFS(FG_GolesLocal,FGVisitante,BD6,Ganador,"&lt;&gt;"&amp;"Pendiente",FG_GolesLocal,"&lt;&gt;"&amp;"",FG_GolesVisitante,"&lt;&gt;"&amp;"")+SUMIFS(FG_GolesVisitante,FGLocal,BD6,Ganador,"&lt;&gt;"&amp;"Pendiente",FG_GolesLocal,"&lt;&gt;"&amp;"",FG_GolesVisitante,"&lt;&gt;"&amp;"")</f>
        <v>0</v>
      </c>
      <c r="BL6" s="734">
        <f ca="1">+BJ6-BK6</f>
        <v>2</v>
      </c>
      <c r="BM6" s="734" t="str">
        <f t="shared" ref="BM6:BM53" ca="1" si="22">DD6&amp;BC6</f>
        <v>1A</v>
      </c>
      <c r="BN6" s="734" t="str">
        <f t="shared" ref="BN6:BN53" ca="1" si="23">DH6&amp;BC6</f>
        <v>1A</v>
      </c>
      <c r="BO6" s="743">
        <f ca="1">IF(AND($AJ$99=144,BF6&gt;=1),1,0)</f>
        <v>0</v>
      </c>
      <c r="BP6" s="743">
        <f ca="1">COUNTIFS($BO$6:$BO$53,"&gt;"&amp;BO6,$BC$6:$BC$53,INDEX(T_Equipos[Grupo],MATCH(BD6,T_Equipos[NombreEquipo],0)))+1</f>
        <v>1</v>
      </c>
      <c r="BQ6" s="743" t="str">
        <f ca="1">IF(COUNTIFS($BP$6:$BP$53,BP6,$BC$6:$BC$53,INDEX(T_Equipos[Grupo],MATCH(BD6,T_Equipos[NombreEquipo],0)))=1,"-","P."&amp;BP6&amp;" ("&amp;COUNTIFS($BP$6:$BP$53,BP6,$BC$6:$BC$53,INDEX(T_Equipos[Grupo],MATCH(BD6,T_Equipos[NombreEquipo],0)))&amp;")")</f>
        <v>P.1 (4)</v>
      </c>
      <c r="BR6" s="743">
        <f ca="1">IF($BQ6="-","-",BE6)</f>
        <v>3</v>
      </c>
      <c r="BS6" s="743">
        <f ca="1">BP6+COUNTIFS($BQ$6:$BQ$53,BQ6,$BR$6:BR$53,"&gt;"&amp;BR6,$BC$6:$BC$53,INDEX(T_Equipos[Grupo],MATCH(BD6,T_Equipos[NombreEquipo],0)))</f>
        <v>1</v>
      </c>
      <c r="BT6" s="743" t="str">
        <f ca="1">IF(COUNTIFS($BS$6:$BS$53,BS6,$BC$6:$BC$53,INDEX(T_Equipos[Grupo],MATCH(BD6,T_Equipos[NombreEquipo],0)))=1,"-","P."&amp;BS6&amp;" ("&amp;COUNTIFS($BS$6:$BS$53,BS6,$BC$6:$BC$53,INDEX(T_Equipos[Grupo],MATCH(BD6,T_Equipos[NombreEquipo],0)))&amp;")")</f>
        <v>P.1 (2)</v>
      </c>
      <c r="BU6" s="744">
        <f ca="1">IF($BT6="-","-",COUNTIFS(FGLocal,$BD6,Ganador,"Local",Part1Empate1V,$BT6)+COUNTIFS(FGVisitante,$BD6,Ganador,"Visitante",Part1Empate1L,$BT6))</f>
        <v>0</v>
      </c>
      <c r="BV6" s="744">
        <f ca="1">IF($BT6="-","-",COUNTIFS(FGLocal,$BD6,Ganador,"Empate",Part1Empate1V,$BT6)+COUNTIFS(FGVisitante,$BD6,Ganador,"Empate",Part1Empate1L,$BT6))</f>
        <v>0</v>
      </c>
      <c r="BW6" s="744">
        <f ca="1">IF($BT6="-","-",COUNTIFS(FGLocal,$BD6,Ganador,"Visitante",Part1Empate1V,$BT6)+COUNTIFS(FGVisitante,$BD6,Ganador,"Local",Part1Empate1L,$BT6))</f>
        <v>0</v>
      </c>
      <c r="BX6" s="744">
        <f ca="1">IF($BT6="-","-",BU6*3+BV6)</f>
        <v>0</v>
      </c>
      <c r="BY6" s="744">
        <f ca="1">BS6+COUNTIFS($BT$6:$BT$53,BT6,$BX$6:BX$53,"&gt;"&amp;BX6,$BC$6:$BC$53,INDEX(T_Equipos[Grupo],MATCH(BD6,T_Equipos[NombreEquipo],0)))</f>
        <v>1</v>
      </c>
      <c r="BZ6" s="743" t="str">
        <f ca="1">IF(COUNTIFS($BY$6:$BY$53,BY6,$BC$6:$BC$53,INDEX(T_Equipos[Grupo],MATCH(BD6,T_Equipos[NombreEquipo],0)))=1,"-","P."&amp;BY6&amp;" ("&amp;COUNTIFS($BY$6:$BY$53,BY6,$BC$6:$BC$53,INDEX(T_Equipos[Grupo],MATCH(BD6,T_Equipos[NombreEquipo],0)))&amp;")")</f>
        <v>P.1 (2)</v>
      </c>
      <c r="CA6" s="744">
        <f ca="1">IF($BZ6="-","-",SUMIFS(FG_GolesLocal,FGLocal,$BD6,Part1Empate2V,$BZ6)+SUMIFS(FG_GolesVisitante,FGVisitante,$BD6,Part1Empate2L,$BZ6))</f>
        <v>0</v>
      </c>
      <c r="CB6" s="744">
        <f ca="1">IF($BZ6="-","-",SUMIFS(FG_GolesVisitante,FGLocal,$BD6,Part1Empate2V,$BZ6)+SUMIFS(FG_GolesLocal,FGVisitante,$BD6,Part1Empate2L,$BZ6))</f>
        <v>0</v>
      </c>
      <c r="CC6" s="744">
        <f ca="1">IF($BZ6="-","-",CA6-CB6)</f>
        <v>0</v>
      </c>
      <c r="CD6" s="744">
        <f ca="1">BY6+COUNTIFS($BZ$6:$BZ$53,BZ6,$CC$6:CC$53,"&gt;"&amp;CC6,$BC$6:$BC$53,INDEX(T_Equipos[Grupo],MATCH(BD6,T_Equipos[NombreEquipo],0)))</f>
        <v>1</v>
      </c>
      <c r="CE6" s="743" t="str">
        <f ca="1">IF(COUNTIFS($CD$6:$CD$53,CD6,$BC$6:$BC$53,INDEX(T_Equipos[Grupo],MATCH(BD6,T_Equipos[NombreEquipo],0)))=1,"-","P."&amp;CD6&amp;" ("&amp;COUNTIFS($CD$6:$CD$53,CD6,$BC$6:$BC$53,INDEX(T_Equipos[Grupo],MATCH(BD6,T_Equipos[NombreEquipo],0)))&amp;")")</f>
        <v>P.1 (2)</v>
      </c>
      <c r="CF6" s="744">
        <f ca="1">IF($CE6="-","-",SUMIFS(FG_GolesLocal,FGLocal,$BD6,Part1Empate3V,$CE6)+SUMIFS(FG_GolesVisitante,FGVisitante,$BD6,Part1Empate3L,$CE6))</f>
        <v>0</v>
      </c>
      <c r="CG6" s="744">
        <f ca="1">CD6+COUNTIFS($CE$6:$CE$53,CE6,$CF$6:CF$53,"&gt;"&amp;CF6,$BC$6:$BC$53,INDEX(T_Equipos[Grupo],MATCH(BD6,T_Equipos[NombreEquipo],0)))</f>
        <v>1</v>
      </c>
      <c r="CH6" s="743" t="str">
        <f ca="1">IF(COUNTIFS($CG$6:$CG$53,CG6,$BC$6:$BC$53,INDEX(T_Equipos[Grupo],MATCH(BD6,T_Equipos[NombreEquipo],0)))=1,"-","P."&amp;CG6&amp;" ("&amp;COUNTIFS($CG$6:$CG$53,CG6,$BC$6:$BC$53,INDEX(T_Equipos[Grupo],MATCH(BD6,T_Equipos[NombreEquipo],0)))&amp;")")</f>
        <v>P.1 (2)</v>
      </c>
      <c r="CI6" s="744">
        <f ca="1">IF($CH6="-","-",COUNTIFS(FGLocal,$BD6,Ganador,"Local",Part2Empate4V,$CH6)+COUNTIFS(FGVisitante,$BD6,Ganador,"Visitante",Part2Empate4L,$CH6))</f>
        <v>0</v>
      </c>
      <c r="CJ6" s="744">
        <f ca="1">IF($CH6="-","-",COUNTIFS(FGLocal,$BD6,Ganador,"Empate",Part2Empate4V,$CH6)+COUNTIFS(FGVisitante,$BD6,Ganador,"Empate",Part2Empate4L,$CH6))</f>
        <v>0</v>
      </c>
      <c r="CK6" s="744">
        <f ca="1">IF($CH6="-","-",COUNTIFS(FGLocal,$BD6,Ganador,"Visitante",Part2Empate4V,$CH6)+COUNTIFS(FGVisitante,$BD6,Ganador,"Local",Part2Empate4L,$CH6))</f>
        <v>0</v>
      </c>
      <c r="CL6" s="744">
        <f ca="1">IF($CH6="-","-",CI6*3+CJ6)</f>
        <v>0</v>
      </c>
      <c r="CM6" s="744">
        <f ca="1">CG6+COUNTIFS($CH$6:$CH$53,CH6,$CL$6:CL$53,"&gt;"&amp;CL6,$BC$6:$BC$53,INDEX(T_Equipos[Grupo],MATCH(BD6,T_Equipos[NombreEquipo],0)))</f>
        <v>1</v>
      </c>
      <c r="CN6" s="743" t="str">
        <f ca="1">IF(COUNTIFS($CM$6:$CM$53,CM6,$BC$6:$BC$53,INDEX(T_Equipos[Grupo],MATCH(BD6,T_Equipos[NombreEquipo],0)))=1,"-","P."&amp;CM6&amp;" ("&amp;COUNTIFS($CM$6:$CM$53,CM6,$BC$6:$BC$53,INDEX(T_Equipos[Grupo],MATCH(BD6,T_Equipos[NombreEquipo],0)))&amp;")")</f>
        <v>P.1 (2)</v>
      </c>
      <c r="CO6" s="744">
        <f ca="1">IF($CN6="-","-",SUMIFS(FG_GolesLocal,FGLocal,$BD6,Part2Empate5V,$CN6)+SUMIFS(FG_GolesVisitante,FGVisitante,$BD6,Part2Empate5L,$CN6))</f>
        <v>0</v>
      </c>
      <c r="CP6" s="744">
        <f ca="1">IF($CN6="-","-",SUMIFS(FG_GolesVisitante,FGLocal,$BD6,Part2Empate5V,$CN6)+SUMIFS(FG_GolesLocal,FGVisitante,$BD6,Part2Empate5L,$CN6))</f>
        <v>0</v>
      </c>
      <c r="CQ6" s="744">
        <f ca="1">IF($CN6="-","-",CO6-CP6)</f>
        <v>0</v>
      </c>
      <c r="CR6" s="744">
        <f ca="1">CM6+COUNTIFS($CN$6:$CN$53,CN6,$CQ$6:CQ$53,"&gt;"&amp;CQ6,$BC$6:$BC$53,INDEX(T_Equipos[Grupo],MATCH(BD6,T_Equipos[NombreEquipo],0)))</f>
        <v>1</v>
      </c>
      <c r="CS6" s="743" t="str">
        <f ca="1">IF(COUNTIFS($CR$6:$CR$53,CR6,$BC$6:$BC$53,INDEX(T_Equipos[Grupo],MATCH(BD6,T_Equipos[NombreEquipo],0)))=1,"-","P."&amp;CR6&amp;" ("&amp;COUNTIFS($CR$6:$CR$53,CR6,$BC$6:$BC$53,INDEX(T_Equipos[Grupo],MATCH(BD6,T_Equipos[NombreEquipo],0)))&amp;")")</f>
        <v>P.1 (2)</v>
      </c>
      <c r="CT6" s="744">
        <f ca="1">IF($CS6="-","-",SUMIFS(FG_GolesLocal,FGLocal,$BD6,Part2Empate6V,$CS6)+SUMIFS(FG_GolesVisitante,FGVisitante,$BD6,Part2Empate6L,$CS6))</f>
        <v>0</v>
      </c>
      <c r="CU6" s="744">
        <f ca="1">CR6+COUNTIFS($CS$6:$CS$53,CS6,$CT$6:CT$53,"&gt;"&amp;CT6,$BC$6:$BC$53,INDEX(T_Equipos[Grupo],MATCH(BD6,T_Equipos[NombreEquipo],0)))</f>
        <v>1</v>
      </c>
      <c r="CV6" s="743" t="str">
        <f ca="1">IF(COUNTIFS($CU$6:$CU$53,CU6,$BC$6:$BC$53,INDEX(T_Equipos[Grupo],MATCH(BD6,T_Equipos[NombreEquipo],0)))=1,"-","P."&amp;CU6&amp;" ("&amp;COUNTIFS($CU$6:$CU$53,CU6,$BC$6:$BC$53,INDEX(T_Equipos[Grupo],MATCH(BD6,T_Equipos[NombreEquipo],0)))&amp;")")</f>
        <v>P.1 (2)</v>
      </c>
      <c r="CW6" s="743">
        <f ca="1">IF(CV6="-","-",BL6)</f>
        <v>2</v>
      </c>
      <c r="CX6" s="743">
        <f ca="1">CU6+COUNTIFS($CV$6:$CV$53,CV6,$CW$6:CW$53,"&gt;"&amp;CW6,$BC$6:$BC$53,INDEX(T_Equipos[Grupo],MATCH(BD6,T_Equipos[NombreEquipo],0)))</f>
        <v>1</v>
      </c>
      <c r="CY6" s="743" t="str">
        <f ca="1">IF(COUNTIFS($CX$6:$CX$53,CX6,$BC$6:$BC$53,INDEX(T_Equipos[Grupo],MATCH(BD6,T_Equipos[NombreEquipo],0)))=1,"-","P."&amp;CX6&amp;" ("&amp;COUNTIFS($CX$6:$CX$53,CX6,$BC$6:$BC$53,INDEX(T_Equipos[Grupo],MATCH(BD6,T_Equipos[NombreEquipo],0)))&amp;")")</f>
        <v>-</v>
      </c>
      <c r="CZ6" s="743" t="str">
        <f ca="1">IF(CY6="-","-",BJ6)</f>
        <v>-</v>
      </c>
      <c r="DA6" s="744">
        <f ca="1">CX6+COUNTIFS($CY$6:$CY$53,CY6,$CZ$6:CZ$53,"&gt;"&amp;CZ6,$BC$6:$BC$53,INDEX(T_Equipos[Grupo],MATCH(BD6,T_Equipos[NombreEquipo],0)))</f>
        <v>1</v>
      </c>
      <c r="DB6" s="743" t="str">
        <f ca="1">IF(COUNTIFS($DA$6:$DA$53,DA6,$BC$6:$BC$53,INDEX(T_Equipos[Grupo],MATCH(BD6,T_Equipos[NombreEquipo],0)))=1,"-","P."&amp;DA6&amp;" ("&amp;COUNTIFS($DA$6:$DA$53,DA6,$BC$6:$BC$53,INDEX(T_Equipos[Grupo],MATCH(BD6,T_Equipos[NombreEquipo],0)))&amp;")")</f>
        <v>-</v>
      </c>
      <c r="DC6" s="742" t="str">
        <f ca="1">IF(DB6="-","-",COUNTIFS(T_Equipos[Rank],"&lt;"&amp;INDEX(T_Equipos[Rank],MATCH(BD6,T_Equipos[NombreEquipo],0)),$BC$6:$BC$53,INDEX(T_Equipos[Grupo],MATCH(BD6,T_Equipos[NombreEquipo],0)))+1)</f>
        <v>-</v>
      </c>
      <c r="DD6" s="742">
        <f ca="1">DA6+COUNTIFS($DB$6:$DB$53,DB6,$DC$6:DC$53,"&lt;"&amp;DC6,$BC$6:$BC$53,INDEX(T_Equipos[Grupo],MATCH(BD6,T_Equipos[NombreEquipo],0)))</f>
        <v>1</v>
      </c>
      <c r="DE6" s="742"/>
      <c r="DF6" s="742">
        <f ca="1">IF(OR(INDEX($AW$6:$AW$97,MATCH($BD6,$AV$6:$AV$97,0))="",DB6="-"),DD6,INDEX($AW$6:$AW$97,MATCH($BD6,$AV$6:$AV$97,0))+DD6/1000)</f>
        <v>1</v>
      </c>
      <c r="DG6" s="742" t="str">
        <f ca="1">IF(DB6="-","-",COUNTIFS(DF$6:DF$53,"&lt;"&amp;DF6,$BC$6:$BC$53,INDEX(T_Equipos[Grupo],MATCH(BD6,T_Equipos[NombreEquipo],0))))</f>
        <v>-</v>
      </c>
      <c r="DH6" s="742">
        <f ca="1">DA6+COUNTIFS(DB$6:DB$53,DB6,DG$6:DG$53,"&lt;"&amp;DG6,$BC$6:$BC$53,INDEX(T_Equipos[Grupo],MATCH(BD6,T_Equipos[NombreEquipo],0)))</f>
        <v>1</v>
      </c>
      <c r="DI6" s="730"/>
      <c r="DJ6" s="730">
        <f ca="1">INDEX($DA$6:$DA$53,MATCH($DQ6,$BD$6:$BD$53,0))</f>
        <v>1</v>
      </c>
      <c r="DK6" s="730">
        <f t="shared" ref="DK6:DK53" ca="1" si="24">+SUMIF($BC$6:$BC$53,BC6,$BF$6:$BF$53)</f>
        <v>4</v>
      </c>
      <c r="DL6" s="730">
        <f ca="1">IF(OR(DK6=12,$AJ$99=144),COUNTIFS($DJ$6:$DJ$53,DJ6,$BC$6:$BC$53,BC6),1)</f>
        <v>1</v>
      </c>
      <c r="DM6" s="724" t="str">
        <f ca="1">DJ6&amp;"."&amp;DL6</f>
        <v>1.1</v>
      </c>
      <c r="DN6" s="730" cm="1">
        <f t="array" aca="1" ref="DN6" ca="1">OFFSET(Horarios!$P$3,DJ6-1,0,DL6,1)</f>
        <v>1</v>
      </c>
      <c r="DO6" s="730"/>
      <c r="DP6" s="730" t="s">
        <v>645</v>
      </c>
      <c r="DQ6" s="730" t="str">
        <f ca="1">INDEX($BD$6:$BD$53,MATCH(DP6,$BM$6:$BM$53,0))</f>
        <v>México</v>
      </c>
      <c r="DR6" s="730"/>
      <c r="DS6" s="730"/>
      <c r="DT6" s="730" t="str">
        <f t="shared" ca="1" si="15"/>
        <v>República Checa-Sudáfrica</v>
      </c>
      <c r="DU6" s="730"/>
      <c r="DV6" s="730"/>
      <c r="DW6" s="8"/>
    </row>
    <row r="7" spans="1:127" ht="16.95" customHeight="1">
      <c r="A7" s="731" t="str">
        <f ca="1">+Equipos!B4</f>
        <v>Corea del Sur</v>
      </c>
      <c r="B7" s="728"/>
      <c r="C7" s="730"/>
      <c r="D7" s="730" t="str">
        <f t="shared" si="0"/>
        <v>Pendiente</v>
      </c>
      <c r="E7" s="730" t="str">
        <f t="shared" si="1"/>
        <v>-</v>
      </c>
      <c r="F7" s="730" t="str">
        <f t="shared" si="2"/>
        <v>-</v>
      </c>
      <c r="G7" s="730"/>
      <c r="H7" s="730" t="str">
        <f t="shared" si="3"/>
        <v>-</v>
      </c>
      <c r="I7" s="730" t="str">
        <f t="shared" si="4"/>
        <v>-</v>
      </c>
      <c r="J7" s="730"/>
      <c r="K7" s="730" t="str">
        <f t="shared" si="5"/>
        <v>-</v>
      </c>
      <c r="L7" s="730" t="str">
        <f t="shared" si="6"/>
        <v>-</v>
      </c>
      <c r="M7" s="730"/>
      <c r="N7" s="730" t="str">
        <f t="shared" si="7"/>
        <v>-</v>
      </c>
      <c r="O7" s="730" t="str">
        <f t="shared" si="8"/>
        <v>-</v>
      </c>
      <c r="P7" s="730"/>
      <c r="Q7" s="730" t="str">
        <f t="shared" si="9"/>
        <v>-</v>
      </c>
      <c r="R7" s="730" t="str">
        <f t="shared" si="10"/>
        <v>-</v>
      </c>
      <c r="S7" s="730"/>
      <c r="T7" s="730" t="str">
        <f t="shared" si="11"/>
        <v>-</v>
      </c>
      <c r="U7" s="730" t="str">
        <f t="shared" si="12"/>
        <v>-</v>
      </c>
      <c r="V7" s="170"/>
      <c r="W7" s="847"/>
      <c r="X7" s="187">
        <f ca="1">Horarios!C7</f>
        <v>46191.875</v>
      </c>
      <c r="Y7" s="188">
        <f ca="1">Horarios!C7</f>
        <v>46191.875</v>
      </c>
      <c r="Z7" s="189" t="str">
        <f>$Z$6</f>
        <v>J2</v>
      </c>
      <c r="AA7" s="190" t="str">
        <f ca="1">A5</f>
        <v>México</v>
      </c>
      <c r="AB7" s="477" t="e" cm="1" vm="1">
        <f t="array" aca="1" ref="AB7" ca="1">Ver_flag_local</f>
        <v>#VALUE!</v>
      </c>
      <c r="AC7" s="191"/>
      <c r="AD7" s="192"/>
      <c r="AE7" s="480" t="e" cm="1" vm="3">
        <f t="array" aca="1" ref="AE7" ca="1">Ver_flag_visit</f>
        <v>#VALUE!</v>
      </c>
      <c r="AF7" s="193" t="str">
        <f ca="1">A7</f>
        <v>Corea del Sur</v>
      </c>
      <c r="AG7" s="411">
        <f t="shared" si="13"/>
        <v>0</v>
      </c>
      <c r="AH7" s="194">
        <v>28</v>
      </c>
      <c r="AI7" s="19" t="str">
        <f>AJ7&amp;$B$4</f>
        <v>2A</v>
      </c>
      <c r="AJ7" s="219">
        <v>2</v>
      </c>
      <c r="AK7" s="488" t="e" cm="1" vm="3">
        <f t="array" aca="1" ref="AK7" ca="1">Ver_flag_visit</f>
        <v>#VALUE!</v>
      </c>
      <c r="AL7" s="220" t="str">
        <f ca="1">IFERROR(INDEX($BD$6:$BD$53,MATCH(AI7,$BN$6:$BN$53,0)),"")</f>
        <v>Corea del Sur</v>
      </c>
      <c r="AM7" s="221">
        <f t="shared" ca="1" si="16"/>
        <v>3</v>
      </c>
      <c r="AN7" s="222">
        <f t="shared" ca="1" si="16"/>
        <v>1</v>
      </c>
      <c r="AO7" s="222">
        <f t="shared" ca="1" si="16"/>
        <v>1</v>
      </c>
      <c r="AP7" s="222">
        <f t="shared" ca="1" si="16"/>
        <v>0</v>
      </c>
      <c r="AQ7" s="222">
        <f t="shared" ca="1" si="16"/>
        <v>0</v>
      </c>
      <c r="AR7" s="222">
        <f t="shared" ca="1" si="16"/>
        <v>2</v>
      </c>
      <c r="AS7" s="222">
        <f t="shared" ca="1" si="16"/>
        <v>1</v>
      </c>
      <c r="AT7" s="223">
        <f t="shared" ca="1" si="16"/>
        <v>1</v>
      </c>
      <c r="AU7" s="418">
        <f ca="1">INDEX($DL$6:$DL$53,MATCH(AI7,$DP$6:$DP$53,0))</f>
        <v>1</v>
      </c>
      <c r="AV7" s="215" t="str">
        <f ca="1">INDEX($BD$6:$BD$53,MATCH(AI7,$BM$6:$BM$53,0))</f>
        <v>Corea del Sur</v>
      </c>
      <c r="AW7" s="425"/>
      <c r="AX7" s="216"/>
      <c r="AY7" s="224" t="str">
        <f ca="1">+A6</f>
        <v>Sudáfrica</v>
      </c>
      <c r="AZ7" s="225"/>
      <c r="BA7" s="173"/>
      <c r="BB7" s="730"/>
      <c r="BC7" s="742" t="str">
        <f ca="1">+INDEX(T_Equipos[Grupo],MATCH(WORLDCUP!BD7,T_Equipos[NombreEquipo],0))</f>
        <v>A</v>
      </c>
      <c r="BD7" s="730" t="str">
        <f ca="1">+Equipos!B3</f>
        <v>Sudáfrica</v>
      </c>
      <c r="BE7" s="734">
        <f t="shared" ref="BE7:BE53" ca="1" si="25">+BG7*3+BH7+IF($AZ$3="no",0,INDEX($AZ$6:$AZ$97,MATCH(BD7,$AY$6:$AY$97,0)))</f>
        <v>0</v>
      </c>
      <c r="BF7" s="734">
        <f t="shared" ref="BF7:BF53" ca="1" si="26">+BG7+BH7+BI7</f>
        <v>1</v>
      </c>
      <c r="BG7" s="734">
        <f t="shared" ca="1" si="17"/>
        <v>0</v>
      </c>
      <c r="BH7" s="734">
        <f t="shared" ca="1" si="18"/>
        <v>0</v>
      </c>
      <c r="BI7" s="734">
        <f t="shared" ca="1" si="19"/>
        <v>1</v>
      </c>
      <c r="BJ7" s="734">
        <f t="shared" ca="1" si="20"/>
        <v>0</v>
      </c>
      <c r="BK7" s="734">
        <f t="shared" ca="1" si="21"/>
        <v>2</v>
      </c>
      <c r="BL7" s="734">
        <f t="shared" ref="BL7:BL53" ca="1" si="27">+BJ7-BK7</f>
        <v>-2</v>
      </c>
      <c r="BM7" s="734" t="str">
        <f t="shared" ca="1" si="22"/>
        <v>4A</v>
      </c>
      <c r="BN7" s="734" t="str">
        <f t="shared" ca="1" si="23"/>
        <v>4A</v>
      </c>
      <c r="BO7" s="743">
        <f t="shared" ref="BO7:BO53" ca="1" si="28">IF(AND($AJ$99=144,BF7&gt;=1),1,0)</f>
        <v>0</v>
      </c>
      <c r="BP7" s="743">
        <f ca="1">COUNTIFS($BO$6:$BO$53,"&gt;"&amp;BO7,$BC$6:$BC$53,INDEX(T_Equipos[Grupo],MATCH(BD7,T_Equipos[NombreEquipo],0)))+1</f>
        <v>1</v>
      </c>
      <c r="BQ7" s="743" t="str">
        <f ca="1">IF(COUNTIFS($BP$6:$BP$53,BP7,$BC$6:$BC$53,INDEX(T_Equipos[Grupo],MATCH(BD7,T_Equipos[NombreEquipo],0)))=1,"-","P."&amp;BP7&amp;" ("&amp;COUNTIFS($BP$6:$BP$53,BP7,$BC$6:$BC$53,INDEX(T_Equipos[Grupo],MATCH(BD7,T_Equipos[NombreEquipo],0)))&amp;")")</f>
        <v>P.1 (4)</v>
      </c>
      <c r="BR7" s="743">
        <f t="shared" ref="BR7:BR53" ca="1" si="29">IF($BQ7="-","-",BE7)</f>
        <v>0</v>
      </c>
      <c r="BS7" s="743">
        <f ca="1">BP7+COUNTIFS($BQ$6:$BQ$53,BQ7,$BR$6:BR$53,"&gt;"&amp;BR7,$BC$6:$BC$53,INDEX(T_Equipos[Grupo],MATCH(BD7,T_Equipos[NombreEquipo],0)))</f>
        <v>3</v>
      </c>
      <c r="BT7" s="743" t="str">
        <f ca="1">IF(COUNTIFS($BS$6:$BS$53,BS7,$BC$6:$BC$53,INDEX(T_Equipos[Grupo],MATCH(BD7,T_Equipos[NombreEquipo],0)))=1,"-","P."&amp;BS7&amp;" ("&amp;COUNTIFS($BS$6:$BS$53,BS7,$BC$6:$BC$53,INDEX(T_Equipos[Grupo],MATCH(BD7,T_Equipos[NombreEquipo],0)))&amp;")")</f>
        <v>P.3 (2)</v>
      </c>
      <c r="BU7" s="744">
        <f ca="1">IF($BT7="-","-",COUNTIFS(FGLocal,$BD7,Ganador,"Local",Part1Empate1V,$BT7)+COUNTIFS(FGVisitante,$BD7,Ganador,"Visitante",Part1Empate1L,$BT7))</f>
        <v>0</v>
      </c>
      <c r="BV7" s="744">
        <f ca="1">IF($BT7="-","-",COUNTIFS(FGLocal,$BD7,Ganador,"Empate",Part1Empate1V,$BT7)+COUNTIFS(FGVisitante,$BD7,Ganador,"Empate",Part1Empate1L,$BT7))</f>
        <v>0</v>
      </c>
      <c r="BW7" s="744">
        <f ca="1">IF($BT7="-","-",COUNTIFS(FGLocal,$BD7,Ganador,"Visitante",Part1Empate1V,$BT7)+COUNTIFS(FGVisitante,$BD7,Ganador,"Local",Part1Empate1L,$BT7))</f>
        <v>0</v>
      </c>
      <c r="BX7" s="744">
        <f ca="1">IF($BT7="-","-",BU7*3+BV7)</f>
        <v>0</v>
      </c>
      <c r="BY7" s="744">
        <f ca="1">BS7+COUNTIFS($BT$6:$BT$53,BT7,$BX$6:BX$53,"&gt;"&amp;BX7,$BC$6:$BC$53,INDEX(T_Equipos[Grupo],MATCH(BD7,T_Equipos[NombreEquipo],0)))</f>
        <v>3</v>
      </c>
      <c r="BZ7" s="743" t="str">
        <f ca="1">IF(COUNTIFS($BY$6:$BY$53,BY7,$BC$6:$BC$53,INDEX(T_Equipos[Grupo],MATCH(BD7,T_Equipos[NombreEquipo],0)))=1,"-","P."&amp;BY7&amp;" ("&amp;COUNTIFS($BY$6:$BY$53,BY7,$BC$6:$BC$53,INDEX(T_Equipos[Grupo],MATCH(BD7,T_Equipos[NombreEquipo],0)))&amp;")")</f>
        <v>P.3 (2)</v>
      </c>
      <c r="CA7" s="744">
        <f ca="1">IF($BZ7="-","-",SUMIFS(FG_GolesLocal,FGLocal,$BD7,Part1Empate2V,$BZ7)+SUMIFS(FG_GolesVisitante,FGVisitante,$BD7,Part1Empate2L,$BZ7))</f>
        <v>0</v>
      </c>
      <c r="CB7" s="744">
        <f ca="1">IF($BZ7="-","-",SUMIFS(FG_GolesVisitante,FGLocal,$BD7,Part1Empate2V,$BZ7)+SUMIFS(FG_GolesLocal,FGVisitante,$BD7,Part1Empate2L,$BZ7))</f>
        <v>0</v>
      </c>
      <c r="CC7" s="744">
        <f ca="1">IF($BZ7="-","-",CA7-CB7)</f>
        <v>0</v>
      </c>
      <c r="CD7" s="744">
        <f ca="1">BY7+COUNTIFS($BZ$6:$BZ$53,BZ7,$CC$6:CC$53,"&gt;"&amp;CC7,$BC$6:$BC$53,INDEX(T_Equipos[Grupo],MATCH(BD7,T_Equipos[NombreEquipo],0)))</f>
        <v>3</v>
      </c>
      <c r="CE7" s="743" t="str">
        <f ca="1">IF(COUNTIFS($CD$6:$CD$53,CD7,$BC$6:$BC$53,INDEX(T_Equipos[Grupo],MATCH(BD7,T_Equipos[NombreEquipo],0)))=1,"-","P."&amp;CD7&amp;" ("&amp;COUNTIFS($CD$6:$CD$53,CD7,$BC$6:$BC$53,INDEX(T_Equipos[Grupo],MATCH(BD7,T_Equipos[NombreEquipo],0)))&amp;")")</f>
        <v>P.3 (2)</v>
      </c>
      <c r="CF7" s="744">
        <f ca="1">IF($CE7="-","-",SUMIFS(FG_GolesLocal,FGLocal,$BD7,Part1Empate3V,$CE7)+SUMIFS(FG_GolesVisitante,FGVisitante,$BD7,Part1Empate3L,$CE7))</f>
        <v>0</v>
      </c>
      <c r="CG7" s="744">
        <f ca="1">CD7+COUNTIFS($CE$6:$CE$53,CE7,$CF$6:CF$53,"&gt;"&amp;CF7,$BC$6:$BC$53,INDEX(T_Equipos[Grupo],MATCH(BD7,T_Equipos[NombreEquipo],0)))</f>
        <v>3</v>
      </c>
      <c r="CH7" s="743" t="str">
        <f ca="1">IF(COUNTIFS($CG$6:$CG$53,CG7,$BC$6:$BC$53,INDEX(T_Equipos[Grupo],MATCH(BD7,T_Equipos[NombreEquipo],0)))=1,"-","P."&amp;CG7&amp;" ("&amp;COUNTIFS($CG$6:$CG$53,CG7,$BC$6:$BC$53,INDEX(T_Equipos[Grupo],MATCH(BD7,T_Equipos[NombreEquipo],0)))&amp;")")</f>
        <v>P.3 (2)</v>
      </c>
      <c r="CI7" s="744">
        <f ca="1">IF($CH7="-","-",COUNTIFS(FGLocal,$BD7,Ganador,"Local",Part2Empate4V,$CH7)+COUNTIFS(FGVisitante,$BD7,Ganador,"Visitante",Part2Empate4L,$CH7))</f>
        <v>0</v>
      </c>
      <c r="CJ7" s="744">
        <f ca="1">IF($CH7="-","-",COUNTIFS(FGLocal,$BD7,Ganador,"Empate",Part2Empate4V,$CH7)+COUNTIFS(FGVisitante,$BD7,Ganador,"Empate",Part2Empate4L,$CH7))</f>
        <v>0</v>
      </c>
      <c r="CK7" s="744">
        <f ca="1">IF($CH7="-","-",COUNTIFS(FGLocal,$BD7,Ganador,"Visitante",Part2Empate4V,$CH7)+COUNTIFS(FGVisitante,$BD7,Ganador,"Local",Part2Empate4L,$CH7))</f>
        <v>0</v>
      </c>
      <c r="CL7" s="744">
        <f ca="1">IF($CH7="-","-",CI7*3+CJ7)</f>
        <v>0</v>
      </c>
      <c r="CM7" s="744">
        <f ca="1">CG7+COUNTIFS($CH$6:$CH$53,CH7,$CL$6:CL$53,"&gt;"&amp;CL7,$BC$6:$BC$53,INDEX(T_Equipos[Grupo],MATCH(BD7,T_Equipos[NombreEquipo],0)))</f>
        <v>3</v>
      </c>
      <c r="CN7" s="743" t="str">
        <f ca="1">IF(COUNTIFS($CM$6:$CM$53,CM7,$BC$6:$BC$53,INDEX(T_Equipos[Grupo],MATCH(BD7,T_Equipos[NombreEquipo],0)))=1,"-","P."&amp;CM7&amp;" ("&amp;COUNTIFS($CM$6:$CM$53,CM7,$BC$6:$BC$53,INDEX(T_Equipos[Grupo],MATCH(BD7,T_Equipos[NombreEquipo],0)))&amp;")")</f>
        <v>P.3 (2)</v>
      </c>
      <c r="CO7" s="744">
        <f ca="1">IF($CN7="-","-",SUMIFS(FG_GolesLocal,FGLocal,$BD7,Part2Empate5V,$CN7)+SUMIFS(FG_GolesVisitante,FGVisitante,$BD7,Part2Empate5L,$CN7))</f>
        <v>0</v>
      </c>
      <c r="CP7" s="744">
        <f ca="1">IF($CN7="-","-",SUMIFS(FG_GolesVisitante,FGLocal,$BD7,Part2Empate5V,$CN7)+SUMIFS(FG_GolesLocal,FGVisitante,$BD7,Part2Empate5L,$CN7))</f>
        <v>0</v>
      </c>
      <c r="CQ7" s="744">
        <f ca="1">IF($CN7="-","-",CO7-CP7)</f>
        <v>0</v>
      </c>
      <c r="CR7" s="744">
        <f ca="1">CM7+COUNTIFS($CN$6:$CN$53,CN7,$CQ$6:CQ$53,"&gt;"&amp;CQ7,$BC$6:$BC$53,INDEX(T_Equipos[Grupo],MATCH(BD7,T_Equipos[NombreEquipo],0)))</f>
        <v>3</v>
      </c>
      <c r="CS7" s="743" t="str">
        <f ca="1">IF(COUNTIFS($CR$6:$CR$53,CR7,$BC$6:$BC$53,INDEX(T_Equipos[Grupo],MATCH(BD7,T_Equipos[NombreEquipo],0)))=1,"-","P."&amp;CR7&amp;" ("&amp;COUNTIFS($CR$6:$CR$53,CR7,$BC$6:$BC$53,INDEX(T_Equipos[Grupo],MATCH(BD7,T_Equipos[NombreEquipo],0)))&amp;")")</f>
        <v>P.3 (2)</v>
      </c>
      <c r="CT7" s="744">
        <f ca="1">IF($CS7="-","-",SUMIFS(FG_GolesLocal,FGLocal,$BD7,Part2Empate6V,$CS7)+SUMIFS(FG_GolesVisitante,FGVisitante,$BD7,Part2Empate6L,$CS7))</f>
        <v>0</v>
      </c>
      <c r="CU7" s="744">
        <f ca="1">CR7+COUNTIFS($CS$6:$CS$53,CS7,$CT$6:CT$53,"&gt;"&amp;CT7,$BC$6:$BC$53,INDEX(T_Equipos[Grupo],MATCH(BD7,T_Equipos[NombreEquipo],0)))</f>
        <v>3</v>
      </c>
      <c r="CV7" s="743" t="str">
        <f ca="1">IF(COUNTIFS($CU$6:$CU$53,CU7,$BC$6:$BC$53,INDEX(T_Equipos[Grupo],MATCH(BD7,T_Equipos[NombreEquipo],0)))=1,"-","P."&amp;CU7&amp;" ("&amp;COUNTIFS($CU$6:$CU$53,CU7,$BC$6:$BC$53,INDEX(T_Equipos[Grupo],MATCH(BD7,T_Equipos[NombreEquipo],0)))&amp;")")</f>
        <v>P.3 (2)</v>
      </c>
      <c r="CW7" s="743">
        <f t="shared" ref="CW7:CW53" ca="1" si="30">IF(CV7="-","-",BL7)</f>
        <v>-2</v>
      </c>
      <c r="CX7" s="743">
        <f ca="1">CU7+COUNTIFS($CV$6:$CV$53,CV7,$CW$6:CW$53,"&gt;"&amp;CW7,$BC$6:$BC$53,INDEX(T_Equipos[Grupo],MATCH(BD7,T_Equipos[NombreEquipo],0)))</f>
        <v>4</v>
      </c>
      <c r="CY7" s="743" t="str">
        <f ca="1">IF(COUNTIFS($CX$6:$CX$53,CX7,$BC$6:$BC$53,INDEX(T_Equipos[Grupo],MATCH(BD7,T_Equipos[NombreEquipo],0)))=1,"-","P."&amp;CX7&amp;" ("&amp;COUNTIFS($CX$6:$CX$53,CX7,$BC$6:$BC$53,INDEX(T_Equipos[Grupo],MATCH(BD7,T_Equipos[NombreEquipo],0)))&amp;")")</f>
        <v>-</v>
      </c>
      <c r="CZ7" s="743" t="str">
        <f t="shared" ref="CZ7:CZ53" ca="1" si="31">IF(CY7="-","-",BJ7)</f>
        <v>-</v>
      </c>
      <c r="DA7" s="744">
        <f ca="1">CX7+COUNTIFS($CY$6:$CY$53,CY7,$CZ$6:CZ$53,"&gt;"&amp;CZ7,$BC$6:$BC$53,INDEX(T_Equipos[Grupo],MATCH(BD7,T_Equipos[NombreEquipo],0)))</f>
        <v>4</v>
      </c>
      <c r="DB7" s="743" t="str">
        <f ca="1">IF(COUNTIFS($DA$6:$DA$53,DA7,$BC$6:$BC$53,INDEX(T_Equipos[Grupo],MATCH(BD7,T_Equipos[NombreEquipo],0)))=1,"-","P."&amp;DA7&amp;" ("&amp;COUNTIFS($DA$6:$DA$53,DA7,$BC$6:$BC$53,INDEX(T_Equipos[Grupo],MATCH(BD7,T_Equipos[NombreEquipo],0)))&amp;")")</f>
        <v>-</v>
      </c>
      <c r="DC7" s="742" t="str">
        <f ca="1">IF(DB7="-","-",COUNTIFS(T_Equipos[Rank],"&lt;"&amp;INDEX(T_Equipos[Rank],MATCH(BD7,T_Equipos[NombreEquipo],0)),$BC$6:$BC$53,INDEX(T_Equipos[Grupo],MATCH(BD7,T_Equipos[NombreEquipo],0)))+1)</f>
        <v>-</v>
      </c>
      <c r="DD7" s="742">
        <f ca="1">DA7+COUNTIFS($DB$6:$DB$53,DB7,$DC$6:DC$53,"&lt;"&amp;DC7,$BC$6:$BC$53,INDEX(T_Equipos[Grupo],MATCH(BD7,T_Equipos[NombreEquipo],0)))</f>
        <v>4</v>
      </c>
      <c r="DE7" s="742"/>
      <c r="DF7" s="742">
        <f t="shared" ref="DF7:DF9" ca="1" si="32">IF(OR(INDEX($AW$6:$AW$97,MATCH($BD7,$AV$6:$AV$97,0))="",DB7="-"),DD7,INDEX($AW$6:$AW$97,MATCH($BD7,$AV$6:$AV$97,0))+DD7/1000)</f>
        <v>4</v>
      </c>
      <c r="DG7" s="742" t="str">
        <f ca="1">IF(DB7="-","-",COUNTIFS(DF$6:DF$53,"&lt;"&amp;DF7,$BC$6:$BC$53,INDEX(T_Equipos[Grupo],MATCH(BD7,T_Equipos[NombreEquipo],0))))</f>
        <v>-</v>
      </c>
      <c r="DH7" s="742">
        <f ca="1">DA7+COUNTIFS(DB$6:DB$53,DB7,DG$6:DG$53,"&lt;"&amp;DG7,$BC$6:$BC$53,INDEX(T_Equipos[Grupo],MATCH(BD7,T_Equipos[NombreEquipo],0)))</f>
        <v>4</v>
      </c>
      <c r="DI7" s="730"/>
      <c r="DJ7" s="730">
        <f ca="1">INDEX($DA$6:$DA$53,MATCH($DQ7,$BD$6:$BD$53,0))</f>
        <v>2</v>
      </c>
      <c r="DK7" s="730">
        <f t="shared" ca="1" si="24"/>
        <v>4</v>
      </c>
      <c r="DL7" s="730">
        <f t="shared" ref="DL7:DL53" ca="1" si="33">IF(OR(DK7=12,$AJ$99=144),COUNTIFS($DJ$6:$DJ$53,DJ7,$BC$6:$BC$53,BC7),1)</f>
        <v>1</v>
      </c>
      <c r="DM7" s="724" t="str">
        <f t="shared" ref="DM7:DM53" ca="1" si="34">DJ7&amp;"."&amp;DL7</f>
        <v>2.1</v>
      </c>
      <c r="DN7" s="730" cm="1">
        <f t="array" aca="1" ref="DN7" ca="1">OFFSET(Horarios!$P$3,DJ7-1,0,DL7,1)</f>
        <v>2</v>
      </c>
      <c r="DO7" s="730"/>
      <c r="DP7" s="730" t="s">
        <v>646</v>
      </c>
      <c r="DQ7" s="730" t="str">
        <f t="shared" ref="DQ7:DQ53" ca="1" si="35">INDEX($BD$6:$BD$53,MATCH(DP7,$BM$6:$BM$53,0))</f>
        <v>Corea del Sur</v>
      </c>
      <c r="DR7" s="730"/>
      <c r="DS7" s="730"/>
      <c r="DT7" s="730" t="str">
        <f t="shared" ca="1" si="15"/>
        <v>México-Corea del Sur</v>
      </c>
      <c r="DU7" s="730"/>
      <c r="DV7" s="730"/>
      <c r="DW7" s="8"/>
    </row>
    <row r="8" spans="1:127" ht="16.95" customHeight="1">
      <c r="A8" s="731" t="str">
        <f ca="1">+Equipos!B5</f>
        <v>República Checa</v>
      </c>
      <c r="B8" s="728"/>
      <c r="C8" s="730"/>
      <c r="D8" s="730" t="str">
        <f t="shared" si="0"/>
        <v>Pendiente</v>
      </c>
      <c r="E8" s="730" t="str">
        <f t="shared" si="1"/>
        <v>-</v>
      </c>
      <c r="F8" s="730" t="str">
        <f t="shared" si="2"/>
        <v>-</v>
      </c>
      <c r="G8" s="730"/>
      <c r="H8" s="730" t="str">
        <f t="shared" si="3"/>
        <v>-</v>
      </c>
      <c r="I8" s="730" t="str">
        <f t="shared" si="4"/>
        <v>-</v>
      </c>
      <c r="J8" s="730"/>
      <c r="K8" s="730" t="str">
        <f t="shared" si="5"/>
        <v>-</v>
      </c>
      <c r="L8" s="730" t="str">
        <f t="shared" si="6"/>
        <v>-</v>
      </c>
      <c r="M8" s="730"/>
      <c r="N8" s="730" t="str">
        <f t="shared" si="7"/>
        <v>-</v>
      </c>
      <c r="O8" s="730" t="str">
        <f t="shared" si="8"/>
        <v>-</v>
      </c>
      <c r="P8" s="730"/>
      <c r="Q8" s="730" t="str">
        <f t="shared" si="9"/>
        <v>-</v>
      </c>
      <c r="R8" s="730" t="str">
        <f t="shared" si="10"/>
        <v>-</v>
      </c>
      <c r="S8" s="730"/>
      <c r="T8" s="730" t="str">
        <f t="shared" si="11"/>
        <v>-</v>
      </c>
      <c r="U8" s="730" t="str">
        <f t="shared" si="12"/>
        <v>-</v>
      </c>
      <c r="V8" s="170"/>
      <c r="W8" s="847"/>
      <c r="X8" s="187">
        <f ca="1">Horarios!C8</f>
        <v>46197.875</v>
      </c>
      <c r="Y8" s="188">
        <f ca="1">Horarios!C8</f>
        <v>46197.875</v>
      </c>
      <c r="Z8" s="189" t="str">
        <f>Idiomas!D65</f>
        <v>J3</v>
      </c>
      <c r="AA8" s="190" t="str">
        <f ca="1">A8</f>
        <v>República Checa</v>
      </c>
      <c r="AB8" s="477" t="e" cm="1" vm="4">
        <f t="array" aca="1" ref="AB8" ca="1">Ver_flag_local</f>
        <v>#VALUE!</v>
      </c>
      <c r="AC8" s="191"/>
      <c r="AD8" s="192"/>
      <c r="AE8" s="480" t="e" cm="1" vm="1">
        <f t="array" aca="1" ref="AE8" ca="1">Ver_flag_visit</f>
        <v>#VALUE!</v>
      </c>
      <c r="AF8" s="193" t="str">
        <f ca="1">A5</f>
        <v>México</v>
      </c>
      <c r="AG8" s="411">
        <f t="shared" si="13"/>
        <v>0</v>
      </c>
      <c r="AH8" s="194">
        <v>53</v>
      </c>
      <c r="AI8" s="19" t="str">
        <f>AJ8&amp;$B$4</f>
        <v>3A</v>
      </c>
      <c r="AJ8" s="219">
        <v>3</v>
      </c>
      <c r="AK8" s="488" t="e" cm="1" vm="4">
        <f t="array" aca="1" ref="AK8" ca="1">Ver_flag_visit</f>
        <v>#VALUE!</v>
      </c>
      <c r="AL8" s="220" t="str">
        <f ca="1">IFERROR(INDEX($BD$6:$BD$53,MATCH(AI8,$BN$6:$BN$53,0)),"")</f>
        <v>República Checa</v>
      </c>
      <c r="AM8" s="221">
        <f t="shared" ca="1" si="16"/>
        <v>0</v>
      </c>
      <c r="AN8" s="222">
        <f t="shared" ca="1" si="16"/>
        <v>1</v>
      </c>
      <c r="AO8" s="222">
        <f t="shared" ca="1" si="16"/>
        <v>0</v>
      </c>
      <c r="AP8" s="222">
        <f t="shared" ca="1" si="16"/>
        <v>0</v>
      </c>
      <c r="AQ8" s="222">
        <f t="shared" ca="1" si="16"/>
        <v>1</v>
      </c>
      <c r="AR8" s="222">
        <f t="shared" ca="1" si="16"/>
        <v>1</v>
      </c>
      <c r="AS8" s="222">
        <f t="shared" ca="1" si="16"/>
        <v>2</v>
      </c>
      <c r="AT8" s="223">
        <f t="shared" ca="1" si="16"/>
        <v>-1</v>
      </c>
      <c r="AU8" s="418">
        <f ca="1">INDEX($DL$6:$DL$53,MATCH(AI8,$DP$6:$DP$53,0))</f>
        <v>1</v>
      </c>
      <c r="AV8" s="215" t="str">
        <f ca="1">INDEX($BD$6:$BD$53,MATCH(AI8,$BM$6:$BM$53,0))</f>
        <v>República Checa</v>
      </c>
      <c r="AW8" s="425"/>
      <c r="AX8" s="216"/>
      <c r="AY8" s="217" t="str">
        <f ca="1">+A7</f>
        <v>Corea del Sur</v>
      </c>
      <c r="AZ8" s="218"/>
      <c r="BA8" s="173"/>
      <c r="BB8" s="730"/>
      <c r="BC8" s="742" t="str">
        <f ca="1">+INDEX(T_Equipos[Grupo],MATCH(WORLDCUP!BD8,T_Equipos[NombreEquipo],0))</f>
        <v>A</v>
      </c>
      <c r="BD8" s="730" t="str">
        <f ca="1">+Equipos!B4</f>
        <v>Corea del Sur</v>
      </c>
      <c r="BE8" s="734">
        <f t="shared" ca="1" si="25"/>
        <v>3</v>
      </c>
      <c r="BF8" s="734">
        <f t="shared" ca="1" si="26"/>
        <v>1</v>
      </c>
      <c r="BG8" s="734">
        <f t="shared" ca="1" si="17"/>
        <v>1</v>
      </c>
      <c r="BH8" s="734">
        <f t="shared" ca="1" si="18"/>
        <v>0</v>
      </c>
      <c r="BI8" s="734">
        <f t="shared" ca="1" si="19"/>
        <v>0</v>
      </c>
      <c r="BJ8" s="734">
        <f t="shared" ca="1" si="20"/>
        <v>2</v>
      </c>
      <c r="BK8" s="734">
        <f t="shared" ca="1" si="21"/>
        <v>1</v>
      </c>
      <c r="BL8" s="734">
        <f t="shared" ca="1" si="27"/>
        <v>1</v>
      </c>
      <c r="BM8" s="734" t="str">
        <f t="shared" ca="1" si="22"/>
        <v>2A</v>
      </c>
      <c r="BN8" s="734" t="str">
        <f t="shared" ca="1" si="23"/>
        <v>2A</v>
      </c>
      <c r="BO8" s="743">
        <f t="shared" ca="1" si="28"/>
        <v>0</v>
      </c>
      <c r="BP8" s="743">
        <f ca="1">COUNTIFS($BO$6:$BO$53,"&gt;"&amp;BO8,$BC$6:$BC$53,INDEX(T_Equipos[Grupo],MATCH(BD8,T_Equipos[NombreEquipo],0)))+1</f>
        <v>1</v>
      </c>
      <c r="BQ8" s="743" t="str">
        <f ca="1">IF(COUNTIFS($BP$6:$BP$53,BP8,$BC$6:$BC$53,INDEX(T_Equipos[Grupo],MATCH(BD8,T_Equipos[NombreEquipo],0)))=1,"-","P."&amp;BP8&amp;" ("&amp;COUNTIFS($BP$6:$BP$53,BP8,$BC$6:$BC$53,INDEX(T_Equipos[Grupo],MATCH(BD8,T_Equipos[NombreEquipo],0)))&amp;")")</f>
        <v>P.1 (4)</v>
      </c>
      <c r="BR8" s="743">
        <f t="shared" ca="1" si="29"/>
        <v>3</v>
      </c>
      <c r="BS8" s="743">
        <f ca="1">BP8+COUNTIFS($BQ$6:$BQ$53,BQ8,$BR$6:BR$53,"&gt;"&amp;BR8,$BC$6:$BC$53,INDEX(T_Equipos[Grupo],MATCH(BD8,T_Equipos[NombreEquipo],0)))</f>
        <v>1</v>
      </c>
      <c r="BT8" s="743" t="str">
        <f ca="1">IF(COUNTIFS($BS$6:$BS$53,BS8,$BC$6:$BC$53,INDEX(T_Equipos[Grupo],MATCH(BD8,T_Equipos[NombreEquipo],0)))=1,"-","P."&amp;BS8&amp;" ("&amp;COUNTIFS($BS$6:$BS$53,BS8,$BC$6:$BC$53,INDEX(T_Equipos[Grupo],MATCH(BD8,T_Equipos[NombreEquipo],0)))&amp;")")</f>
        <v>P.1 (2)</v>
      </c>
      <c r="BU8" s="744">
        <f ca="1">IF($BT8="-","-",COUNTIFS(FGLocal,$BD8,Ganador,"Local",Part1Empate1V,$BT8)+COUNTIFS(FGVisitante,$BD8,Ganador,"Visitante",Part1Empate1L,$BT8))</f>
        <v>0</v>
      </c>
      <c r="BV8" s="744">
        <f ca="1">IF($BT8="-","-",COUNTIFS(FGLocal,$BD8,Ganador,"Empate",Part1Empate1V,$BT8)+COUNTIFS(FGVisitante,$BD8,Ganador,"Empate",Part1Empate1L,$BT8))</f>
        <v>0</v>
      </c>
      <c r="BW8" s="744">
        <f ca="1">IF($BT8="-","-",COUNTIFS(FGLocal,$BD8,Ganador,"Visitante",Part1Empate1V,$BT8)+COUNTIFS(FGVisitante,$BD8,Ganador,"Local",Part1Empate1L,$BT8))</f>
        <v>0</v>
      </c>
      <c r="BX8" s="744">
        <f ca="1">IF($BT8="-","-",BU8*3+BV8)</f>
        <v>0</v>
      </c>
      <c r="BY8" s="744">
        <f ca="1">BS8+COUNTIFS($BT$6:$BT$53,BT8,$BX$6:BX$53,"&gt;"&amp;BX8,$BC$6:$BC$53,INDEX(T_Equipos[Grupo],MATCH(BD8,T_Equipos[NombreEquipo],0)))</f>
        <v>1</v>
      </c>
      <c r="BZ8" s="743" t="str">
        <f ca="1">IF(COUNTIFS($BY$6:$BY$53,BY8,$BC$6:$BC$53,INDEX(T_Equipos[Grupo],MATCH(BD8,T_Equipos[NombreEquipo],0)))=1,"-","P."&amp;BY8&amp;" ("&amp;COUNTIFS($BY$6:$BY$53,BY8,$BC$6:$BC$53,INDEX(T_Equipos[Grupo],MATCH(BD8,T_Equipos[NombreEquipo],0)))&amp;")")</f>
        <v>P.1 (2)</v>
      </c>
      <c r="CA8" s="744">
        <f ca="1">IF($BZ8="-","-",SUMIFS(FG_GolesLocal,FGLocal,$BD8,Part1Empate2V,$BZ8)+SUMIFS(FG_GolesVisitante,FGVisitante,$BD8,Part1Empate2L,$BZ8))</f>
        <v>0</v>
      </c>
      <c r="CB8" s="744">
        <f ca="1">IF($BZ8="-","-",SUMIFS(FG_GolesVisitante,FGLocal,$BD8,Part1Empate2V,$BZ8)+SUMIFS(FG_GolesLocal,FGVisitante,$BD8,Part1Empate2L,$BZ8))</f>
        <v>0</v>
      </c>
      <c r="CC8" s="744">
        <f ca="1">IF($BZ8="-","-",CA8-CB8)</f>
        <v>0</v>
      </c>
      <c r="CD8" s="744">
        <f ca="1">BY8+COUNTIFS($BZ$6:$BZ$53,BZ8,$CC$6:CC$53,"&gt;"&amp;CC8,$BC$6:$BC$53,INDEX(T_Equipos[Grupo],MATCH(BD8,T_Equipos[NombreEquipo],0)))</f>
        <v>1</v>
      </c>
      <c r="CE8" s="743" t="str">
        <f ca="1">IF(COUNTIFS($CD$6:$CD$53,CD8,$BC$6:$BC$53,INDEX(T_Equipos[Grupo],MATCH(BD8,T_Equipos[NombreEquipo],0)))=1,"-","P."&amp;CD8&amp;" ("&amp;COUNTIFS($CD$6:$CD$53,CD8,$BC$6:$BC$53,INDEX(T_Equipos[Grupo],MATCH(BD8,T_Equipos[NombreEquipo],0)))&amp;")")</f>
        <v>P.1 (2)</v>
      </c>
      <c r="CF8" s="744">
        <f ca="1">IF($CE8="-","-",SUMIFS(FG_GolesLocal,FGLocal,$BD8,Part1Empate3V,$CE8)+SUMIFS(FG_GolesVisitante,FGVisitante,$BD8,Part1Empate3L,$CE8))</f>
        <v>0</v>
      </c>
      <c r="CG8" s="744">
        <f ca="1">CD8+COUNTIFS($CE$6:$CE$53,CE8,$CF$6:CF$53,"&gt;"&amp;CF8,$BC$6:$BC$53,INDEX(T_Equipos[Grupo],MATCH(BD8,T_Equipos[NombreEquipo],0)))</f>
        <v>1</v>
      </c>
      <c r="CH8" s="743" t="str">
        <f ca="1">IF(COUNTIFS($CG$6:$CG$53,CG8,$BC$6:$BC$53,INDEX(T_Equipos[Grupo],MATCH(BD8,T_Equipos[NombreEquipo],0)))=1,"-","P."&amp;CG8&amp;" ("&amp;COUNTIFS($CG$6:$CG$53,CG8,$BC$6:$BC$53,INDEX(T_Equipos[Grupo],MATCH(BD8,T_Equipos[NombreEquipo],0)))&amp;")")</f>
        <v>P.1 (2)</v>
      </c>
      <c r="CI8" s="744">
        <f ca="1">IF($CH8="-","-",COUNTIFS(FGLocal,$BD8,Ganador,"Local",Part2Empate4V,$CH8)+COUNTIFS(FGVisitante,$BD8,Ganador,"Visitante",Part2Empate4L,$CH8))</f>
        <v>0</v>
      </c>
      <c r="CJ8" s="744">
        <f ca="1">IF($CH8="-","-",COUNTIFS(FGLocal,$BD8,Ganador,"Empate",Part2Empate4V,$CH8)+COUNTIFS(FGVisitante,$BD8,Ganador,"Empate",Part2Empate4L,$CH8))</f>
        <v>0</v>
      </c>
      <c r="CK8" s="744">
        <f ca="1">IF($CH8="-","-",COUNTIFS(FGLocal,$BD8,Ganador,"Visitante",Part2Empate4V,$CH8)+COUNTIFS(FGVisitante,$BD8,Ganador,"Local",Part2Empate4L,$CH8))</f>
        <v>0</v>
      </c>
      <c r="CL8" s="744">
        <f ca="1">IF($CH8="-","-",CI8*3+CJ8)</f>
        <v>0</v>
      </c>
      <c r="CM8" s="744">
        <f ca="1">CG8+COUNTIFS($CH$6:$CH$53,CH8,$CL$6:CL$53,"&gt;"&amp;CL8,$BC$6:$BC$53,INDEX(T_Equipos[Grupo],MATCH(BD8,T_Equipos[NombreEquipo],0)))</f>
        <v>1</v>
      </c>
      <c r="CN8" s="743" t="str">
        <f ca="1">IF(COUNTIFS($CM$6:$CM$53,CM8,$BC$6:$BC$53,INDEX(T_Equipos[Grupo],MATCH(BD8,T_Equipos[NombreEquipo],0)))=1,"-","P."&amp;CM8&amp;" ("&amp;COUNTIFS($CM$6:$CM$53,CM8,$BC$6:$BC$53,INDEX(T_Equipos[Grupo],MATCH(BD8,T_Equipos[NombreEquipo],0)))&amp;")")</f>
        <v>P.1 (2)</v>
      </c>
      <c r="CO8" s="744">
        <f ca="1">IF($CN8="-","-",SUMIFS(FG_GolesLocal,FGLocal,$BD8,Part2Empate5V,$CN8)+SUMIFS(FG_GolesVisitante,FGVisitante,$BD8,Part2Empate5L,$CN8))</f>
        <v>0</v>
      </c>
      <c r="CP8" s="744">
        <f ca="1">IF($CN8="-","-",SUMIFS(FG_GolesVisitante,FGLocal,$BD8,Part2Empate5V,$CN8)+SUMIFS(FG_GolesLocal,FGVisitante,$BD8,Part2Empate5L,$CN8))</f>
        <v>0</v>
      </c>
      <c r="CQ8" s="744">
        <f ca="1">IF($CN8="-","-",CO8-CP8)</f>
        <v>0</v>
      </c>
      <c r="CR8" s="744">
        <f ca="1">CM8+COUNTIFS($CN$6:$CN$53,CN8,$CQ$6:CQ$53,"&gt;"&amp;CQ8,$BC$6:$BC$53,INDEX(T_Equipos[Grupo],MATCH(BD8,T_Equipos[NombreEquipo],0)))</f>
        <v>1</v>
      </c>
      <c r="CS8" s="743" t="str">
        <f ca="1">IF(COUNTIFS($CR$6:$CR$53,CR8,$BC$6:$BC$53,INDEX(T_Equipos[Grupo],MATCH(BD8,T_Equipos[NombreEquipo],0)))=1,"-","P."&amp;CR8&amp;" ("&amp;COUNTIFS($CR$6:$CR$53,CR8,$BC$6:$BC$53,INDEX(T_Equipos[Grupo],MATCH(BD8,T_Equipos[NombreEquipo],0)))&amp;")")</f>
        <v>P.1 (2)</v>
      </c>
      <c r="CT8" s="744">
        <f ca="1">IF($CS8="-","-",SUMIFS(FG_GolesLocal,FGLocal,$BD8,Part2Empate6V,$CS8)+SUMIFS(FG_GolesVisitante,FGVisitante,$BD8,Part2Empate6L,$CS8))</f>
        <v>0</v>
      </c>
      <c r="CU8" s="744">
        <f ca="1">CR8+COUNTIFS($CS$6:$CS$53,CS8,$CT$6:CT$53,"&gt;"&amp;CT8,$BC$6:$BC$53,INDEX(T_Equipos[Grupo],MATCH(BD8,T_Equipos[NombreEquipo],0)))</f>
        <v>1</v>
      </c>
      <c r="CV8" s="743" t="str">
        <f ca="1">IF(COUNTIFS($CU$6:$CU$53,CU8,$BC$6:$BC$53,INDEX(T_Equipos[Grupo],MATCH(BD8,T_Equipos[NombreEquipo],0)))=1,"-","P."&amp;CU8&amp;" ("&amp;COUNTIFS($CU$6:$CU$53,CU8,$BC$6:$BC$53,INDEX(T_Equipos[Grupo],MATCH(BD8,T_Equipos[NombreEquipo],0)))&amp;")")</f>
        <v>P.1 (2)</v>
      </c>
      <c r="CW8" s="743">
        <f t="shared" ca="1" si="30"/>
        <v>1</v>
      </c>
      <c r="CX8" s="743">
        <f ca="1">CU8+COUNTIFS($CV$6:$CV$53,CV8,$CW$6:CW$53,"&gt;"&amp;CW8,$BC$6:$BC$53,INDEX(T_Equipos[Grupo],MATCH(BD8,T_Equipos[NombreEquipo],0)))</f>
        <v>2</v>
      </c>
      <c r="CY8" s="743" t="str">
        <f ca="1">IF(COUNTIFS($CX$6:$CX$53,CX8,$BC$6:$BC$53,INDEX(T_Equipos[Grupo],MATCH(BD8,T_Equipos[NombreEquipo],0)))=1,"-","P."&amp;CX8&amp;" ("&amp;COUNTIFS($CX$6:$CX$53,CX8,$BC$6:$BC$53,INDEX(T_Equipos[Grupo],MATCH(BD8,T_Equipos[NombreEquipo],0)))&amp;")")</f>
        <v>-</v>
      </c>
      <c r="CZ8" s="743" t="str">
        <f t="shared" ca="1" si="31"/>
        <v>-</v>
      </c>
      <c r="DA8" s="744">
        <f ca="1">CX8+COUNTIFS($CY$6:$CY$53,CY8,$CZ$6:CZ$53,"&gt;"&amp;CZ8,$BC$6:$BC$53,INDEX(T_Equipos[Grupo],MATCH(BD8,T_Equipos[NombreEquipo],0)))</f>
        <v>2</v>
      </c>
      <c r="DB8" s="743" t="str">
        <f ca="1">IF(COUNTIFS($DA$6:$DA$53,DA8,$BC$6:$BC$53,INDEX(T_Equipos[Grupo],MATCH(BD8,T_Equipos[NombreEquipo],0)))=1,"-","P."&amp;DA8&amp;" ("&amp;COUNTIFS($DA$6:$DA$53,DA8,$BC$6:$BC$53,INDEX(T_Equipos[Grupo],MATCH(BD8,T_Equipos[NombreEquipo],0)))&amp;")")</f>
        <v>-</v>
      </c>
      <c r="DC8" s="742" t="str">
        <f ca="1">IF(DB8="-","-",COUNTIFS(T_Equipos[Rank],"&lt;"&amp;INDEX(T_Equipos[Rank],MATCH(BD8,T_Equipos[NombreEquipo],0)),$BC$6:$BC$53,INDEX(T_Equipos[Grupo],MATCH(BD8,T_Equipos[NombreEquipo],0)))+1)</f>
        <v>-</v>
      </c>
      <c r="DD8" s="742">
        <f ca="1">DA8+COUNTIFS($DB$6:$DB$53,DB8,$DC$6:DC$53,"&lt;"&amp;DC8,$BC$6:$BC$53,INDEX(T_Equipos[Grupo],MATCH(BD8,T_Equipos[NombreEquipo],0)))</f>
        <v>2</v>
      </c>
      <c r="DE8" s="742"/>
      <c r="DF8" s="742">
        <f t="shared" ca="1" si="32"/>
        <v>2</v>
      </c>
      <c r="DG8" s="742" t="str">
        <f ca="1">IF(DB8="-","-",COUNTIFS(DF$6:DF$53,"&lt;"&amp;DF8,$BC$6:$BC$53,INDEX(T_Equipos[Grupo],MATCH(BD8,T_Equipos[NombreEquipo],0))))</f>
        <v>-</v>
      </c>
      <c r="DH8" s="742">
        <f ca="1">DA8+COUNTIFS(DB$6:DB$53,DB8,DG$6:DG$53,"&lt;"&amp;DG8,$BC$6:$BC$53,INDEX(T_Equipos[Grupo],MATCH(BD8,T_Equipos[NombreEquipo],0)))</f>
        <v>2</v>
      </c>
      <c r="DI8" s="730"/>
      <c r="DJ8" s="730">
        <f ca="1">INDEX($DA$6:$DA$53,MATCH($DQ8,$BD$6:$BD$53,0))</f>
        <v>3</v>
      </c>
      <c r="DK8" s="730">
        <f t="shared" ca="1" si="24"/>
        <v>4</v>
      </c>
      <c r="DL8" s="730">
        <f t="shared" ca="1" si="33"/>
        <v>1</v>
      </c>
      <c r="DM8" s="724" t="str">
        <f t="shared" ca="1" si="34"/>
        <v>3.1</v>
      </c>
      <c r="DN8" s="730" cm="1">
        <f t="array" aca="1" ref="DN8" ca="1">OFFSET(Horarios!$P$3,DJ8-1,0,DL8,1)</f>
        <v>3</v>
      </c>
      <c r="DO8" s="730"/>
      <c r="DP8" s="730" t="s">
        <v>89</v>
      </c>
      <c r="DQ8" s="730" t="str">
        <f t="shared" ca="1" si="35"/>
        <v>República Checa</v>
      </c>
      <c r="DR8" s="730"/>
      <c r="DS8" s="730"/>
      <c r="DT8" s="730" t="str">
        <f t="shared" ca="1" si="15"/>
        <v>República Checa-México</v>
      </c>
      <c r="DU8" s="730"/>
      <c r="DV8" s="730"/>
      <c r="DW8" s="8"/>
    </row>
    <row r="9" spans="1:127" ht="18" customHeight="1" thickBot="1">
      <c r="A9" s="725"/>
      <c r="B9" s="728"/>
      <c r="C9" s="725"/>
      <c r="D9" s="730" t="str">
        <f t="shared" si="0"/>
        <v>Pendiente</v>
      </c>
      <c r="E9" s="730" t="str">
        <f t="shared" si="1"/>
        <v>-</v>
      </c>
      <c r="F9" s="730" t="str">
        <f t="shared" si="2"/>
        <v>-</v>
      </c>
      <c r="G9" s="730"/>
      <c r="H9" s="730" t="str">
        <f t="shared" si="3"/>
        <v>-</v>
      </c>
      <c r="I9" s="730" t="str">
        <f t="shared" si="4"/>
        <v>-</v>
      </c>
      <c r="J9" s="730"/>
      <c r="K9" s="730" t="str">
        <f t="shared" si="5"/>
        <v>-</v>
      </c>
      <c r="L9" s="730" t="str">
        <f t="shared" si="6"/>
        <v>-</v>
      </c>
      <c r="M9" s="730"/>
      <c r="N9" s="730" t="str">
        <f t="shared" si="7"/>
        <v>-</v>
      </c>
      <c r="O9" s="730" t="str">
        <f t="shared" si="8"/>
        <v>-</v>
      </c>
      <c r="P9" s="730"/>
      <c r="Q9" s="730" t="str">
        <f t="shared" si="9"/>
        <v>-</v>
      </c>
      <c r="R9" s="730" t="str">
        <f t="shared" si="10"/>
        <v>-</v>
      </c>
      <c r="S9" s="730"/>
      <c r="T9" s="730" t="str">
        <f t="shared" si="11"/>
        <v>-</v>
      </c>
      <c r="U9" s="730" t="str">
        <f t="shared" si="12"/>
        <v>-</v>
      </c>
      <c r="V9" s="170"/>
      <c r="W9" s="848"/>
      <c r="X9" s="226">
        <f ca="1">Horarios!C9</f>
        <v>46197.875</v>
      </c>
      <c r="Y9" s="227">
        <f ca="1">Horarios!C9</f>
        <v>46197.875</v>
      </c>
      <c r="Z9" s="228" t="str">
        <f>$Z$8</f>
        <v>J3</v>
      </c>
      <c r="AA9" s="229" t="str">
        <f ca="1">A6</f>
        <v>Sudáfrica</v>
      </c>
      <c r="AB9" s="478" t="e" cm="1" vm="2">
        <f t="array" aca="1" ref="AB9" ca="1">Ver_flag_local</f>
        <v>#VALUE!</v>
      </c>
      <c r="AC9" s="230"/>
      <c r="AD9" s="231"/>
      <c r="AE9" s="481" t="e" cm="1" vm="3">
        <f t="array" aca="1" ref="AE9" ca="1">Ver_flag_visit</f>
        <v>#VALUE!</v>
      </c>
      <c r="AF9" s="232" t="str">
        <f ca="1">A7</f>
        <v>Corea del Sur</v>
      </c>
      <c r="AG9" s="411">
        <f t="shared" si="13"/>
        <v>0</v>
      </c>
      <c r="AH9" s="194">
        <v>54</v>
      </c>
      <c r="AI9" s="19" t="str">
        <f>AJ9&amp;$B$4</f>
        <v>4A</v>
      </c>
      <c r="AJ9" s="233">
        <v>4</v>
      </c>
      <c r="AK9" s="489" t="e" cm="1" vm="2">
        <f t="array" aca="1" ref="AK9" ca="1">Ver_flag_visit</f>
        <v>#VALUE!</v>
      </c>
      <c r="AL9" s="234" t="str">
        <f ca="1">IFERROR(INDEX($BD$6:$BD$53,MATCH(AI9,$BN$6:$BN$53,0)),"")</f>
        <v>Sudáfrica</v>
      </c>
      <c r="AM9" s="235">
        <f t="shared" ca="1" si="16"/>
        <v>0</v>
      </c>
      <c r="AN9" s="236">
        <f t="shared" ca="1" si="16"/>
        <v>1</v>
      </c>
      <c r="AO9" s="236">
        <f t="shared" ca="1" si="16"/>
        <v>0</v>
      </c>
      <c r="AP9" s="236">
        <f t="shared" ca="1" si="16"/>
        <v>0</v>
      </c>
      <c r="AQ9" s="236">
        <f t="shared" ca="1" si="16"/>
        <v>1</v>
      </c>
      <c r="AR9" s="236">
        <f t="shared" ca="1" si="16"/>
        <v>0</v>
      </c>
      <c r="AS9" s="236">
        <f t="shared" ca="1" si="16"/>
        <v>2</v>
      </c>
      <c r="AT9" s="237">
        <f t="shared" ca="1" si="16"/>
        <v>-2</v>
      </c>
      <c r="AU9" s="418">
        <f ca="1">INDEX($DL$6:$DL$53,MATCH(AI9,$DP$6:$DP$53,0))</f>
        <v>1</v>
      </c>
      <c r="AV9" s="215" t="str">
        <f ca="1">INDEX($BD$6:$BD$53,MATCH(AI9,$BM$6:$BM$53,0))</f>
        <v>Sudáfrica</v>
      </c>
      <c r="AW9" s="425"/>
      <c r="AX9" s="216"/>
      <c r="AY9" s="238" t="str">
        <f ca="1">+A8</f>
        <v>República Checa</v>
      </c>
      <c r="AZ9" s="239"/>
      <c r="BA9" s="173"/>
      <c r="BB9" s="730"/>
      <c r="BC9" s="742" t="str">
        <f ca="1">+INDEX(T_Equipos[Grupo],MATCH(WORLDCUP!BD9,T_Equipos[NombreEquipo],0))</f>
        <v>A</v>
      </c>
      <c r="BD9" s="730" t="str">
        <f ca="1">+Equipos!B5</f>
        <v>República Checa</v>
      </c>
      <c r="BE9" s="734">
        <f t="shared" ca="1" si="25"/>
        <v>0</v>
      </c>
      <c r="BF9" s="734">
        <f t="shared" ca="1" si="26"/>
        <v>1</v>
      </c>
      <c r="BG9" s="734">
        <f t="shared" ca="1" si="17"/>
        <v>0</v>
      </c>
      <c r="BH9" s="734">
        <f t="shared" ca="1" si="18"/>
        <v>0</v>
      </c>
      <c r="BI9" s="734">
        <f t="shared" ca="1" si="19"/>
        <v>1</v>
      </c>
      <c r="BJ9" s="734">
        <f t="shared" ca="1" si="20"/>
        <v>1</v>
      </c>
      <c r="BK9" s="734">
        <f t="shared" ca="1" si="21"/>
        <v>2</v>
      </c>
      <c r="BL9" s="734">
        <f t="shared" ca="1" si="27"/>
        <v>-1</v>
      </c>
      <c r="BM9" s="734" t="str">
        <f t="shared" ca="1" si="22"/>
        <v>3A</v>
      </c>
      <c r="BN9" s="734" t="str">
        <f t="shared" ca="1" si="23"/>
        <v>3A</v>
      </c>
      <c r="BO9" s="743">
        <f t="shared" ca="1" si="28"/>
        <v>0</v>
      </c>
      <c r="BP9" s="743">
        <f ca="1">COUNTIFS($BO$6:$BO$53,"&gt;"&amp;BO9,$BC$6:$BC$53,INDEX(T_Equipos[Grupo],MATCH(BD9,T_Equipos[NombreEquipo],0)))+1</f>
        <v>1</v>
      </c>
      <c r="BQ9" s="743" t="str">
        <f ca="1">IF(COUNTIFS($BP$6:$BP$53,BP9,$BC$6:$BC$53,INDEX(T_Equipos[Grupo],MATCH(BD9,T_Equipos[NombreEquipo],0)))=1,"-","P."&amp;BP9&amp;" ("&amp;COUNTIFS($BP$6:$BP$53,BP9,$BC$6:$BC$53,INDEX(T_Equipos[Grupo],MATCH(BD9,T_Equipos[NombreEquipo],0)))&amp;")")</f>
        <v>P.1 (4)</v>
      </c>
      <c r="BR9" s="743">
        <f t="shared" ca="1" si="29"/>
        <v>0</v>
      </c>
      <c r="BS9" s="743">
        <f ca="1">BP9+COUNTIFS($BQ$6:$BQ$53,BQ9,$BR$6:BR$53,"&gt;"&amp;BR9,$BC$6:$BC$53,INDEX(T_Equipos[Grupo],MATCH(BD9,T_Equipos[NombreEquipo],0)))</f>
        <v>3</v>
      </c>
      <c r="BT9" s="743" t="str">
        <f ca="1">IF(COUNTIFS($BS$6:$BS$53,BS9,$BC$6:$BC$53,INDEX(T_Equipos[Grupo],MATCH(BD9,T_Equipos[NombreEquipo],0)))=1,"-","P."&amp;BS9&amp;" ("&amp;COUNTIFS($BS$6:$BS$53,BS9,$BC$6:$BC$53,INDEX(T_Equipos[Grupo],MATCH(BD9,T_Equipos[NombreEquipo],0)))&amp;")")</f>
        <v>P.3 (2)</v>
      </c>
      <c r="BU9" s="744">
        <f ca="1">IF($BT9="-","-",COUNTIFS(FGLocal,$BD9,Ganador,"Local",Part1Empate1V,$BT9)+COUNTIFS(FGVisitante,$BD9,Ganador,"Visitante",Part1Empate1L,$BT9))</f>
        <v>0</v>
      </c>
      <c r="BV9" s="744">
        <f ca="1">IF($BT9="-","-",COUNTIFS(FGLocal,$BD9,Ganador,"Empate",Part1Empate1V,$BT9)+COUNTIFS(FGVisitante,$BD9,Ganador,"Empate",Part1Empate1L,$BT9))</f>
        <v>0</v>
      </c>
      <c r="BW9" s="744">
        <f ca="1">IF($BT9="-","-",COUNTIFS(FGLocal,$BD9,Ganador,"Visitante",Part1Empate1V,$BT9)+COUNTIFS(FGVisitante,$BD9,Ganador,"Local",Part1Empate1L,$BT9))</f>
        <v>0</v>
      </c>
      <c r="BX9" s="744">
        <f ca="1">IF($BT9="-","-",BU9*3+BV9)</f>
        <v>0</v>
      </c>
      <c r="BY9" s="744">
        <f ca="1">BS9+COUNTIFS($BT$6:$BT$53,BT9,$BX$6:BX$53,"&gt;"&amp;BX9,$BC$6:$BC$53,INDEX(T_Equipos[Grupo],MATCH(BD9,T_Equipos[NombreEquipo],0)))</f>
        <v>3</v>
      </c>
      <c r="BZ9" s="743" t="str">
        <f ca="1">IF(COUNTIFS($BY$6:$BY$53,BY9,$BC$6:$BC$53,INDEX(T_Equipos[Grupo],MATCH(BD9,T_Equipos[NombreEquipo],0)))=1,"-","P."&amp;BY9&amp;" ("&amp;COUNTIFS($BY$6:$BY$53,BY9,$BC$6:$BC$53,INDEX(T_Equipos[Grupo],MATCH(BD9,T_Equipos[NombreEquipo],0)))&amp;")")</f>
        <v>P.3 (2)</v>
      </c>
      <c r="CA9" s="744">
        <f ca="1">IF($BZ9="-","-",SUMIFS(FG_GolesLocal,FGLocal,$BD9,Part1Empate2V,$BZ9)+SUMIFS(FG_GolesVisitante,FGVisitante,$BD9,Part1Empate2L,$BZ9))</f>
        <v>0</v>
      </c>
      <c r="CB9" s="744">
        <f ca="1">IF($BZ9="-","-",SUMIFS(FG_GolesVisitante,FGLocal,$BD9,Part1Empate2V,$BZ9)+SUMIFS(FG_GolesLocal,FGVisitante,$BD9,Part1Empate2L,$BZ9))</f>
        <v>0</v>
      </c>
      <c r="CC9" s="744">
        <f ca="1">IF($BZ9="-","-",CA9-CB9)</f>
        <v>0</v>
      </c>
      <c r="CD9" s="744">
        <f ca="1">BY9+COUNTIFS($BZ$6:$BZ$53,BZ9,$CC$6:CC$53,"&gt;"&amp;CC9,$BC$6:$BC$53,INDEX(T_Equipos[Grupo],MATCH(BD9,T_Equipos[NombreEquipo],0)))</f>
        <v>3</v>
      </c>
      <c r="CE9" s="743" t="str">
        <f ca="1">IF(COUNTIFS($CD$6:$CD$53,CD9,$BC$6:$BC$53,INDEX(T_Equipos[Grupo],MATCH(BD9,T_Equipos[NombreEquipo],0)))=1,"-","P."&amp;CD9&amp;" ("&amp;COUNTIFS($CD$6:$CD$53,CD9,$BC$6:$BC$53,INDEX(T_Equipos[Grupo],MATCH(BD9,T_Equipos[NombreEquipo],0)))&amp;")")</f>
        <v>P.3 (2)</v>
      </c>
      <c r="CF9" s="744">
        <f ca="1">IF($CE9="-","-",SUMIFS(FG_GolesLocal,FGLocal,$BD9,Part1Empate3V,$CE9)+SUMIFS(FG_GolesVisitante,FGVisitante,$BD9,Part1Empate3L,$CE9))</f>
        <v>0</v>
      </c>
      <c r="CG9" s="744">
        <f ca="1">CD9+COUNTIFS($CE$6:$CE$53,CE9,$CF$6:CF$53,"&gt;"&amp;CF9,$BC$6:$BC$53,INDEX(T_Equipos[Grupo],MATCH(BD9,T_Equipos[NombreEquipo],0)))</f>
        <v>3</v>
      </c>
      <c r="CH9" s="743" t="str">
        <f ca="1">IF(COUNTIFS($CG$6:$CG$53,CG9,$BC$6:$BC$53,INDEX(T_Equipos[Grupo],MATCH(BD9,T_Equipos[NombreEquipo],0)))=1,"-","P."&amp;CG9&amp;" ("&amp;COUNTIFS($CG$6:$CG$53,CG9,$BC$6:$BC$53,INDEX(T_Equipos[Grupo],MATCH(BD9,T_Equipos[NombreEquipo],0)))&amp;")")</f>
        <v>P.3 (2)</v>
      </c>
      <c r="CI9" s="744">
        <f ca="1">IF($CH9="-","-",COUNTIFS(FGLocal,$BD9,Ganador,"Local",Part2Empate4V,$CH9)+COUNTIFS(FGVisitante,$BD9,Ganador,"Visitante",Part2Empate4L,$CH9))</f>
        <v>0</v>
      </c>
      <c r="CJ9" s="744">
        <f ca="1">IF($CH9="-","-",COUNTIFS(FGLocal,$BD9,Ganador,"Empate",Part2Empate4V,$CH9)+COUNTIFS(FGVisitante,$BD9,Ganador,"Empate",Part2Empate4L,$CH9))</f>
        <v>0</v>
      </c>
      <c r="CK9" s="744">
        <f ca="1">IF($CH9="-","-",COUNTIFS(FGLocal,$BD9,Ganador,"Visitante",Part2Empate4V,$CH9)+COUNTIFS(FGVisitante,$BD9,Ganador,"Local",Part2Empate4L,$CH9))</f>
        <v>0</v>
      </c>
      <c r="CL9" s="744">
        <f ca="1">IF($CH9="-","-",CI9*3+CJ9)</f>
        <v>0</v>
      </c>
      <c r="CM9" s="744">
        <f ca="1">CG9+COUNTIFS($CH$6:$CH$53,CH9,$CL$6:CL$53,"&gt;"&amp;CL9,$BC$6:$BC$53,INDEX(T_Equipos[Grupo],MATCH(BD9,T_Equipos[NombreEquipo],0)))</f>
        <v>3</v>
      </c>
      <c r="CN9" s="743" t="str">
        <f ca="1">IF(COUNTIFS($CM$6:$CM$53,CM9,$BC$6:$BC$53,INDEX(T_Equipos[Grupo],MATCH(BD9,T_Equipos[NombreEquipo],0)))=1,"-","P."&amp;CM9&amp;" ("&amp;COUNTIFS($CM$6:$CM$53,CM9,$BC$6:$BC$53,INDEX(T_Equipos[Grupo],MATCH(BD9,T_Equipos[NombreEquipo],0)))&amp;")")</f>
        <v>P.3 (2)</v>
      </c>
      <c r="CO9" s="744">
        <f ca="1">IF($CN9="-","-",SUMIFS(FG_GolesLocal,FGLocal,$BD9,Part2Empate5V,$CN9)+SUMIFS(FG_GolesVisitante,FGVisitante,$BD9,Part2Empate5L,$CN9))</f>
        <v>0</v>
      </c>
      <c r="CP9" s="744">
        <f ca="1">IF($CN9="-","-",SUMIFS(FG_GolesVisitante,FGLocal,$BD9,Part2Empate5V,$CN9)+SUMIFS(FG_GolesLocal,FGVisitante,$BD9,Part2Empate5L,$CN9))</f>
        <v>0</v>
      </c>
      <c r="CQ9" s="744">
        <f ca="1">IF($CN9="-","-",CO9-CP9)</f>
        <v>0</v>
      </c>
      <c r="CR9" s="744">
        <f ca="1">CM9+COUNTIFS($CN$6:$CN$53,CN9,$CQ$6:CQ$53,"&gt;"&amp;CQ9,$BC$6:$BC$53,INDEX(T_Equipos[Grupo],MATCH(BD9,T_Equipos[NombreEquipo],0)))</f>
        <v>3</v>
      </c>
      <c r="CS9" s="743" t="str">
        <f ca="1">IF(COUNTIFS($CR$6:$CR$53,CR9,$BC$6:$BC$53,INDEX(T_Equipos[Grupo],MATCH(BD9,T_Equipos[NombreEquipo],0)))=1,"-","P."&amp;CR9&amp;" ("&amp;COUNTIFS($CR$6:$CR$53,CR9,$BC$6:$BC$53,INDEX(T_Equipos[Grupo],MATCH(BD9,T_Equipos[NombreEquipo],0)))&amp;")")</f>
        <v>P.3 (2)</v>
      </c>
      <c r="CT9" s="744">
        <f ca="1">IF($CS9="-","-",SUMIFS(FG_GolesLocal,FGLocal,$BD9,Part2Empate6V,$CS9)+SUMIFS(FG_GolesVisitante,FGVisitante,$BD9,Part2Empate6L,$CS9))</f>
        <v>0</v>
      </c>
      <c r="CU9" s="744">
        <f ca="1">CR9+COUNTIFS($CS$6:$CS$53,CS9,$CT$6:CT$53,"&gt;"&amp;CT9,$BC$6:$BC$53,INDEX(T_Equipos[Grupo],MATCH(BD9,T_Equipos[NombreEquipo],0)))</f>
        <v>3</v>
      </c>
      <c r="CV9" s="743" t="str">
        <f ca="1">IF(COUNTIFS($CU$6:$CU$53,CU9,$BC$6:$BC$53,INDEX(T_Equipos[Grupo],MATCH(BD9,T_Equipos[NombreEquipo],0)))=1,"-","P."&amp;CU9&amp;" ("&amp;COUNTIFS($CU$6:$CU$53,CU9,$BC$6:$BC$53,INDEX(T_Equipos[Grupo],MATCH(BD9,T_Equipos[NombreEquipo],0)))&amp;")")</f>
        <v>P.3 (2)</v>
      </c>
      <c r="CW9" s="743">
        <f t="shared" ca="1" si="30"/>
        <v>-1</v>
      </c>
      <c r="CX9" s="743">
        <f ca="1">CU9+COUNTIFS($CV$6:$CV$53,CV9,$CW$6:CW$53,"&gt;"&amp;CW9,$BC$6:$BC$53,INDEX(T_Equipos[Grupo],MATCH(BD9,T_Equipos[NombreEquipo],0)))</f>
        <v>3</v>
      </c>
      <c r="CY9" s="743" t="str">
        <f ca="1">IF(COUNTIFS($CX$6:$CX$53,CX9,$BC$6:$BC$53,INDEX(T_Equipos[Grupo],MATCH(BD9,T_Equipos[NombreEquipo],0)))=1,"-","P."&amp;CX9&amp;" ("&amp;COUNTIFS($CX$6:$CX$53,CX9,$BC$6:$BC$53,INDEX(T_Equipos[Grupo],MATCH(BD9,T_Equipos[NombreEquipo],0)))&amp;")")</f>
        <v>-</v>
      </c>
      <c r="CZ9" s="743" t="str">
        <f t="shared" ca="1" si="31"/>
        <v>-</v>
      </c>
      <c r="DA9" s="744">
        <f ca="1">CX9+COUNTIFS($CY$6:$CY$53,CY9,$CZ$6:CZ$53,"&gt;"&amp;CZ9,$BC$6:$BC$53,INDEX(T_Equipos[Grupo],MATCH(BD9,T_Equipos[NombreEquipo],0)))</f>
        <v>3</v>
      </c>
      <c r="DB9" s="743" t="str">
        <f ca="1">IF(COUNTIFS($DA$6:$DA$53,DA9,$BC$6:$BC$53,INDEX(T_Equipos[Grupo],MATCH(BD9,T_Equipos[NombreEquipo],0)))=1,"-","P."&amp;DA9&amp;" ("&amp;COUNTIFS($DA$6:$DA$53,DA9,$BC$6:$BC$53,INDEX(T_Equipos[Grupo],MATCH(BD9,T_Equipos[NombreEquipo],0)))&amp;")")</f>
        <v>-</v>
      </c>
      <c r="DC9" s="742" t="str">
        <f ca="1">IF(DB9="-","-",COUNTIFS(T_Equipos[Rank],"&lt;"&amp;INDEX(T_Equipos[Rank],MATCH(BD9,T_Equipos[NombreEquipo],0)),$BC$6:$BC$53,INDEX(T_Equipos[Grupo],MATCH(BD9,T_Equipos[NombreEquipo],0)))+1)</f>
        <v>-</v>
      </c>
      <c r="DD9" s="742">
        <f ca="1">DA9+COUNTIFS($DB$6:$DB$53,DB9,$DC$6:DC$53,"&lt;"&amp;DC9,$BC$6:$BC$53,INDEX(T_Equipos[Grupo],MATCH(BD9,T_Equipos[NombreEquipo],0)))</f>
        <v>3</v>
      </c>
      <c r="DE9" s="742"/>
      <c r="DF9" s="742">
        <f t="shared" ca="1" si="32"/>
        <v>3</v>
      </c>
      <c r="DG9" s="742" t="str">
        <f ca="1">IF(DB9="-","-",COUNTIFS(DF$6:DF$53,"&lt;"&amp;DF9,$BC$6:$BC$53,INDEX(T_Equipos[Grupo],MATCH(BD9,T_Equipos[NombreEquipo],0))))</f>
        <v>-</v>
      </c>
      <c r="DH9" s="742">
        <f ca="1">DA9+COUNTIFS(DB$6:DB$53,DB9,DG$6:DG$53,"&lt;"&amp;DG9,$BC$6:$BC$53,INDEX(T_Equipos[Grupo],MATCH(BD9,T_Equipos[NombreEquipo],0)))</f>
        <v>3</v>
      </c>
      <c r="DI9" s="730"/>
      <c r="DJ9" s="730">
        <f ca="1">INDEX($DA$6:$DA$53,MATCH($DQ9,$BD$6:$BD$53,0))</f>
        <v>4</v>
      </c>
      <c r="DK9" s="730">
        <f t="shared" ca="1" si="24"/>
        <v>4</v>
      </c>
      <c r="DL9" s="730">
        <f t="shared" ca="1" si="33"/>
        <v>1</v>
      </c>
      <c r="DM9" s="724" t="str">
        <f t="shared" ca="1" si="34"/>
        <v>4.1</v>
      </c>
      <c r="DN9" s="730" cm="1">
        <f t="array" aca="1" ref="DN9" ca="1">OFFSET(Horarios!$P$3,DJ9-1,0,DL9,1)</f>
        <v>4</v>
      </c>
      <c r="DO9" s="730"/>
      <c r="DP9" s="730" t="s">
        <v>647</v>
      </c>
      <c r="DQ9" s="730" t="str">
        <f t="shared" ca="1" si="35"/>
        <v>Sudáfrica</v>
      </c>
      <c r="DR9" s="730"/>
      <c r="DS9" s="730"/>
      <c r="DT9" s="730" t="str">
        <f t="shared" ca="1" si="15"/>
        <v>Sudáfrica-Corea del Sur</v>
      </c>
      <c r="DU9" s="730"/>
      <c r="DV9" s="730"/>
      <c r="DW9" s="8"/>
    </row>
    <row r="10" spans="1:127" ht="15" customHeight="1" thickBot="1">
      <c r="A10" s="725"/>
      <c r="B10" s="728"/>
      <c r="C10" s="725"/>
      <c r="D10" s="730"/>
      <c r="E10" s="730"/>
      <c r="F10" s="730"/>
      <c r="G10" s="730"/>
      <c r="H10" s="730"/>
      <c r="I10" s="730"/>
      <c r="J10" s="730"/>
      <c r="K10" s="730"/>
      <c r="L10" s="730"/>
      <c r="M10" s="730"/>
      <c r="N10" s="730"/>
      <c r="O10" s="730"/>
      <c r="P10" s="730"/>
      <c r="Q10" s="730"/>
      <c r="R10" s="730"/>
      <c r="S10" s="730"/>
      <c r="T10" s="730"/>
      <c r="U10" s="730"/>
      <c r="V10" s="170"/>
      <c r="W10" s="240"/>
      <c r="X10" s="241"/>
      <c r="Y10" s="240"/>
      <c r="Z10" s="242"/>
      <c r="AA10" s="243"/>
      <c r="AB10" s="479"/>
      <c r="AC10" s="245"/>
      <c r="AD10" s="245"/>
      <c r="AE10" s="479"/>
      <c r="AF10" s="246"/>
      <c r="AG10" s="411"/>
      <c r="AH10" s="194"/>
      <c r="AI10" s="19"/>
      <c r="AJ10" s="247"/>
      <c r="AK10" s="248"/>
      <c r="AL10" s="184"/>
      <c r="AM10" s="249"/>
      <c r="AN10" s="247"/>
      <c r="AO10" s="247"/>
      <c r="AP10" s="247"/>
      <c r="AQ10" s="247"/>
      <c r="AR10" s="247"/>
      <c r="AS10" s="247"/>
      <c r="AT10" s="247"/>
      <c r="AU10" s="418"/>
      <c r="AV10" s="214"/>
      <c r="AW10" s="426"/>
      <c r="AX10" s="216"/>
      <c r="AY10" s="240"/>
      <c r="AZ10" s="241"/>
      <c r="BA10" s="173"/>
      <c r="BB10" s="730"/>
      <c r="BC10" s="742" t="str">
        <f ca="1">+INDEX(T_Equipos[Grupo],MATCH(WORLDCUP!BD10,T_Equipos[NombreEquipo],0))</f>
        <v>B</v>
      </c>
      <c r="BD10" s="730" t="str">
        <f ca="1">+Equipos!B6</f>
        <v>Canadá</v>
      </c>
      <c r="BE10" s="734">
        <f t="shared" ca="1" si="25"/>
        <v>1</v>
      </c>
      <c r="BF10" s="734">
        <f t="shared" ca="1" si="26"/>
        <v>1</v>
      </c>
      <c r="BG10" s="734">
        <f t="shared" ca="1" si="17"/>
        <v>0</v>
      </c>
      <c r="BH10" s="734">
        <f t="shared" ca="1" si="18"/>
        <v>1</v>
      </c>
      <c r="BI10" s="734">
        <f t="shared" ca="1" si="19"/>
        <v>0</v>
      </c>
      <c r="BJ10" s="734">
        <f t="shared" ca="1" si="20"/>
        <v>1</v>
      </c>
      <c r="BK10" s="734">
        <f t="shared" ca="1" si="21"/>
        <v>1</v>
      </c>
      <c r="BL10" s="734">
        <f t="shared" ca="1" si="27"/>
        <v>0</v>
      </c>
      <c r="BM10" s="734" t="str">
        <f t="shared" ca="1" si="22"/>
        <v>1B</v>
      </c>
      <c r="BN10" s="734" t="str">
        <f t="shared" ca="1" si="23"/>
        <v>1B</v>
      </c>
      <c r="BO10" s="744">
        <f t="shared" ca="1" si="28"/>
        <v>0</v>
      </c>
      <c r="BP10" s="743">
        <f ca="1">COUNTIFS($BO$6:$BO$53,"&gt;"&amp;BO10,$BC$6:$BC$53,INDEX(T_Equipos[Grupo],MATCH(BD10,T_Equipos[NombreEquipo],0)))+1</f>
        <v>1</v>
      </c>
      <c r="BQ10" s="743" t="str">
        <f ca="1">IF(COUNTIFS($BP$6:$BP$53,BP10,$BC$6:$BC$53,INDEX(T_Equipos[Grupo],MATCH(BD10,T_Equipos[NombreEquipo],0)))=1,"-","P."&amp;BP10&amp;" ("&amp;COUNTIFS($BP$6:$BP$53,BP10,$BC$6:$BC$53,INDEX(T_Equipos[Grupo],MATCH(BD10,T_Equipos[NombreEquipo],0)))&amp;")")</f>
        <v>P.1 (4)</v>
      </c>
      <c r="BR10" s="744">
        <f t="shared" ca="1" si="29"/>
        <v>1</v>
      </c>
      <c r="BS10" s="743">
        <f ca="1">BP10+COUNTIFS($BQ$6:$BQ$53,BQ10,$BR$6:BR$53,"&gt;"&amp;BR10,$BC$6:$BC$53,INDEX(T_Equipos[Grupo],MATCH(BD10,T_Equipos[NombreEquipo],0)))</f>
        <v>1</v>
      </c>
      <c r="BT10" s="743" t="str">
        <f ca="1">IF(COUNTIFS($BS$6:$BS$53,BS10,$BC$6:$BC$53,INDEX(T_Equipos[Grupo],MATCH(BD10,T_Equipos[NombreEquipo],0)))=1,"-","P."&amp;BS10&amp;" ("&amp;COUNTIFS($BS$6:$BS$53,BS10,$BC$6:$BC$53,INDEX(T_Equipos[Grupo],MATCH(BD10,T_Equipos[NombreEquipo],0)))&amp;")")</f>
        <v>P.1 (2)</v>
      </c>
      <c r="BU10" s="744">
        <f t="shared" ref="BU10:BU53" ca="1" si="36">IF($BT10="-","-",COUNTIFS(FGLocal,$BD10,Ganador,"Local",Part1Empate1V,$BT10)+COUNTIFS(FGVisitante,$BD10,Ganador,"Visitante",Part1Empate1L,$BT10))</f>
        <v>0</v>
      </c>
      <c r="BV10" s="744">
        <f t="shared" ref="BV10:BV53" ca="1" si="37">IF($BT10="-","-",COUNTIFS(FGLocal,$BD10,Ganador,"Empate",Part1Empate1V,$BT10)+COUNTIFS(FGVisitante,$BD10,Ganador,"Empate",Part1Empate1L,$BT10))</f>
        <v>1</v>
      </c>
      <c r="BW10" s="744">
        <f t="shared" ref="BW10:BW53" ca="1" si="38">IF($BT10="-","-",COUNTIFS(FGLocal,$BD10,Ganador,"Visitante",Part1Empate1V,$BT10)+COUNTIFS(FGVisitante,$BD10,Ganador,"Local",Part1Empate1L,$BT10))</f>
        <v>0</v>
      </c>
      <c r="BX10" s="744">
        <f t="shared" ref="BX10:BX53" ca="1" si="39">IF($BT10="-","-",BU10*3+BV10)</f>
        <v>1</v>
      </c>
      <c r="BY10" s="744">
        <f ca="1">BS10+COUNTIFS($BT$6:$BT$53,BT10,$BX$6:BX$53,"&gt;"&amp;BX10,$BC$6:$BC$53,INDEX(T_Equipos[Grupo],MATCH(BD10,T_Equipos[NombreEquipo],0)))</f>
        <v>1</v>
      </c>
      <c r="BZ10" s="743" t="str">
        <f ca="1">IF(COUNTIFS($BY$6:$BY$53,BY10,$BC$6:$BC$53,INDEX(T_Equipos[Grupo],MATCH(BD10,T_Equipos[NombreEquipo],0)))=1,"-","P."&amp;BY10&amp;" ("&amp;COUNTIFS($BY$6:$BY$53,BY10,$BC$6:$BC$53,INDEX(T_Equipos[Grupo],MATCH(BD10,T_Equipos[NombreEquipo],0)))&amp;")")</f>
        <v>P.1 (2)</v>
      </c>
      <c r="CA10" s="744">
        <f t="shared" ref="CA10:CA53" ca="1" si="40">IF($BZ10="-","-",SUMIFS(FG_GolesLocal,FGLocal,$BD10,Part1Empate2V,$BZ10)+SUMIFS(FG_GolesVisitante,FGVisitante,$BD10,Part1Empate2L,$BZ10))</f>
        <v>1</v>
      </c>
      <c r="CB10" s="744">
        <f t="shared" ref="CB10:CB53" ca="1" si="41">IF($BZ10="-","-",SUMIFS(FG_GolesVisitante,FGLocal,$BD10,Part1Empate2V,$BZ10)+SUMIFS(FG_GolesLocal,FGVisitante,$BD10,Part1Empate2L,$BZ10))</f>
        <v>1</v>
      </c>
      <c r="CC10" s="744">
        <f t="shared" ref="CC10:CC53" ca="1" si="42">IF($BZ10="-","-",CA10-CB10)</f>
        <v>0</v>
      </c>
      <c r="CD10" s="744">
        <f ca="1">BY10+COUNTIFS($BZ$6:$BZ$53,BZ10,$CC$6:CC$53,"&gt;"&amp;CC10,$BC$6:$BC$53,INDEX(T_Equipos[Grupo],MATCH(BD10,T_Equipos[NombreEquipo],0)))</f>
        <v>1</v>
      </c>
      <c r="CE10" s="743" t="str">
        <f ca="1">IF(COUNTIFS($CD$6:$CD$53,CD10,$BC$6:$BC$53,INDEX(T_Equipos[Grupo],MATCH(BD10,T_Equipos[NombreEquipo],0)))=1,"-","P."&amp;CD10&amp;" ("&amp;COUNTIFS($CD$6:$CD$53,CD10,$BC$6:$BC$53,INDEX(T_Equipos[Grupo],MATCH(BD10,T_Equipos[NombreEquipo],0)))&amp;")")</f>
        <v>P.1 (2)</v>
      </c>
      <c r="CF10" s="744">
        <f t="shared" ref="CF10:CF53" ca="1" si="43">IF($CE10="-","-",SUMIFS(FG_GolesLocal,FGLocal,$BD10,Part1Empate3V,$CE10)+SUMIFS(FG_GolesVisitante,FGVisitante,$BD10,Part1Empate3L,$CE10))</f>
        <v>1</v>
      </c>
      <c r="CG10" s="744">
        <f ca="1">CD10+COUNTIFS($CE$6:$CE$53,CE10,$CF$6:CF$53,"&gt;"&amp;CF10,$BC$6:$BC$53,INDEX(T_Equipos[Grupo],MATCH(BD10,T_Equipos[NombreEquipo],0)))</f>
        <v>1</v>
      </c>
      <c r="CH10" s="743" t="str">
        <f ca="1">IF(COUNTIFS($CG$6:$CG$53,CG10,$BC$6:$BC$53,INDEX(T_Equipos[Grupo],MATCH(BD10,T_Equipos[NombreEquipo],0)))=1,"-","P."&amp;CG10&amp;" ("&amp;COUNTIFS($CG$6:$CG$53,CG10,$BC$6:$BC$53,INDEX(T_Equipos[Grupo],MATCH(BD10,T_Equipos[NombreEquipo],0)))&amp;")")</f>
        <v>P.1 (2)</v>
      </c>
      <c r="CI10" s="744">
        <f t="shared" ref="CI10:CI53" ca="1" si="44">IF($CH10="-","-",COUNTIFS(FGLocal,$BD10,Ganador,"Local",Part2Empate4V,$CH10)+COUNTIFS(FGVisitante,$BD10,Ganador,"Visitante",Part2Empate4L,$CH10))</f>
        <v>0</v>
      </c>
      <c r="CJ10" s="744">
        <f t="shared" ref="CJ10:CJ53" ca="1" si="45">IF($CH10="-","-",COUNTIFS(FGLocal,$BD10,Ganador,"Empate",Part2Empate4V,$CH10)+COUNTIFS(FGVisitante,$BD10,Ganador,"Empate",Part2Empate4L,$CH10))</f>
        <v>1</v>
      </c>
      <c r="CK10" s="744">
        <f t="shared" ref="CK10:CK53" ca="1" si="46">IF($CH10="-","-",COUNTIFS(FGLocal,$BD10,Ganador,"Visitante",Part2Empate4V,$CH10)+COUNTIFS(FGVisitante,$BD10,Ganador,"Local",Part2Empate4L,$CH10))</f>
        <v>0</v>
      </c>
      <c r="CL10" s="744">
        <f t="shared" ref="CL10:CL53" ca="1" si="47">IF($CH10="-","-",CI10*3+CJ10)</f>
        <v>1</v>
      </c>
      <c r="CM10" s="744">
        <f ca="1">CG10+COUNTIFS($CH$6:$CH$53,CH10,$CL$6:CL$53,"&gt;"&amp;CL10,$BC$6:$BC$53,INDEX(T_Equipos[Grupo],MATCH(BD10,T_Equipos[NombreEquipo],0)))</f>
        <v>1</v>
      </c>
      <c r="CN10" s="743" t="str">
        <f ca="1">IF(COUNTIFS($CM$6:$CM$53,CM10,$BC$6:$BC$53,INDEX(T_Equipos[Grupo],MATCH(BD10,T_Equipos[NombreEquipo],0)))=1,"-","P."&amp;CM10&amp;" ("&amp;COUNTIFS($CM$6:$CM$53,CM10,$BC$6:$BC$53,INDEX(T_Equipos[Grupo],MATCH(BD10,T_Equipos[NombreEquipo],0)))&amp;")")</f>
        <v>P.1 (2)</v>
      </c>
      <c r="CO10" s="744">
        <f t="shared" ref="CO10:CO53" ca="1" si="48">IF($CN10="-","-",SUMIFS(FG_GolesLocal,FGLocal,$BD10,Part2Empate5V,$CN10)+SUMIFS(FG_GolesVisitante,FGVisitante,$BD10,Part2Empate5L,$CN10))</f>
        <v>1</v>
      </c>
      <c r="CP10" s="744">
        <f t="shared" ref="CP10:CP53" ca="1" si="49">IF($CN10="-","-",SUMIFS(FG_GolesVisitante,FGLocal,$BD10,Part2Empate5V,$CN10)+SUMIFS(FG_GolesLocal,FGVisitante,$BD10,Part2Empate5L,$CN10))</f>
        <v>1</v>
      </c>
      <c r="CQ10" s="744">
        <f t="shared" ref="CQ10:CQ53" ca="1" si="50">IF($CN10="-","-",CO10-CP10)</f>
        <v>0</v>
      </c>
      <c r="CR10" s="744">
        <f ca="1">CM10+COUNTIFS($CN$6:$CN$53,CN10,$CQ$6:CQ$53,"&gt;"&amp;CQ10,$BC$6:$BC$53,INDEX(T_Equipos[Grupo],MATCH(BD10,T_Equipos[NombreEquipo],0)))</f>
        <v>1</v>
      </c>
      <c r="CS10" s="743" t="str">
        <f ca="1">IF(COUNTIFS($CR$6:$CR$53,CR10,$BC$6:$BC$53,INDEX(T_Equipos[Grupo],MATCH(BD10,T_Equipos[NombreEquipo],0)))=1,"-","P."&amp;CR10&amp;" ("&amp;COUNTIFS($CR$6:$CR$53,CR10,$BC$6:$BC$53,INDEX(T_Equipos[Grupo],MATCH(BD10,T_Equipos[NombreEquipo],0)))&amp;")")</f>
        <v>P.1 (2)</v>
      </c>
      <c r="CT10" s="744">
        <f t="shared" ref="CT10:CT53" ca="1" si="51">IF($CS10="-","-",SUMIFS(FG_GolesLocal,FGLocal,$BD10,Part2Empate6V,$CS10)+SUMIFS(FG_GolesVisitante,FGVisitante,$BD10,Part2Empate6L,$CS10))</f>
        <v>1</v>
      </c>
      <c r="CU10" s="744">
        <f ca="1">CR10+COUNTIFS($CS$6:$CS$53,CS10,$CT$6:CT$53,"&gt;"&amp;CT10,$BC$6:$BC$53,INDEX(T_Equipos[Grupo],MATCH(BD10,T_Equipos[NombreEquipo],0)))</f>
        <v>1</v>
      </c>
      <c r="CV10" s="743" t="str">
        <f ca="1">IF(COUNTIFS($CU$6:$CU$53,CU10,$BC$6:$BC$53,INDEX(T_Equipos[Grupo],MATCH(BD10,T_Equipos[NombreEquipo],0)))=1,"-","P."&amp;CU10&amp;" ("&amp;COUNTIFS($CU$6:$CU$53,CU10,$BC$6:$BC$53,INDEX(T_Equipos[Grupo],MATCH(BD10,T_Equipos[NombreEquipo],0)))&amp;")")</f>
        <v>P.1 (2)</v>
      </c>
      <c r="CW10" s="743">
        <f t="shared" ca="1" si="30"/>
        <v>0</v>
      </c>
      <c r="CX10" s="743">
        <f ca="1">CU10+COUNTIFS($CV$6:$CV$53,CV10,$CW$6:CW$53,"&gt;"&amp;CW10,$BC$6:$BC$53,INDEX(T_Equipos[Grupo],MATCH(BD10,T_Equipos[NombreEquipo],0)))</f>
        <v>1</v>
      </c>
      <c r="CY10" s="743" t="str">
        <f ca="1">IF(COUNTIFS($CX$6:$CX$53,CX10,$BC$6:$BC$53,INDEX(T_Equipos[Grupo],MATCH(BD10,T_Equipos[NombreEquipo],0)))=1,"-","P."&amp;CX10&amp;" ("&amp;COUNTIFS($CX$6:$CX$53,CX10,$BC$6:$BC$53,INDEX(T_Equipos[Grupo],MATCH(BD10,T_Equipos[NombreEquipo],0)))&amp;")")</f>
        <v>P.1 (2)</v>
      </c>
      <c r="CZ10" s="743">
        <f t="shared" ca="1" si="31"/>
        <v>1</v>
      </c>
      <c r="DA10" s="744">
        <f ca="1">CX10+COUNTIFS($CY$6:$CY$53,CY10,$CZ$6:CZ$53,"&gt;"&amp;CZ10,$BC$6:$BC$53,INDEX(T_Equipos[Grupo],MATCH(BD10,T_Equipos[NombreEquipo],0)))</f>
        <v>1</v>
      </c>
      <c r="DB10" s="743" t="str">
        <f ca="1">IF(COUNTIFS($DA$6:$DA$53,DA10,$BC$6:$BC$53,INDEX(T_Equipos[Grupo],MATCH(BD10,T_Equipos[NombreEquipo],0)))=1,"-","P."&amp;DA10&amp;" ("&amp;COUNTIFS($DA$6:$DA$53,DA10,$BC$6:$BC$53,INDEX(T_Equipos[Grupo],MATCH(BD10,T_Equipos[NombreEquipo],0)))&amp;")")</f>
        <v>P.1 (2)</v>
      </c>
      <c r="DC10" s="742">
        <f ca="1">IF(DB10="-","-",COUNTIFS(T_Equipos[Rank],"&lt;"&amp;INDEX(T_Equipos[Rank],MATCH(BD10,T_Equipos[NombreEquipo],0)),$BC$6:$BC$53,INDEX(T_Equipos[Grupo],MATCH(BD10,T_Equipos[NombreEquipo],0)))+1)</f>
        <v>1</v>
      </c>
      <c r="DD10" s="742">
        <f ca="1">DA10+COUNTIFS($DB$6:$DB$53,DB10,$DC$6:DC$53,"&lt;"&amp;DC10,$BC$6:$BC$53,INDEX(T_Equipos[Grupo],MATCH(BD10,T_Equipos[NombreEquipo],0)))</f>
        <v>1</v>
      </c>
      <c r="DE10" s="742"/>
      <c r="DF10" s="742">
        <f t="shared" ref="DF10:DF53" ca="1" si="52">IF(OR(INDEX($AW$6:$AW$97,MATCH($BD10,$AV$6:$AV$97,0))="",DB10="-"),DD10,INDEX($AW$6:$AW$97,MATCH($BD10,$AV$6:$AV$97,0))+DD10/1000)</f>
        <v>1</v>
      </c>
      <c r="DG10" s="742">
        <f ca="1">IF(DB10="-","-",COUNTIFS(DF$6:DF$53,"&lt;"&amp;DF10,$BC$6:$BC$53,INDEX(T_Equipos[Grupo],MATCH(BD10,T_Equipos[NombreEquipo],0))))</f>
        <v>0</v>
      </c>
      <c r="DH10" s="742">
        <f ca="1">DA10+COUNTIFS(DB$6:DB$53,DB10,DG$6:DG$53,"&lt;"&amp;DG10,$BC$6:$BC$53,INDEX(T_Equipos[Grupo],MATCH(BD10,T_Equipos[NombreEquipo],0)))</f>
        <v>1</v>
      </c>
      <c r="DI10" s="730"/>
      <c r="DJ10" s="730">
        <f t="shared" ref="DJ10:DJ53" ca="1" si="53">INDEX($DA$6:$DA$53,MATCH($DQ10,$BD$6:$BD$53,0))</f>
        <v>1</v>
      </c>
      <c r="DK10" s="730">
        <f t="shared" ca="1" si="24"/>
        <v>2</v>
      </c>
      <c r="DL10" s="730">
        <f t="shared" ca="1" si="33"/>
        <v>1</v>
      </c>
      <c r="DM10" s="724" t="str">
        <f t="shared" ca="1" si="34"/>
        <v>1.1</v>
      </c>
      <c r="DN10" s="730" cm="1">
        <f t="array" aca="1" ref="DN10" ca="1">OFFSET(Horarios!$P$3,DJ10-1,0,DL10,1)</f>
        <v>1</v>
      </c>
      <c r="DO10" s="730"/>
      <c r="DP10" s="730" t="s">
        <v>648</v>
      </c>
      <c r="DQ10" s="730" t="str">
        <f t="shared" ca="1" si="35"/>
        <v>Canadá</v>
      </c>
      <c r="DR10" s="730"/>
      <c r="DS10" s="730"/>
      <c r="DT10" s="730" t="str">
        <f t="shared" si="15"/>
        <v>-</v>
      </c>
      <c r="DU10" s="730"/>
      <c r="DV10" s="730"/>
      <c r="DW10" s="8"/>
    </row>
    <row r="11" spans="1:127" ht="16.05" customHeight="1" thickBot="1">
      <c r="A11" s="725"/>
      <c r="B11" s="728"/>
      <c r="C11" s="725"/>
      <c r="D11" s="725"/>
      <c r="E11" s="725"/>
      <c r="F11" s="725"/>
      <c r="G11" s="725"/>
      <c r="H11" s="725"/>
      <c r="I11" s="725"/>
      <c r="J11" s="725"/>
      <c r="K11" s="725"/>
      <c r="L11" s="725"/>
      <c r="M11" s="725"/>
      <c r="N11" s="730"/>
      <c r="O11" s="730"/>
      <c r="P11" s="730"/>
      <c r="Q11" s="730"/>
      <c r="R11" s="730"/>
      <c r="S11" s="730"/>
      <c r="T11" s="730"/>
      <c r="U11" s="730"/>
      <c r="V11" s="170"/>
      <c r="W11" s="177"/>
      <c r="X11" s="178" t="str">
        <f>X3</f>
        <v>Fecha</v>
      </c>
      <c r="Y11" s="178" t="str">
        <f>Y3</f>
        <v>Hora</v>
      </c>
      <c r="Z11" s="179" t="str">
        <f>Z3</f>
        <v>Jor.</v>
      </c>
      <c r="AA11" s="180" t="str">
        <f>AA3</f>
        <v>Casa</v>
      </c>
      <c r="AB11" s="179"/>
      <c r="AC11" s="179" t="str">
        <f>AC3</f>
        <v>Gol</v>
      </c>
      <c r="AD11" s="179" t="str">
        <f>AD3</f>
        <v>Gol</v>
      </c>
      <c r="AE11" s="179"/>
      <c r="AF11" s="182" t="str">
        <f>AF3</f>
        <v>Fuera</v>
      </c>
      <c r="AG11" s="412"/>
      <c r="AH11" s="194"/>
      <c r="AI11" s="18"/>
      <c r="AJ11" s="184"/>
      <c r="AK11" s="250"/>
      <c r="AL11" s="184"/>
      <c r="AM11" s="184"/>
      <c r="AN11" s="184"/>
      <c r="AO11" s="184"/>
      <c r="AP11" s="184"/>
      <c r="AQ11" s="184"/>
      <c r="AR11" s="184"/>
      <c r="AS11" s="184"/>
      <c r="AT11" s="184"/>
      <c r="AU11" s="419"/>
      <c r="AV11" s="22"/>
      <c r="AW11" s="427"/>
      <c r="AX11" s="251"/>
      <c r="AY11" s="240"/>
      <c r="AZ11" s="241"/>
      <c r="BA11" s="173"/>
      <c r="BB11" s="730"/>
      <c r="BC11" s="742" t="str">
        <f ca="1">+INDEX(T_Equipos[Grupo],MATCH(WORLDCUP!BD11,T_Equipos[NombreEquipo],0))</f>
        <v>B</v>
      </c>
      <c r="BD11" s="730" t="str">
        <f ca="1">+Equipos!B7</f>
        <v>Bosnia y Herzegovina</v>
      </c>
      <c r="BE11" s="734">
        <f t="shared" ca="1" si="25"/>
        <v>1</v>
      </c>
      <c r="BF11" s="734">
        <f t="shared" ca="1" si="26"/>
        <v>1</v>
      </c>
      <c r="BG11" s="734">
        <f t="shared" ca="1" si="17"/>
        <v>0</v>
      </c>
      <c r="BH11" s="734">
        <f t="shared" ca="1" si="18"/>
        <v>1</v>
      </c>
      <c r="BI11" s="734">
        <f t="shared" ca="1" si="19"/>
        <v>0</v>
      </c>
      <c r="BJ11" s="734">
        <f t="shared" ca="1" si="20"/>
        <v>1</v>
      </c>
      <c r="BK11" s="734">
        <f t="shared" ca="1" si="21"/>
        <v>1</v>
      </c>
      <c r="BL11" s="734">
        <f t="shared" ca="1" si="27"/>
        <v>0</v>
      </c>
      <c r="BM11" s="734" t="str">
        <f t="shared" ca="1" si="22"/>
        <v>2B</v>
      </c>
      <c r="BN11" s="734" t="str">
        <f t="shared" ca="1" si="23"/>
        <v>2B</v>
      </c>
      <c r="BO11" s="744">
        <f t="shared" ca="1" si="28"/>
        <v>0</v>
      </c>
      <c r="BP11" s="743">
        <f ca="1">COUNTIFS($BO$6:$BO$53,"&gt;"&amp;BO11,$BC$6:$BC$53,INDEX(T_Equipos[Grupo],MATCH(BD11,T_Equipos[NombreEquipo],0)))+1</f>
        <v>1</v>
      </c>
      <c r="BQ11" s="743" t="str">
        <f ca="1">IF(COUNTIFS($BP$6:$BP$53,BP11,$BC$6:$BC$53,INDEX(T_Equipos[Grupo],MATCH(BD11,T_Equipos[NombreEquipo],0)))=1,"-","P."&amp;BP11&amp;" ("&amp;COUNTIFS($BP$6:$BP$53,BP11,$BC$6:$BC$53,INDEX(T_Equipos[Grupo],MATCH(BD11,T_Equipos[NombreEquipo],0)))&amp;")")</f>
        <v>P.1 (4)</v>
      </c>
      <c r="BR11" s="744">
        <f t="shared" ca="1" si="29"/>
        <v>1</v>
      </c>
      <c r="BS11" s="743">
        <f ca="1">BP11+COUNTIFS($BQ$6:$BQ$53,BQ11,$BR$6:BR$53,"&gt;"&amp;BR11,$BC$6:$BC$53,INDEX(T_Equipos[Grupo],MATCH(BD11,T_Equipos[NombreEquipo],0)))</f>
        <v>1</v>
      </c>
      <c r="BT11" s="743" t="str">
        <f ca="1">IF(COUNTIFS($BS$6:$BS$53,BS11,$BC$6:$BC$53,INDEX(T_Equipos[Grupo],MATCH(BD11,T_Equipos[NombreEquipo],0)))=1,"-","P."&amp;BS11&amp;" ("&amp;COUNTIFS($BS$6:$BS$53,BS11,$BC$6:$BC$53,INDEX(T_Equipos[Grupo],MATCH(BD11,T_Equipos[NombreEquipo],0)))&amp;")")</f>
        <v>P.1 (2)</v>
      </c>
      <c r="BU11" s="744">
        <f t="shared" ca="1" si="36"/>
        <v>0</v>
      </c>
      <c r="BV11" s="744">
        <f t="shared" ca="1" si="37"/>
        <v>1</v>
      </c>
      <c r="BW11" s="744">
        <f t="shared" ca="1" si="38"/>
        <v>0</v>
      </c>
      <c r="BX11" s="744">
        <f t="shared" ca="1" si="39"/>
        <v>1</v>
      </c>
      <c r="BY11" s="744">
        <f ca="1">BS11+COUNTIFS($BT$6:$BT$53,BT11,$BX$6:BX$53,"&gt;"&amp;BX11,$BC$6:$BC$53,INDEX(T_Equipos[Grupo],MATCH(BD11,T_Equipos[NombreEquipo],0)))</f>
        <v>1</v>
      </c>
      <c r="BZ11" s="743" t="str">
        <f ca="1">IF(COUNTIFS($BY$6:$BY$53,BY11,$BC$6:$BC$53,INDEX(T_Equipos[Grupo],MATCH(BD11,T_Equipos[NombreEquipo],0)))=1,"-","P."&amp;BY11&amp;" ("&amp;COUNTIFS($BY$6:$BY$53,BY11,$BC$6:$BC$53,INDEX(T_Equipos[Grupo],MATCH(BD11,T_Equipos[NombreEquipo],0)))&amp;")")</f>
        <v>P.1 (2)</v>
      </c>
      <c r="CA11" s="744">
        <f t="shared" ca="1" si="40"/>
        <v>1</v>
      </c>
      <c r="CB11" s="744">
        <f t="shared" ca="1" si="41"/>
        <v>1</v>
      </c>
      <c r="CC11" s="744">
        <f t="shared" ca="1" si="42"/>
        <v>0</v>
      </c>
      <c r="CD11" s="744">
        <f ca="1">BY11+COUNTIFS($BZ$6:$BZ$53,BZ11,$CC$6:CC$53,"&gt;"&amp;CC11,$BC$6:$BC$53,INDEX(T_Equipos[Grupo],MATCH(BD11,T_Equipos[NombreEquipo],0)))</f>
        <v>1</v>
      </c>
      <c r="CE11" s="743" t="str">
        <f ca="1">IF(COUNTIFS($CD$6:$CD$53,CD11,$BC$6:$BC$53,INDEX(T_Equipos[Grupo],MATCH(BD11,T_Equipos[NombreEquipo],0)))=1,"-","P."&amp;CD11&amp;" ("&amp;COUNTIFS($CD$6:$CD$53,CD11,$BC$6:$BC$53,INDEX(T_Equipos[Grupo],MATCH(BD11,T_Equipos[NombreEquipo],0)))&amp;")")</f>
        <v>P.1 (2)</v>
      </c>
      <c r="CF11" s="744">
        <f t="shared" ca="1" si="43"/>
        <v>1</v>
      </c>
      <c r="CG11" s="744">
        <f ca="1">CD11+COUNTIFS($CE$6:$CE$53,CE11,$CF$6:CF$53,"&gt;"&amp;CF11,$BC$6:$BC$53,INDEX(T_Equipos[Grupo],MATCH(BD11,T_Equipos[NombreEquipo],0)))</f>
        <v>1</v>
      </c>
      <c r="CH11" s="743" t="str">
        <f ca="1">IF(COUNTIFS($CG$6:$CG$53,CG11,$BC$6:$BC$53,INDEX(T_Equipos[Grupo],MATCH(BD11,T_Equipos[NombreEquipo],0)))=1,"-","P."&amp;CG11&amp;" ("&amp;COUNTIFS($CG$6:$CG$53,CG11,$BC$6:$BC$53,INDEX(T_Equipos[Grupo],MATCH(BD11,T_Equipos[NombreEquipo],0)))&amp;")")</f>
        <v>P.1 (2)</v>
      </c>
      <c r="CI11" s="744">
        <f t="shared" ca="1" si="44"/>
        <v>0</v>
      </c>
      <c r="CJ11" s="744">
        <f t="shared" ca="1" si="45"/>
        <v>1</v>
      </c>
      <c r="CK11" s="744">
        <f t="shared" ca="1" si="46"/>
        <v>0</v>
      </c>
      <c r="CL11" s="744">
        <f t="shared" ca="1" si="47"/>
        <v>1</v>
      </c>
      <c r="CM11" s="744">
        <f ca="1">CG11+COUNTIFS($CH$6:$CH$53,CH11,$CL$6:CL$53,"&gt;"&amp;CL11,$BC$6:$BC$53,INDEX(T_Equipos[Grupo],MATCH(BD11,T_Equipos[NombreEquipo],0)))</f>
        <v>1</v>
      </c>
      <c r="CN11" s="743" t="str">
        <f ca="1">IF(COUNTIFS($CM$6:$CM$53,CM11,$BC$6:$BC$53,INDEX(T_Equipos[Grupo],MATCH(BD11,T_Equipos[NombreEquipo],0)))=1,"-","P."&amp;CM11&amp;" ("&amp;COUNTIFS($CM$6:$CM$53,CM11,$BC$6:$BC$53,INDEX(T_Equipos[Grupo],MATCH(BD11,T_Equipos[NombreEquipo],0)))&amp;")")</f>
        <v>P.1 (2)</v>
      </c>
      <c r="CO11" s="744">
        <f t="shared" ca="1" si="48"/>
        <v>1</v>
      </c>
      <c r="CP11" s="744">
        <f t="shared" ca="1" si="49"/>
        <v>1</v>
      </c>
      <c r="CQ11" s="744">
        <f t="shared" ca="1" si="50"/>
        <v>0</v>
      </c>
      <c r="CR11" s="744">
        <f ca="1">CM11+COUNTIFS($CN$6:$CN$53,CN11,$CQ$6:CQ$53,"&gt;"&amp;CQ11,$BC$6:$BC$53,INDEX(T_Equipos[Grupo],MATCH(BD11,T_Equipos[NombreEquipo],0)))</f>
        <v>1</v>
      </c>
      <c r="CS11" s="743" t="str">
        <f ca="1">IF(COUNTIFS($CR$6:$CR$53,CR11,$BC$6:$BC$53,INDEX(T_Equipos[Grupo],MATCH(BD11,T_Equipos[NombreEquipo],0)))=1,"-","P."&amp;CR11&amp;" ("&amp;COUNTIFS($CR$6:$CR$53,CR11,$BC$6:$BC$53,INDEX(T_Equipos[Grupo],MATCH(BD11,T_Equipos[NombreEquipo],0)))&amp;")")</f>
        <v>P.1 (2)</v>
      </c>
      <c r="CT11" s="744">
        <f t="shared" ca="1" si="51"/>
        <v>1</v>
      </c>
      <c r="CU11" s="744">
        <f ca="1">CR11+COUNTIFS($CS$6:$CS$53,CS11,$CT$6:CT$53,"&gt;"&amp;CT11,$BC$6:$BC$53,INDEX(T_Equipos[Grupo],MATCH(BD11,T_Equipos[NombreEquipo],0)))</f>
        <v>1</v>
      </c>
      <c r="CV11" s="743" t="str">
        <f ca="1">IF(COUNTIFS($CU$6:$CU$53,CU11,$BC$6:$BC$53,INDEX(T_Equipos[Grupo],MATCH(BD11,T_Equipos[NombreEquipo],0)))=1,"-","P."&amp;CU11&amp;" ("&amp;COUNTIFS($CU$6:$CU$53,CU11,$BC$6:$BC$53,INDEX(T_Equipos[Grupo],MATCH(BD11,T_Equipos[NombreEquipo],0)))&amp;")")</f>
        <v>P.1 (2)</v>
      </c>
      <c r="CW11" s="743">
        <f t="shared" ca="1" si="30"/>
        <v>0</v>
      </c>
      <c r="CX11" s="743">
        <f ca="1">CU11+COUNTIFS($CV$6:$CV$53,CV11,$CW$6:CW$53,"&gt;"&amp;CW11,$BC$6:$BC$53,INDEX(T_Equipos[Grupo],MATCH(BD11,T_Equipos[NombreEquipo],0)))</f>
        <v>1</v>
      </c>
      <c r="CY11" s="743" t="str">
        <f ca="1">IF(COUNTIFS($CX$6:$CX$53,CX11,$BC$6:$BC$53,INDEX(T_Equipos[Grupo],MATCH(BD11,T_Equipos[NombreEquipo],0)))=1,"-","P."&amp;CX11&amp;" ("&amp;COUNTIFS($CX$6:$CX$53,CX11,$BC$6:$BC$53,INDEX(T_Equipos[Grupo],MATCH(BD11,T_Equipos[NombreEquipo],0)))&amp;")")</f>
        <v>P.1 (2)</v>
      </c>
      <c r="CZ11" s="743">
        <f t="shared" ca="1" si="31"/>
        <v>1</v>
      </c>
      <c r="DA11" s="744">
        <f ca="1">CX11+COUNTIFS($CY$6:$CY$53,CY11,$CZ$6:CZ$53,"&gt;"&amp;CZ11,$BC$6:$BC$53,INDEX(T_Equipos[Grupo],MATCH(BD11,T_Equipos[NombreEquipo],0)))</f>
        <v>1</v>
      </c>
      <c r="DB11" s="743" t="str">
        <f ca="1">IF(COUNTIFS($DA$6:$DA$53,DA11,$BC$6:$BC$53,INDEX(T_Equipos[Grupo],MATCH(BD11,T_Equipos[NombreEquipo],0)))=1,"-","P."&amp;DA11&amp;" ("&amp;COUNTIFS($DA$6:$DA$53,DA11,$BC$6:$BC$53,INDEX(T_Equipos[Grupo],MATCH(BD11,T_Equipos[NombreEquipo],0)))&amp;")")</f>
        <v>P.1 (2)</v>
      </c>
      <c r="DC11" s="742">
        <f ca="1">IF(DB11="-","-",COUNTIFS(T_Equipos[Rank],"&lt;"&amp;INDEX(T_Equipos[Rank],MATCH(BD11,T_Equipos[NombreEquipo],0)),$BC$6:$BC$53,INDEX(T_Equipos[Grupo],MATCH(BD11,T_Equipos[NombreEquipo],0)))+1)</f>
        <v>2</v>
      </c>
      <c r="DD11" s="742">
        <f ca="1">DA11+COUNTIFS($DB$6:$DB$53,DB11,$DC$6:DC$53,"&lt;"&amp;DC11,$BC$6:$BC$53,INDEX(T_Equipos[Grupo],MATCH(BD11,T_Equipos[NombreEquipo],0)))</f>
        <v>2</v>
      </c>
      <c r="DE11" s="742"/>
      <c r="DF11" s="742">
        <f t="shared" ca="1" si="52"/>
        <v>2</v>
      </c>
      <c r="DG11" s="742">
        <f ca="1">IF(DB11="-","-",COUNTIFS(DF$6:DF$53,"&lt;"&amp;DF11,$BC$6:$BC$53,INDEX(T_Equipos[Grupo],MATCH(BD11,T_Equipos[NombreEquipo],0))))</f>
        <v>1</v>
      </c>
      <c r="DH11" s="742">
        <f ca="1">DA11+COUNTIFS(DB$6:DB$53,DB11,DG$6:DG$53,"&lt;"&amp;DG11,$BC$6:$BC$53,INDEX(T_Equipos[Grupo],MATCH(BD11,T_Equipos[NombreEquipo],0)))</f>
        <v>2</v>
      </c>
      <c r="DI11" s="730"/>
      <c r="DJ11" s="730">
        <f t="shared" ca="1" si="53"/>
        <v>1</v>
      </c>
      <c r="DK11" s="730">
        <f t="shared" ca="1" si="24"/>
        <v>2</v>
      </c>
      <c r="DL11" s="730">
        <f t="shared" ca="1" si="33"/>
        <v>1</v>
      </c>
      <c r="DM11" s="724" t="str">
        <f t="shared" ca="1" si="34"/>
        <v>1.1</v>
      </c>
      <c r="DN11" s="730" cm="1">
        <f t="array" aca="1" ref="DN11" ca="1">OFFSET(Horarios!$P$3,DJ11-1,0,DL11,1)</f>
        <v>1</v>
      </c>
      <c r="DO11" s="730"/>
      <c r="DP11" s="730" t="s">
        <v>649</v>
      </c>
      <c r="DQ11" s="730" t="str">
        <f t="shared" ca="1" si="35"/>
        <v>Bosnia y Herzegovina</v>
      </c>
      <c r="DR11" s="730"/>
      <c r="DS11" s="730"/>
      <c r="DT11" s="730" t="str">
        <f t="shared" si="15"/>
        <v>Casa-Fuera</v>
      </c>
      <c r="DU11" s="730"/>
      <c r="DV11" s="730"/>
      <c r="DW11" s="8"/>
    </row>
    <row r="12" spans="1:127" ht="15" customHeight="1" thickBot="1">
      <c r="A12" s="727" t="s">
        <v>30</v>
      </c>
      <c r="B12" s="728" t="s">
        <v>1</v>
      </c>
      <c r="C12" s="729">
        <f>COUNTIF(Equipos!$C$2:$C$49,WORLDCUP!B12)</f>
        <v>4</v>
      </c>
      <c r="D12" s="730" t="str">
        <f t="shared" ref="D12:D17" si="54">IF(OR(AC12="",AD12=""),"Pendiente",IF(AC12&gt;AD12,"Local",IF(AC12&lt;AD12,"Visitante","Empate")))</f>
        <v>Empate</v>
      </c>
      <c r="E12" s="730" t="str">
        <f t="shared" ref="E12:E17" ca="1" si="55">IF(D12="Pendiente","-",INDEX($BT$6:$BT$53,MATCH($AA12,$BD$6:$BD$53,0)))</f>
        <v>P.1 (2)</v>
      </c>
      <c r="F12" s="730" t="str">
        <f t="shared" ref="F12:F17" ca="1" si="56">IF(D12="Pendiente","-",INDEX($BT$6:$BT$53,MATCH($AF12,$BD$6:$BD$53,0)))</f>
        <v>P.1 (2)</v>
      </c>
      <c r="G12" s="730"/>
      <c r="H12" s="730" t="str">
        <f t="shared" ref="H12:H17" ca="1" si="57">IF(D12="Pendiente","-",INDEX($BZ$6:$BZ$53,MATCH($AA12,$BD$6:$BD$53,0)))</f>
        <v>P.1 (2)</v>
      </c>
      <c r="I12" s="730" t="str">
        <f t="shared" ref="I12:I17" ca="1" si="58">IF(D12="Pendiente","-",INDEX($BZ$6:$BZ$53,MATCH($AF12,$BD$6:$BD$53,0)))</f>
        <v>P.1 (2)</v>
      </c>
      <c r="J12" s="730"/>
      <c r="K12" s="730" t="str">
        <f t="shared" ref="K12:K17" ca="1" si="59">IF(D12="Pendiente","-",INDEX($CE$6:$CE$53,MATCH($AA12,$BD$6:$BD$53,0)))</f>
        <v>P.1 (2)</v>
      </c>
      <c r="L12" s="730" t="str">
        <f t="shared" ref="L12:L17" ca="1" si="60">IF(D12="Pendiente","-",INDEX($CE$6:$CE$53,MATCH($AF12,$BD$6:$BD$53,0)))</f>
        <v>P.1 (2)</v>
      </c>
      <c r="M12" s="730"/>
      <c r="N12" s="730" t="str">
        <f t="shared" ref="N12:N17" ca="1" si="61">IF(D12="Pendiente","-",INDEX($CH$6:$CH$53,MATCH($AA12,$BD$6:$BD$53,0)))</f>
        <v>P.1 (2)</v>
      </c>
      <c r="O12" s="730" t="str">
        <f t="shared" ref="O12:O17" ca="1" si="62">IF(D12="Pendiente","-",INDEX($CH$6:$CH$53,MATCH($AF12,$BD$6:$BD$53,0)))</f>
        <v>P.1 (2)</v>
      </c>
      <c r="P12" s="730"/>
      <c r="Q12" s="730" t="str">
        <f t="shared" ref="Q12:Q17" ca="1" si="63">IF(D12="Pendiente","-",INDEX($CN$6:$CN$53,MATCH($AA12,$BD$6:$BD$53,0)))</f>
        <v>P.1 (2)</v>
      </c>
      <c r="R12" s="730" t="str">
        <f t="shared" ref="R12:R17" ca="1" si="64">IF(D12="Pendiente","-",INDEX($CN$6:$CN$53,MATCH($AF12,$BD$6:$BD$53,0)))</f>
        <v>P.1 (2)</v>
      </c>
      <c r="S12" s="730"/>
      <c r="T12" s="730" t="str">
        <f t="shared" ref="T12:T17" ca="1" si="65">IF(D12="Pendiente","-",INDEX($CS$6:$CS$53,MATCH($AA12,$BD$6:$BD$53,0)))</f>
        <v>P.1 (2)</v>
      </c>
      <c r="U12" s="730" t="str">
        <f t="shared" ref="U12:U17" ca="1" si="66">IF(D12="Pendiente","-",INDEX($CS$6:$CS$53,MATCH($AF12,$BD$6:$BD$53,0)))</f>
        <v>P.1 (2)</v>
      </c>
      <c r="V12" s="170"/>
      <c r="W12" s="849" t="s">
        <v>1</v>
      </c>
      <c r="X12" s="187">
        <f ca="1">Horarios!C12</f>
        <v>46185.625</v>
      </c>
      <c r="Y12" s="188">
        <f ca="1">Horarios!C12</f>
        <v>46185.625</v>
      </c>
      <c r="Z12" s="189" t="str">
        <f>$Z$4</f>
        <v>J1</v>
      </c>
      <c r="AA12" s="190" t="str">
        <f ca="1">A13</f>
        <v>Canadá</v>
      </c>
      <c r="AB12" s="475" t="e" cm="1" vm="5">
        <f t="array" aca="1" ref="AB12" ca="1">Ver_flag_local</f>
        <v>#VALUE!</v>
      </c>
      <c r="AC12" s="191">
        <v>1</v>
      </c>
      <c r="AD12" s="192">
        <v>1</v>
      </c>
      <c r="AE12" s="480" t="e" cm="1" vm="6">
        <f t="array" aca="1" ref="AE12" ca="1">Ver_flag_visit</f>
        <v>#VALUE!</v>
      </c>
      <c r="AF12" s="193" t="str">
        <f ca="1">A14</f>
        <v>Bosnia y Herzegovina</v>
      </c>
      <c r="AG12" s="411">
        <f t="shared" ref="AG12:AG17" si="67">IF(NOT(OR(ISBLANK(AC12),ISBLANK(AD12))),1,0)</f>
        <v>1</v>
      </c>
      <c r="AH12" s="194">
        <v>3</v>
      </c>
      <c r="AI12" s="19"/>
      <c r="AJ12" s="195" t="str">
        <f>CONCATENATE(AJ3," ",B12)</f>
        <v>Grupo B</v>
      </c>
      <c r="AK12" s="196"/>
      <c r="AL12" s="196"/>
      <c r="AM12" s="196"/>
      <c r="AN12" s="196"/>
      <c r="AO12" s="196"/>
      <c r="AP12" s="196"/>
      <c r="AQ12" s="196"/>
      <c r="AR12" s="196"/>
      <c r="AS12" s="196"/>
      <c r="AT12" s="197"/>
      <c r="AU12" s="419"/>
      <c r="AV12" s="198" t="str">
        <f t="shared" ref="AV12" ca="1" si="68">IF(AU13&gt;0,$AV$3,"")</f>
        <v/>
      </c>
      <c r="AW12" s="428"/>
      <c r="AX12" s="252"/>
      <c r="AY12" s="240"/>
      <c r="AZ12" s="241"/>
      <c r="BA12" s="173"/>
      <c r="BB12" s="730"/>
      <c r="BC12" s="742" t="str">
        <f ca="1">+INDEX(T_Equipos[Grupo],MATCH(WORLDCUP!BD12,T_Equipos[NombreEquipo],0))</f>
        <v>B</v>
      </c>
      <c r="BD12" s="730" t="str">
        <f ca="1">+Equipos!B8</f>
        <v>Catar</v>
      </c>
      <c r="BE12" s="734">
        <f t="shared" ca="1" si="25"/>
        <v>0</v>
      </c>
      <c r="BF12" s="734">
        <f t="shared" ca="1" si="26"/>
        <v>0</v>
      </c>
      <c r="BG12" s="734">
        <f t="shared" ca="1" si="17"/>
        <v>0</v>
      </c>
      <c r="BH12" s="734">
        <f t="shared" ca="1" si="18"/>
        <v>0</v>
      </c>
      <c r="BI12" s="734">
        <f t="shared" ca="1" si="19"/>
        <v>0</v>
      </c>
      <c r="BJ12" s="734">
        <f t="shared" ca="1" si="20"/>
        <v>0</v>
      </c>
      <c r="BK12" s="734">
        <f t="shared" ca="1" si="21"/>
        <v>0</v>
      </c>
      <c r="BL12" s="734">
        <f t="shared" ca="1" si="27"/>
        <v>0</v>
      </c>
      <c r="BM12" s="734" t="str">
        <f t="shared" ca="1" si="22"/>
        <v>3B</v>
      </c>
      <c r="BN12" s="734" t="str">
        <f t="shared" ca="1" si="23"/>
        <v>3B</v>
      </c>
      <c r="BO12" s="744">
        <f t="shared" ca="1" si="28"/>
        <v>0</v>
      </c>
      <c r="BP12" s="743">
        <f ca="1">COUNTIFS($BO$6:$BO$53,"&gt;"&amp;BO12,$BC$6:$BC$53,INDEX(T_Equipos[Grupo],MATCH(BD12,T_Equipos[NombreEquipo],0)))+1</f>
        <v>1</v>
      </c>
      <c r="BQ12" s="743" t="str">
        <f ca="1">IF(COUNTIFS($BP$6:$BP$53,BP12,$BC$6:$BC$53,INDEX(T_Equipos[Grupo],MATCH(BD12,T_Equipos[NombreEquipo],0)))=1,"-","P."&amp;BP12&amp;" ("&amp;COUNTIFS($BP$6:$BP$53,BP12,$BC$6:$BC$53,INDEX(T_Equipos[Grupo],MATCH(BD12,T_Equipos[NombreEquipo],0)))&amp;")")</f>
        <v>P.1 (4)</v>
      </c>
      <c r="BR12" s="744">
        <f t="shared" ca="1" si="29"/>
        <v>0</v>
      </c>
      <c r="BS12" s="743">
        <f ca="1">BP12+COUNTIFS($BQ$6:$BQ$53,BQ12,$BR$6:BR$53,"&gt;"&amp;BR12,$BC$6:$BC$53,INDEX(T_Equipos[Grupo],MATCH(BD12,T_Equipos[NombreEquipo],0)))</f>
        <v>3</v>
      </c>
      <c r="BT12" s="743" t="str">
        <f ca="1">IF(COUNTIFS($BS$6:$BS$53,BS12,$BC$6:$BC$53,INDEX(T_Equipos[Grupo],MATCH(BD12,T_Equipos[NombreEquipo],0)))=1,"-","P."&amp;BS12&amp;" ("&amp;COUNTIFS($BS$6:$BS$53,BS12,$BC$6:$BC$53,INDEX(T_Equipos[Grupo],MATCH(BD12,T_Equipos[NombreEquipo],0)))&amp;")")</f>
        <v>P.3 (2)</v>
      </c>
      <c r="BU12" s="744">
        <f t="shared" ca="1" si="36"/>
        <v>0</v>
      </c>
      <c r="BV12" s="744">
        <f t="shared" ca="1" si="37"/>
        <v>0</v>
      </c>
      <c r="BW12" s="744">
        <f t="shared" ca="1" si="38"/>
        <v>0</v>
      </c>
      <c r="BX12" s="744">
        <f t="shared" ca="1" si="39"/>
        <v>0</v>
      </c>
      <c r="BY12" s="744">
        <f ca="1">BS12+COUNTIFS($BT$6:$BT$53,BT12,$BX$6:BX$53,"&gt;"&amp;BX12,$BC$6:$BC$53,INDEX(T_Equipos[Grupo],MATCH(BD12,T_Equipos[NombreEquipo],0)))</f>
        <v>3</v>
      </c>
      <c r="BZ12" s="743" t="str">
        <f ca="1">IF(COUNTIFS($BY$6:$BY$53,BY12,$BC$6:$BC$53,INDEX(T_Equipos[Grupo],MATCH(BD12,T_Equipos[NombreEquipo],0)))=1,"-","P."&amp;BY12&amp;" ("&amp;COUNTIFS($BY$6:$BY$53,BY12,$BC$6:$BC$53,INDEX(T_Equipos[Grupo],MATCH(BD12,T_Equipos[NombreEquipo],0)))&amp;")")</f>
        <v>P.3 (2)</v>
      </c>
      <c r="CA12" s="744">
        <f t="shared" ca="1" si="40"/>
        <v>0</v>
      </c>
      <c r="CB12" s="744">
        <f t="shared" ca="1" si="41"/>
        <v>0</v>
      </c>
      <c r="CC12" s="744">
        <f t="shared" ca="1" si="42"/>
        <v>0</v>
      </c>
      <c r="CD12" s="744">
        <f ca="1">BY12+COUNTIFS($BZ$6:$BZ$53,BZ12,$CC$6:CC$53,"&gt;"&amp;CC12,$BC$6:$BC$53,INDEX(T_Equipos[Grupo],MATCH(BD12,T_Equipos[NombreEquipo],0)))</f>
        <v>3</v>
      </c>
      <c r="CE12" s="743" t="str">
        <f ca="1">IF(COUNTIFS($CD$6:$CD$53,CD12,$BC$6:$BC$53,INDEX(T_Equipos[Grupo],MATCH(BD12,T_Equipos[NombreEquipo],0)))=1,"-","P."&amp;CD12&amp;" ("&amp;COUNTIFS($CD$6:$CD$53,CD12,$BC$6:$BC$53,INDEX(T_Equipos[Grupo],MATCH(BD12,T_Equipos[NombreEquipo],0)))&amp;")")</f>
        <v>P.3 (2)</v>
      </c>
      <c r="CF12" s="744">
        <f t="shared" ca="1" si="43"/>
        <v>0</v>
      </c>
      <c r="CG12" s="744">
        <f ca="1">CD12+COUNTIFS($CE$6:$CE$53,CE12,$CF$6:CF$53,"&gt;"&amp;CF12,$BC$6:$BC$53,INDEX(T_Equipos[Grupo],MATCH(BD12,T_Equipos[NombreEquipo],0)))</f>
        <v>3</v>
      </c>
      <c r="CH12" s="743" t="str">
        <f ca="1">IF(COUNTIFS($CG$6:$CG$53,CG12,$BC$6:$BC$53,INDEX(T_Equipos[Grupo],MATCH(BD12,T_Equipos[NombreEquipo],0)))=1,"-","P."&amp;CG12&amp;" ("&amp;COUNTIFS($CG$6:$CG$53,CG12,$BC$6:$BC$53,INDEX(T_Equipos[Grupo],MATCH(BD12,T_Equipos[NombreEquipo],0)))&amp;")")</f>
        <v>P.3 (2)</v>
      </c>
      <c r="CI12" s="744">
        <f t="shared" ca="1" si="44"/>
        <v>0</v>
      </c>
      <c r="CJ12" s="744">
        <f t="shared" ca="1" si="45"/>
        <v>0</v>
      </c>
      <c r="CK12" s="744">
        <f t="shared" ca="1" si="46"/>
        <v>0</v>
      </c>
      <c r="CL12" s="744">
        <f t="shared" ca="1" si="47"/>
        <v>0</v>
      </c>
      <c r="CM12" s="744">
        <f ca="1">CG12+COUNTIFS($CH$6:$CH$53,CH12,$CL$6:CL$53,"&gt;"&amp;CL12,$BC$6:$BC$53,INDEX(T_Equipos[Grupo],MATCH(BD12,T_Equipos[NombreEquipo],0)))</f>
        <v>3</v>
      </c>
      <c r="CN12" s="743" t="str">
        <f ca="1">IF(COUNTIFS($CM$6:$CM$53,CM12,$BC$6:$BC$53,INDEX(T_Equipos[Grupo],MATCH(BD12,T_Equipos[NombreEquipo],0)))=1,"-","P."&amp;CM12&amp;" ("&amp;COUNTIFS($CM$6:$CM$53,CM12,$BC$6:$BC$53,INDEX(T_Equipos[Grupo],MATCH(BD12,T_Equipos[NombreEquipo],0)))&amp;")")</f>
        <v>P.3 (2)</v>
      </c>
      <c r="CO12" s="744">
        <f t="shared" ca="1" si="48"/>
        <v>0</v>
      </c>
      <c r="CP12" s="744">
        <f t="shared" ca="1" si="49"/>
        <v>0</v>
      </c>
      <c r="CQ12" s="744">
        <f t="shared" ca="1" si="50"/>
        <v>0</v>
      </c>
      <c r="CR12" s="744">
        <f ca="1">CM12+COUNTIFS($CN$6:$CN$53,CN12,$CQ$6:CQ$53,"&gt;"&amp;CQ12,$BC$6:$BC$53,INDEX(T_Equipos[Grupo],MATCH(BD12,T_Equipos[NombreEquipo],0)))</f>
        <v>3</v>
      </c>
      <c r="CS12" s="743" t="str">
        <f ca="1">IF(COUNTIFS($CR$6:$CR$53,CR12,$BC$6:$BC$53,INDEX(T_Equipos[Grupo],MATCH(BD12,T_Equipos[NombreEquipo],0)))=1,"-","P."&amp;CR12&amp;" ("&amp;COUNTIFS($CR$6:$CR$53,CR12,$BC$6:$BC$53,INDEX(T_Equipos[Grupo],MATCH(BD12,T_Equipos[NombreEquipo],0)))&amp;")")</f>
        <v>P.3 (2)</v>
      </c>
      <c r="CT12" s="744">
        <f t="shared" ca="1" si="51"/>
        <v>0</v>
      </c>
      <c r="CU12" s="744">
        <f ca="1">CR12+COUNTIFS($CS$6:$CS$53,CS12,$CT$6:CT$53,"&gt;"&amp;CT12,$BC$6:$BC$53,INDEX(T_Equipos[Grupo],MATCH(BD12,T_Equipos[NombreEquipo],0)))</f>
        <v>3</v>
      </c>
      <c r="CV12" s="743" t="str">
        <f ca="1">IF(COUNTIFS($CU$6:$CU$53,CU12,$BC$6:$BC$53,INDEX(T_Equipos[Grupo],MATCH(BD12,T_Equipos[NombreEquipo],0)))=1,"-","P."&amp;CU12&amp;" ("&amp;COUNTIFS($CU$6:$CU$53,CU12,$BC$6:$BC$53,INDEX(T_Equipos[Grupo],MATCH(BD12,T_Equipos[NombreEquipo],0)))&amp;")")</f>
        <v>P.3 (2)</v>
      </c>
      <c r="CW12" s="743">
        <f t="shared" ca="1" si="30"/>
        <v>0</v>
      </c>
      <c r="CX12" s="743">
        <f ca="1">CU12+COUNTIFS($CV$6:$CV$53,CV12,$CW$6:CW$53,"&gt;"&amp;CW12,$BC$6:$BC$53,INDEX(T_Equipos[Grupo],MATCH(BD12,T_Equipos[NombreEquipo],0)))</f>
        <v>3</v>
      </c>
      <c r="CY12" s="743" t="str">
        <f ca="1">IF(COUNTIFS($CX$6:$CX$53,CX12,$BC$6:$BC$53,INDEX(T_Equipos[Grupo],MATCH(BD12,T_Equipos[NombreEquipo],0)))=1,"-","P."&amp;CX12&amp;" ("&amp;COUNTIFS($CX$6:$CX$53,CX12,$BC$6:$BC$53,INDEX(T_Equipos[Grupo],MATCH(BD12,T_Equipos[NombreEquipo],0)))&amp;")")</f>
        <v>P.3 (2)</v>
      </c>
      <c r="CZ12" s="743">
        <f t="shared" ca="1" si="31"/>
        <v>0</v>
      </c>
      <c r="DA12" s="744">
        <f ca="1">CX12+COUNTIFS($CY$6:$CY$53,CY12,$CZ$6:CZ$53,"&gt;"&amp;CZ12,$BC$6:$BC$53,INDEX(T_Equipos[Grupo],MATCH(BD12,T_Equipos[NombreEquipo],0)))</f>
        <v>3</v>
      </c>
      <c r="DB12" s="743" t="str">
        <f ca="1">IF(COUNTIFS($DA$6:$DA$53,DA12,$BC$6:$BC$53,INDEX(T_Equipos[Grupo],MATCH(BD12,T_Equipos[NombreEquipo],0)))=1,"-","P."&amp;DA12&amp;" ("&amp;COUNTIFS($DA$6:$DA$53,DA12,$BC$6:$BC$53,INDEX(T_Equipos[Grupo],MATCH(BD12,T_Equipos[NombreEquipo],0)))&amp;")")</f>
        <v>P.3 (2)</v>
      </c>
      <c r="DC12" s="742">
        <f ca="1">IF(DB12="-","-",COUNTIFS(T_Equipos[Rank],"&lt;"&amp;INDEX(T_Equipos[Rank],MATCH(BD12,T_Equipos[NombreEquipo],0)),$BC$6:$BC$53,INDEX(T_Equipos[Grupo],MATCH(BD12,T_Equipos[NombreEquipo],0)))+1)</f>
        <v>3</v>
      </c>
      <c r="DD12" s="742">
        <f ca="1">DA12+COUNTIFS($DB$6:$DB$53,DB12,$DC$6:DC$53,"&lt;"&amp;DC12,$BC$6:$BC$53,INDEX(T_Equipos[Grupo],MATCH(BD12,T_Equipos[NombreEquipo],0)))</f>
        <v>3</v>
      </c>
      <c r="DE12" s="742"/>
      <c r="DF12" s="742">
        <f t="shared" ca="1" si="52"/>
        <v>3</v>
      </c>
      <c r="DG12" s="742">
        <f ca="1">IF(DB12="-","-",COUNTIFS(DF$6:DF$53,"&lt;"&amp;DF12,$BC$6:$BC$53,INDEX(T_Equipos[Grupo],MATCH(BD12,T_Equipos[NombreEquipo],0))))</f>
        <v>2</v>
      </c>
      <c r="DH12" s="742">
        <f ca="1">DA12+COUNTIFS(DB$6:DB$53,DB12,DG$6:DG$53,"&lt;"&amp;DG12,$BC$6:$BC$53,INDEX(T_Equipos[Grupo],MATCH(BD12,T_Equipos[NombreEquipo],0)))</f>
        <v>3</v>
      </c>
      <c r="DI12" s="730"/>
      <c r="DJ12" s="730">
        <f t="shared" ca="1" si="53"/>
        <v>3</v>
      </c>
      <c r="DK12" s="730">
        <f t="shared" ca="1" si="24"/>
        <v>2</v>
      </c>
      <c r="DL12" s="730">
        <f t="shared" ca="1" si="33"/>
        <v>1</v>
      </c>
      <c r="DM12" s="724" t="str">
        <f t="shared" ca="1" si="34"/>
        <v>3.1</v>
      </c>
      <c r="DN12" s="730" cm="1">
        <f t="array" aca="1" ref="DN12" ca="1">OFFSET(Horarios!$P$3,DJ12-1,0,DL12,1)</f>
        <v>3</v>
      </c>
      <c r="DO12" s="730"/>
      <c r="DP12" s="730" t="s">
        <v>90</v>
      </c>
      <c r="DQ12" s="730" t="str">
        <f t="shared" ca="1" si="35"/>
        <v>Catar</v>
      </c>
      <c r="DR12" s="730"/>
      <c r="DS12" s="730"/>
      <c r="DT12" s="730" t="str">
        <f t="shared" ca="1" si="15"/>
        <v>Canadá-Bosnia y Herzegovina</v>
      </c>
      <c r="DU12" s="730"/>
      <c r="DV12" s="730"/>
      <c r="DW12" s="8"/>
    </row>
    <row r="13" spans="1:127" ht="16.05" customHeight="1">
      <c r="A13" s="731" t="str">
        <f ca="1">+Equipos!B6</f>
        <v>Canadá</v>
      </c>
      <c r="B13" s="728"/>
      <c r="C13" s="728"/>
      <c r="D13" s="730" t="str">
        <f t="shared" si="54"/>
        <v>Pendiente</v>
      </c>
      <c r="E13" s="730" t="str">
        <f t="shared" si="55"/>
        <v>-</v>
      </c>
      <c r="F13" s="730" t="str">
        <f t="shared" si="56"/>
        <v>-</v>
      </c>
      <c r="G13" s="730"/>
      <c r="H13" s="730" t="str">
        <f t="shared" si="57"/>
        <v>-</v>
      </c>
      <c r="I13" s="730" t="str">
        <f t="shared" si="58"/>
        <v>-</v>
      </c>
      <c r="J13" s="730"/>
      <c r="K13" s="730" t="str">
        <f t="shared" si="59"/>
        <v>-</v>
      </c>
      <c r="L13" s="730" t="str">
        <f t="shared" si="60"/>
        <v>-</v>
      </c>
      <c r="M13" s="730"/>
      <c r="N13" s="730" t="str">
        <f t="shared" si="61"/>
        <v>-</v>
      </c>
      <c r="O13" s="730" t="str">
        <f t="shared" si="62"/>
        <v>-</v>
      </c>
      <c r="P13" s="730"/>
      <c r="Q13" s="730" t="str">
        <f t="shared" si="63"/>
        <v>-</v>
      </c>
      <c r="R13" s="730" t="str">
        <f t="shared" si="64"/>
        <v>-</v>
      </c>
      <c r="S13" s="730"/>
      <c r="T13" s="730" t="str">
        <f t="shared" si="65"/>
        <v>-</v>
      </c>
      <c r="U13" s="730" t="str">
        <f t="shared" si="66"/>
        <v>-</v>
      </c>
      <c r="V13" s="170"/>
      <c r="W13" s="849"/>
      <c r="X13" s="187">
        <f ca="1">Horarios!C13</f>
        <v>46186.625</v>
      </c>
      <c r="Y13" s="188">
        <f ca="1">Horarios!C13</f>
        <v>46186.625</v>
      </c>
      <c r="Z13" s="189" t="str">
        <f>$Z$4</f>
        <v>J1</v>
      </c>
      <c r="AA13" s="190" t="str">
        <f ca="1">A15</f>
        <v>Catar</v>
      </c>
      <c r="AB13" s="475" t="e" cm="1" vm="7">
        <f t="array" aca="1" ref="AB13" ca="1">Ver_flag_local</f>
        <v>#VALUE!</v>
      </c>
      <c r="AC13" s="191"/>
      <c r="AD13" s="192"/>
      <c r="AE13" s="480" t="e" cm="1" vm="8">
        <f t="array" aca="1" ref="AE13" ca="1">Ver_flag_visit</f>
        <v>#VALUE!</v>
      </c>
      <c r="AF13" s="193" t="str">
        <f ca="1">A16</f>
        <v>Suiza</v>
      </c>
      <c r="AG13" s="411">
        <f t="shared" si="67"/>
        <v>0</v>
      </c>
      <c r="AH13" s="194">
        <v>8</v>
      </c>
      <c r="AI13" s="19"/>
      <c r="AJ13" s="202" t="str">
        <f>AJ5</f>
        <v>Pos</v>
      </c>
      <c r="AK13" s="203"/>
      <c r="AL13" s="204" t="str">
        <f t="shared" ref="AL13:AT13" si="69">AL5</f>
        <v>Selección</v>
      </c>
      <c r="AM13" s="203" t="str">
        <f t="shared" si="69"/>
        <v>Pts</v>
      </c>
      <c r="AN13" s="203" t="str">
        <f t="shared" si="69"/>
        <v>J</v>
      </c>
      <c r="AO13" s="203" t="str">
        <f t="shared" si="69"/>
        <v>G</v>
      </c>
      <c r="AP13" s="203" t="str">
        <f t="shared" si="69"/>
        <v>E</v>
      </c>
      <c r="AQ13" s="203" t="str">
        <f t="shared" si="69"/>
        <v>P</v>
      </c>
      <c r="AR13" s="203" t="str">
        <f t="shared" si="69"/>
        <v>GF</v>
      </c>
      <c r="AS13" s="203" t="str">
        <f t="shared" si="69"/>
        <v>GC</v>
      </c>
      <c r="AT13" s="205" t="str">
        <f t="shared" si="69"/>
        <v>DG</v>
      </c>
      <c r="AU13" s="419">
        <f t="shared" ref="AU13" ca="1" si="70">COUNTIF(AU14:AU17,"&gt;1")</f>
        <v>0</v>
      </c>
      <c r="AV13" s="206"/>
      <c r="AW13" s="206"/>
      <c r="AX13" s="253"/>
      <c r="AY13" s="207" t="str">
        <f>AL13</f>
        <v>Selección</v>
      </c>
      <c r="AZ13" s="208" t="str">
        <f>+Idiomas!$D$69</f>
        <v>Puntos penalizados</v>
      </c>
      <c r="BA13" s="173"/>
      <c r="BB13" s="730"/>
      <c r="BC13" s="742" t="str">
        <f ca="1">+INDEX(T_Equipos[Grupo],MATCH(WORLDCUP!BD13,T_Equipos[NombreEquipo],0))</f>
        <v>B</v>
      </c>
      <c r="BD13" s="730" t="str">
        <f ca="1">+Equipos!B9</f>
        <v>Suiza</v>
      </c>
      <c r="BE13" s="734">
        <f t="shared" ca="1" si="25"/>
        <v>0</v>
      </c>
      <c r="BF13" s="734">
        <f t="shared" ca="1" si="26"/>
        <v>0</v>
      </c>
      <c r="BG13" s="734">
        <f t="shared" ca="1" si="17"/>
        <v>0</v>
      </c>
      <c r="BH13" s="734">
        <f t="shared" ca="1" si="18"/>
        <v>0</v>
      </c>
      <c r="BI13" s="734">
        <f t="shared" ca="1" si="19"/>
        <v>0</v>
      </c>
      <c r="BJ13" s="734">
        <f t="shared" ca="1" si="20"/>
        <v>0</v>
      </c>
      <c r="BK13" s="734">
        <f t="shared" ca="1" si="21"/>
        <v>0</v>
      </c>
      <c r="BL13" s="734">
        <f t="shared" ca="1" si="27"/>
        <v>0</v>
      </c>
      <c r="BM13" s="734" t="str">
        <f t="shared" ca="1" si="22"/>
        <v>4B</v>
      </c>
      <c r="BN13" s="734" t="str">
        <f t="shared" ca="1" si="23"/>
        <v>4B</v>
      </c>
      <c r="BO13" s="744">
        <f t="shared" ca="1" si="28"/>
        <v>0</v>
      </c>
      <c r="BP13" s="743">
        <f ca="1">COUNTIFS($BO$6:$BO$53,"&gt;"&amp;BO13,$BC$6:$BC$53,INDEX(T_Equipos[Grupo],MATCH(BD13,T_Equipos[NombreEquipo],0)))+1</f>
        <v>1</v>
      </c>
      <c r="BQ13" s="743" t="str">
        <f ca="1">IF(COUNTIFS($BP$6:$BP$53,BP13,$BC$6:$BC$53,INDEX(T_Equipos[Grupo],MATCH(BD13,T_Equipos[NombreEquipo],0)))=1,"-","P."&amp;BP13&amp;" ("&amp;COUNTIFS($BP$6:$BP$53,BP13,$BC$6:$BC$53,INDEX(T_Equipos[Grupo],MATCH(BD13,T_Equipos[NombreEquipo],0)))&amp;")")</f>
        <v>P.1 (4)</v>
      </c>
      <c r="BR13" s="744">
        <f t="shared" ca="1" si="29"/>
        <v>0</v>
      </c>
      <c r="BS13" s="743">
        <f ca="1">BP13+COUNTIFS($BQ$6:$BQ$53,BQ13,$BR$6:BR$53,"&gt;"&amp;BR13,$BC$6:$BC$53,INDEX(T_Equipos[Grupo],MATCH(BD13,T_Equipos[NombreEquipo],0)))</f>
        <v>3</v>
      </c>
      <c r="BT13" s="743" t="str">
        <f ca="1">IF(COUNTIFS($BS$6:$BS$53,BS13,$BC$6:$BC$53,INDEX(T_Equipos[Grupo],MATCH(BD13,T_Equipos[NombreEquipo],0)))=1,"-","P."&amp;BS13&amp;" ("&amp;COUNTIFS($BS$6:$BS$53,BS13,$BC$6:$BC$53,INDEX(T_Equipos[Grupo],MATCH(BD13,T_Equipos[NombreEquipo],0)))&amp;")")</f>
        <v>P.3 (2)</v>
      </c>
      <c r="BU13" s="744">
        <f t="shared" ca="1" si="36"/>
        <v>0</v>
      </c>
      <c r="BV13" s="744">
        <f t="shared" ca="1" si="37"/>
        <v>0</v>
      </c>
      <c r="BW13" s="744">
        <f t="shared" ca="1" si="38"/>
        <v>0</v>
      </c>
      <c r="BX13" s="744">
        <f t="shared" ca="1" si="39"/>
        <v>0</v>
      </c>
      <c r="BY13" s="744">
        <f ca="1">BS13+COUNTIFS($BT$6:$BT$53,BT13,$BX$6:BX$53,"&gt;"&amp;BX13,$BC$6:$BC$53,INDEX(T_Equipos[Grupo],MATCH(BD13,T_Equipos[NombreEquipo],0)))</f>
        <v>3</v>
      </c>
      <c r="BZ13" s="743" t="str">
        <f ca="1">IF(COUNTIFS($BY$6:$BY$53,BY13,$BC$6:$BC$53,INDEX(T_Equipos[Grupo],MATCH(BD13,T_Equipos[NombreEquipo],0)))=1,"-","P."&amp;BY13&amp;" ("&amp;COUNTIFS($BY$6:$BY$53,BY13,$BC$6:$BC$53,INDEX(T_Equipos[Grupo],MATCH(BD13,T_Equipos[NombreEquipo],0)))&amp;")")</f>
        <v>P.3 (2)</v>
      </c>
      <c r="CA13" s="744">
        <f t="shared" ca="1" si="40"/>
        <v>0</v>
      </c>
      <c r="CB13" s="744">
        <f t="shared" ca="1" si="41"/>
        <v>0</v>
      </c>
      <c r="CC13" s="744">
        <f t="shared" ca="1" si="42"/>
        <v>0</v>
      </c>
      <c r="CD13" s="744">
        <f ca="1">BY13+COUNTIFS($BZ$6:$BZ$53,BZ13,$CC$6:CC$53,"&gt;"&amp;CC13,$BC$6:$BC$53,INDEX(T_Equipos[Grupo],MATCH(BD13,T_Equipos[NombreEquipo],0)))</f>
        <v>3</v>
      </c>
      <c r="CE13" s="743" t="str">
        <f ca="1">IF(COUNTIFS($CD$6:$CD$53,CD13,$BC$6:$BC$53,INDEX(T_Equipos[Grupo],MATCH(BD13,T_Equipos[NombreEquipo],0)))=1,"-","P."&amp;CD13&amp;" ("&amp;COUNTIFS($CD$6:$CD$53,CD13,$BC$6:$BC$53,INDEX(T_Equipos[Grupo],MATCH(BD13,T_Equipos[NombreEquipo],0)))&amp;")")</f>
        <v>P.3 (2)</v>
      </c>
      <c r="CF13" s="744">
        <f t="shared" ca="1" si="43"/>
        <v>0</v>
      </c>
      <c r="CG13" s="744">
        <f ca="1">CD13+COUNTIFS($CE$6:$CE$53,CE13,$CF$6:CF$53,"&gt;"&amp;CF13,$BC$6:$BC$53,INDEX(T_Equipos[Grupo],MATCH(BD13,T_Equipos[NombreEquipo],0)))</f>
        <v>3</v>
      </c>
      <c r="CH13" s="743" t="str">
        <f ca="1">IF(COUNTIFS($CG$6:$CG$53,CG13,$BC$6:$BC$53,INDEX(T_Equipos[Grupo],MATCH(BD13,T_Equipos[NombreEquipo],0)))=1,"-","P."&amp;CG13&amp;" ("&amp;COUNTIFS($CG$6:$CG$53,CG13,$BC$6:$BC$53,INDEX(T_Equipos[Grupo],MATCH(BD13,T_Equipos[NombreEquipo],0)))&amp;")")</f>
        <v>P.3 (2)</v>
      </c>
      <c r="CI13" s="744">
        <f t="shared" ca="1" si="44"/>
        <v>0</v>
      </c>
      <c r="CJ13" s="744">
        <f t="shared" ca="1" si="45"/>
        <v>0</v>
      </c>
      <c r="CK13" s="744">
        <f t="shared" ca="1" si="46"/>
        <v>0</v>
      </c>
      <c r="CL13" s="744">
        <f t="shared" ca="1" si="47"/>
        <v>0</v>
      </c>
      <c r="CM13" s="744">
        <f ca="1">CG13+COUNTIFS($CH$6:$CH$53,CH13,$CL$6:CL$53,"&gt;"&amp;CL13,$BC$6:$BC$53,INDEX(T_Equipos[Grupo],MATCH(BD13,T_Equipos[NombreEquipo],0)))</f>
        <v>3</v>
      </c>
      <c r="CN13" s="743" t="str">
        <f ca="1">IF(COUNTIFS($CM$6:$CM$53,CM13,$BC$6:$BC$53,INDEX(T_Equipos[Grupo],MATCH(BD13,T_Equipos[NombreEquipo],0)))=1,"-","P."&amp;CM13&amp;" ("&amp;COUNTIFS($CM$6:$CM$53,CM13,$BC$6:$BC$53,INDEX(T_Equipos[Grupo],MATCH(BD13,T_Equipos[NombreEquipo],0)))&amp;")")</f>
        <v>P.3 (2)</v>
      </c>
      <c r="CO13" s="744">
        <f t="shared" ca="1" si="48"/>
        <v>0</v>
      </c>
      <c r="CP13" s="744">
        <f t="shared" ca="1" si="49"/>
        <v>0</v>
      </c>
      <c r="CQ13" s="744">
        <f t="shared" ca="1" si="50"/>
        <v>0</v>
      </c>
      <c r="CR13" s="744">
        <f ca="1">CM13+COUNTIFS($CN$6:$CN$53,CN13,$CQ$6:CQ$53,"&gt;"&amp;CQ13,$BC$6:$BC$53,INDEX(T_Equipos[Grupo],MATCH(BD13,T_Equipos[NombreEquipo],0)))</f>
        <v>3</v>
      </c>
      <c r="CS13" s="743" t="str">
        <f ca="1">IF(COUNTIFS($CR$6:$CR$53,CR13,$BC$6:$BC$53,INDEX(T_Equipos[Grupo],MATCH(BD13,T_Equipos[NombreEquipo],0)))=1,"-","P."&amp;CR13&amp;" ("&amp;COUNTIFS($CR$6:$CR$53,CR13,$BC$6:$BC$53,INDEX(T_Equipos[Grupo],MATCH(BD13,T_Equipos[NombreEquipo],0)))&amp;")")</f>
        <v>P.3 (2)</v>
      </c>
      <c r="CT13" s="744">
        <f t="shared" ca="1" si="51"/>
        <v>0</v>
      </c>
      <c r="CU13" s="744">
        <f ca="1">CR13+COUNTIFS($CS$6:$CS$53,CS13,$CT$6:CT$53,"&gt;"&amp;CT13,$BC$6:$BC$53,INDEX(T_Equipos[Grupo],MATCH(BD13,T_Equipos[NombreEquipo],0)))</f>
        <v>3</v>
      </c>
      <c r="CV13" s="743" t="str">
        <f ca="1">IF(COUNTIFS($CU$6:$CU$53,CU13,$BC$6:$BC$53,INDEX(T_Equipos[Grupo],MATCH(BD13,T_Equipos[NombreEquipo],0)))=1,"-","P."&amp;CU13&amp;" ("&amp;COUNTIFS($CU$6:$CU$53,CU13,$BC$6:$BC$53,INDEX(T_Equipos[Grupo],MATCH(BD13,T_Equipos[NombreEquipo],0)))&amp;")")</f>
        <v>P.3 (2)</v>
      </c>
      <c r="CW13" s="743">
        <f t="shared" ca="1" si="30"/>
        <v>0</v>
      </c>
      <c r="CX13" s="743">
        <f ca="1">CU13+COUNTIFS($CV$6:$CV$53,CV13,$CW$6:CW$53,"&gt;"&amp;CW13,$BC$6:$BC$53,INDEX(T_Equipos[Grupo],MATCH(BD13,T_Equipos[NombreEquipo],0)))</f>
        <v>3</v>
      </c>
      <c r="CY13" s="743" t="str">
        <f ca="1">IF(COUNTIFS($CX$6:$CX$53,CX13,$BC$6:$BC$53,INDEX(T_Equipos[Grupo],MATCH(BD13,T_Equipos[NombreEquipo],0)))=1,"-","P."&amp;CX13&amp;" ("&amp;COUNTIFS($CX$6:$CX$53,CX13,$BC$6:$BC$53,INDEX(T_Equipos[Grupo],MATCH(BD13,T_Equipos[NombreEquipo],0)))&amp;")")</f>
        <v>P.3 (2)</v>
      </c>
      <c r="CZ13" s="743">
        <f t="shared" ca="1" si="31"/>
        <v>0</v>
      </c>
      <c r="DA13" s="744">
        <f ca="1">CX13+COUNTIFS($CY$6:$CY$53,CY13,$CZ$6:CZ$53,"&gt;"&amp;CZ13,$BC$6:$BC$53,INDEX(T_Equipos[Grupo],MATCH(BD13,T_Equipos[NombreEquipo],0)))</f>
        <v>3</v>
      </c>
      <c r="DB13" s="743" t="str">
        <f ca="1">IF(COUNTIFS($DA$6:$DA$53,DA13,$BC$6:$BC$53,INDEX(T_Equipos[Grupo],MATCH(BD13,T_Equipos[NombreEquipo],0)))=1,"-","P."&amp;DA13&amp;" ("&amp;COUNTIFS($DA$6:$DA$53,DA13,$BC$6:$BC$53,INDEX(T_Equipos[Grupo],MATCH(BD13,T_Equipos[NombreEquipo],0)))&amp;")")</f>
        <v>P.3 (2)</v>
      </c>
      <c r="DC13" s="742">
        <f ca="1">IF(DB13="-","-",COUNTIFS(T_Equipos[Rank],"&lt;"&amp;INDEX(T_Equipos[Rank],MATCH(BD13,T_Equipos[NombreEquipo],0)),$BC$6:$BC$53,INDEX(T_Equipos[Grupo],MATCH(BD13,T_Equipos[NombreEquipo],0)))+1)</f>
        <v>4</v>
      </c>
      <c r="DD13" s="742">
        <f ca="1">DA13+COUNTIFS($DB$6:$DB$53,DB13,$DC$6:DC$53,"&lt;"&amp;DC13,$BC$6:$BC$53,INDEX(T_Equipos[Grupo],MATCH(BD13,T_Equipos[NombreEquipo],0)))</f>
        <v>4</v>
      </c>
      <c r="DE13" s="742"/>
      <c r="DF13" s="742">
        <f t="shared" ca="1" si="52"/>
        <v>4</v>
      </c>
      <c r="DG13" s="742">
        <f ca="1">IF(DB13="-","-",COUNTIFS(DF$6:DF$53,"&lt;"&amp;DF13,$BC$6:$BC$53,INDEX(T_Equipos[Grupo],MATCH(BD13,T_Equipos[NombreEquipo],0))))</f>
        <v>3</v>
      </c>
      <c r="DH13" s="742">
        <f ca="1">DA13+COUNTIFS(DB$6:DB$53,DB13,DG$6:DG$53,"&lt;"&amp;DG13,$BC$6:$BC$53,INDEX(T_Equipos[Grupo],MATCH(BD13,T_Equipos[NombreEquipo],0)))</f>
        <v>4</v>
      </c>
      <c r="DI13" s="730"/>
      <c r="DJ13" s="730">
        <f t="shared" ca="1" si="53"/>
        <v>3</v>
      </c>
      <c r="DK13" s="730">
        <f t="shared" ca="1" si="24"/>
        <v>2</v>
      </c>
      <c r="DL13" s="730">
        <f t="shared" ca="1" si="33"/>
        <v>1</v>
      </c>
      <c r="DM13" s="724" t="str">
        <f t="shared" ca="1" si="34"/>
        <v>3.1</v>
      </c>
      <c r="DN13" s="730" cm="1">
        <f t="array" aca="1" ref="DN13" ca="1">OFFSET(Horarios!$P$3,DJ13-1,0,DL13,1)</f>
        <v>3</v>
      </c>
      <c r="DO13" s="730"/>
      <c r="DP13" s="730" t="s">
        <v>650</v>
      </c>
      <c r="DQ13" s="730" t="str">
        <f t="shared" ca="1" si="35"/>
        <v>Suiza</v>
      </c>
      <c r="DR13" s="730"/>
      <c r="DS13" s="730"/>
      <c r="DT13" s="730" t="str">
        <f t="shared" ca="1" si="15"/>
        <v>Catar-Suiza</v>
      </c>
      <c r="DU13" s="730"/>
      <c r="DV13" s="730"/>
      <c r="DW13" s="8"/>
    </row>
    <row r="14" spans="1:127" ht="16.95" customHeight="1">
      <c r="A14" s="731" t="str">
        <f ca="1">+Equipos!B7</f>
        <v>Bosnia y Herzegovina</v>
      </c>
      <c r="B14" s="728"/>
      <c r="C14" s="732"/>
      <c r="D14" s="730" t="str">
        <f t="shared" si="54"/>
        <v>Pendiente</v>
      </c>
      <c r="E14" s="730" t="str">
        <f t="shared" si="55"/>
        <v>-</v>
      </c>
      <c r="F14" s="730" t="str">
        <f t="shared" si="56"/>
        <v>-</v>
      </c>
      <c r="G14" s="730"/>
      <c r="H14" s="730" t="str">
        <f t="shared" si="57"/>
        <v>-</v>
      </c>
      <c r="I14" s="730" t="str">
        <f t="shared" si="58"/>
        <v>-</v>
      </c>
      <c r="J14" s="730"/>
      <c r="K14" s="730" t="str">
        <f t="shared" si="59"/>
        <v>-</v>
      </c>
      <c r="L14" s="730" t="str">
        <f t="shared" si="60"/>
        <v>-</v>
      </c>
      <c r="M14" s="730"/>
      <c r="N14" s="730" t="str">
        <f t="shared" si="61"/>
        <v>-</v>
      </c>
      <c r="O14" s="730" t="str">
        <f t="shared" si="62"/>
        <v>-</v>
      </c>
      <c r="P14" s="730"/>
      <c r="Q14" s="730" t="str">
        <f t="shared" si="63"/>
        <v>-</v>
      </c>
      <c r="R14" s="730" t="str">
        <f t="shared" si="64"/>
        <v>-</v>
      </c>
      <c r="S14" s="730"/>
      <c r="T14" s="730" t="str">
        <f t="shared" si="65"/>
        <v>-</v>
      </c>
      <c r="U14" s="730" t="str">
        <f t="shared" si="66"/>
        <v>-</v>
      </c>
      <c r="V14" s="170"/>
      <c r="W14" s="849"/>
      <c r="X14" s="187">
        <f ca="1">Horarios!C14</f>
        <v>46191.625</v>
      </c>
      <c r="Y14" s="188">
        <f ca="1">Horarios!C14</f>
        <v>46191.625</v>
      </c>
      <c r="Z14" s="189" t="str">
        <f>$Z$6</f>
        <v>J2</v>
      </c>
      <c r="AA14" s="190" t="str">
        <f ca="1">A16</f>
        <v>Suiza</v>
      </c>
      <c r="AB14" s="475" t="e" cm="1" vm="8">
        <f t="array" aca="1" ref="AB14" ca="1">Ver_flag_local</f>
        <v>#VALUE!</v>
      </c>
      <c r="AC14" s="191"/>
      <c r="AD14" s="192"/>
      <c r="AE14" s="480" t="e" cm="1" vm="6">
        <f t="array" aca="1" ref="AE14" ca="1">Ver_flag_visit</f>
        <v>#VALUE!</v>
      </c>
      <c r="AF14" s="193" t="str">
        <f ca="1">A14</f>
        <v>Bosnia y Herzegovina</v>
      </c>
      <c r="AG14" s="411">
        <f t="shared" si="67"/>
        <v>0</v>
      </c>
      <c r="AH14" s="194">
        <v>26</v>
      </c>
      <c r="AI14" s="19" t="str">
        <f>AJ14&amp;$B$12</f>
        <v>1B</v>
      </c>
      <c r="AJ14" s="254">
        <v>1</v>
      </c>
      <c r="AK14" s="485" t="e" cm="1" vm="5">
        <f t="array" aca="1" ref="AK14" ca="1">Ver_flag_visit</f>
        <v>#VALUE!</v>
      </c>
      <c r="AL14" s="210" t="str">
        <f ca="1">IFERROR(INDEX($BD$6:$BD$53,MATCH(AI14,$BN$6:$BN$53,0)),"")</f>
        <v>Canadá</v>
      </c>
      <c r="AM14" s="211">
        <f t="shared" ref="AM14:AT17" ca="1" si="71">INDEX($BE$6:$BN$53,MATCH($AL14,$BD$6:$BD$53,0),MATCH(AM$5,$BE$5:$BN$5,0))</f>
        <v>1</v>
      </c>
      <c r="AN14" s="212">
        <f t="shared" ca="1" si="71"/>
        <v>1</v>
      </c>
      <c r="AO14" s="212">
        <f t="shared" ca="1" si="71"/>
        <v>0</v>
      </c>
      <c r="AP14" s="212">
        <f t="shared" ca="1" si="71"/>
        <v>1</v>
      </c>
      <c r="AQ14" s="212">
        <f t="shared" ca="1" si="71"/>
        <v>0</v>
      </c>
      <c r="AR14" s="212">
        <f t="shared" ca="1" si="71"/>
        <v>1</v>
      </c>
      <c r="AS14" s="212">
        <f t="shared" ca="1" si="71"/>
        <v>1</v>
      </c>
      <c r="AT14" s="255">
        <f t="shared" ca="1" si="71"/>
        <v>0</v>
      </c>
      <c r="AU14" s="418">
        <f ca="1">INDEX($DL$6:$DL$53,MATCH(AI14,$DP$6:$DP$53,0))</f>
        <v>1</v>
      </c>
      <c r="AV14" s="215" t="str">
        <f ca="1">INDEX($BD$6:$BD$53,MATCH(AI14,$BM$6:$BM$53,0))</f>
        <v>Canadá</v>
      </c>
      <c r="AW14" s="425"/>
      <c r="AX14" s="216"/>
      <c r="AY14" s="217" t="str">
        <f ca="1">+A13</f>
        <v>Canadá</v>
      </c>
      <c r="AZ14" s="218"/>
      <c r="BA14" s="173"/>
      <c r="BB14" s="730"/>
      <c r="BC14" s="742" t="str">
        <f ca="1">+INDEX(T_Equipos[Grupo],MATCH(WORLDCUP!BD14,T_Equipos[NombreEquipo],0))</f>
        <v>C</v>
      </c>
      <c r="BD14" s="730" t="str">
        <f ca="1">+Equipos!B10</f>
        <v>Brasil</v>
      </c>
      <c r="BE14" s="734">
        <f t="shared" ca="1" si="25"/>
        <v>0</v>
      </c>
      <c r="BF14" s="734">
        <f t="shared" ca="1" si="26"/>
        <v>0</v>
      </c>
      <c r="BG14" s="734">
        <f t="shared" ca="1" si="17"/>
        <v>0</v>
      </c>
      <c r="BH14" s="734">
        <f t="shared" ca="1" si="18"/>
        <v>0</v>
      </c>
      <c r="BI14" s="734">
        <f t="shared" ca="1" si="19"/>
        <v>0</v>
      </c>
      <c r="BJ14" s="734">
        <f t="shared" ca="1" si="20"/>
        <v>0</v>
      </c>
      <c r="BK14" s="734">
        <f t="shared" ca="1" si="21"/>
        <v>0</v>
      </c>
      <c r="BL14" s="734">
        <f t="shared" ca="1" si="27"/>
        <v>0</v>
      </c>
      <c r="BM14" s="734" t="str">
        <f t="shared" ca="1" si="22"/>
        <v>1C</v>
      </c>
      <c r="BN14" s="734" t="str">
        <f t="shared" ca="1" si="23"/>
        <v>1C</v>
      </c>
      <c r="BO14" s="743">
        <f t="shared" ca="1" si="28"/>
        <v>0</v>
      </c>
      <c r="BP14" s="743">
        <f ca="1">COUNTIFS($BO$6:$BO$53,"&gt;"&amp;BO14,$BC$6:$BC$53,INDEX(T_Equipos[Grupo],MATCH(BD14,T_Equipos[NombreEquipo],0)))+1</f>
        <v>1</v>
      </c>
      <c r="BQ14" s="743" t="str">
        <f ca="1">IF(COUNTIFS($BP$6:$BP$53,BP14,$BC$6:$BC$53,INDEX(T_Equipos[Grupo],MATCH(BD14,T_Equipos[NombreEquipo],0)))=1,"-","P."&amp;BP14&amp;" ("&amp;COUNTIFS($BP$6:$BP$53,BP14,$BC$6:$BC$53,INDEX(T_Equipos[Grupo],MATCH(BD14,T_Equipos[NombreEquipo],0)))&amp;")")</f>
        <v>P.1 (4)</v>
      </c>
      <c r="BR14" s="743">
        <f t="shared" ca="1" si="29"/>
        <v>0</v>
      </c>
      <c r="BS14" s="743">
        <f ca="1">BP14+COUNTIFS($BQ$6:$BQ$53,BQ14,$BR$6:BR$53,"&gt;"&amp;BR14,$BC$6:$BC$53,INDEX(T_Equipos[Grupo],MATCH(BD14,T_Equipos[NombreEquipo],0)))</f>
        <v>1</v>
      </c>
      <c r="BT14" s="743" t="str">
        <f ca="1">IF(COUNTIFS($BS$6:$BS$53,BS14,$BC$6:$BC$53,INDEX(T_Equipos[Grupo],MATCH(BD14,T_Equipos[NombreEquipo],0)))=1,"-","P."&amp;BS14&amp;" ("&amp;COUNTIFS($BS$6:$BS$53,BS14,$BC$6:$BC$53,INDEX(T_Equipos[Grupo],MATCH(BD14,T_Equipos[NombreEquipo],0)))&amp;")")</f>
        <v>P.1 (4)</v>
      </c>
      <c r="BU14" s="744">
        <f t="shared" ca="1" si="36"/>
        <v>0</v>
      </c>
      <c r="BV14" s="744">
        <f t="shared" ca="1" si="37"/>
        <v>0</v>
      </c>
      <c r="BW14" s="744">
        <f t="shared" ca="1" si="38"/>
        <v>0</v>
      </c>
      <c r="BX14" s="744">
        <f t="shared" ca="1" si="39"/>
        <v>0</v>
      </c>
      <c r="BY14" s="744">
        <f ca="1">BS14+COUNTIFS($BT$6:$BT$53,BT14,$BX$6:BX$53,"&gt;"&amp;BX14,$BC$6:$BC$53,INDEX(T_Equipos[Grupo],MATCH(BD14,T_Equipos[NombreEquipo],0)))</f>
        <v>1</v>
      </c>
      <c r="BZ14" s="743" t="str">
        <f ca="1">IF(COUNTIFS($BY$6:$BY$53,BY14,$BC$6:$BC$53,INDEX(T_Equipos[Grupo],MATCH(BD14,T_Equipos[NombreEquipo],0)))=1,"-","P."&amp;BY14&amp;" ("&amp;COUNTIFS($BY$6:$BY$53,BY14,$BC$6:$BC$53,INDEX(T_Equipos[Grupo],MATCH(BD14,T_Equipos[NombreEquipo],0)))&amp;")")</f>
        <v>P.1 (4)</v>
      </c>
      <c r="CA14" s="744">
        <f t="shared" ca="1" si="40"/>
        <v>0</v>
      </c>
      <c r="CB14" s="744">
        <f t="shared" ca="1" si="41"/>
        <v>0</v>
      </c>
      <c r="CC14" s="744">
        <f t="shared" ca="1" si="42"/>
        <v>0</v>
      </c>
      <c r="CD14" s="744">
        <f ca="1">BY14+COUNTIFS($BZ$6:$BZ$53,BZ14,$CC$6:CC$53,"&gt;"&amp;CC14,$BC$6:$BC$53,INDEX(T_Equipos[Grupo],MATCH(BD14,T_Equipos[NombreEquipo],0)))</f>
        <v>1</v>
      </c>
      <c r="CE14" s="743" t="str">
        <f ca="1">IF(COUNTIFS($CD$6:$CD$53,CD14,$BC$6:$BC$53,INDEX(T_Equipos[Grupo],MATCH(BD14,T_Equipos[NombreEquipo],0)))=1,"-","P."&amp;CD14&amp;" ("&amp;COUNTIFS($CD$6:$CD$53,CD14,$BC$6:$BC$53,INDEX(T_Equipos[Grupo],MATCH(BD14,T_Equipos[NombreEquipo],0)))&amp;")")</f>
        <v>P.1 (4)</v>
      </c>
      <c r="CF14" s="744">
        <f t="shared" ca="1" si="43"/>
        <v>0</v>
      </c>
      <c r="CG14" s="744">
        <f ca="1">CD14+COUNTIFS($CE$6:$CE$53,CE14,$CF$6:CF$53,"&gt;"&amp;CF14,$BC$6:$BC$53,INDEX(T_Equipos[Grupo],MATCH(BD14,T_Equipos[NombreEquipo],0)))</f>
        <v>1</v>
      </c>
      <c r="CH14" s="743" t="str">
        <f ca="1">IF(COUNTIFS($CG$6:$CG$53,CG14,$BC$6:$BC$53,INDEX(T_Equipos[Grupo],MATCH(BD14,T_Equipos[NombreEquipo],0)))=1,"-","P."&amp;CG14&amp;" ("&amp;COUNTIFS($CG$6:$CG$53,CG14,$BC$6:$BC$53,INDEX(T_Equipos[Grupo],MATCH(BD14,T_Equipos[NombreEquipo],0)))&amp;")")</f>
        <v>P.1 (4)</v>
      </c>
      <c r="CI14" s="744">
        <f t="shared" ca="1" si="44"/>
        <v>0</v>
      </c>
      <c r="CJ14" s="744">
        <f t="shared" ca="1" si="45"/>
        <v>0</v>
      </c>
      <c r="CK14" s="744">
        <f t="shared" ca="1" si="46"/>
        <v>0</v>
      </c>
      <c r="CL14" s="744">
        <f t="shared" ca="1" si="47"/>
        <v>0</v>
      </c>
      <c r="CM14" s="744">
        <f ca="1">CG14+COUNTIFS($CH$6:$CH$53,CH14,$CL$6:CL$53,"&gt;"&amp;CL14,$BC$6:$BC$53,INDEX(T_Equipos[Grupo],MATCH(BD14,T_Equipos[NombreEquipo],0)))</f>
        <v>1</v>
      </c>
      <c r="CN14" s="743" t="str">
        <f ca="1">IF(COUNTIFS($CM$6:$CM$53,CM14,$BC$6:$BC$53,INDEX(T_Equipos[Grupo],MATCH(BD14,T_Equipos[NombreEquipo],0)))=1,"-","P."&amp;CM14&amp;" ("&amp;COUNTIFS($CM$6:$CM$53,CM14,$BC$6:$BC$53,INDEX(T_Equipos[Grupo],MATCH(BD14,T_Equipos[NombreEquipo],0)))&amp;")")</f>
        <v>P.1 (4)</v>
      </c>
      <c r="CO14" s="744">
        <f t="shared" ca="1" si="48"/>
        <v>0</v>
      </c>
      <c r="CP14" s="744">
        <f t="shared" ca="1" si="49"/>
        <v>0</v>
      </c>
      <c r="CQ14" s="744">
        <f t="shared" ca="1" si="50"/>
        <v>0</v>
      </c>
      <c r="CR14" s="744">
        <f ca="1">CM14+COUNTIFS($CN$6:$CN$53,CN14,$CQ$6:CQ$53,"&gt;"&amp;CQ14,$BC$6:$BC$53,INDEX(T_Equipos[Grupo],MATCH(BD14,T_Equipos[NombreEquipo],0)))</f>
        <v>1</v>
      </c>
      <c r="CS14" s="743" t="str">
        <f ca="1">IF(COUNTIFS($CR$6:$CR$53,CR14,$BC$6:$BC$53,INDEX(T_Equipos[Grupo],MATCH(BD14,T_Equipos[NombreEquipo],0)))=1,"-","P."&amp;CR14&amp;" ("&amp;COUNTIFS($CR$6:$CR$53,CR14,$BC$6:$BC$53,INDEX(T_Equipos[Grupo],MATCH(BD14,T_Equipos[NombreEquipo],0)))&amp;")")</f>
        <v>P.1 (4)</v>
      </c>
      <c r="CT14" s="744">
        <f t="shared" ca="1" si="51"/>
        <v>0</v>
      </c>
      <c r="CU14" s="744">
        <f ca="1">CR14+COUNTIFS($CS$6:$CS$53,CS14,$CT$6:CT$53,"&gt;"&amp;CT14,$BC$6:$BC$53,INDEX(T_Equipos[Grupo],MATCH(BD14,T_Equipos[NombreEquipo],0)))</f>
        <v>1</v>
      </c>
      <c r="CV14" s="743" t="str">
        <f ca="1">IF(COUNTIFS($CU$6:$CU$53,CU14,$BC$6:$BC$53,INDEX(T_Equipos[Grupo],MATCH(BD14,T_Equipos[NombreEquipo],0)))=1,"-","P."&amp;CU14&amp;" ("&amp;COUNTIFS($CU$6:$CU$53,CU14,$BC$6:$BC$53,INDEX(T_Equipos[Grupo],MATCH(BD14,T_Equipos[NombreEquipo],0)))&amp;")")</f>
        <v>P.1 (4)</v>
      </c>
      <c r="CW14" s="743">
        <f t="shared" ca="1" si="30"/>
        <v>0</v>
      </c>
      <c r="CX14" s="743">
        <f ca="1">CU14+COUNTIFS($CV$6:$CV$53,CV14,$CW$6:CW$53,"&gt;"&amp;CW14,$BC$6:$BC$53,INDEX(T_Equipos[Grupo],MATCH(BD14,T_Equipos[NombreEquipo],0)))</f>
        <v>1</v>
      </c>
      <c r="CY14" s="743" t="str">
        <f ca="1">IF(COUNTIFS($CX$6:$CX$53,CX14,$BC$6:$BC$53,INDEX(T_Equipos[Grupo],MATCH(BD14,T_Equipos[NombreEquipo],0)))=1,"-","P."&amp;CX14&amp;" ("&amp;COUNTIFS($CX$6:$CX$53,CX14,$BC$6:$BC$53,INDEX(T_Equipos[Grupo],MATCH(BD14,T_Equipos[NombreEquipo],0)))&amp;")")</f>
        <v>P.1 (4)</v>
      </c>
      <c r="CZ14" s="743">
        <f t="shared" ca="1" si="31"/>
        <v>0</v>
      </c>
      <c r="DA14" s="744">
        <f ca="1">CX14+COUNTIFS($CY$6:$CY$53,CY14,$CZ$6:CZ$53,"&gt;"&amp;CZ14,$BC$6:$BC$53,INDEX(T_Equipos[Grupo],MATCH(BD14,T_Equipos[NombreEquipo],0)))</f>
        <v>1</v>
      </c>
      <c r="DB14" s="743" t="str">
        <f ca="1">IF(COUNTIFS($DA$6:$DA$53,DA14,$BC$6:$BC$53,INDEX(T_Equipos[Grupo],MATCH(BD14,T_Equipos[NombreEquipo],0)))=1,"-","P."&amp;DA14&amp;" ("&amp;COUNTIFS($DA$6:$DA$53,DA14,$BC$6:$BC$53,INDEX(T_Equipos[Grupo],MATCH(BD14,T_Equipos[NombreEquipo],0)))&amp;")")</f>
        <v>P.1 (4)</v>
      </c>
      <c r="DC14" s="742">
        <f ca="1">IF(DB14="-","-",COUNTIFS(T_Equipos[Rank],"&lt;"&amp;INDEX(T_Equipos[Rank],MATCH(BD14,T_Equipos[NombreEquipo],0)),$BC$6:$BC$53,INDEX(T_Equipos[Grupo],MATCH(BD14,T_Equipos[NombreEquipo],0)))+1)</f>
        <v>1</v>
      </c>
      <c r="DD14" s="742">
        <f ca="1">DA14+COUNTIFS($DB$6:$DB$53,DB14,$DC$6:DC$53,"&lt;"&amp;DC14,$BC$6:$BC$53,INDEX(T_Equipos[Grupo],MATCH(BD14,T_Equipos[NombreEquipo],0)))</f>
        <v>1</v>
      </c>
      <c r="DE14" s="742"/>
      <c r="DF14" s="742">
        <f t="shared" ca="1" si="52"/>
        <v>1</v>
      </c>
      <c r="DG14" s="742">
        <f ca="1">IF(DB14="-","-",COUNTIFS(DF$6:DF$53,"&lt;"&amp;DF14,$BC$6:$BC$53,INDEX(T_Equipos[Grupo],MATCH(BD14,T_Equipos[NombreEquipo],0))))</f>
        <v>0</v>
      </c>
      <c r="DH14" s="742">
        <f ca="1">DA14+COUNTIFS(DB$6:DB$53,DB14,DG$6:DG$53,"&lt;"&amp;DG14,$BC$6:$BC$53,INDEX(T_Equipos[Grupo],MATCH(BD14,T_Equipos[NombreEquipo],0)))</f>
        <v>1</v>
      </c>
      <c r="DI14" s="730"/>
      <c r="DJ14" s="730">
        <f t="shared" ca="1" si="53"/>
        <v>1</v>
      </c>
      <c r="DK14" s="730">
        <f t="shared" ca="1" si="24"/>
        <v>0</v>
      </c>
      <c r="DL14" s="730">
        <f t="shared" ca="1" si="33"/>
        <v>1</v>
      </c>
      <c r="DM14" s="724" t="str">
        <f t="shared" ca="1" si="34"/>
        <v>1.1</v>
      </c>
      <c r="DN14" s="730" cm="1">
        <f t="array" aca="1" ref="DN14" ca="1">OFFSET(Horarios!$P$3,DJ14-1,0,DL14,1)</f>
        <v>1</v>
      </c>
      <c r="DO14" s="730"/>
      <c r="DP14" s="730" t="s">
        <v>651</v>
      </c>
      <c r="DQ14" s="730" t="str">
        <f t="shared" ca="1" si="35"/>
        <v>Brasil</v>
      </c>
      <c r="DR14" s="730"/>
      <c r="DS14" s="730"/>
      <c r="DT14" s="730" t="str">
        <f t="shared" ca="1" si="15"/>
        <v>Suiza-Bosnia y Herzegovina</v>
      </c>
      <c r="DU14" s="730"/>
      <c r="DV14" s="730"/>
      <c r="DW14" s="8"/>
    </row>
    <row r="15" spans="1:127">
      <c r="A15" s="731" t="str">
        <f ca="1">+Equipos!B8</f>
        <v>Catar</v>
      </c>
      <c r="B15" s="728"/>
      <c r="C15" s="730"/>
      <c r="D15" s="730" t="str">
        <f t="shared" si="54"/>
        <v>Pendiente</v>
      </c>
      <c r="E15" s="730" t="str">
        <f t="shared" si="55"/>
        <v>-</v>
      </c>
      <c r="F15" s="730" t="str">
        <f t="shared" si="56"/>
        <v>-</v>
      </c>
      <c r="G15" s="730"/>
      <c r="H15" s="730" t="str">
        <f t="shared" si="57"/>
        <v>-</v>
      </c>
      <c r="I15" s="730" t="str">
        <f t="shared" si="58"/>
        <v>-</v>
      </c>
      <c r="J15" s="730"/>
      <c r="K15" s="730" t="str">
        <f t="shared" si="59"/>
        <v>-</v>
      </c>
      <c r="L15" s="730" t="str">
        <f t="shared" si="60"/>
        <v>-</v>
      </c>
      <c r="M15" s="730"/>
      <c r="N15" s="730" t="str">
        <f t="shared" si="61"/>
        <v>-</v>
      </c>
      <c r="O15" s="730" t="str">
        <f t="shared" si="62"/>
        <v>-</v>
      </c>
      <c r="P15" s="730"/>
      <c r="Q15" s="730" t="str">
        <f t="shared" si="63"/>
        <v>-</v>
      </c>
      <c r="R15" s="730" t="str">
        <f t="shared" si="64"/>
        <v>-</v>
      </c>
      <c r="S15" s="730"/>
      <c r="T15" s="730" t="str">
        <f t="shared" si="65"/>
        <v>-</v>
      </c>
      <c r="U15" s="730" t="str">
        <f t="shared" si="66"/>
        <v>-</v>
      </c>
      <c r="V15" s="170"/>
      <c r="W15" s="849"/>
      <c r="X15" s="187">
        <f ca="1">Horarios!C15</f>
        <v>46191.75</v>
      </c>
      <c r="Y15" s="188">
        <f ca="1">Horarios!C15</f>
        <v>46191.75</v>
      </c>
      <c r="Z15" s="189" t="str">
        <f>$Z$6</f>
        <v>J2</v>
      </c>
      <c r="AA15" s="190" t="str">
        <f ca="1">A13</f>
        <v>Canadá</v>
      </c>
      <c r="AB15" s="475" t="e" cm="1" vm="5">
        <f t="array" aca="1" ref="AB15" ca="1">Ver_flag_local</f>
        <v>#VALUE!</v>
      </c>
      <c r="AC15" s="191"/>
      <c r="AD15" s="192"/>
      <c r="AE15" s="480" t="e" cm="1" vm="7">
        <f t="array" aca="1" ref="AE15" ca="1">Ver_flag_visit</f>
        <v>#VALUE!</v>
      </c>
      <c r="AF15" s="193" t="str">
        <f ca="1">A15</f>
        <v>Catar</v>
      </c>
      <c r="AG15" s="411">
        <f t="shared" si="67"/>
        <v>0</v>
      </c>
      <c r="AH15" s="194">
        <v>27</v>
      </c>
      <c r="AI15" s="19" t="str">
        <f t="shared" ref="AI15:AI17" si="72">AJ15&amp;$B$12</f>
        <v>2B</v>
      </c>
      <c r="AJ15" s="256">
        <v>2</v>
      </c>
      <c r="AK15" s="483" t="e" cm="1" vm="6">
        <f t="array" aca="1" ref="AK15" ca="1">Ver_flag_visit</f>
        <v>#VALUE!</v>
      </c>
      <c r="AL15" s="220" t="str">
        <f ca="1">IFERROR(INDEX($BD$6:$BD$53,MATCH(AI15,$BN$6:$BN$53,0)),"")</f>
        <v>Bosnia y Herzegovina</v>
      </c>
      <c r="AM15" s="221">
        <f t="shared" ca="1" si="71"/>
        <v>1</v>
      </c>
      <c r="AN15" s="222">
        <f t="shared" ca="1" si="71"/>
        <v>1</v>
      </c>
      <c r="AO15" s="222">
        <f t="shared" ca="1" si="71"/>
        <v>0</v>
      </c>
      <c r="AP15" s="222">
        <f t="shared" ca="1" si="71"/>
        <v>1</v>
      </c>
      <c r="AQ15" s="222">
        <f t="shared" ca="1" si="71"/>
        <v>0</v>
      </c>
      <c r="AR15" s="222">
        <f t="shared" ca="1" si="71"/>
        <v>1</v>
      </c>
      <c r="AS15" s="222">
        <f t="shared" ca="1" si="71"/>
        <v>1</v>
      </c>
      <c r="AT15" s="257">
        <f t="shared" ca="1" si="71"/>
        <v>0</v>
      </c>
      <c r="AU15" s="418">
        <f ca="1">INDEX($DL$6:$DL$53,MATCH(AI15,$DP$6:$DP$53,0))</f>
        <v>1</v>
      </c>
      <c r="AV15" s="215" t="str">
        <f ca="1">INDEX($BD$6:$BD$53,MATCH(AI15,$BM$6:$BM$53,0))</f>
        <v>Bosnia y Herzegovina</v>
      </c>
      <c r="AW15" s="425"/>
      <c r="AX15" s="216"/>
      <c r="AY15" s="224" t="str">
        <f ca="1">+A14</f>
        <v>Bosnia y Herzegovina</v>
      </c>
      <c r="AZ15" s="225"/>
      <c r="BA15" s="173"/>
      <c r="BB15" s="730"/>
      <c r="BC15" s="742" t="str">
        <f ca="1">+INDEX(T_Equipos[Grupo],MATCH(WORLDCUP!BD15,T_Equipos[NombreEquipo],0))</f>
        <v>C</v>
      </c>
      <c r="BD15" s="730" t="str">
        <f ca="1">+Equipos!B11</f>
        <v>Marruecos</v>
      </c>
      <c r="BE15" s="734">
        <f t="shared" ca="1" si="25"/>
        <v>0</v>
      </c>
      <c r="BF15" s="734">
        <f t="shared" ca="1" si="26"/>
        <v>0</v>
      </c>
      <c r="BG15" s="734">
        <f t="shared" ca="1" si="17"/>
        <v>0</v>
      </c>
      <c r="BH15" s="734">
        <f t="shared" ca="1" si="18"/>
        <v>0</v>
      </c>
      <c r="BI15" s="734">
        <f t="shared" ca="1" si="19"/>
        <v>0</v>
      </c>
      <c r="BJ15" s="734">
        <f t="shared" ca="1" si="20"/>
        <v>0</v>
      </c>
      <c r="BK15" s="734">
        <f t="shared" ca="1" si="21"/>
        <v>0</v>
      </c>
      <c r="BL15" s="734">
        <f t="shared" ca="1" si="27"/>
        <v>0</v>
      </c>
      <c r="BM15" s="734" t="str">
        <f t="shared" ca="1" si="22"/>
        <v>2C</v>
      </c>
      <c r="BN15" s="734" t="str">
        <f t="shared" ca="1" si="23"/>
        <v>2C</v>
      </c>
      <c r="BO15" s="743">
        <f t="shared" ca="1" si="28"/>
        <v>0</v>
      </c>
      <c r="BP15" s="743">
        <f ca="1">COUNTIFS($BO$6:$BO$53,"&gt;"&amp;BO15,$BC$6:$BC$53,INDEX(T_Equipos[Grupo],MATCH(BD15,T_Equipos[NombreEquipo],0)))+1</f>
        <v>1</v>
      </c>
      <c r="BQ15" s="743" t="str">
        <f ca="1">IF(COUNTIFS($BP$6:$BP$53,BP15,$BC$6:$BC$53,INDEX(T_Equipos[Grupo],MATCH(BD15,T_Equipos[NombreEquipo],0)))=1,"-","P."&amp;BP15&amp;" ("&amp;COUNTIFS($BP$6:$BP$53,BP15,$BC$6:$BC$53,INDEX(T_Equipos[Grupo],MATCH(BD15,T_Equipos[NombreEquipo],0)))&amp;")")</f>
        <v>P.1 (4)</v>
      </c>
      <c r="BR15" s="743">
        <f t="shared" ca="1" si="29"/>
        <v>0</v>
      </c>
      <c r="BS15" s="743">
        <f ca="1">BP15+COUNTIFS($BQ$6:$BQ$53,BQ15,$BR$6:BR$53,"&gt;"&amp;BR15,$BC$6:$BC$53,INDEX(T_Equipos[Grupo],MATCH(BD15,T_Equipos[NombreEquipo],0)))</f>
        <v>1</v>
      </c>
      <c r="BT15" s="743" t="str">
        <f ca="1">IF(COUNTIFS($BS$6:$BS$53,BS15,$BC$6:$BC$53,INDEX(T_Equipos[Grupo],MATCH(BD15,T_Equipos[NombreEquipo],0)))=1,"-","P."&amp;BS15&amp;" ("&amp;COUNTIFS($BS$6:$BS$53,BS15,$BC$6:$BC$53,INDEX(T_Equipos[Grupo],MATCH(BD15,T_Equipos[NombreEquipo],0)))&amp;")")</f>
        <v>P.1 (4)</v>
      </c>
      <c r="BU15" s="744">
        <f t="shared" ca="1" si="36"/>
        <v>0</v>
      </c>
      <c r="BV15" s="744">
        <f t="shared" ca="1" si="37"/>
        <v>0</v>
      </c>
      <c r="BW15" s="744">
        <f t="shared" ca="1" si="38"/>
        <v>0</v>
      </c>
      <c r="BX15" s="744">
        <f t="shared" ca="1" si="39"/>
        <v>0</v>
      </c>
      <c r="BY15" s="744">
        <f ca="1">BS15+COUNTIFS($BT$6:$BT$53,BT15,$BX$6:BX$53,"&gt;"&amp;BX15,$BC$6:$BC$53,INDEX(T_Equipos[Grupo],MATCH(BD15,T_Equipos[NombreEquipo],0)))</f>
        <v>1</v>
      </c>
      <c r="BZ15" s="743" t="str">
        <f ca="1">IF(COUNTIFS($BY$6:$BY$53,BY15,$BC$6:$BC$53,INDEX(T_Equipos[Grupo],MATCH(BD15,T_Equipos[NombreEquipo],0)))=1,"-","P."&amp;BY15&amp;" ("&amp;COUNTIFS($BY$6:$BY$53,BY15,$BC$6:$BC$53,INDEX(T_Equipos[Grupo],MATCH(BD15,T_Equipos[NombreEquipo],0)))&amp;")")</f>
        <v>P.1 (4)</v>
      </c>
      <c r="CA15" s="744">
        <f t="shared" ca="1" si="40"/>
        <v>0</v>
      </c>
      <c r="CB15" s="744">
        <f t="shared" ca="1" si="41"/>
        <v>0</v>
      </c>
      <c r="CC15" s="744">
        <f t="shared" ca="1" si="42"/>
        <v>0</v>
      </c>
      <c r="CD15" s="744">
        <f ca="1">BY15+COUNTIFS($BZ$6:$BZ$53,BZ15,$CC$6:CC$53,"&gt;"&amp;CC15,$BC$6:$BC$53,INDEX(T_Equipos[Grupo],MATCH(BD15,T_Equipos[NombreEquipo],0)))</f>
        <v>1</v>
      </c>
      <c r="CE15" s="743" t="str">
        <f ca="1">IF(COUNTIFS($CD$6:$CD$53,CD15,$BC$6:$BC$53,INDEX(T_Equipos[Grupo],MATCH(BD15,T_Equipos[NombreEquipo],0)))=1,"-","P."&amp;CD15&amp;" ("&amp;COUNTIFS($CD$6:$CD$53,CD15,$BC$6:$BC$53,INDEX(T_Equipos[Grupo],MATCH(BD15,T_Equipos[NombreEquipo],0)))&amp;")")</f>
        <v>P.1 (4)</v>
      </c>
      <c r="CF15" s="744">
        <f t="shared" ca="1" si="43"/>
        <v>0</v>
      </c>
      <c r="CG15" s="744">
        <f ca="1">CD15+COUNTIFS($CE$6:$CE$53,CE15,$CF$6:CF$53,"&gt;"&amp;CF15,$BC$6:$BC$53,INDEX(T_Equipos[Grupo],MATCH(BD15,T_Equipos[NombreEquipo],0)))</f>
        <v>1</v>
      </c>
      <c r="CH15" s="743" t="str">
        <f ca="1">IF(COUNTIFS($CG$6:$CG$53,CG15,$BC$6:$BC$53,INDEX(T_Equipos[Grupo],MATCH(BD15,T_Equipos[NombreEquipo],0)))=1,"-","P."&amp;CG15&amp;" ("&amp;COUNTIFS($CG$6:$CG$53,CG15,$BC$6:$BC$53,INDEX(T_Equipos[Grupo],MATCH(BD15,T_Equipos[NombreEquipo],0)))&amp;")")</f>
        <v>P.1 (4)</v>
      </c>
      <c r="CI15" s="744">
        <f t="shared" ca="1" si="44"/>
        <v>0</v>
      </c>
      <c r="CJ15" s="744">
        <f t="shared" ca="1" si="45"/>
        <v>0</v>
      </c>
      <c r="CK15" s="744">
        <f t="shared" ca="1" si="46"/>
        <v>0</v>
      </c>
      <c r="CL15" s="744">
        <f t="shared" ca="1" si="47"/>
        <v>0</v>
      </c>
      <c r="CM15" s="744">
        <f ca="1">CG15+COUNTIFS($CH$6:$CH$53,CH15,$CL$6:CL$53,"&gt;"&amp;CL15,$BC$6:$BC$53,INDEX(T_Equipos[Grupo],MATCH(BD15,T_Equipos[NombreEquipo],0)))</f>
        <v>1</v>
      </c>
      <c r="CN15" s="743" t="str">
        <f ca="1">IF(COUNTIFS($CM$6:$CM$53,CM15,$BC$6:$BC$53,INDEX(T_Equipos[Grupo],MATCH(BD15,T_Equipos[NombreEquipo],0)))=1,"-","P."&amp;CM15&amp;" ("&amp;COUNTIFS($CM$6:$CM$53,CM15,$BC$6:$BC$53,INDEX(T_Equipos[Grupo],MATCH(BD15,T_Equipos[NombreEquipo],0)))&amp;")")</f>
        <v>P.1 (4)</v>
      </c>
      <c r="CO15" s="744">
        <f t="shared" ca="1" si="48"/>
        <v>0</v>
      </c>
      <c r="CP15" s="744">
        <f t="shared" ca="1" si="49"/>
        <v>0</v>
      </c>
      <c r="CQ15" s="744">
        <f t="shared" ca="1" si="50"/>
        <v>0</v>
      </c>
      <c r="CR15" s="744">
        <f ca="1">CM15+COUNTIFS($CN$6:$CN$53,CN15,$CQ$6:CQ$53,"&gt;"&amp;CQ15,$BC$6:$BC$53,INDEX(T_Equipos[Grupo],MATCH(BD15,T_Equipos[NombreEquipo],0)))</f>
        <v>1</v>
      </c>
      <c r="CS15" s="743" t="str">
        <f ca="1">IF(COUNTIFS($CR$6:$CR$53,CR15,$BC$6:$BC$53,INDEX(T_Equipos[Grupo],MATCH(BD15,T_Equipos[NombreEquipo],0)))=1,"-","P."&amp;CR15&amp;" ("&amp;COUNTIFS($CR$6:$CR$53,CR15,$BC$6:$BC$53,INDEX(T_Equipos[Grupo],MATCH(BD15,T_Equipos[NombreEquipo],0)))&amp;")")</f>
        <v>P.1 (4)</v>
      </c>
      <c r="CT15" s="744">
        <f t="shared" ca="1" si="51"/>
        <v>0</v>
      </c>
      <c r="CU15" s="744">
        <f ca="1">CR15+COUNTIFS($CS$6:$CS$53,CS15,$CT$6:CT$53,"&gt;"&amp;CT15,$BC$6:$BC$53,INDEX(T_Equipos[Grupo],MATCH(BD15,T_Equipos[NombreEquipo],0)))</f>
        <v>1</v>
      </c>
      <c r="CV15" s="743" t="str">
        <f ca="1">IF(COUNTIFS($CU$6:$CU$53,CU15,$BC$6:$BC$53,INDEX(T_Equipos[Grupo],MATCH(BD15,T_Equipos[NombreEquipo],0)))=1,"-","P."&amp;CU15&amp;" ("&amp;COUNTIFS($CU$6:$CU$53,CU15,$BC$6:$BC$53,INDEX(T_Equipos[Grupo],MATCH(BD15,T_Equipos[NombreEquipo],0)))&amp;")")</f>
        <v>P.1 (4)</v>
      </c>
      <c r="CW15" s="743">
        <f t="shared" ca="1" si="30"/>
        <v>0</v>
      </c>
      <c r="CX15" s="743">
        <f ca="1">CU15+COUNTIFS($CV$6:$CV$53,CV15,$CW$6:CW$53,"&gt;"&amp;CW15,$BC$6:$BC$53,INDEX(T_Equipos[Grupo],MATCH(BD15,T_Equipos[NombreEquipo],0)))</f>
        <v>1</v>
      </c>
      <c r="CY15" s="743" t="str">
        <f ca="1">IF(COUNTIFS($CX$6:$CX$53,CX15,$BC$6:$BC$53,INDEX(T_Equipos[Grupo],MATCH(BD15,T_Equipos[NombreEquipo],0)))=1,"-","P."&amp;CX15&amp;" ("&amp;COUNTIFS($CX$6:$CX$53,CX15,$BC$6:$BC$53,INDEX(T_Equipos[Grupo],MATCH(BD15,T_Equipos[NombreEquipo],0)))&amp;")")</f>
        <v>P.1 (4)</v>
      </c>
      <c r="CZ15" s="743">
        <f t="shared" ca="1" si="31"/>
        <v>0</v>
      </c>
      <c r="DA15" s="744">
        <f ca="1">CX15+COUNTIFS($CY$6:$CY$53,CY15,$CZ$6:CZ$53,"&gt;"&amp;CZ15,$BC$6:$BC$53,INDEX(T_Equipos[Grupo],MATCH(BD15,T_Equipos[NombreEquipo],0)))</f>
        <v>1</v>
      </c>
      <c r="DB15" s="743" t="str">
        <f ca="1">IF(COUNTIFS($DA$6:$DA$53,DA15,$BC$6:$BC$53,INDEX(T_Equipos[Grupo],MATCH(BD15,T_Equipos[NombreEquipo],0)))=1,"-","P."&amp;DA15&amp;" ("&amp;COUNTIFS($DA$6:$DA$53,DA15,$BC$6:$BC$53,INDEX(T_Equipos[Grupo],MATCH(BD15,T_Equipos[NombreEquipo],0)))&amp;")")</f>
        <v>P.1 (4)</v>
      </c>
      <c r="DC15" s="742">
        <f ca="1">IF(DB15="-","-",COUNTIFS(T_Equipos[Rank],"&lt;"&amp;INDEX(T_Equipos[Rank],MATCH(BD15,T_Equipos[NombreEquipo],0)),$BC$6:$BC$53,INDEX(T_Equipos[Grupo],MATCH(BD15,T_Equipos[NombreEquipo],0)))+1)</f>
        <v>2</v>
      </c>
      <c r="DD15" s="742">
        <f ca="1">DA15+COUNTIFS($DB$6:$DB$53,DB15,$DC$6:DC$53,"&lt;"&amp;DC15,$BC$6:$BC$53,INDEX(T_Equipos[Grupo],MATCH(BD15,T_Equipos[NombreEquipo],0)))</f>
        <v>2</v>
      </c>
      <c r="DE15" s="742"/>
      <c r="DF15" s="742">
        <f t="shared" ca="1" si="52"/>
        <v>2</v>
      </c>
      <c r="DG15" s="742">
        <f ca="1">IF(DB15="-","-",COUNTIFS(DF$6:DF$53,"&lt;"&amp;DF15,$BC$6:$BC$53,INDEX(T_Equipos[Grupo],MATCH(BD15,T_Equipos[NombreEquipo],0))))</f>
        <v>1</v>
      </c>
      <c r="DH15" s="742">
        <f ca="1">DA15+COUNTIFS(DB$6:DB$53,DB15,DG$6:DG$53,"&lt;"&amp;DG15,$BC$6:$BC$53,INDEX(T_Equipos[Grupo],MATCH(BD15,T_Equipos[NombreEquipo],0)))</f>
        <v>2</v>
      </c>
      <c r="DI15" s="730"/>
      <c r="DJ15" s="730">
        <f t="shared" ca="1" si="53"/>
        <v>1</v>
      </c>
      <c r="DK15" s="730">
        <f t="shared" ca="1" si="24"/>
        <v>0</v>
      </c>
      <c r="DL15" s="730">
        <f t="shared" ca="1" si="33"/>
        <v>1</v>
      </c>
      <c r="DM15" s="724" t="str">
        <f t="shared" ca="1" si="34"/>
        <v>1.1</v>
      </c>
      <c r="DN15" s="730" cm="1">
        <f t="array" aca="1" ref="DN15" ca="1">OFFSET(Horarios!$P$3,DJ15-1,0,DL15,1)</f>
        <v>1</v>
      </c>
      <c r="DO15" s="730"/>
      <c r="DP15" s="730" t="s">
        <v>656</v>
      </c>
      <c r="DQ15" s="730" t="str">
        <f t="shared" ca="1" si="35"/>
        <v>Marruecos</v>
      </c>
      <c r="DR15" s="730"/>
      <c r="DS15" s="730"/>
      <c r="DT15" s="730" t="str">
        <f t="shared" ca="1" si="15"/>
        <v>Canadá-Catar</v>
      </c>
      <c r="DU15" s="730"/>
      <c r="DV15" s="730"/>
      <c r="DW15" s="8"/>
    </row>
    <row r="16" spans="1:127">
      <c r="A16" s="731" t="str">
        <f ca="1">+Equipos!B9</f>
        <v>Suiza</v>
      </c>
      <c r="B16" s="728"/>
      <c r="C16" s="730"/>
      <c r="D16" s="730" t="str">
        <f t="shared" si="54"/>
        <v>Pendiente</v>
      </c>
      <c r="E16" s="730" t="str">
        <f t="shared" si="55"/>
        <v>-</v>
      </c>
      <c r="F16" s="730" t="str">
        <f t="shared" si="56"/>
        <v>-</v>
      </c>
      <c r="G16" s="730"/>
      <c r="H16" s="730" t="str">
        <f t="shared" si="57"/>
        <v>-</v>
      </c>
      <c r="I16" s="730" t="str">
        <f t="shared" si="58"/>
        <v>-</v>
      </c>
      <c r="J16" s="730"/>
      <c r="K16" s="730" t="str">
        <f t="shared" si="59"/>
        <v>-</v>
      </c>
      <c r="L16" s="730" t="str">
        <f t="shared" si="60"/>
        <v>-</v>
      </c>
      <c r="M16" s="730"/>
      <c r="N16" s="730" t="str">
        <f t="shared" si="61"/>
        <v>-</v>
      </c>
      <c r="O16" s="730" t="str">
        <f t="shared" si="62"/>
        <v>-</v>
      </c>
      <c r="P16" s="730"/>
      <c r="Q16" s="730" t="str">
        <f t="shared" si="63"/>
        <v>-</v>
      </c>
      <c r="R16" s="730" t="str">
        <f t="shared" si="64"/>
        <v>-</v>
      </c>
      <c r="S16" s="730"/>
      <c r="T16" s="730" t="str">
        <f t="shared" si="65"/>
        <v>-</v>
      </c>
      <c r="U16" s="730" t="str">
        <f t="shared" si="66"/>
        <v>-</v>
      </c>
      <c r="V16" s="170"/>
      <c r="W16" s="849"/>
      <c r="X16" s="187">
        <f ca="1">Horarios!C16</f>
        <v>46197.625</v>
      </c>
      <c r="Y16" s="188">
        <f ca="1">Horarios!C16</f>
        <v>46197.625</v>
      </c>
      <c r="Z16" s="189" t="str">
        <f>$Z$8</f>
        <v>J3</v>
      </c>
      <c r="AA16" s="190" t="str">
        <f ca="1">A16</f>
        <v>Suiza</v>
      </c>
      <c r="AB16" s="475" t="e" cm="1" vm="8">
        <f t="array" aca="1" ref="AB16" ca="1">Ver_flag_local</f>
        <v>#VALUE!</v>
      </c>
      <c r="AC16" s="191"/>
      <c r="AD16" s="192"/>
      <c r="AE16" s="480" t="e" cm="1" vm="5">
        <f t="array" aca="1" ref="AE16" ca="1">Ver_flag_visit</f>
        <v>#VALUE!</v>
      </c>
      <c r="AF16" s="193" t="str">
        <f ca="1">A13</f>
        <v>Canadá</v>
      </c>
      <c r="AG16" s="411">
        <f t="shared" si="67"/>
        <v>0</v>
      </c>
      <c r="AH16" s="194">
        <v>51</v>
      </c>
      <c r="AI16" s="19" t="str">
        <f t="shared" si="72"/>
        <v>3B</v>
      </c>
      <c r="AJ16" s="256">
        <v>3</v>
      </c>
      <c r="AK16" s="483" t="e" cm="1" vm="7">
        <f t="array" aca="1" ref="AK16" ca="1">Ver_flag_visit</f>
        <v>#VALUE!</v>
      </c>
      <c r="AL16" s="220" t="str">
        <f ca="1">IFERROR(INDEX($BD$6:$BD$53,MATCH(AI16,$BN$6:$BN$53,0)),"")</f>
        <v>Catar</v>
      </c>
      <c r="AM16" s="221">
        <f t="shared" ca="1" si="71"/>
        <v>0</v>
      </c>
      <c r="AN16" s="222">
        <f t="shared" ca="1" si="71"/>
        <v>0</v>
      </c>
      <c r="AO16" s="222">
        <f t="shared" ca="1" si="71"/>
        <v>0</v>
      </c>
      <c r="AP16" s="222">
        <f t="shared" ca="1" si="71"/>
        <v>0</v>
      </c>
      <c r="AQ16" s="222">
        <f t="shared" ca="1" si="71"/>
        <v>0</v>
      </c>
      <c r="AR16" s="222">
        <f t="shared" ca="1" si="71"/>
        <v>0</v>
      </c>
      <c r="AS16" s="222">
        <f t="shared" ca="1" si="71"/>
        <v>0</v>
      </c>
      <c r="AT16" s="257">
        <f t="shared" ca="1" si="71"/>
        <v>0</v>
      </c>
      <c r="AU16" s="418">
        <f ca="1">INDEX($DL$6:$DL$53,MATCH(AI16,$DP$6:$DP$53,0))</f>
        <v>1</v>
      </c>
      <c r="AV16" s="215" t="str">
        <f ca="1">INDEX($BD$6:$BD$53,MATCH(AI16,$BM$6:$BM$53,0))</f>
        <v>Catar</v>
      </c>
      <c r="AW16" s="425"/>
      <c r="AX16" s="216"/>
      <c r="AY16" s="217" t="str">
        <f ca="1">+A15</f>
        <v>Catar</v>
      </c>
      <c r="AZ16" s="218"/>
      <c r="BA16" s="173"/>
      <c r="BB16" s="730"/>
      <c r="BC16" s="742" t="str">
        <f ca="1">+INDEX(T_Equipos[Grupo],MATCH(WORLDCUP!BD16,T_Equipos[NombreEquipo],0))</f>
        <v>C</v>
      </c>
      <c r="BD16" s="730" t="str">
        <f ca="1">+Equipos!B12</f>
        <v>Haití</v>
      </c>
      <c r="BE16" s="734">
        <f t="shared" ca="1" si="25"/>
        <v>0</v>
      </c>
      <c r="BF16" s="734">
        <f t="shared" ca="1" si="26"/>
        <v>0</v>
      </c>
      <c r="BG16" s="734">
        <f t="shared" ca="1" si="17"/>
        <v>0</v>
      </c>
      <c r="BH16" s="734">
        <f t="shared" ca="1" si="18"/>
        <v>0</v>
      </c>
      <c r="BI16" s="734">
        <f t="shared" ca="1" si="19"/>
        <v>0</v>
      </c>
      <c r="BJ16" s="734">
        <f t="shared" ca="1" si="20"/>
        <v>0</v>
      </c>
      <c r="BK16" s="734">
        <f t="shared" ca="1" si="21"/>
        <v>0</v>
      </c>
      <c r="BL16" s="734">
        <f t="shared" ca="1" si="27"/>
        <v>0</v>
      </c>
      <c r="BM16" s="734" t="str">
        <f t="shared" ca="1" si="22"/>
        <v>3C</v>
      </c>
      <c r="BN16" s="734" t="str">
        <f t="shared" ca="1" si="23"/>
        <v>3C</v>
      </c>
      <c r="BO16" s="743">
        <f t="shared" ca="1" si="28"/>
        <v>0</v>
      </c>
      <c r="BP16" s="743">
        <f ca="1">COUNTIFS($BO$6:$BO$53,"&gt;"&amp;BO16,$BC$6:$BC$53,INDEX(T_Equipos[Grupo],MATCH(BD16,T_Equipos[NombreEquipo],0)))+1</f>
        <v>1</v>
      </c>
      <c r="BQ16" s="743" t="str">
        <f ca="1">IF(COUNTIFS($BP$6:$BP$53,BP16,$BC$6:$BC$53,INDEX(T_Equipos[Grupo],MATCH(BD16,T_Equipos[NombreEquipo],0)))=1,"-","P."&amp;BP16&amp;" ("&amp;COUNTIFS($BP$6:$BP$53,BP16,$BC$6:$BC$53,INDEX(T_Equipos[Grupo],MATCH(BD16,T_Equipos[NombreEquipo],0)))&amp;")")</f>
        <v>P.1 (4)</v>
      </c>
      <c r="BR16" s="743">
        <f t="shared" ca="1" si="29"/>
        <v>0</v>
      </c>
      <c r="BS16" s="743">
        <f ca="1">BP16+COUNTIFS($BQ$6:$BQ$53,BQ16,$BR$6:BR$53,"&gt;"&amp;BR16,$BC$6:$BC$53,INDEX(T_Equipos[Grupo],MATCH(BD16,T_Equipos[NombreEquipo],0)))</f>
        <v>1</v>
      </c>
      <c r="BT16" s="743" t="str">
        <f ca="1">IF(COUNTIFS($BS$6:$BS$53,BS16,$BC$6:$BC$53,INDEX(T_Equipos[Grupo],MATCH(BD16,T_Equipos[NombreEquipo],0)))=1,"-","P."&amp;BS16&amp;" ("&amp;COUNTIFS($BS$6:$BS$53,BS16,$BC$6:$BC$53,INDEX(T_Equipos[Grupo],MATCH(BD16,T_Equipos[NombreEquipo],0)))&amp;")")</f>
        <v>P.1 (4)</v>
      </c>
      <c r="BU16" s="744">
        <f t="shared" ca="1" si="36"/>
        <v>0</v>
      </c>
      <c r="BV16" s="744">
        <f t="shared" ca="1" si="37"/>
        <v>0</v>
      </c>
      <c r="BW16" s="744">
        <f t="shared" ca="1" si="38"/>
        <v>0</v>
      </c>
      <c r="BX16" s="744">
        <f t="shared" ca="1" si="39"/>
        <v>0</v>
      </c>
      <c r="BY16" s="744">
        <f ca="1">BS16+COUNTIFS($BT$6:$BT$53,BT16,$BX$6:BX$53,"&gt;"&amp;BX16,$BC$6:$BC$53,INDEX(T_Equipos[Grupo],MATCH(BD16,T_Equipos[NombreEquipo],0)))</f>
        <v>1</v>
      </c>
      <c r="BZ16" s="743" t="str">
        <f ca="1">IF(COUNTIFS($BY$6:$BY$53,BY16,$BC$6:$BC$53,INDEX(T_Equipos[Grupo],MATCH(BD16,T_Equipos[NombreEquipo],0)))=1,"-","P."&amp;BY16&amp;" ("&amp;COUNTIFS($BY$6:$BY$53,BY16,$BC$6:$BC$53,INDEX(T_Equipos[Grupo],MATCH(BD16,T_Equipos[NombreEquipo],0)))&amp;")")</f>
        <v>P.1 (4)</v>
      </c>
      <c r="CA16" s="744">
        <f t="shared" ca="1" si="40"/>
        <v>0</v>
      </c>
      <c r="CB16" s="744">
        <f t="shared" ca="1" si="41"/>
        <v>0</v>
      </c>
      <c r="CC16" s="744">
        <f t="shared" ca="1" si="42"/>
        <v>0</v>
      </c>
      <c r="CD16" s="744">
        <f ca="1">BY16+COUNTIFS($BZ$6:$BZ$53,BZ16,$CC$6:CC$53,"&gt;"&amp;CC16,$BC$6:$BC$53,INDEX(T_Equipos[Grupo],MATCH(BD16,T_Equipos[NombreEquipo],0)))</f>
        <v>1</v>
      </c>
      <c r="CE16" s="743" t="str">
        <f ca="1">IF(COUNTIFS($CD$6:$CD$53,CD16,$BC$6:$BC$53,INDEX(T_Equipos[Grupo],MATCH(BD16,T_Equipos[NombreEquipo],0)))=1,"-","P."&amp;CD16&amp;" ("&amp;COUNTIFS($CD$6:$CD$53,CD16,$BC$6:$BC$53,INDEX(T_Equipos[Grupo],MATCH(BD16,T_Equipos[NombreEquipo],0)))&amp;")")</f>
        <v>P.1 (4)</v>
      </c>
      <c r="CF16" s="744">
        <f t="shared" ca="1" si="43"/>
        <v>0</v>
      </c>
      <c r="CG16" s="744">
        <f ca="1">CD16+COUNTIFS($CE$6:$CE$53,CE16,$CF$6:CF$53,"&gt;"&amp;CF16,$BC$6:$BC$53,INDEX(T_Equipos[Grupo],MATCH(BD16,T_Equipos[NombreEquipo],0)))</f>
        <v>1</v>
      </c>
      <c r="CH16" s="743" t="str">
        <f ca="1">IF(COUNTIFS($CG$6:$CG$53,CG16,$BC$6:$BC$53,INDEX(T_Equipos[Grupo],MATCH(BD16,T_Equipos[NombreEquipo],0)))=1,"-","P."&amp;CG16&amp;" ("&amp;COUNTIFS($CG$6:$CG$53,CG16,$BC$6:$BC$53,INDEX(T_Equipos[Grupo],MATCH(BD16,T_Equipos[NombreEquipo],0)))&amp;")")</f>
        <v>P.1 (4)</v>
      </c>
      <c r="CI16" s="744">
        <f t="shared" ca="1" si="44"/>
        <v>0</v>
      </c>
      <c r="CJ16" s="744">
        <f t="shared" ca="1" si="45"/>
        <v>0</v>
      </c>
      <c r="CK16" s="744">
        <f t="shared" ca="1" si="46"/>
        <v>0</v>
      </c>
      <c r="CL16" s="744">
        <f t="shared" ca="1" si="47"/>
        <v>0</v>
      </c>
      <c r="CM16" s="744">
        <f ca="1">CG16+COUNTIFS($CH$6:$CH$53,CH16,$CL$6:CL$53,"&gt;"&amp;CL16,$BC$6:$BC$53,INDEX(T_Equipos[Grupo],MATCH(BD16,T_Equipos[NombreEquipo],0)))</f>
        <v>1</v>
      </c>
      <c r="CN16" s="743" t="str">
        <f ca="1">IF(COUNTIFS($CM$6:$CM$53,CM16,$BC$6:$BC$53,INDEX(T_Equipos[Grupo],MATCH(BD16,T_Equipos[NombreEquipo],0)))=1,"-","P."&amp;CM16&amp;" ("&amp;COUNTIFS($CM$6:$CM$53,CM16,$BC$6:$BC$53,INDEX(T_Equipos[Grupo],MATCH(BD16,T_Equipos[NombreEquipo],0)))&amp;")")</f>
        <v>P.1 (4)</v>
      </c>
      <c r="CO16" s="744">
        <f t="shared" ca="1" si="48"/>
        <v>0</v>
      </c>
      <c r="CP16" s="744">
        <f t="shared" ca="1" si="49"/>
        <v>0</v>
      </c>
      <c r="CQ16" s="744">
        <f t="shared" ca="1" si="50"/>
        <v>0</v>
      </c>
      <c r="CR16" s="744">
        <f ca="1">CM16+COUNTIFS($CN$6:$CN$53,CN16,$CQ$6:CQ$53,"&gt;"&amp;CQ16,$BC$6:$BC$53,INDEX(T_Equipos[Grupo],MATCH(BD16,T_Equipos[NombreEquipo],0)))</f>
        <v>1</v>
      </c>
      <c r="CS16" s="743" t="str">
        <f ca="1">IF(COUNTIFS($CR$6:$CR$53,CR16,$BC$6:$BC$53,INDEX(T_Equipos[Grupo],MATCH(BD16,T_Equipos[NombreEquipo],0)))=1,"-","P."&amp;CR16&amp;" ("&amp;COUNTIFS($CR$6:$CR$53,CR16,$BC$6:$BC$53,INDEX(T_Equipos[Grupo],MATCH(BD16,T_Equipos[NombreEquipo],0)))&amp;")")</f>
        <v>P.1 (4)</v>
      </c>
      <c r="CT16" s="744">
        <f t="shared" ca="1" si="51"/>
        <v>0</v>
      </c>
      <c r="CU16" s="744">
        <f ca="1">CR16+COUNTIFS($CS$6:$CS$53,CS16,$CT$6:CT$53,"&gt;"&amp;CT16,$BC$6:$BC$53,INDEX(T_Equipos[Grupo],MATCH(BD16,T_Equipos[NombreEquipo],0)))</f>
        <v>1</v>
      </c>
      <c r="CV16" s="743" t="str">
        <f ca="1">IF(COUNTIFS($CU$6:$CU$53,CU16,$BC$6:$BC$53,INDEX(T_Equipos[Grupo],MATCH(BD16,T_Equipos[NombreEquipo],0)))=1,"-","P."&amp;CU16&amp;" ("&amp;COUNTIFS($CU$6:$CU$53,CU16,$BC$6:$BC$53,INDEX(T_Equipos[Grupo],MATCH(BD16,T_Equipos[NombreEquipo],0)))&amp;")")</f>
        <v>P.1 (4)</v>
      </c>
      <c r="CW16" s="743">
        <f t="shared" ca="1" si="30"/>
        <v>0</v>
      </c>
      <c r="CX16" s="743">
        <f ca="1">CU16+COUNTIFS($CV$6:$CV$53,CV16,$CW$6:CW$53,"&gt;"&amp;CW16,$BC$6:$BC$53,INDEX(T_Equipos[Grupo],MATCH(BD16,T_Equipos[NombreEquipo],0)))</f>
        <v>1</v>
      </c>
      <c r="CY16" s="743" t="str">
        <f ca="1">IF(COUNTIFS($CX$6:$CX$53,CX16,$BC$6:$BC$53,INDEX(T_Equipos[Grupo],MATCH(BD16,T_Equipos[NombreEquipo],0)))=1,"-","P."&amp;CX16&amp;" ("&amp;COUNTIFS($CX$6:$CX$53,CX16,$BC$6:$BC$53,INDEX(T_Equipos[Grupo],MATCH(BD16,T_Equipos[NombreEquipo],0)))&amp;")")</f>
        <v>P.1 (4)</v>
      </c>
      <c r="CZ16" s="743">
        <f t="shared" ca="1" si="31"/>
        <v>0</v>
      </c>
      <c r="DA16" s="744">
        <f ca="1">CX16+COUNTIFS($CY$6:$CY$53,CY16,$CZ$6:CZ$53,"&gt;"&amp;CZ16,$BC$6:$BC$53,INDEX(T_Equipos[Grupo],MATCH(BD16,T_Equipos[NombreEquipo],0)))</f>
        <v>1</v>
      </c>
      <c r="DB16" s="743" t="str">
        <f ca="1">IF(COUNTIFS($DA$6:$DA$53,DA16,$BC$6:$BC$53,INDEX(T_Equipos[Grupo],MATCH(BD16,T_Equipos[NombreEquipo],0)))=1,"-","P."&amp;DA16&amp;" ("&amp;COUNTIFS($DA$6:$DA$53,DA16,$BC$6:$BC$53,INDEX(T_Equipos[Grupo],MATCH(BD16,T_Equipos[NombreEquipo],0)))&amp;")")</f>
        <v>P.1 (4)</v>
      </c>
      <c r="DC16" s="742">
        <f ca="1">IF(DB16="-","-",COUNTIFS(T_Equipos[Rank],"&lt;"&amp;INDEX(T_Equipos[Rank],MATCH(BD16,T_Equipos[NombreEquipo],0)),$BC$6:$BC$53,INDEX(T_Equipos[Grupo],MATCH(BD16,T_Equipos[NombreEquipo],0)))+1)</f>
        <v>3</v>
      </c>
      <c r="DD16" s="742">
        <f ca="1">DA16+COUNTIFS($DB$6:$DB$53,DB16,$DC$6:DC$53,"&lt;"&amp;DC16,$BC$6:$BC$53,INDEX(T_Equipos[Grupo],MATCH(BD16,T_Equipos[NombreEquipo],0)))</f>
        <v>3</v>
      </c>
      <c r="DE16" s="742"/>
      <c r="DF16" s="742">
        <f t="shared" ca="1" si="52"/>
        <v>3</v>
      </c>
      <c r="DG16" s="742">
        <f ca="1">IF(DB16="-","-",COUNTIFS(DF$6:DF$53,"&lt;"&amp;DF16,$BC$6:$BC$53,INDEX(T_Equipos[Grupo],MATCH(BD16,T_Equipos[NombreEquipo],0))))</f>
        <v>2</v>
      </c>
      <c r="DH16" s="742">
        <f ca="1">DA16+COUNTIFS(DB$6:DB$53,DB16,DG$6:DG$53,"&lt;"&amp;DG16,$BC$6:$BC$53,INDEX(T_Equipos[Grupo],MATCH(BD16,T_Equipos[NombreEquipo],0)))</f>
        <v>3</v>
      </c>
      <c r="DI16" s="730"/>
      <c r="DJ16" s="730">
        <f t="shared" ca="1" si="53"/>
        <v>1</v>
      </c>
      <c r="DK16" s="730">
        <f t="shared" ca="1" si="24"/>
        <v>0</v>
      </c>
      <c r="DL16" s="730">
        <f t="shared" ca="1" si="33"/>
        <v>1</v>
      </c>
      <c r="DM16" s="724" t="str">
        <f t="shared" ca="1" si="34"/>
        <v>1.1</v>
      </c>
      <c r="DN16" s="730" cm="1">
        <f t="array" aca="1" ref="DN16" ca="1">OFFSET(Horarios!$P$3,DJ16-1,0,DL16,1)</f>
        <v>1</v>
      </c>
      <c r="DO16" s="730"/>
      <c r="DP16" s="730" t="s">
        <v>91</v>
      </c>
      <c r="DQ16" s="730" t="str">
        <f t="shared" ca="1" si="35"/>
        <v>Haití</v>
      </c>
      <c r="DR16" s="730"/>
      <c r="DS16" s="730"/>
      <c r="DT16" s="730" t="str">
        <f t="shared" ca="1" si="15"/>
        <v>Suiza-Canadá</v>
      </c>
      <c r="DU16" s="730"/>
      <c r="DV16" s="730"/>
      <c r="DW16" s="8"/>
    </row>
    <row r="17" spans="1:127" ht="15" thickBot="1">
      <c r="A17" s="725"/>
      <c r="B17" s="728"/>
      <c r="C17" s="725"/>
      <c r="D17" s="730" t="str">
        <f t="shared" si="54"/>
        <v>Pendiente</v>
      </c>
      <c r="E17" s="730" t="str">
        <f t="shared" si="55"/>
        <v>-</v>
      </c>
      <c r="F17" s="730" t="str">
        <f t="shared" si="56"/>
        <v>-</v>
      </c>
      <c r="G17" s="730"/>
      <c r="H17" s="730" t="str">
        <f t="shared" si="57"/>
        <v>-</v>
      </c>
      <c r="I17" s="730" t="str">
        <f t="shared" si="58"/>
        <v>-</v>
      </c>
      <c r="J17" s="730"/>
      <c r="K17" s="730" t="str">
        <f t="shared" si="59"/>
        <v>-</v>
      </c>
      <c r="L17" s="730" t="str">
        <f t="shared" si="60"/>
        <v>-</v>
      </c>
      <c r="M17" s="730"/>
      <c r="N17" s="730" t="str">
        <f t="shared" si="61"/>
        <v>-</v>
      </c>
      <c r="O17" s="730" t="str">
        <f t="shared" si="62"/>
        <v>-</v>
      </c>
      <c r="P17" s="730"/>
      <c r="Q17" s="730" t="str">
        <f t="shared" si="63"/>
        <v>-</v>
      </c>
      <c r="R17" s="730" t="str">
        <f t="shared" si="64"/>
        <v>-</v>
      </c>
      <c r="S17" s="730"/>
      <c r="T17" s="730" t="str">
        <f t="shared" si="65"/>
        <v>-</v>
      </c>
      <c r="U17" s="730" t="str">
        <f t="shared" si="66"/>
        <v>-</v>
      </c>
      <c r="V17" s="170"/>
      <c r="W17" s="850"/>
      <c r="X17" s="226">
        <f ca="1">Horarios!C17</f>
        <v>46197.625</v>
      </c>
      <c r="Y17" s="227">
        <f ca="1">Horarios!C17</f>
        <v>46197.625</v>
      </c>
      <c r="Z17" s="228" t="str">
        <f>$Z$8</f>
        <v>J3</v>
      </c>
      <c r="AA17" s="229" t="str">
        <f ca="1">A14</f>
        <v>Bosnia y Herzegovina</v>
      </c>
      <c r="AB17" s="476" t="e" cm="1" vm="6">
        <f t="array" aca="1" ref="AB17" ca="1">Ver_flag_local</f>
        <v>#VALUE!</v>
      </c>
      <c r="AC17" s="230"/>
      <c r="AD17" s="231"/>
      <c r="AE17" s="481" t="e" cm="1" vm="7">
        <f t="array" aca="1" ref="AE17" ca="1">Ver_flag_visit</f>
        <v>#VALUE!</v>
      </c>
      <c r="AF17" s="232" t="str">
        <f ca="1">A15</f>
        <v>Catar</v>
      </c>
      <c r="AG17" s="411">
        <f t="shared" si="67"/>
        <v>0</v>
      </c>
      <c r="AH17" s="194">
        <v>52</v>
      </c>
      <c r="AI17" s="19" t="str">
        <f t="shared" si="72"/>
        <v>4B</v>
      </c>
      <c r="AJ17" s="258">
        <v>4</v>
      </c>
      <c r="AK17" s="486" t="e" cm="1" vm="8">
        <f t="array" aca="1" ref="AK17" ca="1">Ver_flag_visit</f>
        <v>#VALUE!</v>
      </c>
      <c r="AL17" s="259" t="str">
        <f ca="1">IFERROR(INDEX($BD$6:$BD$53,MATCH(AI17,$BN$6:$BN$53,0)),"")</f>
        <v>Suiza</v>
      </c>
      <c r="AM17" s="260">
        <f t="shared" ca="1" si="71"/>
        <v>0</v>
      </c>
      <c r="AN17" s="261">
        <f t="shared" ca="1" si="71"/>
        <v>0</v>
      </c>
      <c r="AO17" s="261">
        <f t="shared" ca="1" si="71"/>
        <v>0</v>
      </c>
      <c r="AP17" s="261">
        <f t="shared" ca="1" si="71"/>
        <v>0</v>
      </c>
      <c r="AQ17" s="261">
        <f t="shared" ca="1" si="71"/>
        <v>0</v>
      </c>
      <c r="AR17" s="261">
        <f t="shared" ca="1" si="71"/>
        <v>0</v>
      </c>
      <c r="AS17" s="261">
        <f t="shared" ca="1" si="71"/>
        <v>0</v>
      </c>
      <c r="AT17" s="262">
        <f t="shared" ca="1" si="71"/>
        <v>0</v>
      </c>
      <c r="AU17" s="418">
        <f ca="1">INDEX($DL$6:$DL$53,MATCH(AI17,$DP$6:$DP$53,0))</f>
        <v>1</v>
      </c>
      <c r="AV17" s="215" t="str">
        <f ca="1">INDEX($BD$6:$BD$53,MATCH(AI17,$BM$6:$BM$53,0))</f>
        <v>Suiza</v>
      </c>
      <c r="AW17" s="425"/>
      <c r="AX17" s="216"/>
      <c r="AY17" s="238" t="str">
        <f ca="1">+A16</f>
        <v>Suiza</v>
      </c>
      <c r="AZ17" s="239"/>
      <c r="BA17" s="173"/>
      <c r="BB17" s="730"/>
      <c r="BC17" s="742" t="str">
        <f ca="1">+INDEX(T_Equipos[Grupo],MATCH(WORLDCUP!BD17,T_Equipos[NombreEquipo],0))</f>
        <v>C</v>
      </c>
      <c r="BD17" s="730" t="str">
        <f ca="1">+Equipos!B13</f>
        <v>Escocia</v>
      </c>
      <c r="BE17" s="734">
        <f t="shared" ca="1" si="25"/>
        <v>0</v>
      </c>
      <c r="BF17" s="734">
        <f t="shared" ca="1" si="26"/>
        <v>0</v>
      </c>
      <c r="BG17" s="734">
        <f t="shared" ca="1" si="17"/>
        <v>0</v>
      </c>
      <c r="BH17" s="734">
        <f t="shared" ca="1" si="18"/>
        <v>0</v>
      </c>
      <c r="BI17" s="734">
        <f t="shared" ca="1" si="19"/>
        <v>0</v>
      </c>
      <c r="BJ17" s="734">
        <f t="shared" ca="1" si="20"/>
        <v>0</v>
      </c>
      <c r="BK17" s="734">
        <f t="shared" ca="1" si="21"/>
        <v>0</v>
      </c>
      <c r="BL17" s="734">
        <f t="shared" ca="1" si="27"/>
        <v>0</v>
      </c>
      <c r="BM17" s="734" t="str">
        <f t="shared" ca="1" si="22"/>
        <v>4C</v>
      </c>
      <c r="BN17" s="734" t="str">
        <f t="shared" ca="1" si="23"/>
        <v>4C</v>
      </c>
      <c r="BO17" s="743">
        <f t="shared" ca="1" si="28"/>
        <v>0</v>
      </c>
      <c r="BP17" s="743">
        <f ca="1">COUNTIFS($BO$6:$BO$53,"&gt;"&amp;BO17,$BC$6:$BC$53,INDEX(T_Equipos[Grupo],MATCH(BD17,T_Equipos[NombreEquipo],0)))+1</f>
        <v>1</v>
      </c>
      <c r="BQ17" s="743" t="str">
        <f ca="1">IF(COUNTIFS($BP$6:$BP$53,BP17,$BC$6:$BC$53,INDEX(T_Equipos[Grupo],MATCH(BD17,T_Equipos[NombreEquipo],0)))=1,"-","P."&amp;BP17&amp;" ("&amp;COUNTIFS($BP$6:$BP$53,BP17,$BC$6:$BC$53,INDEX(T_Equipos[Grupo],MATCH(BD17,T_Equipos[NombreEquipo],0)))&amp;")")</f>
        <v>P.1 (4)</v>
      </c>
      <c r="BR17" s="743">
        <f t="shared" ca="1" si="29"/>
        <v>0</v>
      </c>
      <c r="BS17" s="743">
        <f ca="1">BP17+COUNTIFS($BQ$6:$BQ$53,BQ17,$BR$6:BR$53,"&gt;"&amp;BR17,$BC$6:$BC$53,INDEX(T_Equipos[Grupo],MATCH(BD17,T_Equipos[NombreEquipo],0)))</f>
        <v>1</v>
      </c>
      <c r="BT17" s="743" t="str">
        <f ca="1">IF(COUNTIFS($BS$6:$BS$53,BS17,$BC$6:$BC$53,INDEX(T_Equipos[Grupo],MATCH(BD17,T_Equipos[NombreEquipo],0)))=1,"-","P."&amp;BS17&amp;" ("&amp;COUNTIFS($BS$6:$BS$53,BS17,$BC$6:$BC$53,INDEX(T_Equipos[Grupo],MATCH(BD17,T_Equipos[NombreEquipo],0)))&amp;")")</f>
        <v>P.1 (4)</v>
      </c>
      <c r="BU17" s="744">
        <f t="shared" ca="1" si="36"/>
        <v>0</v>
      </c>
      <c r="BV17" s="744">
        <f t="shared" ca="1" si="37"/>
        <v>0</v>
      </c>
      <c r="BW17" s="744">
        <f t="shared" ca="1" si="38"/>
        <v>0</v>
      </c>
      <c r="BX17" s="744">
        <f t="shared" ca="1" si="39"/>
        <v>0</v>
      </c>
      <c r="BY17" s="744">
        <f ca="1">BS17+COUNTIFS($BT$6:$BT$53,BT17,$BX$6:BX$53,"&gt;"&amp;BX17,$BC$6:$BC$53,INDEX(T_Equipos[Grupo],MATCH(BD17,T_Equipos[NombreEquipo],0)))</f>
        <v>1</v>
      </c>
      <c r="BZ17" s="743" t="str">
        <f ca="1">IF(COUNTIFS($BY$6:$BY$53,BY17,$BC$6:$BC$53,INDEX(T_Equipos[Grupo],MATCH(BD17,T_Equipos[NombreEquipo],0)))=1,"-","P."&amp;BY17&amp;" ("&amp;COUNTIFS($BY$6:$BY$53,BY17,$BC$6:$BC$53,INDEX(T_Equipos[Grupo],MATCH(BD17,T_Equipos[NombreEquipo],0)))&amp;")")</f>
        <v>P.1 (4)</v>
      </c>
      <c r="CA17" s="744">
        <f t="shared" ca="1" si="40"/>
        <v>0</v>
      </c>
      <c r="CB17" s="744">
        <f t="shared" ca="1" si="41"/>
        <v>0</v>
      </c>
      <c r="CC17" s="744">
        <f t="shared" ca="1" si="42"/>
        <v>0</v>
      </c>
      <c r="CD17" s="744">
        <f ca="1">BY17+COUNTIFS($BZ$6:$BZ$53,BZ17,$CC$6:CC$53,"&gt;"&amp;CC17,$BC$6:$BC$53,INDEX(T_Equipos[Grupo],MATCH(BD17,T_Equipos[NombreEquipo],0)))</f>
        <v>1</v>
      </c>
      <c r="CE17" s="743" t="str">
        <f ca="1">IF(COUNTIFS($CD$6:$CD$53,CD17,$BC$6:$BC$53,INDEX(T_Equipos[Grupo],MATCH(BD17,T_Equipos[NombreEquipo],0)))=1,"-","P."&amp;CD17&amp;" ("&amp;COUNTIFS($CD$6:$CD$53,CD17,$BC$6:$BC$53,INDEX(T_Equipos[Grupo],MATCH(BD17,T_Equipos[NombreEquipo],0)))&amp;")")</f>
        <v>P.1 (4)</v>
      </c>
      <c r="CF17" s="744">
        <f t="shared" ca="1" si="43"/>
        <v>0</v>
      </c>
      <c r="CG17" s="744">
        <f ca="1">CD17+COUNTIFS($CE$6:$CE$53,CE17,$CF$6:CF$53,"&gt;"&amp;CF17,$BC$6:$BC$53,INDEX(T_Equipos[Grupo],MATCH(BD17,T_Equipos[NombreEquipo],0)))</f>
        <v>1</v>
      </c>
      <c r="CH17" s="743" t="str">
        <f ca="1">IF(COUNTIFS($CG$6:$CG$53,CG17,$BC$6:$BC$53,INDEX(T_Equipos[Grupo],MATCH(BD17,T_Equipos[NombreEquipo],0)))=1,"-","P."&amp;CG17&amp;" ("&amp;COUNTIFS($CG$6:$CG$53,CG17,$BC$6:$BC$53,INDEX(T_Equipos[Grupo],MATCH(BD17,T_Equipos[NombreEquipo],0)))&amp;")")</f>
        <v>P.1 (4)</v>
      </c>
      <c r="CI17" s="744">
        <f t="shared" ca="1" si="44"/>
        <v>0</v>
      </c>
      <c r="CJ17" s="744">
        <f t="shared" ca="1" si="45"/>
        <v>0</v>
      </c>
      <c r="CK17" s="744">
        <f t="shared" ca="1" si="46"/>
        <v>0</v>
      </c>
      <c r="CL17" s="744">
        <f t="shared" ca="1" si="47"/>
        <v>0</v>
      </c>
      <c r="CM17" s="744">
        <f ca="1">CG17+COUNTIFS($CH$6:$CH$53,CH17,$CL$6:CL$53,"&gt;"&amp;CL17,$BC$6:$BC$53,INDEX(T_Equipos[Grupo],MATCH(BD17,T_Equipos[NombreEquipo],0)))</f>
        <v>1</v>
      </c>
      <c r="CN17" s="743" t="str">
        <f ca="1">IF(COUNTIFS($CM$6:$CM$53,CM17,$BC$6:$BC$53,INDEX(T_Equipos[Grupo],MATCH(BD17,T_Equipos[NombreEquipo],0)))=1,"-","P."&amp;CM17&amp;" ("&amp;COUNTIFS($CM$6:$CM$53,CM17,$BC$6:$BC$53,INDEX(T_Equipos[Grupo],MATCH(BD17,T_Equipos[NombreEquipo],0)))&amp;")")</f>
        <v>P.1 (4)</v>
      </c>
      <c r="CO17" s="744">
        <f t="shared" ca="1" si="48"/>
        <v>0</v>
      </c>
      <c r="CP17" s="744">
        <f t="shared" ca="1" si="49"/>
        <v>0</v>
      </c>
      <c r="CQ17" s="744">
        <f t="shared" ca="1" si="50"/>
        <v>0</v>
      </c>
      <c r="CR17" s="744">
        <f ca="1">CM17+COUNTIFS($CN$6:$CN$53,CN17,$CQ$6:CQ$53,"&gt;"&amp;CQ17,$BC$6:$BC$53,INDEX(T_Equipos[Grupo],MATCH(BD17,T_Equipos[NombreEquipo],0)))</f>
        <v>1</v>
      </c>
      <c r="CS17" s="743" t="str">
        <f ca="1">IF(COUNTIFS($CR$6:$CR$53,CR17,$BC$6:$BC$53,INDEX(T_Equipos[Grupo],MATCH(BD17,T_Equipos[NombreEquipo],0)))=1,"-","P."&amp;CR17&amp;" ("&amp;COUNTIFS($CR$6:$CR$53,CR17,$BC$6:$BC$53,INDEX(T_Equipos[Grupo],MATCH(BD17,T_Equipos[NombreEquipo],0)))&amp;")")</f>
        <v>P.1 (4)</v>
      </c>
      <c r="CT17" s="744">
        <f t="shared" ca="1" si="51"/>
        <v>0</v>
      </c>
      <c r="CU17" s="744">
        <f ca="1">CR17+COUNTIFS($CS$6:$CS$53,CS17,$CT$6:CT$53,"&gt;"&amp;CT17,$BC$6:$BC$53,INDEX(T_Equipos[Grupo],MATCH(BD17,T_Equipos[NombreEquipo],0)))</f>
        <v>1</v>
      </c>
      <c r="CV17" s="743" t="str">
        <f ca="1">IF(COUNTIFS($CU$6:$CU$53,CU17,$BC$6:$BC$53,INDEX(T_Equipos[Grupo],MATCH(BD17,T_Equipos[NombreEquipo],0)))=1,"-","P."&amp;CU17&amp;" ("&amp;COUNTIFS($CU$6:$CU$53,CU17,$BC$6:$BC$53,INDEX(T_Equipos[Grupo],MATCH(BD17,T_Equipos[NombreEquipo],0)))&amp;")")</f>
        <v>P.1 (4)</v>
      </c>
      <c r="CW17" s="743">
        <f t="shared" ca="1" si="30"/>
        <v>0</v>
      </c>
      <c r="CX17" s="743">
        <f ca="1">CU17+COUNTIFS($CV$6:$CV$53,CV17,$CW$6:CW$53,"&gt;"&amp;CW17,$BC$6:$BC$53,INDEX(T_Equipos[Grupo],MATCH(BD17,T_Equipos[NombreEquipo],0)))</f>
        <v>1</v>
      </c>
      <c r="CY17" s="743" t="str">
        <f ca="1">IF(COUNTIFS($CX$6:$CX$53,CX17,$BC$6:$BC$53,INDEX(T_Equipos[Grupo],MATCH(BD17,T_Equipos[NombreEquipo],0)))=1,"-","P."&amp;CX17&amp;" ("&amp;COUNTIFS($CX$6:$CX$53,CX17,$BC$6:$BC$53,INDEX(T_Equipos[Grupo],MATCH(BD17,T_Equipos[NombreEquipo],0)))&amp;")")</f>
        <v>P.1 (4)</v>
      </c>
      <c r="CZ17" s="743">
        <f t="shared" ca="1" si="31"/>
        <v>0</v>
      </c>
      <c r="DA17" s="744">
        <f ca="1">CX17+COUNTIFS($CY$6:$CY$53,CY17,$CZ$6:CZ$53,"&gt;"&amp;CZ17,$BC$6:$BC$53,INDEX(T_Equipos[Grupo],MATCH(BD17,T_Equipos[NombreEquipo],0)))</f>
        <v>1</v>
      </c>
      <c r="DB17" s="743" t="str">
        <f ca="1">IF(COUNTIFS($DA$6:$DA$53,DA17,$BC$6:$BC$53,INDEX(T_Equipos[Grupo],MATCH(BD17,T_Equipos[NombreEquipo],0)))=1,"-","P."&amp;DA17&amp;" ("&amp;COUNTIFS($DA$6:$DA$53,DA17,$BC$6:$BC$53,INDEX(T_Equipos[Grupo],MATCH(BD17,T_Equipos[NombreEquipo],0)))&amp;")")</f>
        <v>P.1 (4)</v>
      </c>
      <c r="DC17" s="742">
        <f ca="1">IF(DB17="-","-",COUNTIFS(T_Equipos[Rank],"&lt;"&amp;INDEX(T_Equipos[Rank],MATCH(BD17,T_Equipos[NombreEquipo],0)),$BC$6:$BC$53,INDEX(T_Equipos[Grupo],MATCH(BD17,T_Equipos[NombreEquipo],0)))+1)</f>
        <v>4</v>
      </c>
      <c r="DD17" s="742">
        <f ca="1">DA17+COUNTIFS($DB$6:$DB$53,DB17,$DC$6:DC$53,"&lt;"&amp;DC17,$BC$6:$BC$53,INDEX(T_Equipos[Grupo],MATCH(BD17,T_Equipos[NombreEquipo],0)))</f>
        <v>4</v>
      </c>
      <c r="DE17" s="742"/>
      <c r="DF17" s="742">
        <f t="shared" ca="1" si="52"/>
        <v>4</v>
      </c>
      <c r="DG17" s="742">
        <f ca="1">IF(DB17="-","-",COUNTIFS(DF$6:DF$53,"&lt;"&amp;DF17,$BC$6:$BC$53,INDEX(T_Equipos[Grupo],MATCH(BD17,T_Equipos[NombreEquipo],0))))</f>
        <v>3</v>
      </c>
      <c r="DH17" s="742">
        <f ca="1">DA17+COUNTIFS(DB$6:DB$53,DB17,DG$6:DG$53,"&lt;"&amp;DG17,$BC$6:$BC$53,INDEX(T_Equipos[Grupo],MATCH(BD17,T_Equipos[NombreEquipo],0)))</f>
        <v>4</v>
      </c>
      <c r="DI17" s="730"/>
      <c r="DJ17" s="730">
        <f t="shared" ca="1" si="53"/>
        <v>1</v>
      </c>
      <c r="DK17" s="730">
        <f t="shared" ca="1" si="24"/>
        <v>0</v>
      </c>
      <c r="DL17" s="730">
        <f t="shared" ca="1" si="33"/>
        <v>1</v>
      </c>
      <c r="DM17" s="724" t="str">
        <f t="shared" ca="1" si="34"/>
        <v>1.1</v>
      </c>
      <c r="DN17" s="730" cm="1">
        <f t="array" aca="1" ref="DN17" ca="1">OFFSET(Horarios!$P$3,DJ17-1,0,DL17,1)</f>
        <v>1</v>
      </c>
      <c r="DO17" s="730"/>
      <c r="DP17" s="730" t="s">
        <v>657</v>
      </c>
      <c r="DQ17" s="730" t="str">
        <f t="shared" ca="1" si="35"/>
        <v>Escocia</v>
      </c>
      <c r="DR17" s="730"/>
      <c r="DS17" s="730"/>
      <c r="DT17" s="730" t="str">
        <f t="shared" ca="1" si="15"/>
        <v>Bosnia y Herzegovina-Catar</v>
      </c>
      <c r="DU17" s="730"/>
      <c r="DV17" s="730"/>
      <c r="DW17" s="8"/>
    </row>
    <row r="18" spans="1:127" ht="15" thickBot="1">
      <c r="A18" s="725"/>
      <c r="B18" s="728"/>
      <c r="C18" s="725"/>
      <c r="D18" s="730"/>
      <c r="E18" s="730"/>
      <c r="F18" s="730"/>
      <c r="G18" s="730"/>
      <c r="H18" s="730"/>
      <c r="I18" s="730"/>
      <c r="J18" s="730"/>
      <c r="K18" s="730"/>
      <c r="L18" s="730"/>
      <c r="M18" s="730"/>
      <c r="N18" s="730"/>
      <c r="O18" s="730"/>
      <c r="P18" s="730"/>
      <c r="Q18" s="730"/>
      <c r="R18" s="730"/>
      <c r="S18" s="730"/>
      <c r="T18" s="730"/>
      <c r="U18" s="730"/>
      <c r="V18" s="170"/>
      <c r="W18" s="240"/>
      <c r="X18" s="241"/>
      <c r="Y18" s="240"/>
      <c r="Z18" s="242"/>
      <c r="AA18" s="243"/>
      <c r="AB18" s="479"/>
      <c r="AC18" s="245"/>
      <c r="AD18" s="245"/>
      <c r="AE18" s="479"/>
      <c r="AF18" s="246"/>
      <c r="AG18" s="413"/>
      <c r="AH18" s="194"/>
      <c r="AI18" s="169"/>
      <c r="AJ18" s="247"/>
      <c r="AK18" s="248"/>
      <c r="AL18" s="184"/>
      <c r="AM18" s="249"/>
      <c r="AN18" s="247"/>
      <c r="AO18" s="247"/>
      <c r="AP18" s="247"/>
      <c r="AQ18" s="247"/>
      <c r="AR18" s="247"/>
      <c r="AS18" s="247"/>
      <c r="AT18" s="247"/>
      <c r="AU18" s="418"/>
      <c r="AV18" s="214"/>
      <c r="AW18" s="426"/>
      <c r="AX18" s="216"/>
      <c r="AY18" s="240"/>
      <c r="AZ18" s="241"/>
      <c r="BA18" s="173"/>
      <c r="BB18" s="730"/>
      <c r="BC18" s="742" t="str">
        <f ca="1">+INDEX(T_Equipos[Grupo],MATCH(WORLDCUP!BD18,T_Equipos[NombreEquipo],0))</f>
        <v>D</v>
      </c>
      <c r="BD18" s="730" t="str">
        <f ca="1">+Equipos!B14</f>
        <v>Estados Unidos</v>
      </c>
      <c r="BE18" s="734">
        <f t="shared" ca="1" si="25"/>
        <v>3</v>
      </c>
      <c r="BF18" s="734">
        <f t="shared" ca="1" si="26"/>
        <v>1</v>
      </c>
      <c r="BG18" s="734">
        <f t="shared" ca="1" si="17"/>
        <v>1</v>
      </c>
      <c r="BH18" s="734">
        <f t="shared" ca="1" si="18"/>
        <v>0</v>
      </c>
      <c r="BI18" s="734">
        <f t="shared" ca="1" si="19"/>
        <v>0</v>
      </c>
      <c r="BJ18" s="734">
        <f t="shared" ca="1" si="20"/>
        <v>4</v>
      </c>
      <c r="BK18" s="734">
        <f t="shared" ca="1" si="21"/>
        <v>1</v>
      </c>
      <c r="BL18" s="734">
        <f t="shared" ca="1" si="27"/>
        <v>3</v>
      </c>
      <c r="BM18" s="734" t="str">
        <f t="shared" ca="1" si="22"/>
        <v>1D</v>
      </c>
      <c r="BN18" s="734" t="str">
        <f t="shared" ca="1" si="23"/>
        <v>1D</v>
      </c>
      <c r="BO18" s="744">
        <f t="shared" ca="1" si="28"/>
        <v>0</v>
      </c>
      <c r="BP18" s="743">
        <f ca="1">COUNTIFS($BO$6:$BO$53,"&gt;"&amp;BO18,$BC$6:$BC$53,INDEX(T_Equipos[Grupo],MATCH(BD18,T_Equipos[NombreEquipo],0)))+1</f>
        <v>1</v>
      </c>
      <c r="BQ18" s="743" t="str">
        <f ca="1">IF(COUNTIFS($BP$6:$BP$53,BP18,$BC$6:$BC$53,INDEX(T_Equipos[Grupo],MATCH(BD18,T_Equipos[NombreEquipo],0)))=1,"-","P."&amp;BP18&amp;" ("&amp;COUNTIFS($BP$6:$BP$53,BP18,$BC$6:$BC$53,INDEX(T_Equipos[Grupo],MATCH(BD18,T_Equipos[NombreEquipo],0)))&amp;")")</f>
        <v>P.1 (4)</v>
      </c>
      <c r="BR18" s="744">
        <f t="shared" ca="1" si="29"/>
        <v>3</v>
      </c>
      <c r="BS18" s="743">
        <f ca="1">BP18+COUNTIFS($BQ$6:$BQ$53,BQ18,$BR$6:BR$53,"&gt;"&amp;BR18,$BC$6:$BC$53,INDEX(T_Equipos[Grupo],MATCH(BD18,T_Equipos[NombreEquipo],0)))</f>
        <v>1</v>
      </c>
      <c r="BT18" s="743" t="str">
        <f ca="1">IF(COUNTIFS($BS$6:$BS$53,BS18,$BC$6:$BC$53,INDEX(T_Equipos[Grupo],MATCH(BD18,T_Equipos[NombreEquipo],0)))=1,"-","P."&amp;BS18&amp;" ("&amp;COUNTIFS($BS$6:$BS$53,BS18,$BC$6:$BC$53,INDEX(T_Equipos[Grupo],MATCH(BD18,T_Equipos[NombreEquipo],0)))&amp;")")</f>
        <v>-</v>
      </c>
      <c r="BU18" s="744" t="str">
        <f t="shared" ca="1" si="36"/>
        <v>-</v>
      </c>
      <c r="BV18" s="744" t="str">
        <f t="shared" ca="1" si="37"/>
        <v>-</v>
      </c>
      <c r="BW18" s="744" t="str">
        <f t="shared" ca="1" si="38"/>
        <v>-</v>
      </c>
      <c r="BX18" s="744" t="str">
        <f t="shared" ca="1" si="39"/>
        <v>-</v>
      </c>
      <c r="BY18" s="744">
        <f ca="1">BS18+COUNTIFS($BT$6:$BT$53,BT18,$BX$6:BX$53,"&gt;"&amp;BX18,$BC$6:$BC$53,INDEX(T_Equipos[Grupo],MATCH(BD18,T_Equipos[NombreEquipo],0)))</f>
        <v>1</v>
      </c>
      <c r="BZ18" s="743" t="str">
        <f ca="1">IF(COUNTIFS($BY$6:$BY$53,BY18,$BC$6:$BC$53,INDEX(T_Equipos[Grupo],MATCH(BD18,T_Equipos[NombreEquipo],0)))=1,"-","P."&amp;BY18&amp;" ("&amp;COUNTIFS($BY$6:$BY$53,BY18,$BC$6:$BC$53,INDEX(T_Equipos[Grupo],MATCH(BD18,T_Equipos[NombreEquipo],0)))&amp;")")</f>
        <v>-</v>
      </c>
      <c r="CA18" s="744" t="str">
        <f t="shared" ca="1" si="40"/>
        <v>-</v>
      </c>
      <c r="CB18" s="744" t="str">
        <f t="shared" ca="1" si="41"/>
        <v>-</v>
      </c>
      <c r="CC18" s="744" t="str">
        <f t="shared" ca="1" si="42"/>
        <v>-</v>
      </c>
      <c r="CD18" s="744">
        <f ca="1">BY18+COUNTIFS($BZ$6:$BZ$53,BZ18,$CC$6:CC$53,"&gt;"&amp;CC18,$BC$6:$BC$53,INDEX(T_Equipos[Grupo],MATCH(BD18,T_Equipos[NombreEquipo],0)))</f>
        <v>1</v>
      </c>
      <c r="CE18" s="743" t="str">
        <f ca="1">IF(COUNTIFS($CD$6:$CD$53,CD18,$BC$6:$BC$53,INDEX(T_Equipos[Grupo],MATCH(BD18,T_Equipos[NombreEquipo],0)))=1,"-","P."&amp;CD18&amp;" ("&amp;COUNTIFS($CD$6:$CD$53,CD18,$BC$6:$BC$53,INDEX(T_Equipos[Grupo],MATCH(BD18,T_Equipos[NombreEquipo],0)))&amp;")")</f>
        <v>-</v>
      </c>
      <c r="CF18" s="744" t="str">
        <f t="shared" ca="1" si="43"/>
        <v>-</v>
      </c>
      <c r="CG18" s="744">
        <f ca="1">CD18+COUNTIFS($CE$6:$CE$53,CE18,$CF$6:CF$53,"&gt;"&amp;CF18,$BC$6:$BC$53,INDEX(T_Equipos[Grupo],MATCH(BD18,T_Equipos[NombreEquipo],0)))</f>
        <v>1</v>
      </c>
      <c r="CH18" s="743" t="str">
        <f ca="1">IF(COUNTIFS($CG$6:$CG$53,CG18,$BC$6:$BC$53,INDEX(T_Equipos[Grupo],MATCH(BD18,T_Equipos[NombreEquipo],0)))=1,"-","P."&amp;CG18&amp;" ("&amp;COUNTIFS($CG$6:$CG$53,CG18,$BC$6:$BC$53,INDEX(T_Equipos[Grupo],MATCH(BD18,T_Equipos[NombreEquipo],0)))&amp;")")</f>
        <v>-</v>
      </c>
      <c r="CI18" s="744" t="str">
        <f t="shared" ca="1" si="44"/>
        <v>-</v>
      </c>
      <c r="CJ18" s="744" t="str">
        <f t="shared" ca="1" si="45"/>
        <v>-</v>
      </c>
      <c r="CK18" s="744" t="str">
        <f t="shared" ca="1" si="46"/>
        <v>-</v>
      </c>
      <c r="CL18" s="744" t="str">
        <f t="shared" ca="1" si="47"/>
        <v>-</v>
      </c>
      <c r="CM18" s="744">
        <f ca="1">CG18+COUNTIFS($CH$6:$CH$53,CH18,$CL$6:CL$53,"&gt;"&amp;CL18,$BC$6:$BC$53,INDEX(T_Equipos[Grupo],MATCH(BD18,T_Equipos[NombreEquipo],0)))</f>
        <v>1</v>
      </c>
      <c r="CN18" s="743" t="str">
        <f ca="1">IF(COUNTIFS($CM$6:$CM$53,CM18,$BC$6:$BC$53,INDEX(T_Equipos[Grupo],MATCH(BD18,T_Equipos[NombreEquipo],0)))=1,"-","P."&amp;CM18&amp;" ("&amp;COUNTIFS($CM$6:$CM$53,CM18,$BC$6:$BC$53,INDEX(T_Equipos[Grupo],MATCH(BD18,T_Equipos[NombreEquipo],0)))&amp;")")</f>
        <v>-</v>
      </c>
      <c r="CO18" s="744" t="str">
        <f t="shared" ca="1" si="48"/>
        <v>-</v>
      </c>
      <c r="CP18" s="744" t="str">
        <f t="shared" ca="1" si="49"/>
        <v>-</v>
      </c>
      <c r="CQ18" s="744" t="str">
        <f t="shared" ca="1" si="50"/>
        <v>-</v>
      </c>
      <c r="CR18" s="744">
        <f ca="1">CM18+COUNTIFS($CN$6:$CN$53,CN18,$CQ$6:CQ$53,"&gt;"&amp;CQ18,$BC$6:$BC$53,INDEX(T_Equipos[Grupo],MATCH(BD18,T_Equipos[NombreEquipo],0)))</f>
        <v>1</v>
      </c>
      <c r="CS18" s="743" t="str">
        <f ca="1">IF(COUNTIFS($CR$6:$CR$53,CR18,$BC$6:$BC$53,INDEX(T_Equipos[Grupo],MATCH(BD18,T_Equipos[NombreEquipo],0)))=1,"-","P."&amp;CR18&amp;" ("&amp;COUNTIFS($CR$6:$CR$53,CR18,$BC$6:$BC$53,INDEX(T_Equipos[Grupo],MATCH(BD18,T_Equipos[NombreEquipo],0)))&amp;")")</f>
        <v>-</v>
      </c>
      <c r="CT18" s="744" t="str">
        <f t="shared" ca="1" si="51"/>
        <v>-</v>
      </c>
      <c r="CU18" s="744">
        <f ca="1">CR18+COUNTIFS($CS$6:$CS$53,CS18,$CT$6:CT$53,"&gt;"&amp;CT18,$BC$6:$BC$53,INDEX(T_Equipos[Grupo],MATCH(BD18,T_Equipos[NombreEquipo],0)))</f>
        <v>1</v>
      </c>
      <c r="CV18" s="743" t="str">
        <f ca="1">IF(COUNTIFS($CU$6:$CU$53,CU18,$BC$6:$BC$53,INDEX(T_Equipos[Grupo],MATCH(BD18,T_Equipos[NombreEquipo],0)))=1,"-","P."&amp;CU18&amp;" ("&amp;COUNTIFS($CU$6:$CU$53,CU18,$BC$6:$BC$53,INDEX(T_Equipos[Grupo],MATCH(BD18,T_Equipos[NombreEquipo],0)))&amp;")")</f>
        <v>-</v>
      </c>
      <c r="CW18" s="743" t="str">
        <f t="shared" ca="1" si="30"/>
        <v>-</v>
      </c>
      <c r="CX18" s="743">
        <f ca="1">CU18+COUNTIFS($CV$6:$CV$53,CV18,$CW$6:CW$53,"&gt;"&amp;CW18,$BC$6:$BC$53,INDEX(T_Equipos[Grupo],MATCH(BD18,T_Equipos[NombreEquipo],0)))</f>
        <v>1</v>
      </c>
      <c r="CY18" s="743" t="str">
        <f ca="1">IF(COUNTIFS($CX$6:$CX$53,CX18,$BC$6:$BC$53,INDEX(T_Equipos[Grupo],MATCH(BD18,T_Equipos[NombreEquipo],0)))=1,"-","P."&amp;CX18&amp;" ("&amp;COUNTIFS($CX$6:$CX$53,CX18,$BC$6:$BC$53,INDEX(T_Equipos[Grupo],MATCH(BD18,T_Equipos[NombreEquipo],0)))&amp;")")</f>
        <v>-</v>
      </c>
      <c r="CZ18" s="743" t="str">
        <f t="shared" ca="1" si="31"/>
        <v>-</v>
      </c>
      <c r="DA18" s="744">
        <f ca="1">CX18+COUNTIFS($CY$6:$CY$53,CY18,$CZ$6:CZ$53,"&gt;"&amp;CZ18,$BC$6:$BC$53,INDEX(T_Equipos[Grupo],MATCH(BD18,T_Equipos[NombreEquipo],0)))</f>
        <v>1</v>
      </c>
      <c r="DB18" s="743" t="str">
        <f ca="1">IF(COUNTIFS($DA$6:$DA$53,DA18,$BC$6:$BC$53,INDEX(T_Equipos[Grupo],MATCH(BD18,T_Equipos[NombreEquipo],0)))=1,"-","P."&amp;DA18&amp;" ("&amp;COUNTIFS($DA$6:$DA$53,DA18,$BC$6:$BC$53,INDEX(T_Equipos[Grupo],MATCH(BD18,T_Equipos[NombreEquipo],0)))&amp;")")</f>
        <v>-</v>
      </c>
      <c r="DC18" s="742" t="str">
        <f ca="1">IF(DB18="-","-",COUNTIFS(T_Equipos[Rank],"&lt;"&amp;INDEX(T_Equipos[Rank],MATCH(BD18,T_Equipos[NombreEquipo],0)),$BC$6:$BC$53,INDEX(T_Equipos[Grupo],MATCH(BD18,T_Equipos[NombreEquipo],0)))+1)</f>
        <v>-</v>
      </c>
      <c r="DD18" s="742">
        <f ca="1">DA18+COUNTIFS($DB$6:$DB$53,DB18,$DC$6:DC$53,"&lt;"&amp;DC18,$BC$6:$BC$53,INDEX(T_Equipos[Grupo],MATCH(BD18,T_Equipos[NombreEquipo],0)))</f>
        <v>1</v>
      </c>
      <c r="DE18" s="742"/>
      <c r="DF18" s="742">
        <f t="shared" ca="1" si="52"/>
        <v>1</v>
      </c>
      <c r="DG18" s="742" t="str">
        <f ca="1">IF(DB18="-","-",COUNTIFS(DF$6:DF$53,"&lt;"&amp;DF18,$BC$6:$BC$53,INDEX(T_Equipos[Grupo],MATCH(BD18,T_Equipos[NombreEquipo],0))))</f>
        <v>-</v>
      </c>
      <c r="DH18" s="742">
        <f ca="1">DA18+COUNTIFS(DB$6:DB$53,DB18,DG$6:DG$53,"&lt;"&amp;DG18,$BC$6:$BC$53,INDEX(T_Equipos[Grupo],MATCH(BD18,T_Equipos[NombreEquipo],0)))</f>
        <v>1</v>
      </c>
      <c r="DI18" s="730"/>
      <c r="DJ18" s="730">
        <f t="shared" ca="1" si="53"/>
        <v>1</v>
      </c>
      <c r="DK18" s="730">
        <f t="shared" ca="1" si="24"/>
        <v>2</v>
      </c>
      <c r="DL18" s="730">
        <f t="shared" ca="1" si="33"/>
        <v>1</v>
      </c>
      <c r="DM18" s="724" t="str">
        <f t="shared" ca="1" si="34"/>
        <v>1.1</v>
      </c>
      <c r="DN18" s="730" cm="1">
        <f t="array" aca="1" ref="DN18" ca="1">OFFSET(Horarios!$P$3,DJ18-1,0,DL18,1)</f>
        <v>1</v>
      </c>
      <c r="DO18" s="730"/>
      <c r="DP18" s="730" t="s">
        <v>658</v>
      </c>
      <c r="DQ18" s="730" t="str">
        <f t="shared" ca="1" si="35"/>
        <v>Estados Unidos</v>
      </c>
      <c r="DR18" s="730"/>
      <c r="DS18" s="730"/>
      <c r="DT18" s="730" t="str">
        <f t="shared" si="15"/>
        <v>-</v>
      </c>
      <c r="DU18" s="730"/>
      <c r="DV18" s="730"/>
      <c r="DW18" s="8"/>
    </row>
    <row r="19" spans="1:127" ht="15" thickBot="1">
      <c r="A19" s="725"/>
      <c r="B19" s="728"/>
      <c r="C19" s="725"/>
      <c r="D19" s="725"/>
      <c r="E19" s="725"/>
      <c r="F19" s="725"/>
      <c r="G19" s="725"/>
      <c r="H19" s="725"/>
      <c r="I19" s="725"/>
      <c r="J19" s="725"/>
      <c r="K19" s="725"/>
      <c r="L19" s="725"/>
      <c r="M19" s="725"/>
      <c r="N19" s="730"/>
      <c r="O19" s="730"/>
      <c r="P19" s="730"/>
      <c r="Q19" s="730"/>
      <c r="R19" s="730"/>
      <c r="S19" s="730"/>
      <c r="T19" s="730"/>
      <c r="U19" s="730"/>
      <c r="V19" s="170"/>
      <c r="W19" s="177"/>
      <c r="X19" s="178" t="str">
        <f>X3</f>
        <v>Fecha</v>
      </c>
      <c r="Y19" s="178" t="str">
        <f>Y3</f>
        <v>Hora</v>
      </c>
      <c r="Z19" s="179" t="str">
        <f>Z3</f>
        <v>Jor.</v>
      </c>
      <c r="AA19" s="180" t="str">
        <f>AA3</f>
        <v>Casa</v>
      </c>
      <c r="AB19" s="179"/>
      <c r="AC19" s="179" t="str">
        <f>AC3</f>
        <v>Gol</v>
      </c>
      <c r="AD19" s="179" t="str">
        <f>AD3</f>
        <v>Gol</v>
      </c>
      <c r="AE19" s="179"/>
      <c r="AF19" s="182" t="str">
        <f>AF3</f>
        <v>Fuera</v>
      </c>
      <c r="AG19" s="412"/>
      <c r="AH19" s="194"/>
      <c r="AI19" s="18"/>
      <c r="AJ19" s="184"/>
      <c r="AK19" s="250"/>
      <c r="AL19" s="184"/>
      <c r="AM19" s="184"/>
      <c r="AN19" s="184"/>
      <c r="AO19" s="184"/>
      <c r="AP19" s="184"/>
      <c r="AQ19" s="184"/>
      <c r="AR19" s="184"/>
      <c r="AS19" s="184"/>
      <c r="AT19" s="184"/>
      <c r="AU19" s="419"/>
      <c r="AV19" s="22"/>
      <c r="AW19" s="427"/>
      <c r="AX19" s="251"/>
      <c r="AY19" s="240"/>
      <c r="AZ19" s="241"/>
      <c r="BA19" s="173"/>
      <c r="BB19" s="730"/>
      <c r="BC19" s="742" t="str">
        <f ca="1">+INDEX(T_Equipos[Grupo],MATCH(WORLDCUP!BD19,T_Equipos[NombreEquipo],0))</f>
        <v>D</v>
      </c>
      <c r="BD19" s="730" t="str">
        <f ca="1">+Equipos!B15</f>
        <v>Paraguay</v>
      </c>
      <c r="BE19" s="734">
        <f t="shared" ca="1" si="25"/>
        <v>0</v>
      </c>
      <c r="BF19" s="734">
        <f t="shared" ca="1" si="26"/>
        <v>1</v>
      </c>
      <c r="BG19" s="734">
        <f t="shared" ca="1" si="17"/>
        <v>0</v>
      </c>
      <c r="BH19" s="734">
        <f t="shared" ca="1" si="18"/>
        <v>0</v>
      </c>
      <c r="BI19" s="734">
        <f t="shared" ca="1" si="19"/>
        <v>1</v>
      </c>
      <c r="BJ19" s="734">
        <f t="shared" ca="1" si="20"/>
        <v>1</v>
      </c>
      <c r="BK19" s="734">
        <f t="shared" ca="1" si="21"/>
        <v>4</v>
      </c>
      <c r="BL19" s="734">
        <f t="shared" ca="1" si="27"/>
        <v>-3</v>
      </c>
      <c r="BM19" s="734" t="str">
        <f t="shared" ca="1" si="22"/>
        <v>4D</v>
      </c>
      <c r="BN19" s="734" t="str">
        <f t="shared" ca="1" si="23"/>
        <v>4D</v>
      </c>
      <c r="BO19" s="744">
        <f t="shared" ca="1" si="28"/>
        <v>0</v>
      </c>
      <c r="BP19" s="743">
        <f ca="1">COUNTIFS($BO$6:$BO$53,"&gt;"&amp;BO19,$BC$6:$BC$53,INDEX(T_Equipos[Grupo],MATCH(BD19,T_Equipos[NombreEquipo],0)))+1</f>
        <v>1</v>
      </c>
      <c r="BQ19" s="743" t="str">
        <f ca="1">IF(COUNTIFS($BP$6:$BP$53,BP19,$BC$6:$BC$53,INDEX(T_Equipos[Grupo],MATCH(BD19,T_Equipos[NombreEquipo],0)))=1,"-","P."&amp;BP19&amp;" ("&amp;COUNTIFS($BP$6:$BP$53,BP19,$BC$6:$BC$53,INDEX(T_Equipos[Grupo],MATCH(BD19,T_Equipos[NombreEquipo],0)))&amp;")")</f>
        <v>P.1 (4)</v>
      </c>
      <c r="BR19" s="744">
        <f t="shared" ca="1" si="29"/>
        <v>0</v>
      </c>
      <c r="BS19" s="743">
        <f ca="1">BP19+COUNTIFS($BQ$6:$BQ$53,BQ19,$BR$6:BR$53,"&gt;"&amp;BR19,$BC$6:$BC$53,INDEX(T_Equipos[Grupo],MATCH(BD19,T_Equipos[NombreEquipo],0)))</f>
        <v>2</v>
      </c>
      <c r="BT19" s="743" t="str">
        <f ca="1">IF(COUNTIFS($BS$6:$BS$53,BS19,$BC$6:$BC$53,INDEX(T_Equipos[Grupo],MATCH(BD19,T_Equipos[NombreEquipo],0)))=1,"-","P."&amp;BS19&amp;" ("&amp;COUNTIFS($BS$6:$BS$53,BS19,$BC$6:$BC$53,INDEX(T_Equipos[Grupo],MATCH(BD19,T_Equipos[NombreEquipo],0)))&amp;")")</f>
        <v>P.2 (3)</v>
      </c>
      <c r="BU19" s="744">
        <f t="shared" ca="1" si="36"/>
        <v>0</v>
      </c>
      <c r="BV19" s="744">
        <f t="shared" ca="1" si="37"/>
        <v>0</v>
      </c>
      <c r="BW19" s="744">
        <f t="shared" ca="1" si="38"/>
        <v>0</v>
      </c>
      <c r="BX19" s="744">
        <f t="shared" ca="1" si="39"/>
        <v>0</v>
      </c>
      <c r="BY19" s="744">
        <f ca="1">BS19+COUNTIFS($BT$6:$BT$53,BT19,$BX$6:BX$53,"&gt;"&amp;BX19,$BC$6:$BC$53,INDEX(T_Equipos[Grupo],MATCH(BD19,T_Equipos[NombreEquipo],0)))</f>
        <v>2</v>
      </c>
      <c r="BZ19" s="743" t="str">
        <f ca="1">IF(COUNTIFS($BY$6:$BY$53,BY19,$BC$6:$BC$53,INDEX(T_Equipos[Grupo],MATCH(BD19,T_Equipos[NombreEquipo],0)))=1,"-","P."&amp;BY19&amp;" ("&amp;COUNTIFS($BY$6:$BY$53,BY19,$BC$6:$BC$53,INDEX(T_Equipos[Grupo],MATCH(BD19,T_Equipos[NombreEquipo],0)))&amp;")")</f>
        <v>P.2 (3)</v>
      </c>
      <c r="CA19" s="744">
        <f t="shared" ca="1" si="40"/>
        <v>0</v>
      </c>
      <c r="CB19" s="744">
        <f t="shared" ca="1" si="41"/>
        <v>0</v>
      </c>
      <c r="CC19" s="744">
        <f t="shared" ca="1" si="42"/>
        <v>0</v>
      </c>
      <c r="CD19" s="744">
        <f ca="1">BY19+COUNTIFS($BZ$6:$BZ$53,BZ19,$CC$6:CC$53,"&gt;"&amp;CC19,$BC$6:$BC$53,INDEX(T_Equipos[Grupo],MATCH(BD19,T_Equipos[NombreEquipo],0)))</f>
        <v>2</v>
      </c>
      <c r="CE19" s="743" t="str">
        <f ca="1">IF(COUNTIFS($CD$6:$CD$53,CD19,$BC$6:$BC$53,INDEX(T_Equipos[Grupo],MATCH(BD19,T_Equipos[NombreEquipo],0)))=1,"-","P."&amp;CD19&amp;" ("&amp;COUNTIFS($CD$6:$CD$53,CD19,$BC$6:$BC$53,INDEX(T_Equipos[Grupo],MATCH(BD19,T_Equipos[NombreEquipo],0)))&amp;")")</f>
        <v>P.2 (3)</v>
      </c>
      <c r="CF19" s="744">
        <f t="shared" ca="1" si="43"/>
        <v>0</v>
      </c>
      <c r="CG19" s="744">
        <f ca="1">CD19+COUNTIFS($CE$6:$CE$53,CE19,$CF$6:CF$53,"&gt;"&amp;CF19,$BC$6:$BC$53,INDEX(T_Equipos[Grupo],MATCH(BD19,T_Equipos[NombreEquipo],0)))</f>
        <v>2</v>
      </c>
      <c r="CH19" s="743" t="str">
        <f ca="1">IF(COUNTIFS($CG$6:$CG$53,CG19,$BC$6:$BC$53,INDEX(T_Equipos[Grupo],MATCH(BD19,T_Equipos[NombreEquipo],0)))=1,"-","P."&amp;CG19&amp;" ("&amp;COUNTIFS($CG$6:$CG$53,CG19,$BC$6:$BC$53,INDEX(T_Equipos[Grupo],MATCH(BD19,T_Equipos[NombreEquipo],0)))&amp;")")</f>
        <v>P.2 (3)</v>
      </c>
      <c r="CI19" s="744">
        <f t="shared" ca="1" si="44"/>
        <v>0</v>
      </c>
      <c r="CJ19" s="744">
        <f t="shared" ca="1" si="45"/>
        <v>0</v>
      </c>
      <c r="CK19" s="744">
        <f t="shared" ca="1" si="46"/>
        <v>0</v>
      </c>
      <c r="CL19" s="744">
        <f t="shared" ca="1" si="47"/>
        <v>0</v>
      </c>
      <c r="CM19" s="744">
        <f ca="1">CG19+COUNTIFS($CH$6:$CH$53,CH19,$CL$6:CL$53,"&gt;"&amp;CL19,$BC$6:$BC$53,INDEX(T_Equipos[Grupo],MATCH(BD19,T_Equipos[NombreEquipo],0)))</f>
        <v>2</v>
      </c>
      <c r="CN19" s="743" t="str">
        <f ca="1">IF(COUNTIFS($CM$6:$CM$53,CM19,$BC$6:$BC$53,INDEX(T_Equipos[Grupo],MATCH(BD19,T_Equipos[NombreEquipo],0)))=1,"-","P."&amp;CM19&amp;" ("&amp;COUNTIFS($CM$6:$CM$53,CM19,$BC$6:$BC$53,INDEX(T_Equipos[Grupo],MATCH(BD19,T_Equipos[NombreEquipo],0)))&amp;")")</f>
        <v>P.2 (3)</v>
      </c>
      <c r="CO19" s="744">
        <f t="shared" ca="1" si="48"/>
        <v>0</v>
      </c>
      <c r="CP19" s="744">
        <f t="shared" ca="1" si="49"/>
        <v>0</v>
      </c>
      <c r="CQ19" s="744">
        <f t="shared" ca="1" si="50"/>
        <v>0</v>
      </c>
      <c r="CR19" s="744">
        <f ca="1">CM19+COUNTIFS($CN$6:$CN$53,CN19,$CQ$6:CQ$53,"&gt;"&amp;CQ19,$BC$6:$BC$53,INDEX(T_Equipos[Grupo],MATCH(BD19,T_Equipos[NombreEquipo],0)))</f>
        <v>2</v>
      </c>
      <c r="CS19" s="743" t="str">
        <f ca="1">IF(COUNTIFS($CR$6:$CR$53,CR19,$BC$6:$BC$53,INDEX(T_Equipos[Grupo],MATCH(BD19,T_Equipos[NombreEquipo],0)))=1,"-","P."&amp;CR19&amp;" ("&amp;COUNTIFS($CR$6:$CR$53,CR19,$BC$6:$BC$53,INDEX(T_Equipos[Grupo],MATCH(BD19,T_Equipos[NombreEquipo],0)))&amp;")")</f>
        <v>P.2 (3)</v>
      </c>
      <c r="CT19" s="744">
        <f t="shared" ca="1" si="51"/>
        <v>0</v>
      </c>
      <c r="CU19" s="744">
        <f ca="1">CR19+COUNTIFS($CS$6:$CS$53,CS19,$CT$6:CT$53,"&gt;"&amp;CT19,$BC$6:$BC$53,INDEX(T_Equipos[Grupo],MATCH(BD19,T_Equipos[NombreEquipo],0)))</f>
        <v>2</v>
      </c>
      <c r="CV19" s="743" t="str">
        <f ca="1">IF(COUNTIFS($CU$6:$CU$53,CU19,$BC$6:$BC$53,INDEX(T_Equipos[Grupo],MATCH(BD19,T_Equipos[NombreEquipo],0)))=1,"-","P."&amp;CU19&amp;" ("&amp;COUNTIFS($CU$6:$CU$53,CU19,$BC$6:$BC$53,INDEX(T_Equipos[Grupo],MATCH(BD19,T_Equipos[NombreEquipo],0)))&amp;")")</f>
        <v>P.2 (3)</v>
      </c>
      <c r="CW19" s="743">
        <f t="shared" ca="1" si="30"/>
        <v>-3</v>
      </c>
      <c r="CX19" s="743">
        <f ca="1">CU19+COUNTIFS($CV$6:$CV$53,CV19,$CW$6:CW$53,"&gt;"&amp;CW19,$BC$6:$BC$53,INDEX(T_Equipos[Grupo],MATCH(BD19,T_Equipos[NombreEquipo],0)))</f>
        <v>4</v>
      </c>
      <c r="CY19" s="743" t="str">
        <f ca="1">IF(COUNTIFS($CX$6:$CX$53,CX19,$BC$6:$BC$53,INDEX(T_Equipos[Grupo],MATCH(BD19,T_Equipos[NombreEquipo],0)))=1,"-","P."&amp;CX19&amp;" ("&amp;COUNTIFS($CX$6:$CX$53,CX19,$BC$6:$BC$53,INDEX(T_Equipos[Grupo],MATCH(BD19,T_Equipos[NombreEquipo],0)))&amp;")")</f>
        <v>-</v>
      </c>
      <c r="CZ19" s="743" t="str">
        <f t="shared" ca="1" si="31"/>
        <v>-</v>
      </c>
      <c r="DA19" s="744">
        <f ca="1">CX19+COUNTIFS($CY$6:$CY$53,CY19,$CZ$6:CZ$53,"&gt;"&amp;CZ19,$BC$6:$BC$53,INDEX(T_Equipos[Grupo],MATCH(BD19,T_Equipos[NombreEquipo],0)))</f>
        <v>4</v>
      </c>
      <c r="DB19" s="743" t="str">
        <f ca="1">IF(COUNTIFS($DA$6:$DA$53,DA19,$BC$6:$BC$53,INDEX(T_Equipos[Grupo],MATCH(BD19,T_Equipos[NombreEquipo],0)))=1,"-","P."&amp;DA19&amp;" ("&amp;COUNTIFS($DA$6:$DA$53,DA19,$BC$6:$BC$53,INDEX(T_Equipos[Grupo],MATCH(BD19,T_Equipos[NombreEquipo],0)))&amp;")")</f>
        <v>-</v>
      </c>
      <c r="DC19" s="742" t="str">
        <f ca="1">IF(DB19="-","-",COUNTIFS(T_Equipos[Rank],"&lt;"&amp;INDEX(T_Equipos[Rank],MATCH(BD19,T_Equipos[NombreEquipo],0)),$BC$6:$BC$53,INDEX(T_Equipos[Grupo],MATCH(BD19,T_Equipos[NombreEquipo],0)))+1)</f>
        <v>-</v>
      </c>
      <c r="DD19" s="742">
        <f ca="1">DA19+COUNTIFS($DB$6:$DB$53,DB19,$DC$6:DC$53,"&lt;"&amp;DC19,$BC$6:$BC$53,INDEX(T_Equipos[Grupo],MATCH(BD19,T_Equipos[NombreEquipo],0)))</f>
        <v>4</v>
      </c>
      <c r="DE19" s="742"/>
      <c r="DF19" s="742">
        <f t="shared" ca="1" si="52"/>
        <v>4</v>
      </c>
      <c r="DG19" s="742" t="str">
        <f ca="1">IF(DB19="-","-",COUNTIFS(DF$6:DF$53,"&lt;"&amp;DF19,$BC$6:$BC$53,INDEX(T_Equipos[Grupo],MATCH(BD19,T_Equipos[NombreEquipo],0))))</f>
        <v>-</v>
      </c>
      <c r="DH19" s="742">
        <f ca="1">DA19+COUNTIFS(DB$6:DB$53,DB19,DG$6:DG$53,"&lt;"&amp;DG19,$BC$6:$BC$53,INDEX(T_Equipos[Grupo],MATCH(BD19,T_Equipos[NombreEquipo],0)))</f>
        <v>4</v>
      </c>
      <c r="DI19" s="730"/>
      <c r="DJ19" s="730">
        <f t="shared" ca="1" si="53"/>
        <v>2</v>
      </c>
      <c r="DK19" s="730">
        <f t="shared" ca="1" si="24"/>
        <v>2</v>
      </c>
      <c r="DL19" s="730">
        <f t="shared" ca="1" si="33"/>
        <v>1</v>
      </c>
      <c r="DM19" s="724" t="str">
        <f t="shared" ca="1" si="34"/>
        <v>2.1</v>
      </c>
      <c r="DN19" s="730" cm="1">
        <f t="array" aca="1" ref="DN19" ca="1">OFFSET(Horarios!$P$3,DJ19-1,0,DL19,1)</f>
        <v>2</v>
      </c>
      <c r="DO19" s="730"/>
      <c r="DP19" s="730" t="s">
        <v>659</v>
      </c>
      <c r="DQ19" s="730" t="str">
        <f t="shared" ca="1" si="35"/>
        <v>Australia</v>
      </c>
      <c r="DR19" s="730"/>
      <c r="DS19" s="730"/>
      <c r="DT19" s="730" t="str">
        <f t="shared" si="15"/>
        <v>Casa-Fuera</v>
      </c>
      <c r="DU19" s="730"/>
      <c r="DV19" s="730"/>
      <c r="DW19" s="8"/>
    </row>
    <row r="20" spans="1:127" ht="15" customHeight="1" thickBot="1">
      <c r="A20" s="727" t="s">
        <v>30</v>
      </c>
      <c r="B20" s="728" t="s">
        <v>2</v>
      </c>
      <c r="C20" s="729">
        <f>COUNTIF(Equipos!$C$2:$C$49,WORLDCUP!B20)</f>
        <v>4</v>
      </c>
      <c r="D20" s="730" t="str">
        <f t="shared" ref="D20:D25" si="73">IF(OR(AC20="",AD20=""),"Pendiente",IF(AC20&gt;AD20,"Local",IF(AC20&lt;AD20,"Visitante","Empate")))</f>
        <v>Pendiente</v>
      </c>
      <c r="E20" s="730" t="str">
        <f t="shared" ref="E20:E25" si="74">IF(D20="Pendiente","-",INDEX($BT$6:$BT$53,MATCH($AA20,$BD$6:$BD$53,0)))</f>
        <v>-</v>
      </c>
      <c r="F20" s="730" t="str">
        <f t="shared" ref="F20:F25" si="75">IF(D20="Pendiente","-",INDEX($BT$6:$BT$53,MATCH($AF20,$BD$6:$BD$53,0)))</f>
        <v>-</v>
      </c>
      <c r="G20" s="730"/>
      <c r="H20" s="730" t="str">
        <f t="shared" ref="H20:H25" si="76">IF(D20="Pendiente","-",INDEX($BZ$6:$BZ$53,MATCH($AA20,$BD$6:$BD$53,0)))</f>
        <v>-</v>
      </c>
      <c r="I20" s="730" t="str">
        <f t="shared" ref="I20:I25" si="77">IF(D20="Pendiente","-",INDEX($BZ$6:$BZ$53,MATCH($AF20,$BD$6:$BD$53,0)))</f>
        <v>-</v>
      </c>
      <c r="J20" s="730"/>
      <c r="K20" s="730" t="str">
        <f t="shared" ref="K20:K25" si="78">IF(D20="Pendiente","-",INDEX($CE$6:$CE$53,MATCH($AA20,$BD$6:$BD$53,0)))</f>
        <v>-</v>
      </c>
      <c r="L20" s="730" t="str">
        <f t="shared" ref="L20:L25" si="79">IF(D20="Pendiente","-",INDEX($CE$6:$CE$53,MATCH($AF20,$BD$6:$BD$53,0)))</f>
        <v>-</v>
      </c>
      <c r="M20" s="730"/>
      <c r="N20" s="730" t="str">
        <f t="shared" ref="N20:N25" si="80">IF(D20="Pendiente","-",INDEX($CH$6:$CH$53,MATCH($AA20,$BD$6:$BD$53,0)))</f>
        <v>-</v>
      </c>
      <c r="O20" s="730" t="str">
        <f t="shared" ref="O20:O25" si="81">IF(D20="Pendiente","-",INDEX($CH$6:$CH$53,MATCH($AF20,$BD$6:$BD$53,0)))</f>
        <v>-</v>
      </c>
      <c r="P20" s="730"/>
      <c r="Q20" s="730" t="str">
        <f t="shared" ref="Q20:Q25" si="82">IF(D20="Pendiente","-",INDEX($CN$6:$CN$53,MATCH($AA20,$BD$6:$BD$53,0)))</f>
        <v>-</v>
      </c>
      <c r="R20" s="730" t="str">
        <f t="shared" ref="R20:R25" si="83">IF(D20="Pendiente","-",INDEX($CN$6:$CN$53,MATCH($AF20,$BD$6:$BD$53,0)))</f>
        <v>-</v>
      </c>
      <c r="S20" s="730"/>
      <c r="T20" s="730" t="str">
        <f t="shared" ref="T20:T25" si="84">IF(D20="Pendiente","-",INDEX($CS$6:$CS$53,MATCH($AA20,$BD$6:$BD$53,0)))</f>
        <v>-</v>
      </c>
      <c r="U20" s="730" t="str">
        <f t="shared" ref="U20:U25" si="85">IF(D20="Pendiente","-",INDEX($CS$6:$CS$53,MATCH($AF20,$BD$6:$BD$53,0)))</f>
        <v>-</v>
      </c>
      <c r="V20" s="170"/>
      <c r="W20" s="858" t="s">
        <v>2</v>
      </c>
      <c r="X20" s="187">
        <f ca="1">Horarios!C20</f>
        <v>46186.75</v>
      </c>
      <c r="Y20" s="188">
        <f ca="1">Horarios!C20</f>
        <v>46186.75</v>
      </c>
      <c r="Z20" s="189" t="str">
        <f>$Z$4</f>
        <v>J1</v>
      </c>
      <c r="AA20" s="190" t="str">
        <f ca="1">A21</f>
        <v>Brasil</v>
      </c>
      <c r="AB20" s="475" t="e" cm="1" vm="9">
        <f t="array" aca="1" ref="AB20" ca="1">Ver_flag_local</f>
        <v>#VALUE!</v>
      </c>
      <c r="AC20" s="191"/>
      <c r="AD20" s="192"/>
      <c r="AE20" s="480" t="e" cm="1" vm="10">
        <f t="array" aca="1" ref="AE20" ca="1">Ver_flag_visit</f>
        <v>#VALUE!</v>
      </c>
      <c r="AF20" s="193" t="str">
        <f ca="1">A22</f>
        <v>Marruecos</v>
      </c>
      <c r="AG20" s="411">
        <f t="shared" ref="AG20:AG25" si="86">IF(NOT(OR(ISBLANK(AC20),ISBLANK(AD20))),1,0)</f>
        <v>0</v>
      </c>
      <c r="AH20" s="194">
        <v>7</v>
      </c>
      <c r="AI20" s="19"/>
      <c r="AJ20" s="195" t="str">
        <f>CONCATENATE(AJ3," ",B20)</f>
        <v>Grupo C</v>
      </c>
      <c r="AK20" s="196"/>
      <c r="AL20" s="196"/>
      <c r="AM20" s="196"/>
      <c r="AN20" s="196"/>
      <c r="AO20" s="196"/>
      <c r="AP20" s="196"/>
      <c r="AQ20" s="196"/>
      <c r="AR20" s="196"/>
      <c r="AS20" s="196"/>
      <c r="AT20" s="197"/>
      <c r="AU20" s="419"/>
      <c r="AV20" s="198" t="str">
        <f t="shared" ref="AV20" ca="1" si="87">IF(AU21&gt;0,$AV$3,"")</f>
        <v/>
      </c>
      <c r="AW20" s="206"/>
      <c r="AX20" s="253"/>
      <c r="AY20" s="240"/>
      <c r="AZ20" s="241"/>
      <c r="BA20" s="173"/>
      <c r="BB20" s="730"/>
      <c r="BC20" s="742" t="str">
        <f ca="1">+INDEX(T_Equipos[Grupo],MATCH(WORLDCUP!BD20,T_Equipos[NombreEquipo],0))</f>
        <v>D</v>
      </c>
      <c r="BD20" s="730" t="str">
        <f ca="1">+Equipos!B16</f>
        <v>Australia</v>
      </c>
      <c r="BE20" s="734">
        <f t="shared" ca="1" si="25"/>
        <v>0</v>
      </c>
      <c r="BF20" s="734">
        <f t="shared" ca="1" si="26"/>
        <v>0</v>
      </c>
      <c r="BG20" s="734">
        <f t="shared" ca="1" si="17"/>
        <v>0</v>
      </c>
      <c r="BH20" s="734">
        <f t="shared" ca="1" si="18"/>
        <v>0</v>
      </c>
      <c r="BI20" s="734">
        <f t="shared" ca="1" si="19"/>
        <v>0</v>
      </c>
      <c r="BJ20" s="734">
        <f t="shared" ca="1" si="20"/>
        <v>0</v>
      </c>
      <c r="BK20" s="734">
        <f t="shared" ca="1" si="21"/>
        <v>0</v>
      </c>
      <c r="BL20" s="734">
        <f t="shared" ca="1" si="27"/>
        <v>0</v>
      </c>
      <c r="BM20" s="734" t="str">
        <f t="shared" ca="1" si="22"/>
        <v>2D</v>
      </c>
      <c r="BN20" s="734" t="str">
        <f t="shared" ca="1" si="23"/>
        <v>2D</v>
      </c>
      <c r="BO20" s="744">
        <f t="shared" ca="1" si="28"/>
        <v>0</v>
      </c>
      <c r="BP20" s="743">
        <f ca="1">COUNTIFS($BO$6:$BO$53,"&gt;"&amp;BO20,$BC$6:$BC$53,INDEX(T_Equipos[Grupo],MATCH(BD20,T_Equipos[NombreEquipo],0)))+1</f>
        <v>1</v>
      </c>
      <c r="BQ20" s="743" t="str">
        <f ca="1">IF(COUNTIFS($BP$6:$BP$53,BP20,$BC$6:$BC$53,INDEX(T_Equipos[Grupo],MATCH(BD20,T_Equipos[NombreEquipo],0)))=1,"-","P."&amp;BP20&amp;" ("&amp;COUNTIFS($BP$6:$BP$53,BP20,$BC$6:$BC$53,INDEX(T_Equipos[Grupo],MATCH(BD20,T_Equipos[NombreEquipo],0)))&amp;")")</f>
        <v>P.1 (4)</v>
      </c>
      <c r="BR20" s="744">
        <f t="shared" ca="1" si="29"/>
        <v>0</v>
      </c>
      <c r="BS20" s="743">
        <f ca="1">BP20+COUNTIFS($BQ$6:$BQ$53,BQ20,$BR$6:BR$53,"&gt;"&amp;BR20,$BC$6:$BC$53,INDEX(T_Equipos[Grupo],MATCH(BD20,T_Equipos[NombreEquipo],0)))</f>
        <v>2</v>
      </c>
      <c r="BT20" s="743" t="str">
        <f ca="1">IF(COUNTIFS($BS$6:$BS$53,BS20,$BC$6:$BC$53,INDEX(T_Equipos[Grupo],MATCH(BD20,T_Equipos[NombreEquipo],0)))=1,"-","P."&amp;BS20&amp;" ("&amp;COUNTIFS($BS$6:$BS$53,BS20,$BC$6:$BC$53,INDEX(T_Equipos[Grupo],MATCH(BD20,T_Equipos[NombreEquipo],0)))&amp;")")</f>
        <v>P.2 (3)</v>
      </c>
      <c r="BU20" s="744">
        <f t="shared" ca="1" si="36"/>
        <v>0</v>
      </c>
      <c r="BV20" s="744">
        <f t="shared" ca="1" si="37"/>
        <v>0</v>
      </c>
      <c r="BW20" s="744">
        <f t="shared" ca="1" si="38"/>
        <v>0</v>
      </c>
      <c r="BX20" s="744">
        <f t="shared" ca="1" si="39"/>
        <v>0</v>
      </c>
      <c r="BY20" s="744">
        <f ca="1">BS20+COUNTIFS($BT$6:$BT$53,BT20,$BX$6:BX$53,"&gt;"&amp;BX20,$BC$6:$BC$53,INDEX(T_Equipos[Grupo],MATCH(BD20,T_Equipos[NombreEquipo],0)))</f>
        <v>2</v>
      </c>
      <c r="BZ20" s="743" t="str">
        <f ca="1">IF(COUNTIFS($BY$6:$BY$53,BY20,$BC$6:$BC$53,INDEX(T_Equipos[Grupo],MATCH(BD20,T_Equipos[NombreEquipo],0)))=1,"-","P."&amp;BY20&amp;" ("&amp;COUNTIFS($BY$6:$BY$53,BY20,$BC$6:$BC$53,INDEX(T_Equipos[Grupo],MATCH(BD20,T_Equipos[NombreEquipo],0)))&amp;")")</f>
        <v>P.2 (3)</v>
      </c>
      <c r="CA20" s="744">
        <f t="shared" ca="1" si="40"/>
        <v>0</v>
      </c>
      <c r="CB20" s="744">
        <f t="shared" ca="1" si="41"/>
        <v>0</v>
      </c>
      <c r="CC20" s="744">
        <f t="shared" ca="1" si="42"/>
        <v>0</v>
      </c>
      <c r="CD20" s="744">
        <f ca="1">BY20+COUNTIFS($BZ$6:$BZ$53,BZ20,$CC$6:CC$53,"&gt;"&amp;CC20,$BC$6:$BC$53,INDEX(T_Equipos[Grupo],MATCH(BD20,T_Equipos[NombreEquipo],0)))</f>
        <v>2</v>
      </c>
      <c r="CE20" s="743" t="str">
        <f ca="1">IF(COUNTIFS($CD$6:$CD$53,CD20,$BC$6:$BC$53,INDEX(T_Equipos[Grupo],MATCH(BD20,T_Equipos[NombreEquipo],0)))=1,"-","P."&amp;CD20&amp;" ("&amp;COUNTIFS($CD$6:$CD$53,CD20,$BC$6:$BC$53,INDEX(T_Equipos[Grupo],MATCH(BD20,T_Equipos[NombreEquipo],0)))&amp;")")</f>
        <v>P.2 (3)</v>
      </c>
      <c r="CF20" s="744">
        <f t="shared" ca="1" si="43"/>
        <v>0</v>
      </c>
      <c r="CG20" s="744">
        <f ca="1">CD20+COUNTIFS($CE$6:$CE$53,CE20,$CF$6:CF$53,"&gt;"&amp;CF20,$BC$6:$BC$53,INDEX(T_Equipos[Grupo],MATCH(BD20,T_Equipos[NombreEquipo],0)))</f>
        <v>2</v>
      </c>
      <c r="CH20" s="743" t="str">
        <f ca="1">IF(COUNTIFS($CG$6:$CG$53,CG20,$BC$6:$BC$53,INDEX(T_Equipos[Grupo],MATCH(BD20,T_Equipos[NombreEquipo],0)))=1,"-","P."&amp;CG20&amp;" ("&amp;COUNTIFS($CG$6:$CG$53,CG20,$BC$6:$BC$53,INDEX(T_Equipos[Grupo],MATCH(BD20,T_Equipos[NombreEquipo],0)))&amp;")")</f>
        <v>P.2 (3)</v>
      </c>
      <c r="CI20" s="744">
        <f t="shared" ca="1" si="44"/>
        <v>0</v>
      </c>
      <c r="CJ20" s="744">
        <f t="shared" ca="1" si="45"/>
        <v>0</v>
      </c>
      <c r="CK20" s="744">
        <f t="shared" ca="1" si="46"/>
        <v>0</v>
      </c>
      <c r="CL20" s="744">
        <f t="shared" ca="1" si="47"/>
        <v>0</v>
      </c>
      <c r="CM20" s="744">
        <f ca="1">CG20+COUNTIFS($CH$6:$CH$53,CH20,$CL$6:CL$53,"&gt;"&amp;CL20,$BC$6:$BC$53,INDEX(T_Equipos[Grupo],MATCH(BD20,T_Equipos[NombreEquipo],0)))</f>
        <v>2</v>
      </c>
      <c r="CN20" s="743" t="str">
        <f ca="1">IF(COUNTIFS($CM$6:$CM$53,CM20,$BC$6:$BC$53,INDEX(T_Equipos[Grupo],MATCH(BD20,T_Equipos[NombreEquipo],0)))=1,"-","P."&amp;CM20&amp;" ("&amp;COUNTIFS($CM$6:$CM$53,CM20,$BC$6:$BC$53,INDEX(T_Equipos[Grupo],MATCH(BD20,T_Equipos[NombreEquipo],0)))&amp;")")</f>
        <v>P.2 (3)</v>
      </c>
      <c r="CO20" s="744">
        <f t="shared" ca="1" si="48"/>
        <v>0</v>
      </c>
      <c r="CP20" s="744">
        <f t="shared" ca="1" si="49"/>
        <v>0</v>
      </c>
      <c r="CQ20" s="744">
        <f t="shared" ca="1" si="50"/>
        <v>0</v>
      </c>
      <c r="CR20" s="744">
        <f ca="1">CM20+COUNTIFS($CN$6:$CN$53,CN20,$CQ$6:CQ$53,"&gt;"&amp;CQ20,$BC$6:$BC$53,INDEX(T_Equipos[Grupo],MATCH(BD20,T_Equipos[NombreEquipo],0)))</f>
        <v>2</v>
      </c>
      <c r="CS20" s="743" t="str">
        <f ca="1">IF(COUNTIFS($CR$6:$CR$53,CR20,$BC$6:$BC$53,INDEX(T_Equipos[Grupo],MATCH(BD20,T_Equipos[NombreEquipo],0)))=1,"-","P."&amp;CR20&amp;" ("&amp;COUNTIFS($CR$6:$CR$53,CR20,$BC$6:$BC$53,INDEX(T_Equipos[Grupo],MATCH(BD20,T_Equipos[NombreEquipo],0)))&amp;")")</f>
        <v>P.2 (3)</v>
      </c>
      <c r="CT20" s="744">
        <f t="shared" ca="1" si="51"/>
        <v>0</v>
      </c>
      <c r="CU20" s="744">
        <f ca="1">CR20+COUNTIFS($CS$6:$CS$53,CS20,$CT$6:CT$53,"&gt;"&amp;CT20,$BC$6:$BC$53,INDEX(T_Equipos[Grupo],MATCH(BD20,T_Equipos[NombreEquipo],0)))</f>
        <v>2</v>
      </c>
      <c r="CV20" s="743" t="str">
        <f ca="1">IF(COUNTIFS($CU$6:$CU$53,CU20,$BC$6:$BC$53,INDEX(T_Equipos[Grupo],MATCH(BD20,T_Equipos[NombreEquipo],0)))=1,"-","P."&amp;CU20&amp;" ("&amp;COUNTIFS($CU$6:$CU$53,CU20,$BC$6:$BC$53,INDEX(T_Equipos[Grupo],MATCH(BD20,T_Equipos[NombreEquipo],0)))&amp;")")</f>
        <v>P.2 (3)</v>
      </c>
      <c r="CW20" s="743">
        <f t="shared" ca="1" si="30"/>
        <v>0</v>
      </c>
      <c r="CX20" s="743">
        <f ca="1">CU20+COUNTIFS($CV$6:$CV$53,CV20,$CW$6:CW$53,"&gt;"&amp;CW20,$BC$6:$BC$53,INDEX(T_Equipos[Grupo],MATCH(BD20,T_Equipos[NombreEquipo],0)))</f>
        <v>2</v>
      </c>
      <c r="CY20" s="743" t="str">
        <f ca="1">IF(COUNTIFS($CX$6:$CX$53,CX20,$BC$6:$BC$53,INDEX(T_Equipos[Grupo],MATCH(BD20,T_Equipos[NombreEquipo],0)))=1,"-","P."&amp;CX20&amp;" ("&amp;COUNTIFS($CX$6:$CX$53,CX20,$BC$6:$BC$53,INDEX(T_Equipos[Grupo],MATCH(BD20,T_Equipos[NombreEquipo],0)))&amp;")")</f>
        <v>P.2 (2)</v>
      </c>
      <c r="CZ20" s="743">
        <f t="shared" ca="1" si="31"/>
        <v>0</v>
      </c>
      <c r="DA20" s="744">
        <f ca="1">CX20+COUNTIFS($CY$6:$CY$53,CY20,$CZ$6:CZ$53,"&gt;"&amp;CZ20,$BC$6:$BC$53,INDEX(T_Equipos[Grupo],MATCH(BD20,T_Equipos[NombreEquipo],0)))</f>
        <v>2</v>
      </c>
      <c r="DB20" s="743" t="str">
        <f ca="1">IF(COUNTIFS($DA$6:$DA$53,DA20,$BC$6:$BC$53,INDEX(T_Equipos[Grupo],MATCH(BD20,T_Equipos[NombreEquipo],0)))=1,"-","P."&amp;DA20&amp;" ("&amp;COUNTIFS($DA$6:$DA$53,DA20,$BC$6:$BC$53,INDEX(T_Equipos[Grupo],MATCH(BD20,T_Equipos[NombreEquipo],0)))&amp;")")</f>
        <v>P.2 (2)</v>
      </c>
      <c r="DC20" s="742">
        <f ca="1">IF(DB20="-","-",COUNTIFS(T_Equipos[Rank],"&lt;"&amp;INDEX(T_Equipos[Rank],MATCH(BD20,T_Equipos[NombreEquipo],0)),$BC$6:$BC$53,INDEX(T_Equipos[Grupo],MATCH(BD20,T_Equipos[NombreEquipo],0)))+1)</f>
        <v>3</v>
      </c>
      <c r="DD20" s="742">
        <f ca="1">DA20+COUNTIFS($DB$6:$DB$53,DB20,$DC$6:DC$53,"&lt;"&amp;DC20,$BC$6:$BC$53,INDEX(T_Equipos[Grupo],MATCH(BD20,T_Equipos[NombreEquipo],0)))</f>
        <v>2</v>
      </c>
      <c r="DE20" s="742"/>
      <c r="DF20" s="742">
        <f t="shared" ca="1" si="52"/>
        <v>2</v>
      </c>
      <c r="DG20" s="742">
        <f ca="1">IF(DB20="-","-",COUNTIFS(DF$6:DF$53,"&lt;"&amp;DF20,$BC$6:$BC$53,INDEX(T_Equipos[Grupo],MATCH(BD20,T_Equipos[NombreEquipo],0))))</f>
        <v>1</v>
      </c>
      <c r="DH20" s="742">
        <f ca="1">DA20+COUNTIFS(DB$6:DB$53,DB20,DG$6:DG$53,"&lt;"&amp;DG20,$BC$6:$BC$53,INDEX(T_Equipos[Grupo],MATCH(BD20,T_Equipos[NombreEquipo],0)))</f>
        <v>2</v>
      </c>
      <c r="DI20" s="730"/>
      <c r="DJ20" s="730">
        <f t="shared" ca="1" si="53"/>
        <v>2</v>
      </c>
      <c r="DK20" s="730">
        <f t="shared" ca="1" si="24"/>
        <v>2</v>
      </c>
      <c r="DL20" s="730">
        <f t="shared" ca="1" si="33"/>
        <v>1</v>
      </c>
      <c r="DM20" s="724" t="str">
        <f t="shared" ca="1" si="34"/>
        <v>2.1</v>
      </c>
      <c r="DN20" s="730" cm="1">
        <f t="array" aca="1" ref="DN20" ca="1">OFFSET(Horarios!$P$3,DJ20-1,0,DL20,1)</f>
        <v>2</v>
      </c>
      <c r="DO20" s="730"/>
      <c r="DP20" s="730" t="s">
        <v>92</v>
      </c>
      <c r="DQ20" s="730" t="str">
        <f t="shared" ca="1" si="35"/>
        <v>Turquía</v>
      </c>
      <c r="DR20" s="730"/>
      <c r="DS20" s="730"/>
      <c r="DT20" s="730" t="str">
        <f t="shared" ca="1" si="15"/>
        <v>Brasil-Marruecos</v>
      </c>
      <c r="DU20" s="730"/>
      <c r="DV20" s="730"/>
      <c r="DW20" s="8"/>
    </row>
    <row r="21" spans="1:127" ht="16.05" customHeight="1">
      <c r="A21" s="731" t="str">
        <f ca="1">+Equipos!B10</f>
        <v>Brasil</v>
      </c>
      <c r="B21" s="728"/>
      <c r="C21" s="728"/>
      <c r="D21" s="730" t="str">
        <f t="shared" si="73"/>
        <v>Pendiente</v>
      </c>
      <c r="E21" s="730" t="str">
        <f t="shared" si="74"/>
        <v>-</v>
      </c>
      <c r="F21" s="730" t="str">
        <f t="shared" si="75"/>
        <v>-</v>
      </c>
      <c r="G21" s="730"/>
      <c r="H21" s="730" t="str">
        <f t="shared" si="76"/>
        <v>-</v>
      </c>
      <c r="I21" s="730" t="str">
        <f t="shared" si="77"/>
        <v>-</v>
      </c>
      <c r="J21" s="730"/>
      <c r="K21" s="730" t="str">
        <f t="shared" si="78"/>
        <v>-</v>
      </c>
      <c r="L21" s="730" t="str">
        <f t="shared" si="79"/>
        <v>-</v>
      </c>
      <c r="M21" s="730"/>
      <c r="N21" s="730" t="str">
        <f t="shared" si="80"/>
        <v>-</v>
      </c>
      <c r="O21" s="730" t="str">
        <f t="shared" si="81"/>
        <v>-</v>
      </c>
      <c r="P21" s="730"/>
      <c r="Q21" s="730" t="str">
        <f t="shared" si="82"/>
        <v>-</v>
      </c>
      <c r="R21" s="730" t="str">
        <f t="shared" si="83"/>
        <v>-</v>
      </c>
      <c r="S21" s="730"/>
      <c r="T21" s="730" t="str">
        <f t="shared" si="84"/>
        <v>-</v>
      </c>
      <c r="U21" s="730" t="str">
        <f t="shared" si="85"/>
        <v>-</v>
      </c>
      <c r="V21" s="170"/>
      <c r="W21" s="858"/>
      <c r="X21" s="187">
        <f ca="1">Horarios!C21</f>
        <v>46186.875</v>
      </c>
      <c r="Y21" s="188">
        <f ca="1">Horarios!C21</f>
        <v>46186.875</v>
      </c>
      <c r="Z21" s="189" t="str">
        <f>$Z$4</f>
        <v>J1</v>
      </c>
      <c r="AA21" s="190" t="str">
        <f ca="1">A23</f>
        <v>Haití</v>
      </c>
      <c r="AB21" s="475" t="e" cm="1" vm="11">
        <f t="array" aca="1" ref="AB21" ca="1">Ver_flag_local</f>
        <v>#VALUE!</v>
      </c>
      <c r="AC21" s="191"/>
      <c r="AD21" s="192"/>
      <c r="AE21" s="480" t="e" cm="1" vm="12">
        <f t="array" aca="1" ref="AE21" ca="1">Ver_flag_visit</f>
        <v>#VALUE!</v>
      </c>
      <c r="AF21" s="193" t="str">
        <f ca="1">A24</f>
        <v>Escocia</v>
      </c>
      <c r="AG21" s="411">
        <f t="shared" si="86"/>
        <v>0</v>
      </c>
      <c r="AH21" s="194">
        <v>5</v>
      </c>
      <c r="AI21" s="19"/>
      <c r="AJ21" s="202" t="str">
        <f>AJ5</f>
        <v>Pos</v>
      </c>
      <c r="AK21" s="203"/>
      <c r="AL21" s="204" t="str">
        <f t="shared" ref="AL21:AT21" si="88">AL5</f>
        <v>Selección</v>
      </c>
      <c r="AM21" s="203" t="str">
        <f t="shared" si="88"/>
        <v>Pts</v>
      </c>
      <c r="AN21" s="203" t="str">
        <f t="shared" si="88"/>
        <v>J</v>
      </c>
      <c r="AO21" s="203" t="str">
        <f t="shared" si="88"/>
        <v>G</v>
      </c>
      <c r="AP21" s="203" t="str">
        <f t="shared" si="88"/>
        <v>E</v>
      </c>
      <c r="AQ21" s="203" t="str">
        <f t="shared" si="88"/>
        <v>P</v>
      </c>
      <c r="AR21" s="203" t="str">
        <f t="shared" si="88"/>
        <v>GF</v>
      </c>
      <c r="AS21" s="203" t="str">
        <f t="shared" si="88"/>
        <v>GC</v>
      </c>
      <c r="AT21" s="205" t="str">
        <f t="shared" si="88"/>
        <v>DG</v>
      </c>
      <c r="AU21" s="419">
        <f t="shared" ref="AU21" ca="1" si="89">COUNTIF(AU22:AU25,"&gt;1")</f>
        <v>0</v>
      </c>
      <c r="AV21" s="206"/>
      <c r="AW21" s="206"/>
      <c r="AX21" s="253"/>
      <c r="AY21" s="207" t="str">
        <f>AL21</f>
        <v>Selección</v>
      </c>
      <c r="AZ21" s="208" t="str">
        <f>+Idiomas!$D$69</f>
        <v>Puntos penalizados</v>
      </c>
      <c r="BA21" s="173"/>
      <c r="BB21" s="730"/>
      <c r="BC21" s="742" t="str">
        <f ca="1">+INDEX(T_Equipos[Grupo],MATCH(WORLDCUP!BD21,T_Equipos[NombreEquipo],0))</f>
        <v>D</v>
      </c>
      <c r="BD21" s="730" t="str">
        <f ca="1">+Equipos!B17</f>
        <v>Turquía</v>
      </c>
      <c r="BE21" s="734">
        <f t="shared" ca="1" si="25"/>
        <v>0</v>
      </c>
      <c r="BF21" s="734">
        <f t="shared" ca="1" si="26"/>
        <v>0</v>
      </c>
      <c r="BG21" s="734">
        <f t="shared" ca="1" si="17"/>
        <v>0</v>
      </c>
      <c r="BH21" s="734">
        <f t="shared" ca="1" si="18"/>
        <v>0</v>
      </c>
      <c r="BI21" s="734">
        <f t="shared" ca="1" si="19"/>
        <v>0</v>
      </c>
      <c r="BJ21" s="734">
        <f t="shared" ca="1" si="20"/>
        <v>0</v>
      </c>
      <c r="BK21" s="734">
        <f t="shared" ca="1" si="21"/>
        <v>0</v>
      </c>
      <c r="BL21" s="734">
        <f t="shared" ca="1" si="27"/>
        <v>0</v>
      </c>
      <c r="BM21" s="734" t="str">
        <f t="shared" ca="1" si="22"/>
        <v>3D</v>
      </c>
      <c r="BN21" s="734" t="str">
        <f t="shared" ca="1" si="23"/>
        <v>3D</v>
      </c>
      <c r="BO21" s="744">
        <f t="shared" ca="1" si="28"/>
        <v>0</v>
      </c>
      <c r="BP21" s="743">
        <f ca="1">COUNTIFS($BO$6:$BO$53,"&gt;"&amp;BO21,$BC$6:$BC$53,INDEX(T_Equipos[Grupo],MATCH(BD21,T_Equipos[NombreEquipo],0)))+1</f>
        <v>1</v>
      </c>
      <c r="BQ21" s="743" t="str">
        <f ca="1">IF(COUNTIFS($BP$6:$BP$53,BP21,$BC$6:$BC$53,INDEX(T_Equipos[Grupo],MATCH(BD21,T_Equipos[NombreEquipo],0)))=1,"-","P."&amp;BP21&amp;" ("&amp;COUNTIFS($BP$6:$BP$53,BP21,$BC$6:$BC$53,INDEX(T_Equipos[Grupo],MATCH(BD21,T_Equipos[NombreEquipo],0)))&amp;")")</f>
        <v>P.1 (4)</v>
      </c>
      <c r="BR21" s="744">
        <f t="shared" ca="1" si="29"/>
        <v>0</v>
      </c>
      <c r="BS21" s="743">
        <f ca="1">BP21+COUNTIFS($BQ$6:$BQ$53,BQ21,$BR$6:BR$53,"&gt;"&amp;BR21,$BC$6:$BC$53,INDEX(T_Equipos[Grupo],MATCH(BD21,T_Equipos[NombreEquipo],0)))</f>
        <v>2</v>
      </c>
      <c r="BT21" s="743" t="str">
        <f ca="1">IF(COUNTIFS($BS$6:$BS$53,BS21,$BC$6:$BC$53,INDEX(T_Equipos[Grupo],MATCH(BD21,T_Equipos[NombreEquipo],0)))=1,"-","P."&amp;BS21&amp;" ("&amp;COUNTIFS($BS$6:$BS$53,BS21,$BC$6:$BC$53,INDEX(T_Equipos[Grupo],MATCH(BD21,T_Equipos[NombreEquipo],0)))&amp;")")</f>
        <v>P.2 (3)</v>
      </c>
      <c r="BU21" s="744">
        <f t="shared" ca="1" si="36"/>
        <v>0</v>
      </c>
      <c r="BV21" s="744">
        <f t="shared" ca="1" si="37"/>
        <v>0</v>
      </c>
      <c r="BW21" s="744">
        <f t="shared" ca="1" si="38"/>
        <v>0</v>
      </c>
      <c r="BX21" s="744">
        <f t="shared" ca="1" si="39"/>
        <v>0</v>
      </c>
      <c r="BY21" s="744">
        <f ca="1">BS21+COUNTIFS($BT$6:$BT$53,BT21,$BX$6:BX$53,"&gt;"&amp;BX21,$BC$6:$BC$53,INDEX(T_Equipos[Grupo],MATCH(BD21,T_Equipos[NombreEquipo],0)))</f>
        <v>2</v>
      </c>
      <c r="BZ21" s="743" t="str">
        <f ca="1">IF(COUNTIFS($BY$6:$BY$53,BY21,$BC$6:$BC$53,INDEX(T_Equipos[Grupo],MATCH(BD21,T_Equipos[NombreEquipo],0)))=1,"-","P."&amp;BY21&amp;" ("&amp;COUNTIFS($BY$6:$BY$53,BY21,$BC$6:$BC$53,INDEX(T_Equipos[Grupo],MATCH(BD21,T_Equipos[NombreEquipo],0)))&amp;")")</f>
        <v>P.2 (3)</v>
      </c>
      <c r="CA21" s="744">
        <f t="shared" ca="1" si="40"/>
        <v>0</v>
      </c>
      <c r="CB21" s="744">
        <f t="shared" ca="1" si="41"/>
        <v>0</v>
      </c>
      <c r="CC21" s="744">
        <f t="shared" ca="1" si="42"/>
        <v>0</v>
      </c>
      <c r="CD21" s="744">
        <f ca="1">BY21+COUNTIFS($BZ$6:$BZ$53,BZ21,$CC$6:CC$53,"&gt;"&amp;CC21,$BC$6:$BC$53,INDEX(T_Equipos[Grupo],MATCH(BD21,T_Equipos[NombreEquipo],0)))</f>
        <v>2</v>
      </c>
      <c r="CE21" s="743" t="str">
        <f ca="1">IF(COUNTIFS($CD$6:$CD$53,CD21,$BC$6:$BC$53,INDEX(T_Equipos[Grupo],MATCH(BD21,T_Equipos[NombreEquipo],0)))=1,"-","P."&amp;CD21&amp;" ("&amp;COUNTIFS($CD$6:$CD$53,CD21,$BC$6:$BC$53,INDEX(T_Equipos[Grupo],MATCH(BD21,T_Equipos[NombreEquipo],0)))&amp;")")</f>
        <v>P.2 (3)</v>
      </c>
      <c r="CF21" s="744">
        <f t="shared" ca="1" si="43"/>
        <v>0</v>
      </c>
      <c r="CG21" s="744">
        <f ca="1">CD21+COUNTIFS($CE$6:$CE$53,CE21,$CF$6:CF$53,"&gt;"&amp;CF21,$BC$6:$BC$53,INDEX(T_Equipos[Grupo],MATCH(BD21,T_Equipos[NombreEquipo],0)))</f>
        <v>2</v>
      </c>
      <c r="CH21" s="743" t="str">
        <f ca="1">IF(COUNTIFS($CG$6:$CG$53,CG21,$BC$6:$BC$53,INDEX(T_Equipos[Grupo],MATCH(BD21,T_Equipos[NombreEquipo],0)))=1,"-","P."&amp;CG21&amp;" ("&amp;COUNTIFS($CG$6:$CG$53,CG21,$BC$6:$BC$53,INDEX(T_Equipos[Grupo],MATCH(BD21,T_Equipos[NombreEquipo],0)))&amp;")")</f>
        <v>P.2 (3)</v>
      </c>
      <c r="CI21" s="744">
        <f t="shared" ca="1" si="44"/>
        <v>0</v>
      </c>
      <c r="CJ21" s="744">
        <f t="shared" ca="1" si="45"/>
        <v>0</v>
      </c>
      <c r="CK21" s="744">
        <f t="shared" ca="1" si="46"/>
        <v>0</v>
      </c>
      <c r="CL21" s="744">
        <f t="shared" ca="1" si="47"/>
        <v>0</v>
      </c>
      <c r="CM21" s="744">
        <f ca="1">CG21+COUNTIFS($CH$6:$CH$53,CH21,$CL$6:CL$53,"&gt;"&amp;CL21,$BC$6:$BC$53,INDEX(T_Equipos[Grupo],MATCH(BD21,T_Equipos[NombreEquipo],0)))</f>
        <v>2</v>
      </c>
      <c r="CN21" s="743" t="str">
        <f ca="1">IF(COUNTIFS($CM$6:$CM$53,CM21,$BC$6:$BC$53,INDEX(T_Equipos[Grupo],MATCH(BD21,T_Equipos[NombreEquipo],0)))=1,"-","P."&amp;CM21&amp;" ("&amp;COUNTIFS($CM$6:$CM$53,CM21,$BC$6:$BC$53,INDEX(T_Equipos[Grupo],MATCH(BD21,T_Equipos[NombreEquipo],0)))&amp;")")</f>
        <v>P.2 (3)</v>
      </c>
      <c r="CO21" s="744">
        <f t="shared" ca="1" si="48"/>
        <v>0</v>
      </c>
      <c r="CP21" s="744">
        <f t="shared" ca="1" si="49"/>
        <v>0</v>
      </c>
      <c r="CQ21" s="744">
        <f t="shared" ca="1" si="50"/>
        <v>0</v>
      </c>
      <c r="CR21" s="744">
        <f ca="1">CM21+COUNTIFS($CN$6:$CN$53,CN21,$CQ$6:CQ$53,"&gt;"&amp;CQ21,$BC$6:$BC$53,INDEX(T_Equipos[Grupo],MATCH(BD21,T_Equipos[NombreEquipo],0)))</f>
        <v>2</v>
      </c>
      <c r="CS21" s="743" t="str">
        <f ca="1">IF(COUNTIFS($CR$6:$CR$53,CR21,$BC$6:$BC$53,INDEX(T_Equipos[Grupo],MATCH(BD21,T_Equipos[NombreEquipo],0)))=1,"-","P."&amp;CR21&amp;" ("&amp;COUNTIFS($CR$6:$CR$53,CR21,$BC$6:$BC$53,INDEX(T_Equipos[Grupo],MATCH(BD21,T_Equipos[NombreEquipo],0)))&amp;")")</f>
        <v>P.2 (3)</v>
      </c>
      <c r="CT21" s="744">
        <f t="shared" ca="1" si="51"/>
        <v>0</v>
      </c>
      <c r="CU21" s="744">
        <f ca="1">CR21+COUNTIFS($CS$6:$CS$53,CS21,$CT$6:CT$53,"&gt;"&amp;CT21,$BC$6:$BC$53,INDEX(T_Equipos[Grupo],MATCH(BD21,T_Equipos[NombreEquipo],0)))</f>
        <v>2</v>
      </c>
      <c r="CV21" s="743" t="str">
        <f ca="1">IF(COUNTIFS($CU$6:$CU$53,CU21,$BC$6:$BC$53,INDEX(T_Equipos[Grupo],MATCH(BD21,T_Equipos[NombreEquipo],0)))=1,"-","P."&amp;CU21&amp;" ("&amp;COUNTIFS($CU$6:$CU$53,CU21,$BC$6:$BC$53,INDEX(T_Equipos[Grupo],MATCH(BD21,T_Equipos[NombreEquipo],0)))&amp;")")</f>
        <v>P.2 (3)</v>
      </c>
      <c r="CW21" s="743">
        <f t="shared" ca="1" si="30"/>
        <v>0</v>
      </c>
      <c r="CX21" s="743">
        <f ca="1">CU21+COUNTIFS($CV$6:$CV$53,CV21,$CW$6:CW$53,"&gt;"&amp;CW21,$BC$6:$BC$53,INDEX(T_Equipos[Grupo],MATCH(BD21,T_Equipos[NombreEquipo],0)))</f>
        <v>2</v>
      </c>
      <c r="CY21" s="743" t="str">
        <f ca="1">IF(COUNTIFS($CX$6:$CX$53,CX21,$BC$6:$BC$53,INDEX(T_Equipos[Grupo],MATCH(BD21,T_Equipos[NombreEquipo],0)))=1,"-","P."&amp;CX21&amp;" ("&amp;COUNTIFS($CX$6:$CX$53,CX21,$BC$6:$BC$53,INDEX(T_Equipos[Grupo],MATCH(BD21,T_Equipos[NombreEquipo],0)))&amp;")")</f>
        <v>P.2 (2)</v>
      </c>
      <c r="CZ21" s="743">
        <f t="shared" ca="1" si="31"/>
        <v>0</v>
      </c>
      <c r="DA21" s="744">
        <f ca="1">CX21+COUNTIFS($CY$6:$CY$53,CY21,$CZ$6:CZ$53,"&gt;"&amp;CZ21,$BC$6:$BC$53,INDEX(T_Equipos[Grupo],MATCH(BD21,T_Equipos[NombreEquipo],0)))</f>
        <v>2</v>
      </c>
      <c r="DB21" s="743" t="str">
        <f ca="1">IF(COUNTIFS($DA$6:$DA$53,DA21,$BC$6:$BC$53,INDEX(T_Equipos[Grupo],MATCH(BD21,T_Equipos[NombreEquipo],0)))=1,"-","P."&amp;DA21&amp;" ("&amp;COUNTIFS($DA$6:$DA$53,DA21,$BC$6:$BC$53,INDEX(T_Equipos[Grupo],MATCH(BD21,T_Equipos[NombreEquipo],0)))&amp;")")</f>
        <v>P.2 (2)</v>
      </c>
      <c r="DC21" s="742">
        <f ca="1">IF(DB21="-","-",COUNTIFS(T_Equipos[Rank],"&lt;"&amp;INDEX(T_Equipos[Rank],MATCH(BD21,T_Equipos[NombreEquipo],0)),$BC$6:$BC$53,INDEX(T_Equipos[Grupo],MATCH(BD21,T_Equipos[NombreEquipo],0)))+1)</f>
        <v>4</v>
      </c>
      <c r="DD21" s="742">
        <f ca="1">DA21+COUNTIFS($DB$6:$DB$53,DB21,$DC$6:DC$53,"&lt;"&amp;DC21,$BC$6:$BC$53,INDEX(T_Equipos[Grupo],MATCH(BD21,T_Equipos[NombreEquipo],0)))</f>
        <v>3</v>
      </c>
      <c r="DE21" s="742"/>
      <c r="DF21" s="742">
        <f t="shared" ca="1" si="52"/>
        <v>3</v>
      </c>
      <c r="DG21" s="742">
        <f ca="1">IF(DB21="-","-",COUNTIFS(DF$6:DF$53,"&lt;"&amp;DF21,$BC$6:$BC$53,INDEX(T_Equipos[Grupo],MATCH(BD21,T_Equipos[NombreEquipo],0))))</f>
        <v>2</v>
      </c>
      <c r="DH21" s="742">
        <f ca="1">DA21+COUNTIFS(DB$6:DB$53,DB21,DG$6:DG$53,"&lt;"&amp;DG21,$BC$6:$BC$53,INDEX(T_Equipos[Grupo],MATCH(BD21,T_Equipos[NombreEquipo],0)))</f>
        <v>3</v>
      </c>
      <c r="DI21" s="730"/>
      <c r="DJ21" s="730">
        <f t="shared" ca="1" si="53"/>
        <v>4</v>
      </c>
      <c r="DK21" s="730">
        <f t="shared" ca="1" si="24"/>
        <v>2</v>
      </c>
      <c r="DL21" s="730">
        <f t="shared" ca="1" si="33"/>
        <v>1</v>
      </c>
      <c r="DM21" s="724" t="str">
        <f t="shared" ca="1" si="34"/>
        <v>4.1</v>
      </c>
      <c r="DN21" s="730" cm="1">
        <f t="array" aca="1" ref="DN21" ca="1">OFFSET(Horarios!$P$3,DJ21-1,0,DL21,1)</f>
        <v>4</v>
      </c>
      <c r="DO21" s="730"/>
      <c r="DP21" s="730" t="s">
        <v>660</v>
      </c>
      <c r="DQ21" s="730" t="str">
        <f t="shared" ca="1" si="35"/>
        <v>Paraguay</v>
      </c>
      <c r="DR21" s="730"/>
      <c r="DS21" s="730"/>
      <c r="DT21" s="730" t="str">
        <f t="shared" ca="1" si="15"/>
        <v>Haití-Escocia</v>
      </c>
      <c r="DU21" s="730"/>
      <c r="DV21" s="730"/>
      <c r="DW21" s="8"/>
    </row>
    <row r="22" spans="1:127" ht="16.05" customHeight="1">
      <c r="A22" s="731" t="str">
        <f ca="1">+Equipos!B11</f>
        <v>Marruecos</v>
      </c>
      <c r="B22" s="728"/>
      <c r="C22" s="732"/>
      <c r="D22" s="730" t="str">
        <f t="shared" si="73"/>
        <v>Pendiente</v>
      </c>
      <c r="E22" s="730" t="str">
        <f t="shared" si="74"/>
        <v>-</v>
      </c>
      <c r="F22" s="730" t="str">
        <f t="shared" si="75"/>
        <v>-</v>
      </c>
      <c r="G22" s="730"/>
      <c r="H22" s="730" t="str">
        <f t="shared" si="76"/>
        <v>-</v>
      </c>
      <c r="I22" s="730" t="str">
        <f t="shared" si="77"/>
        <v>-</v>
      </c>
      <c r="J22" s="730"/>
      <c r="K22" s="730" t="str">
        <f t="shared" si="78"/>
        <v>-</v>
      </c>
      <c r="L22" s="730" t="str">
        <f t="shared" si="79"/>
        <v>-</v>
      </c>
      <c r="M22" s="730"/>
      <c r="N22" s="730" t="str">
        <f t="shared" si="80"/>
        <v>-</v>
      </c>
      <c r="O22" s="730" t="str">
        <f t="shared" si="81"/>
        <v>-</v>
      </c>
      <c r="P22" s="730"/>
      <c r="Q22" s="730" t="str">
        <f t="shared" si="82"/>
        <v>-</v>
      </c>
      <c r="R22" s="730" t="str">
        <f t="shared" si="83"/>
        <v>-</v>
      </c>
      <c r="S22" s="730"/>
      <c r="T22" s="730" t="str">
        <f t="shared" si="84"/>
        <v>-</v>
      </c>
      <c r="U22" s="730" t="str">
        <f t="shared" si="85"/>
        <v>-</v>
      </c>
      <c r="V22" s="170"/>
      <c r="W22" s="858"/>
      <c r="X22" s="187">
        <f ca="1">Horarios!C22</f>
        <v>46192.75</v>
      </c>
      <c r="Y22" s="188">
        <f ca="1">Horarios!C22</f>
        <v>46192.75</v>
      </c>
      <c r="Z22" s="189" t="str">
        <f>$Z$6</f>
        <v>J2</v>
      </c>
      <c r="AA22" s="190" t="str">
        <f ca="1">A24</f>
        <v>Escocia</v>
      </c>
      <c r="AB22" s="475" t="e" cm="1" vm="12">
        <f t="array" aca="1" ref="AB22" ca="1">Ver_flag_local</f>
        <v>#VALUE!</v>
      </c>
      <c r="AC22" s="191"/>
      <c r="AD22" s="192"/>
      <c r="AE22" s="480" t="e" cm="1" vm="10">
        <f t="array" aca="1" ref="AE22" ca="1">Ver_flag_visit</f>
        <v>#VALUE!</v>
      </c>
      <c r="AF22" s="193" t="str">
        <f ca="1">A22</f>
        <v>Marruecos</v>
      </c>
      <c r="AG22" s="411">
        <f t="shared" si="86"/>
        <v>0</v>
      </c>
      <c r="AH22" s="194">
        <v>30</v>
      </c>
      <c r="AI22" s="19" t="str">
        <f>AJ22&amp;$B$20</f>
        <v>1C</v>
      </c>
      <c r="AJ22" s="209">
        <v>1</v>
      </c>
      <c r="AK22" s="485" t="e" cm="1" vm="9">
        <f t="array" aca="1" ref="AK22" ca="1">Ver_flag_visit</f>
        <v>#VALUE!</v>
      </c>
      <c r="AL22" s="210" t="str">
        <f ca="1">IFERROR(INDEX($BD$6:$BD$53,MATCH(AI22,$BN$6:$BN$53,0)),"")</f>
        <v>Brasil</v>
      </c>
      <c r="AM22" s="211">
        <f t="shared" ref="AM22:AT25" ca="1" si="90">INDEX($BE$6:$BN$53,MATCH($AL22,$BD$6:$BD$53,0),MATCH(AM$5,$BE$5:$BN$5,0))</f>
        <v>0</v>
      </c>
      <c r="AN22" s="212">
        <f t="shared" ca="1" si="90"/>
        <v>0</v>
      </c>
      <c r="AO22" s="212">
        <f t="shared" ca="1" si="90"/>
        <v>0</v>
      </c>
      <c r="AP22" s="212">
        <f t="shared" ca="1" si="90"/>
        <v>0</v>
      </c>
      <c r="AQ22" s="212">
        <f t="shared" ca="1" si="90"/>
        <v>0</v>
      </c>
      <c r="AR22" s="212">
        <f t="shared" ca="1" si="90"/>
        <v>0</v>
      </c>
      <c r="AS22" s="212">
        <f t="shared" ca="1" si="90"/>
        <v>0</v>
      </c>
      <c r="AT22" s="213">
        <f t="shared" ca="1" si="90"/>
        <v>0</v>
      </c>
      <c r="AU22" s="418">
        <f ca="1">INDEX($DL$6:$DL$53,MATCH(AI22,$DP$6:$DP$53,0))</f>
        <v>1</v>
      </c>
      <c r="AV22" s="215" t="str">
        <f ca="1">INDEX($BD$6:$BD$53,MATCH(AI22,$BM$6:$BM$53,0))</f>
        <v>Brasil</v>
      </c>
      <c r="AW22" s="425"/>
      <c r="AX22" s="216"/>
      <c r="AY22" s="217" t="str">
        <f ca="1">+A21</f>
        <v>Brasil</v>
      </c>
      <c r="AZ22" s="218"/>
      <c r="BA22" s="173"/>
      <c r="BB22" s="730"/>
      <c r="BC22" s="742" t="str">
        <f ca="1">+INDEX(T_Equipos[Grupo],MATCH(WORLDCUP!BD22,T_Equipos[NombreEquipo],0))</f>
        <v>E</v>
      </c>
      <c r="BD22" s="730" t="str">
        <f ca="1">+Equipos!B18</f>
        <v>Alemania</v>
      </c>
      <c r="BE22" s="734">
        <f t="shared" ca="1" si="25"/>
        <v>0</v>
      </c>
      <c r="BF22" s="734">
        <f t="shared" ca="1" si="26"/>
        <v>0</v>
      </c>
      <c r="BG22" s="734">
        <f t="shared" ca="1" si="17"/>
        <v>0</v>
      </c>
      <c r="BH22" s="734">
        <f t="shared" ca="1" si="18"/>
        <v>0</v>
      </c>
      <c r="BI22" s="734">
        <f t="shared" ca="1" si="19"/>
        <v>0</v>
      </c>
      <c r="BJ22" s="734">
        <f t="shared" ca="1" si="20"/>
        <v>0</v>
      </c>
      <c r="BK22" s="734">
        <f t="shared" ca="1" si="21"/>
        <v>0</v>
      </c>
      <c r="BL22" s="734">
        <f t="shared" ca="1" si="27"/>
        <v>0</v>
      </c>
      <c r="BM22" s="734" t="str">
        <f t="shared" ca="1" si="22"/>
        <v>1E</v>
      </c>
      <c r="BN22" s="734" t="str">
        <f t="shared" ca="1" si="23"/>
        <v>1E</v>
      </c>
      <c r="BO22" s="743">
        <f t="shared" ca="1" si="28"/>
        <v>0</v>
      </c>
      <c r="BP22" s="743">
        <f ca="1">COUNTIFS($BO$6:$BO$53,"&gt;"&amp;BO22,$BC$6:$BC$53,INDEX(T_Equipos[Grupo],MATCH(BD22,T_Equipos[NombreEquipo],0)))+1</f>
        <v>1</v>
      </c>
      <c r="BQ22" s="743" t="str">
        <f ca="1">IF(COUNTIFS($BP$6:$BP$53,BP22,$BC$6:$BC$53,INDEX(T_Equipos[Grupo],MATCH(BD22,T_Equipos[NombreEquipo],0)))=1,"-","P."&amp;BP22&amp;" ("&amp;COUNTIFS($BP$6:$BP$53,BP22,$BC$6:$BC$53,INDEX(T_Equipos[Grupo],MATCH(BD22,T_Equipos[NombreEquipo],0)))&amp;")")</f>
        <v>P.1 (4)</v>
      </c>
      <c r="BR22" s="743">
        <f t="shared" ca="1" si="29"/>
        <v>0</v>
      </c>
      <c r="BS22" s="743">
        <f ca="1">BP22+COUNTIFS($BQ$6:$BQ$53,BQ22,$BR$6:BR$53,"&gt;"&amp;BR22,$BC$6:$BC$53,INDEX(T_Equipos[Grupo],MATCH(BD22,T_Equipos[NombreEquipo],0)))</f>
        <v>1</v>
      </c>
      <c r="BT22" s="743" t="str">
        <f ca="1">IF(COUNTIFS($BS$6:$BS$53,BS22,$BC$6:$BC$53,INDEX(T_Equipos[Grupo],MATCH(BD22,T_Equipos[NombreEquipo],0)))=1,"-","P."&amp;BS22&amp;" ("&amp;COUNTIFS($BS$6:$BS$53,BS22,$BC$6:$BC$53,INDEX(T_Equipos[Grupo],MATCH(BD22,T_Equipos[NombreEquipo],0)))&amp;")")</f>
        <v>P.1 (4)</v>
      </c>
      <c r="BU22" s="744">
        <f t="shared" ca="1" si="36"/>
        <v>0</v>
      </c>
      <c r="BV22" s="744">
        <f t="shared" ca="1" si="37"/>
        <v>0</v>
      </c>
      <c r="BW22" s="744">
        <f t="shared" ca="1" si="38"/>
        <v>0</v>
      </c>
      <c r="BX22" s="744">
        <f t="shared" ca="1" si="39"/>
        <v>0</v>
      </c>
      <c r="BY22" s="744">
        <f ca="1">BS22+COUNTIFS($BT$6:$BT$53,BT22,$BX$6:BX$53,"&gt;"&amp;BX22,$BC$6:$BC$53,INDEX(T_Equipos[Grupo],MATCH(BD22,T_Equipos[NombreEquipo],0)))</f>
        <v>1</v>
      </c>
      <c r="BZ22" s="743" t="str">
        <f ca="1">IF(COUNTIFS($BY$6:$BY$53,BY22,$BC$6:$BC$53,INDEX(T_Equipos[Grupo],MATCH(BD22,T_Equipos[NombreEquipo],0)))=1,"-","P."&amp;BY22&amp;" ("&amp;COUNTIFS($BY$6:$BY$53,BY22,$BC$6:$BC$53,INDEX(T_Equipos[Grupo],MATCH(BD22,T_Equipos[NombreEquipo],0)))&amp;")")</f>
        <v>P.1 (4)</v>
      </c>
      <c r="CA22" s="744">
        <f t="shared" ca="1" si="40"/>
        <v>0</v>
      </c>
      <c r="CB22" s="744">
        <f t="shared" ca="1" si="41"/>
        <v>0</v>
      </c>
      <c r="CC22" s="744">
        <f t="shared" ca="1" si="42"/>
        <v>0</v>
      </c>
      <c r="CD22" s="744">
        <f ca="1">BY22+COUNTIFS($BZ$6:$BZ$53,BZ22,$CC$6:CC$53,"&gt;"&amp;CC22,$BC$6:$BC$53,INDEX(T_Equipos[Grupo],MATCH(BD22,T_Equipos[NombreEquipo],0)))</f>
        <v>1</v>
      </c>
      <c r="CE22" s="743" t="str">
        <f ca="1">IF(COUNTIFS($CD$6:$CD$53,CD22,$BC$6:$BC$53,INDEX(T_Equipos[Grupo],MATCH(BD22,T_Equipos[NombreEquipo],0)))=1,"-","P."&amp;CD22&amp;" ("&amp;COUNTIFS($CD$6:$CD$53,CD22,$BC$6:$BC$53,INDEX(T_Equipos[Grupo],MATCH(BD22,T_Equipos[NombreEquipo],0)))&amp;")")</f>
        <v>P.1 (4)</v>
      </c>
      <c r="CF22" s="744">
        <f t="shared" ca="1" si="43"/>
        <v>0</v>
      </c>
      <c r="CG22" s="744">
        <f ca="1">CD22+COUNTIFS($CE$6:$CE$53,CE22,$CF$6:CF$53,"&gt;"&amp;CF22,$BC$6:$BC$53,INDEX(T_Equipos[Grupo],MATCH(BD22,T_Equipos[NombreEquipo],0)))</f>
        <v>1</v>
      </c>
      <c r="CH22" s="743" t="str">
        <f ca="1">IF(COUNTIFS($CG$6:$CG$53,CG22,$BC$6:$BC$53,INDEX(T_Equipos[Grupo],MATCH(BD22,T_Equipos[NombreEquipo],0)))=1,"-","P."&amp;CG22&amp;" ("&amp;COUNTIFS($CG$6:$CG$53,CG22,$BC$6:$BC$53,INDEX(T_Equipos[Grupo],MATCH(BD22,T_Equipos[NombreEquipo],0)))&amp;")")</f>
        <v>P.1 (4)</v>
      </c>
      <c r="CI22" s="744">
        <f t="shared" ca="1" si="44"/>
        <v>0</v>
      </c>
      <c r="CJ22" s="744">
        <f t="shared" ca="1" si="45"/>
        <v>0</v>
      </c>
      <c r="CK22" s="744">
        <f t="shared" ca="1" si="46"/>
        <v>0</v>
      </c>
      <c r="CL22" s="744">
        <f t="shared" ca="1" si="47"/>
        <v>0</v>
      </c>
      <c r="CM22" s="744">
        <f ca="1">CG22+COUNTIFS($CH$6:$CH$53,CH22,$CL$6:CL$53,"&gt;"&amp;CL22,$BC$6:$BC$53,INDEX(T_Equipos[Grupo],MATCH(BD22,T_Equipos[NombreEquipo],0)))</f>
        <v>1</v>
      </c>
      <c r="CN22" s="743" t="str">
        <f ca="1">IF(COUNTIFS($CM$6:$CM$53,CM22,$BC$6:$BC$53,INDEX(T_Equipos[Grupo],MATCH(BD22,T_Equipos[NombreEquipo],0)))=1,"-","P."&amp;CM22&amp;" ("&amp;COUNTIFS($CM$6:$CM$53,CM22,$BC$6:$BC$53,INDEX(T_Equipos[Grupo],MATCH(BD22,T_Equipos[NombreEquipo],0)))&amp;")")</f>
        <v>P.1 (4)</v>
      </c>
      <c r="CO22" s="744">
        <f t="shared" ca="1" si="48"/>
        <v>0</v>
      </c>
      <c r="CP22" s="744">
        <f t="shared" ca="1" si="49"/>
        <v>0</v>
      </c>
      <c r="CQ22" s="744">
        <f t="shared" ca="1" si="50"/>
        <v>0</v>
      </c>
      <c r="CR22" s="744">
        <f ca="1">CM22+COUNTIFS($CN$6:$CN$53,CN22,$CQ$6:CQ$53,"&gt;"&amp;CQ22,$BC$6:$BC$53,INDEX(T_Equipos[Grupo],MATCH(BD22,T_Equipos[NombreEquipo],0)))</f>
        <v>1</v>
      </c>
      <c r="CS22" s="743" t="str">
        <f ca="1">IF(COUNTIFS($CR$6:$CR$53,CR22,$BC$6:$BC$53,INDEX(T_Equipos[Grupo],MATCH(BD22,T_Equipos[NombreEquipo],0)))=1,"-","P."&amp;CR22&amp;" ("&amp;COUNTIFS($CR$6:$CR$53,CR22,$BC$6:$BC$53,INDEX(T_Equipos[Grupo],MATCH(BD22,T_Equipos[NombreEquipo],0)))&amp;")")</f>
        <v>P.1 (4)</v>
      </c>
      <c r="CT22" s="744">
        <f t="shared" ca="1" si="51"/>
        <v>0</v>
      </c>
      <c r="CU22" s="744">
        <f ca="1">CR22+COUNTIFS($CS$6:$CS$53,CS22,$CT$6:CT$53,"&gt;"&amp;CT22,$BC$6:$BC$53,INDEX(T_Equipos[Grupo],MATCH(BD22,T_Equipos[NombreEquipo],0)))</f>
        <v>1</v>
      </c>
      <c r="CV22" s="743" t="str">
        <f ca="1">IF(COUNTIFS($CU$6:$CU$53,CU22,$BC$6:$BC$53,INDEX(T_Equipos[Grupo],MATCH(BD22,T_Equipos[NombreEquipo],0)))=1,"-","P."&amp;CU22&amp;" ("&amp;COUNTIFS($CU$6:$CU$53,CU22,$BC$6:$BC$53,INDEX(T_Equipos[Grupo],MATCH(BD22,T_Equipos[NombreEquipo],0)))&amp;")")</f>
        <v>P.1 (4)</v>
      </c>
      <c r="CW22" s="743">
        <f t="shared" ca="1" si="30"/>
        <v>0</v>
      </c>
      <c r="CX22" s="743">
        <f ca="1">CU22+COUNTIFS($CV$6:$CV$53,CV22,$CW$6:CW$53,"&gt;"&amp;CW22,$BC$6:$BC$53,INDEX(T_Equipos[Grupo],MATCH(BD22,T_Equipos[NombreEquipo],0)))</f>
        <v>1</v>
      </c>
      <c r="CY22" s="743" t="str">
        <f ca="1">IF(COUNTIFS($CX$6:$CX$53,CX22,$BC$6:$BC$53,INDEX(T_Equipos[Grupo],MATCH(BD22,T_Equipos[NombreEquipo],0)))=1,"-","P."&amp;CX22&amp;" ("&amp;COUNTIFS($CX$6:$CX$53,CX22,$BC$6:$BC$53,INDEX(T_Equipos[Grupo],MATCH(BD22,T_Equipos[NombreEquipo],0)))&amp;")")</f>
        <v>P.1 (4)</v>
      </c>
      <c r="CZ22" s="743">
        <f t="shared" ca="1" si="31"/>
        <v>0</v>
      </c>
      <c r="DA22" s="744">
        <f ca="1">CX22+COUNTIFS($CY$6:$CY$53,CY22,$CZ$6:CZ$53,"&gt;"&amp;CZ22,$BC$6:$BC$53,INDEX(T_Equipos[Grupo],MATCH(BD22,T_Equipos[NombreEquipo],0)))</f>
        <v>1</v>
      </c>
      <c r="DB22" s="743" t="str">
        <f ca="1">IF(COUNTIFS($DA$6:$DA$53,DA22,$BC$6:$BC$53,INDEX(T_Equipos[Grupo],MATCH(BD22,T_Equipos[NombreEquipo],0)))=1,"-","P."&amp;DA22&amp;" ("&amp;COUNTIFS($DA$6:$DA$53,DA22,$BC$6:$BC$53,INDEX(T_Equipos[Grupo],MATCH(BD22,T_Equipos[NombreEquipo],0)))&amp;")")</f>
        <v>P.1 (4)</v>
      </c>
      <c r="DC22" s="742">
        <f ca="1">IF(DB22="-","-",COUNTIFS(T_Equipos[Rank],"&lt;"&amp;INDEX(T_Equipos[Rank],MATCH(BD22,T_Equipos[NombreEquipo],0)),$BC$6:$BC$53,INDEX(T_Equipos[Grupo],MATCH(BD22,T_Equipos[NombreEquipo],0)))+1)</f>
        <v>1</v>
      </c>
      <c r="DD22" s="742">
        <f ca="1">DA22+COUNTIFS($DB$6:$DB$53,DB22,$DC$6:DC$53,"&lt;"&amp;DC22,$BC$6:$BC$53,INDEX(T_Equipos[Grupo],MATCH(BD22,T_Equipos[NombreEquipo],0)))</f>
        <v>1</v>
      </c>
      <c r="DE22" s="742"/>
      <c r="DF22" s="742">
        <f t="shared" ca="1" si="52"/>
        <v>1</v>
      </c>
      <c r="DG22" s="742">
        <f ca="1">IF(DB22="-","-",COUNTIFS(DF$6:DF$53,"&lt;"&amp;DF22,$BC$6:$BC$53,INDEX(T_Equipos[Grupo],MATCH(BD22,T_Equipos[NombreEquipo],0))))</f>
        <v>0</v>
      </c>
      <c r="DH22" s="742">
        <f ca="1">DA22+COUNTIFS(DB$6:DB$53,DB22,DG$6:DG$53,"&lt;"&amp;DG22,$BC$6:$BC$53,INDEX(T_Equipos[Grupo],MATCH(BD22,T_Equipos[NombreEquipo],0)))</f>
        <v>1</v>
      </c>
      <c r="DI22" s="730"/>
      <c r="DJ22" s="730">
        <f t="shared" ca="1" si="53"/>
        <v>1</v>
      </c>
      <c r="DK22" s="730">
        <f t="shared" ca="1" si="24"/>
        <v>0</v>
      </c>
      <c r="DL22" s="730">
        <f t="shared" ca="1" si="33"/>
        <v>1</v>
      </c>
      <c r="DM22" s="724" t="str">
        <f t="shared" ca="1" si="34"/>
        <v>1.1</v>
      </c>
      <c r="DN22" s="730" cm="1">
        <f t="array" aca="1" ref="DN22" ca="1">OFFSET(Horarios!$P$3,DJ22-1,0,DL22,1)</f>
        <v>1</v>
      </c>
      <c r="DO22" s="730"/>
      <c r="DP22" s="730" t="s">
        <v>661</v>
      </c>
      <c r="DQ22" s="730" t="str">
        <f t="shared" ca="1" si="35"/>
        <v>Alemania</v>
      </c>
      <c r="DR22" s="730"/>
      <c r="DS22" s="730"/>
      <c r="DT22" s="730" t="str">
        <f t="shared" ca="1" si="15"/>
        <v>Escocia-Marruecos</v>
      </c>
      <c r="DU22" s="730"/>
      <c r="DV22" s="730"/>
      <c r="DW22" s="8"/>
    </row>
    <row r="23" spans="1:127" ht="16.05" customHeight="1">
      <c r="A23" s="731" t="str">
        <f ca="1">+Equipos!B12</f>
        <v>Haití</v>
      </c>
      <c r="B23" s="728"/>
      <c r="C23" s="730"/>
      <c r="D23" s="730" t="str">
        <f t="shared" si="73"/>
        <v>Pendiente</v>
      </c>
      <c r="E23" s="730" t="str">
        <f t="shared" si="74"/>
        <v>-</v>
      </c>
      <c r="F23" s="730" t="str">
        <f t="shared" si="75"/>
        <v>-</v>
      </c>
      <c r="G23" s="730"/>
      <c r="H23" s="730" t="str">
        <f t="shared" si="76"/>
        <v>-</v>
      </c>
      <c r="I23" s="730" t="str">
        <f t="shared" si="77"/>
        <v>-</v>
      </c>
      <c r="J23" s="730"/>
      <c r="K23" s="730" t="str">
        <f t="shared" si="78"/>
        <v>-</v>
      </c>
      <c r="L23" s="730" t="str">
        <f t="shared" si="79"/>
        <v>-</v>
      </c>
      <c r="M23" s="730"/>
      <c r="N23" s="730" t="str">
        <f t="shared" si="80"/>
        <v>-</v>
      </c>
      <c r="O23" s="730" t="str">
        <f t="shared" si="81"/>
        <v>-</v>
      </c>
      <c r="P23" s="730"/>
      <c r="Q23" s="730" t="str">
        <f t="shared" si="82"/>
        <v>-</v>
      </c>
      <c r="R23" s="730" t="str">
        <f t="shared" si="83"/>
        <v>-</v>
      </c>
      <c r="S23" s="730"/>
      <c r="T23" s="730" t="str">
        <f t="shared" si="84"/>
        <v>-</v>
      </c>
      <c r="U23" s="730" t="str">
        <f t="shared" si="85"/>
        <v>-</v>
      </c>
      <c r="V23" s="170"/>
      <c r="W23" s="858"/>
      <c r="X23" s="187">
        <f ca="1">Horarios!C23</f>
        <v>46192.854166666664</v>
      </c>
      <c r="Y23" s="188">
        <f ca="1">Horarios!C23</f>
        <v>46192.854166666664</v>
      </c>
      <c r="Z23" s="189" t="str">
        <f>$Z$6</f>
        <v>J2</v>
      </c>
      <c r="AA23" s="190" t="str">
        <f ca="1">A21</f>
        <v>Brasil</v>
      </c>
      <c r="AB23" s="475" t="e" cm="1" vm="9">
        <f t="array" aca="1" ref="AB23" ca="1">Ver_flag_local</f>
        <v>#VALUE!</v>
      </c>
      <c r="AC23" s="191"/>
      <c r="AD23" s="192"/>
      <c r="AE23" s="480" t="e" cm="1" vm="11">
        <f t="array" aca="1" ref="AE23" ca="1">Ver_flag_visit</f>
        <v>#VALUE!</v>
      </c>
      <c r="AF23" s="193" t="str">
        <f ca="1">A23</f>
        <v>Haití</v>
      </c>
      <c r="AG23" s="411">
        <f t="shared" si="86"/>
        <v>0</v>
      </c>
      <c r="AH23" s="194">
        <v>29</v>
      </c>
      <c r="AI23" s="19" t="str">
        <f t="shared" ref="AI23:AI25" si="91">AJ23&amp;$B$20</f>
        <v>2C</v>
      </c>
      <c r="AJ23" s="219">
        <v>2</v>
      </c>
      <c r="AK23" s="483" t="e" cm="1" vm="10">
        <f t="array" aca="1" ref="AK23" ca="1">Ver_flag_visit</f>
        <v>#VALUE!</v>
      </c>
      <c r="AL23" s="220" t="str">
        <f ca="1">IFERROR(INDEX($BD$6:$BD$53,MATCH(AI23,$BN$6:$BN$53,0)),"")</f>
        <v>Marruecos</v>
      </c>
      <c r="AM23" s="221">
        <f t="shared" ca="1" si="90"/>
        <v>0</v>
      </c>
      <c r="AN23" s="222">
        <f t="shared" ca="1" si="90"/>
        <v>0</v>
      </c>
      <c r="AO23" s="222">
        <f t="shared" ca="1" si="90"/>
        <v>0</v>
      </c>
      <c r="AP23" s="222">
        <f t="shared" ca="1" si="90"/>
        <v>0</v>
      </c>
      <c r="AQ23" s="222">
        <f t="shared" ca="1" si="90"/>
        <v>0</v>
      </c>
      <c r="AR23" s="222">
        <f t="shared" ca="1" si="90"/>
        <v>0</v>
      </c>
      <c r="AS23" s="222">
        <f t="shared" ca="1" si="90"/>
        <v>0</v>
      </c>
      <c r="AT23" s="223">
        <f t="shared" ca="1" si="90"/>
        <v>0</v>
      </c>
      <c r="AU23" s="418">
        <f ca="1">INDEX($DL$6:$DL$53,MATCH(AI23,$DP$6:$DP$53,0))</f>
        <v>1</v>
      </c>
      <c r="AV23" s="215" t="str">
        <f ca="1">INDEX($BD$6:$BD$53,MATCH(AI23,$BM$6:$BM$53,0))</f>
        <v>Marruecos</v>
      </c>
      <c r="AW23" s="425"/>
      <c r="AX23" s="216"/>
      <c r="AY23" s="224" t="str">
        <f ca="1">+A22</f>
        <v>Marruecos</v>
      </c>
      <c r="AZ23" s="225"/>
      <c r="BA23" s="173"/>
      <c r="BB23" s="730"/>
      <c r="BC23" s="742" t="str">
        <f ca="1">+INDEX(T_Equipos[Grupo],MATCH(WORLDCUP!BD23,T_Equipos[NombreEquipo],0))</f>
        <v>E</v>
      </c>
      <c r="BD23" s="730" t="str">
        <f ca="1">+Equipos!B19</f>
        <v>Curazao</v>
      </c>
      <c r="BE23" s="734">
        <f t="shared" ca="1" si="25"/>
        <v>0</v>
      </c>
      <c r="BF23" s="734">
        <f t="shared" ca="1" si="26"/>
        <v>0</v>
      </c>
      <c r="BG23" s="734">
        <f t="shared" ca="1" si="17"/>
        <v>0</v>
      </c>
      <c r="BH23" s="734">
        <f t="shared" ca="1" si="18"/>
        <v>0</v>
      </c>
      <c r="BI23" s="734">
        <f t="shared" ca="1" si="19"/>
        <v>0</v>
      </c>
      <c r="BJ23" s="734">
        <f t="shared" ca="1" si="20"/>
        <v>0</v>
      </c>
      <c r="BK23" s="734">
        <f t="shared" ca="1" si="21"/>
        <v>0</v>
      </c>
      <c r="BL23" s="734">
        <f t="shared" ca="1" si="27"/>
        <v>0</v>
      </c>
      <c r="BM23" s="734" t="str">
        <f t="shared" ca="1" si="22"/>
        <v>2E</v>
      </c>
      <c r="BN23" s="734" t="str">
        <f t="shared" ca="1" si="23"/>
        <v>2E</v>
      </c>
      <c r="BO23" s="743">
        <f t="shared" ca="1" si="28"/>
        <v>0</v>
      </c>
      <c r="BP23" s="743">
        <f ca="1">COUNTIFS($BO$6:$BO$53,"&gt;"&amp;BO23,$BC$6:$BC$53,INDEX(T_Equipos[Grupo],MATCH(BD23,T_Equipos[NombreEquipo],0)))+1</f>
        <v>1</v>
      </c>
      <c r="BQ23" s="743" t="str">
        <f ca="1">IF(COUNTIFS($BP$6:$BP$53,BP23,$BC$6:$BC$53,INDEX(T_Equipos[Grupo],MATCH(BD23,T_Equipos[NombreEquipo],0)))=1,"-","P."&amp;BP23&amp;" ("&amp;COUNTIFS($BP$6:$BP$53,BP23,$BC$6:$BC$53,INDEX(T_Equipos[Grupo],MATCH(BD23,T_Equipos[NombreEquipo],0)))&amp;")")</f>
        <v>P.1 (4)</v>
      </c>
      <c r="BR23" s="743">
        <f t="shared" ca="1" si="29"/>
        <v>0</v>
      </c>
      <c r="BS23" s="743">
        <f ca="1">BP23+COUNTIFS($BQ$6:$BQ$53,BQ23,$BR$6:BR$53,"&gt;"&amp;BR23,$BC$6:$BC$53,INDEX(T_Equipos[Grupo],MATCH(BD23,T_Equipos[NombreEquipo],0)))</f>
        <v>1</v>
      </c>
      <c r="BT23" s="743" t="str">
        <f ca="1">IF(COUNTIFS($BS$6:$BS$53,BS23,$BC$6:$BC$53,INDEX(T_Equipos[Grupo],MATCH(BD23,T_Equipos[NombreEquipo],0)))=1,"-","P."&amp;BS23&amp;" ("&amp;COUNTIFS($BS$6:$BS$53,BS23,$BC$6:$BC$53,INDEX(T_Equipos[Grupo],MATCH(BD23,T_Equipos[NombreEquipo],0)))&amp;")")</f>
        <v>P.1 (4)</v>
      </c>
      <c r="BU23" s="744">
        <f t="shared" ca="1" si="36"/>
        <v>0</v>
      </c>
      <c r="BV23" s="744">
        <f t="shared" ca="1" si="37"/>
        <v>0</v>
      </c>
      <c r="BW23" s="744">
        <f t="shared" ca="1" si="38"/>
        <v>0</v>
      </c>
      <c r="BX23" s="744">
        <f t="shared" ca="1" si="39"/>
        <v>0</v>
      </c>
      <c r="BY23" s="744">
        <f ca="1">BS23+COUNTIFS($BT$6:$BT$53,BT23,$BX$6:BX$53,"&gt;"&amp;BX23,$BC$6:$BC$53,INDEX(T_Equipos[Grupo],MATCH(BD23,T_Equipos[NombreEquipo],0)))</f>
        <v>1</v>
      </c>
      <c r="BZ23" s="743" t="str">
        <f ca="1">IF(COUNTIFS($BY$6:$BY$53,BY23,$BC$6:$BC$53,INDEX(T_Equipos[Grupo],MATCH(BD23,T_Equipos[NombreEquipo],0)))=1,"-","P."&amp;BY23&amp;" ("&amp;COUNTIFS($BY$6:$BY$53,BY23,$BC$6:$BC$53,INDEX(T_Equipos[Grupo],MATCH(BD23,T_Equipos[NombreEquipo],0)))&amp;")")</f>
        <v>P.1 (4)</v>
      </c>
      <c r="CA23" s="744">
        <f t="shared" ca="1" si="40"/>
        <v>0</v>
      </c>
      <c r="CB23" s="744">
        <f t="shared" ca="1" si="41"/>
        <v>0</v>
      </c>
      <c r="CC23" s="744">
        <f t="shared" ca="1" si="42"/>
        <v>0</v>
      </c>
      <c r="CD23" s="744">
        <f ca="1">BY23+COUNTIFS($BZ$6:$BZ$53,BZ23,$CC$6:CC$53,"&gt;"&amp;CC23,$BC$6:$BC$53,INDEX(T_Equipos[Grupo],MATCH(BD23,T_Equipos[NombreEquipo],0)))</f>
        <v>1</v>
      </c>
      <c r="CE23" s="743" t="str">
        <f ca="1">IF(COUNTIFS($CD$6:$CD$53,CD23,$BC$6:$BC$53,INDEX(T_Equipos[Grupo],MATCH(BD23,T_Equipos[NombreEquipo],0)))=1,"-","P."&amp;CD23&amp;" ("&amp;COUNTIFS($CD$6:$CD$53,CD23,$BC$6:$BC$53,INDEX(T_Equipos[Grupo],MATCH(BD23,T_Equipos[NombreEquipo],0)))&amp;")")</f>
        <v>P.1 (4)</v>
      </c>
      <c r="CF23" s="744">
        <f t="shared" ca="1" si="43"/>
        <v>0</v>
      </c>
      <c r="CG23" s="744">
        <f ca="1">CD23+COUNTIFS($CE$6:$CE$53,CE23,$CF$6:CF$53,"&gt;"&amp;CF23,$BC$6:$BC$53,INDEX(T_Equipos[Grupo],MATCH(BD23,T_Equipos[NombreEquipo],0)))</f>
        <v>1</v>
      </c>
      <c r="CH23" s="743" t="str">
        <f ca="1">IF(COUNTIFS($CG$6:$CG$53,CG23,$BC$6:$BC$53,INDEX(T_Equipos[Grupo],MATCH(BD23,T_Equipos[NombreEquipo],0)))=1,"-","P."&amp;CG23&amp;" ("&amp;COUNTIFS($CG$6:$CG$53,CG23,$BC$6:$BC$53,INDEX(T_Equipos[Grupo],MATCH(BD23,T_Equipos[NombreEquipo],0)))&amp;")")</f>
        <v>P.1 (4)</v>
      </c>
      <c r="CI23" s="744">
        <f t="shared" ca="1" si="44"/>
        <v>0</v>
      </c>
      <c r="CJ23" s="744">
        <f t="shared" ca="1" si="45"/>
        <v>0</v>
      </c>
      <c r="CK23" s="744">
        <f t="shared" ca="1" si="46"/>
        <v>0</v>
      </c>
      <c r="CL23" s="744">
        <f t="shared" ca="1" si="47"/>
        <v>0</v>
      </c>
      <c r="CM23" s="744">
        <f ca="1">CG23+COUNTIFS($CH$6:$CH$53,CH23,$CL$6:CL$53,"&gt;"&amp;CL23,$BC$6:$BC$53,INDEX(T_Equipos[Grupo],MATCH(BD23,T_Equipos[NombreEquipo],0)))</f>
        <v>1</v>
      </c>
      <c r="CN23" s="743" t="str">
        <f ca="1">IF(COUNTIFS($CM$6:$CM$53,CM23,$BC$6:$BC$53,INDEX(T_Equipos[Grupo],MATCH(BD23,T_Equipos[NombreEquipo],0)))=1,"-","P."&amp;CM23&amp;" ("&amp;COUNTIFS($CM$6:$CM$53,CM23,$BC$6:$BC$53,INDEX(T_Equipos[Grupo],MATCH(BD23,T_Equipos[NombreEquipo],0)))&amp;")")</f>
        <v>P.1 (4)</v>
      </c>
      <c r="CO23" s="744">
        <f t="shared" ca="1" si="48"/>
        <v>0</v>
      </c>
      <c r="CP23" s="744">
        <f t="shared" ca="1" si="49"/>
        <v>0</v>
      </c>
      <c r="CQ23" s="744">
        <f t="shared" ca="1" si="50"/>
        <v>0</v>
      </c>
      <c r="CR23" s="744">
        <f ca="1">CM23+COUNTIFS($CN$6:$CN$53,CN23,$CQ$6:CQ$53,"&gt;"&amp;CQ23,$BC$6:$BC$53,INDEX(T_Equipos[Grupo],MATCH(BD23,T_Equipos[NombreEquipo],0)))</f>
        <v>1</v>
      </c>
      <c r="CS23" s="743" t="str">
        <f ca="1">IF(COUNTIFS($CR$6:$CR$53,CR23,$BC$6:$BC$53,INDEX(T_Equipos[Grupo],MATCH(BD23,T_Equipos[NombreEquipo],0)))=1,"-","P."&amp;CR23&amp;" ("&amp;COUNTIFS($CR$6:$CR$53,CR23,$BC$6:$BC$53,INDEX(T_Equipos[Grupo],MATCH(BD23,T_Equipos[NombreEquipo],0)))&amp;")")</f>
        <v>P.1 (4)</v>
      </c>
      <c r="CT23" s="744">
        <f t="shared" ca="1" si="51"/>
        <v>0</v>
      </c>
      <c r="CU23" s="744">
        <f ca="1">CR23+COUNTIFS($CS$6:$CS$53,CS23,$CT$6:CT$53,"&gt;"&amp;CT23,$BC$6:$BC$53,INDEX(T_Equipos[Grupo],MATCH(BD23,T_Equipos[NombreEquipo],0)))</f>
        <v>1</v>
      </c>
      <c r="CV23" s="743" t="str">
        <f ca="1">IF(COUNTIFS($CU$6:$CU$53,CU23,$BC$6:$BC$53,INDEX(T_Equipos[Grupo],MATCH(BD23,T_Equipos[NombreEquipo],0)))=1,"-","P."&amp;CU23&amp;" ("&amp;COUNTIFS($CU$6:$CU$53,CU23,$BC$6:$BC$53,INDEX(T_Equipos[Grupo],MATCH(BD23,T_Equipos[NombreEquipo],0)))&amp;")")</f>
        <v>P.1 (4)</v>
      </c>
      <c r="CW23" s="743">
        <f t="shared" ca="1" si="30"/>
        <v>0</v>
      </c>
      <c r="CX23" s="743">
        <f ca="1">CU23+COUNTIFS($CV$6:$CV$53,CV23,$CW$6:CW$53,"&gt;"&amp;CW23,$BC$6:$BC$53,INDEX(T_Equipos[Grupo],MATCH(BD23,T_Equipos[NombreEquipo],0)))</f>
        <v>1</v>
      </c>
      <c r="CY23" s="743" t="str">
        <f ca="1">IF(COUNTIFS($CX$6:$CX$53,CX23,$BC$6:$BC$53,INDEX(T_Equipos[Grupo],MATCH(BD23,T_Equipos[NombreEquipo],0)))=1,"-","P."&amp;CX23&amp;" ("&amp;COUNTIFS($CX$6:$CX$53,CX23,$BC$6:$BC$53,INDEX(T_Equipos[Grupo],MATCH(BD23,T_Equipos[NombreEquipo],0)))&amp;")")</f>
        <v>P.1 (4)</v>
      </c>
      <c r="CZ23" s="743">
        <f t="shared" ca="1" si="31"/>
        <v>0</v>
      </c>
      <c r="DA23" s="744">
        <f ca="1">CX23+COUNTIFS($CY$6:$CY$53,CY23,$CZ$6:CZ$53,"&gt;"&amp;CZ23,$BC$6:$BC$53,INDEX(T_Equipos[Grupo],MATCH(BD23,T_Equipos[NombreEquipo],0)))</f>
        <v>1</v>
      </c>
      <c r="DB23" s="743" t="str">
        <f ca="1">IF(COUNTIFS($DA$6:$DA$53,DA23,$BC$6:$BC$53,INDEX(T_Equipos[Grupo],MATCH(BD23,T_Equipos[NombreEquipo],0)))=1,"-","P."&amp;DA23&amp;" ("&amp;COUNTIFS($DA$6:$DA$53,DA23,$BC$6:$BC$53,INDEX(T_Equipos[Grupo],MATCH(BD23,T_Equipos[NombreEquipo],0)))&amp;")")</f>
        <v>P.1 (4)</v>
      </c>
      <c r="DC23" s="742">
        <f ca="1">IF(DB23="-","-",COUNTIFS(T_Equipos[Rank],"&lt;"&amp;INDEX(T_Equipos[Rank],MATCH(BD23,T_Equipos[NombreEquipo],0)),$BC$6:$BC$53,INDEX(T_Equipos[Grupo],MATCH(BD23,T_Equipos[NombreEquipo],0)))+1)</f>
        <v>2</v>
      </c>
      <c r="DD23" s="742">
        <f ca="1">DA23+COUNTIFS($DB$6:$DB$53,DB23,$DC$6:DC$53,"&lt;"&amp;DC23,$BC$6:$BC$53,INDEX(T_Equipos[Grupo],MATCH(BD23,T_Equipos[NombreEquipo],0)))</f>
        <v>2</v>
      </c>
      <c r="DE23" s="742"/>
      <c r="DF23" s="742">
        <f t="shared" ca="1" si="52"/>
        <v>2</v>
      </c>
      <c r="DG23" s="742">
        <f ca="1">IF(DB23="-","-",COUNTIFS(DF$6:DF$53,"&lt;"&amp;DF23,$BC$6:$BC$53,INDEX(T_Equipos[Grupo],MATCH(BD23,T_Equipos[NombreEquipo],0))))</f>
        <v>1</v>
      </c>
      <c r="DH23" s="742">
        <f ca="1">DA23+COUNTIFS(DB$6:DB$53,DB23,DG$6:DG$53,"&lt;"&amp;DG23,$BC$6:$BC$53,INDEX(T_Equipos[Grupo],MATCH(BD23,T_Equipos[NombreEquipo],0)))</f>
        <v>2</v>
      </c>
      <c r="DI23" s="730"/>
      <c r="DJ23" s="730">
        <f t="shared" ca="1" si="53"/>
        <v>1</v>
      </c>
      <c r="DK23" s="730">
        <f t="shared" ca="1" si="24"/>
        <v>0</v>
      </c>
      <c r="DL23" s="730">
        <f t="shared" ca="1" si="33"/>
        <v>1</v>
      </c>
      <c r="DM23" s="724" t="str">
        <f t="shared" ca="1" si="34"/>
        <v>1.1</v>
      </c>
      <c r="DN23" s="730" cm="1">
        <f t="array" aca="1" ref="DN23" ca="1">OFFSET(Horarios!$P$3,DJ23-1,0,DL23,1)</f>
        <v>1</v>
      </c>
      <c r="DO23" s="730"/>
      <c r="DP23" s="730" t="s">
        <v>662</v>
      </c>
      <c r="DQ23" s="730" t="str">
        <f t="shared" ca="1" si="35"/>
        <v>Curazao</v>
      </c>
      <c r="DR23" s="730"/>
      <c r="DS23" s="730"/>
      <c r="DT23" s="730" t="str">
        <f t="shared" ca="1" si="15"/>
        <v>Brasil-Haití</v>
      </c>
      <c r="DU23" s="730"/>
      <c r="DV23" s="730"/>
      <c r="DW23" s="8"/>
    </row>
    <row r="24" spans="1:127" ht="16.05" customHeight="1">
      <c r="A24" s="731" t="str">
        <f ca="1">+Equipos!B13</f>
        <v>Escocia</v>
      </c>
      <c r="B24" s="728"/>
      <c r="C24" s="730"/>
      <c r="D24" s="730" t="str">
        <f t="shared" si="73"/>
        <v>Pendiente</v>
      </c>
      <c r="E24" s="730" t="str">
        <f t="shared" si="74"/>
        <v>-</v>
      </c>
      <c r="F24" s="730" t="str">
        <f t="shared" si="75"/>
        <v>-</v>
      </c>
      <c r="G24" s="730"/>
      <c r="H24" s="730" t="str">
        <f t="shared" si="76"/>
        <v>-</v>
      </c>
      <c r="I24" s="730" t="str">
        <f t="shared" si="77"/>
        <v>-</v>
      </c>
      <c r="J24" s="730"/>
      <c r="K24" s="730" t="str">
        <f t="shared" si="78"/>
        <v>-</v>
      </c>
      <c r="L24" s="730" t="str">
        <f t="shared" si="79"/>
        <v>-</v>
      </c>
      <c r="M24" s="730"/>
      <c r="N24" s="730" t="str">
        <f t="shared" si="80"/>
        <v>-</v>
      </c>
      <c r="O24" s="730" t="str">
        <f t="shared" si="81"/>
        <v>-</v>
      </c>
      <c r="P24" s="730"/>
      <c r="Q24" s="730" t="str">
        <f t="shared" si="82"/>
        <v>-</v>
      </c>
      <c r="R24" s="730" t="str">
        <f t="shared" si="83"/>
        <v>-</v>
      </c>
      <c r="S24" s="730"/>
      <c r="T24" s="730" t="str">
        <f t="shared" si="84"/>
        <v>-</v>
      </c>
      <c r="U24" s="730" t="str">
        <f t="shared" si="85"/>
        <v>-</v>
      </c>
      <c r="V24" s="170"/>
      <c r="W24" s="858"/>
      <c r="X24" s="187">
        <f ca="1">Horarios!C24</f>
        <v>46197.75</v>
      </c>
      <c r="Y24" s="188">
        <f ca="1">Horarios!C24</f>
        <v>46197.75</v>
      </c>
      <c r="Z24" s="189" t="str">
        <f>$Z$8</f>
        <v>J3</v>
      </c>
      <c r="AA24" s="190" t="str">
        <f ca="1">A24</f>
        <v>Escocia</v>
      </c>
      <c r="AB24" s="475" t="e" cm="1" vm="12">
        <f t="array" aca="1" ref="AB24" ca="1">Ver_flag_local</f>
        <v>#VALUE!</v>
      </c>
      <c r="AC24" s="191"/>
      <c r="AD24" s="192"/>
      <c r="AE24" s="480" t="e" cm="1" vm="9">
        <f t="array" aca="1" ref="AE24" ca="1">Ver_flag_visit</f>
        <v>#VALUE!</v>
      </c>
      <c r="AF24" s="193" t="str">
        <f ca="1">A21</f>
        <v>Brasil</v>
      </c>
      <c r="AG24" s="411">
        <f t="shared" si="86"/>
        <v>0</v>
      </c>
      <c r="AH24" s="194">
        <v>49</v>
      </c>
      <c r="AI24" s="19" t="str">
        <f t="shared" si="91"/>
        <v>3C</v>
      </c>
      <c r="AJ24" s="219">
        <v>3</v>
      </c>
      <c r="AK24" s="483" t="e" cm="1" vm="11">
        <f t="array" aca="1" ref="AK24" ca="1">Ver_flag_visit</f>
        <v>#VALUE!</v>
      </c>
      <c r="AL24" s="220" t="str">
        <f ca="1">IFERROR(INDEX($BD$6:$BD$53,MATCH(AI24,$BN$6:$BN$53,0)),"")</f>
        <v>Haití</v>
      </c>
      <c r="AM24" s="221">
        <f t="shared" ca="1" si="90"/>
        <v>0</v>
      </c>
      <c r="AN24" s="222">
        <f t="shared" ca="1" si="90"/>
        <v>0</v>
      </c>
      <c r="AO24" s="222">
        <f t="shared" ca="1" si="90"/>
        <v>0</v>
      </c>
      <c r="AP24" s="222">
        <f t="shared" ca="1" si="90"/>
        <v>0</v>
      </c>
      <c r="AQ24" s="222">
        <f t="shared" ca="1" si="90"/>
        <v>0</v>
      </c>
      <c r="AR24" s="222">
        <f t="shared" ca="1" si="90"/>
        <v>0</v>
      </c>
      <c r="AS24" s="222">
        <f t="shared" ca="1" si="90"/>
        <v>0</v>
      </c>
      <c r="AT24" s="223">
        <f t="shared" ca="1" si="90"/>
        <v>0</v>
      </c>
      <c r="AU24" s="418">
        <f ca="1">INDEX($DL$6:$DL$53,MATCH(AI24,$DP$6:$DP$53,0))</f>
        <v>1</v>
      </c>
      <c r="AV24" s="215" t="str">
        <f ca="1">INDEX($BD$6:$BD$53,MATCH(AI24,$BM$6:$BM$53,0))</f>
        <v>Haití</v>
      </c>
      <c r="AW24" s="425"/>
      <c r="AX24" s="216"/>
      <c r="AY24" s="217" t="str">
        <f ca="1">+A23</f>
        <v>Haití</v>
      </c>
      <c r="AZ24" s="218"/>
      <c r="BA24" s="173"/>
      <c r="BB24" s="730"/>
      <c r="BC24" s="742" t="str">
        <f ca="1">+INDEX(T_Equipos[Grupo],MATCH(WORLDCUP!BD24,T_Equipos[NombreEquipo],0))</f>
        <v>E</v>
      </c>
      <c r="BD24" s="730" t="str">
        <f ca="1">+Equipos!B20</f>
        <v>Costa de Marfil</v>
      </c>
      <c r="BE24" s="734">
        <f t="shared" ca="1" si="25"/>
        <v>0</v>
      </c>
      <c r="BF24" s="734">
        <f t="shared" ca="1" si="26"/>
        <v>0</v>
      </c>
      <c r="BG24" s="734">
        <f t="shared" ca="1" si="17"/>
        <v>0</v>
      </c>
      <c r="BH24" s="734">
        <f t="shared" ca="1" si="18"/>
        <v>0</v>
      </c>
      <c r="BI24" s="734">
        <f t="shared" ca="1" si="19"/>
        <v>0</v>
      </c>
      <c r="BJ24" s="734">
        <f t="shared" ca="1" si="20"/>
        <v>0</v>
      </c>
      <c r="BK24" s="734">
        <f t="shared" ca="1" si="21"/>
        <v>0</v>
      </c>
      <c r="BL24" s="734">
        <f t="shared" ca="1" si="27"/>
        <v>0</v>
      </c>
      <c r="BM24" s="734" t="str">
        <f t="shared" ca="1" si="22"/>
        <v>3E</v>
      </c>
      <c r="BN24" s="734" t="str">
        <f t="shared" ca="1" si="23"/>
        <v>3E</v>
      </c>
      <c r="BO24" s="743">
        <f t="shared" ca="1" si="28"/>
        <v>0</v>
      </c>
      <c r="BP24" s="743">
        <f ca="1">COUNTIFS($BO$6:$BO$53,"&gt;"&amp;BO24,$BC$6:$BC$53,INDEX(T_Equipos[Grupo],MATCH(BD24,T_Equipos[NombreEquipo],0)))+1</f>
        <v>1</v>
      </c>
      <c r="BQ24" s="743" t="str">
        <f ca="1">IF(COUNTIFS($BP$6:$BP$53,BP24,$BC$6:$BC$53,INDEX(T_Equipos[Grupo],MATCH(BD24,T_Equipos[NombreEquipo],0)))=1,"-","P."&amp;BP24&amp;" ("&amp;COUNTIFS($BP$6:$BP$53,BP24,$BC$6:$BC$53,INDEX(T_Equipos[Grupo],MATCH(BD24,T_Equipos[NombreEquipo],0)))&amp;")")</f>
        <v>P.1 (4)</v>
      </c>
      <c r="BR24" s="743">
        <f t="shared" ca="1" si="29"/>
        <v>0</v>
      </c>
      <c r="BS24" s="743">
        <f ca="1">BP24+COUNTIFS($BQ$6:$BQ$53,BQ24,$BR$6:BR$53,"&gt;"&amp;BR24,$BC$6:$BC$53,INDEX(T_Equipos[Grupo],MATCH(BD24,T_Equipos[NombreEquipo],0)))</f>
        <v>1</v>
      </c>
      <c r="BT24" s="743" t="str">
        <f ca="1">IF(COUNTIFS($BS$6:$BS$53,BS24,$BC$6:$BC$53,INDEX(T_Equipos[Grupo],MATCH(BD24,T_Equipos[NombreEquipo],0)))=1,"-","P."&amp;BS24&amp;" ("&amp;COUNTIFS($BS$6:$BS$53,BS24,$BC$6:$BC$53,INDEX(T_Equipos[Grupo],MATCH(BD24,T_Equipos[NombreEquipo],0)))&amp;")")</f>
        <v>P.1 (4)</v>
      </c>
      <c r="BU24" s="744">
        <f t="shared" ca="1" si="36"/>
        <v>0</v>
      </c>
      <c r="BV24" s="744">
        <f t="shared" ca="1" si="37"/>
        <v>0</v>
      </c>
      <c r="BW24" s="744">
        <f t="shared" ca="1" si="38"/>
        <v>0</v>
      </c>
      <c r="BX24" s="744">
        <f t="shared" ca="1" si="39"/>
        <v>0</v>
      </c>
      <c r="BY24" s="744">
        <f ca="1">BS24+COUNTIFS($BT$6:$BT$53,BT24,$BX$6:BX$53,"&gt;"&amp;BX24,$BC$6:$BC$53,INDEX(T_Equipos[Grupo],MATCH(BD24,T_Equipos[NombreEquipo],0)))</f>
        <v>1</v>
      </c>
      <c r="BZ24" s="743" t="str">
        <f ca="1">IF(COUNTIFS($BY$6:$BY$53,BY24,$BC$6:$BC$53,INDEX(T_Equipos[Grupo],MATCH(BD24,T_Equipos[NombreEquipo],0)))=1,"-","P."&amp;BY24&amp;" ("&amp;COUNTIFS($BY$6:$BY$53,BY24,$BC$6:$BC$53,INDEX(T_Equipos[Grupo],MATCH(BD24,T_Equipos[NombreEquipo],0)))&amp;")")</f>
        <v>P.1 (4)</v>
      </c>
      <c r="CA24" s="744">
        <f t="shared" ca="1" si="40"/>
        <v>0</v>
      </c>
      <c r="CB24" s="744">
        <f t="shared" ca="1" si="41"/>
        <v>0</v>
      </c>
      <c r="CC24" s="744">
        <f t="shared" ca="1" si="42"/>
        <v>0</v>
      </c>
      <c r="CD24" s="744">
        <f ca="1">BY24+COUNTIFS($BZ$6:$BZ$53,BZ24,$CC$6:CC$53,"&gt;"&amp;CC24,$BC$6:$BC$53,INDEX(T_Equipos[Grupo],MATCH(BD24,T_Equipos[NombreEquipo],0)))</f>
        <v>1</v>
      </c>
      <c r="CE24" s="743" t="str">
        <f ca="1">IF(COUNTIFS($CD$6:$CD$53,CD24,$BC$6:$BC$53,INDEX(T_Equipos[Grupo],MATCH(BD24,T_Equipos[NombreEquipo],0)))=1,"-","P."&amp;CD24&amp;" ("&amp;COUNTIFS($CD$6:$CD$53,CD24,$BC$6:$BC$53,INDEX(T_Equipos[Grupo],MATCH(BD24,T_Equipos[NombreEquipo],0)))&amp;")")</f>
        <v>P.1 (4)</v>
      </c>
      <c r="CF24" s="744">
        <f t="shared" ca="1" si="43"/>
        <v>0</v>
      </c>
      <c r="CG24" s="744">
        <f ca="1">CD24+COUNTIFS($CE$6:$CE$53,CE24,$CF$6:CF$53,"&gt;"&amp;CF24,$BC$6:$BC$53,INDEX(T_Equipos[Grupo],MATCH(BD24,T_Equipos[NombreEquipo],0)))</f>
        <v>1</v>
      </c>
      <c r="CH24" s="743" t="str">
        <f ca="1">IF(COUNTIFS($CG$6:$CG$53,CG24,$BC$6:$BC$53,INDEX(T_Equipos[Grupo],MATCH(BD24,T_Equipos[NombreEquipo],0)))=1,"-","P."&amp;CG24&amp;" ("&amp;COUNTIFS($CG$6:$CG$53,CG24,$BC$6:$BC$53,INDEX(T_Equipos[Grupo],MATCH(BD24,T_Equipos[NombreEquipo],0)))&amp;")")</f>
        <v>P.1 (4)</v>
      </c>
      <c r="CI24" s="744">
        <f t="shared" ca="1" si="44"/>
        <v>0</v>
      </c>
      <c r="CJ24" s="744">
        <f t="shared" ca="1" si="45"/>
        <v>0</v>
      </c>
      <c r="CK24" s="744">
        <f t="shared" ca="1" si="46"/>
        <v>0</v>
      </c>
      <c r="CL24" s="744">
        <f t="shared" ca="1" si="47"/>
        <v>0</v>
      </c>
      <c r="CM24" s="744">
        <f ca="1">CG24+COUNTIFS($CH$6:$CH$53,CH24,$CL$6:CL$53,"&gt;"&amp;CL24,$BC$6:$BC$53,INDEX(T_Equipos[Grupo],MATCH(BD24,T_Equipos[NombreEquipo],0)))</f>
        <v>1</v>
      </c>
      <c r="CN24" s="743" t="str">
        <f ca="1">IF(COUNTIFS($CM$6:$CM$53,CM24,$BC$6:$BC$53,INDEX(T_Equipos[Grupo],MATCH(BD24,T_Equipos[NombreEquipo],0)))=1,"-","P."&amp;CM24&amp;" ("&amp;COUNTIFS($CM$6:$CM$53,CM24,$BC$6:$BC$53,INDEX(T_Equipos[Grupo],MATCH(BD24,T_Equipos[NombreEquipo],0)))&amp;")")</f>
        <v>P.1 (4)</v>
      </c>
      <c r="CO24" s="744">
        <f t="shared" ca="1" si="48"/>
        <v>0</v>
      </c>
      <c r="CP24" s="744">
        <f t="shared" ca="1" si="49"/>
        <v>0</v>
      </c>
      <c r="CQ24" s="744">
        <f t="shared" ca="1" si="50"/>
        <v>0</v>
      </c>
      <c r="CR24" s="744">
        <f ca="1">CM24+COUNTIFS($CN$6:$CN$53,CN24,$CQ$6:CQ$53,"&gt;"&amp;CQ24,$BC$6:$BC$53,INDEX(T_Equipos[Grupo],MATCH(BD24,T_Equipos[NombreEquipo],0)))</f>
        <v>1</v>
      </c>
      <c r="CS24" s="743" t="str">
        <f ca="1">IF(COUNTIFS($CR$6:$CR$53,CR24,$BC$6:$BC$53,INDEX(T_Equipos[Grupo],MATCH(BD24,T_Equipos[NombreEquipo],0)))=1,"-","P."&amp;CR24&amp;" ("&amp;COUNTIFS($CR$6:$CR$53,CR24,$BC$6:$BC$53,INDEX(T_Equipos[Grupo],MATCH(BD24,T_Equipos[NombreEquipo],0)))&amp;")")</f>
        <v>P.1 (4)</v>
      </c>
      <c r="CT24" s="744">
        <f t="shared" ca="1" si="51"/>
        <v>0</v>
      </c>
      <c r="CU24" s="744">
        <f ca="1">CR24+COUNTIFS($CS$6:$CS$53,CS24,$CT$6:CT$53,"&gt;"&amp;CT24,$BC$6:$BC$53,INDEX(T_Equipos[Grupo],MATCH(BD24,T_Equipos[NombreEquipo],0)))</f>
        <v>1</v>
      </c>
      <c r="CV24" s="743" t="str">
        <f ca="1">IF(COUNTIFS($CU$6:$CU$53,CU24,$BC$6:$BC$53,INDEX(T_Equipos[Grupo],MATCH(BD24,T_Equipos[NombreEquipo],0)))=1,"-","P."&amp;CU24&amp;" ("&amp;COUNTIFS($CU$6:$CU$53,CU24,$BC$6:$BC$53,INDEX(T_Equipos[Grupo],MATCH(BD24,T_Equipos[NombreEquipo],0)))&amp;")")</f>
        <v>P.1 (4)</v>
      </c>
      <c r="CW24" s="743">
        <f t="shared" ca="1" si="30"/>
        <v>0</v>
      </c>
      <c r="CX24" s="743">
        <f ca="1">CU24+COUNTIFS($CV$6:$CV$53,CV24,$CW$6:CW$53,"&gt;"&amp;CW24,$BC$6:$BC$53,INDEX(T_Equipos[Grupo],MATCH(BD24,T_Equipos[NombreEquipo],0)))</f>
        <v>1</v>
      </c>
      <c r="CY24" s="743" t="str">
        <f ca="1">IF(COUNTIFS($CX$6:$CX$53,CX24,$BC$6:$BC$53,INDEX(T_Equipos[Grupo],MATCH(BD24,T_Equipos[NombreEquipo],0)))=1,"-","P."&amp;CX24&amp;" ("&amp;COUNTIFS($CX$6:$CX$53,CX24,$BC$6:$BC$53,INDEX(T_Equipos[Grupo],MATCH(BD24,T_Equipos[NombreEquipo],0)))&amp;")")</f>
        <v>P.1 (4)</v>
      </c>
      <c r="CZ24" s="743">
        <f t="shared" ca="1" si="31"/>
        <v>0</v>
      </c>
      <c r="DA24" s="744">
        <f ca="1">CX24+COUNTIFS($CY$6:$CY$53,CY24,$CZ$6:CZ$53,"&gt;"&amp;CZ24,$BC$6:$BC$53,INDEX(T_Equipos[Grupo],MATCH(BD24,T_Equipos[NombreEquipo],0)))</f>
        <v>1</v>
      </c>
      <c r="DB24" s="743" t="str">
        <f ca="1">IF(COUNTIFS($DA$6:$DA$53,DA24,$BC$6:$BC$53,INDEX(T_Equipos[Grupo],MATCH(BD24,T_Equipos[NombreEquipo],0)))=1,"-","P."&amp;DA24&amp;" ("&amp;COUNTIFS($DA$6:$DA$53,DA24,$BC$6:$BC$53,INDEX(T_Equipos[Grupo],MATCH(BD24,T_Equipos[NombreEquipo],0)))&amp;")")</f>
        <v>P.1 (4)</v>
      </c>
      <c r="DC24" s="742">
        <f ca="1">IF(DB24="-","-",COUNTIFS(T_Equipos[Rank],"&lt;"&amp;INDEX(T_Equipos[Rank],MATCH(BD24,T_Equipos[NombreEquipo],0)),$BC$6:$BC$53,INDEX(T_Equipos[Grupo],MATCH(BD24,T_Equipos[NombreEquipo],0)))+1)</f>
        <v>3</v>
      </c>
      <c r="DD24" s="742">
        <f ca="1">DA24+COUNTIFS($DB$6:$DB$53,DB24,$DC$6:DC$53,"&lt;"&amp;DC24,$BC$6:$BC$53,INDEX(T_Equipos[Grupo],MATCH(BD24,T_Equipos[NombreEquipo],0)))</f>
        <v>3</v>
      </c>
      <c r="DE24" s="742"/>
      <c r="DF24" s="742">
        <f t="shared" ca="1" si="52"/>
        <v>3</v>
      </c>
      <c r="DG24" s="742">
        <f ca="1">IF(DB24="-","-",COUNTIFS(DF$6:DF$53,"&lt;"&amp;DF24,$BC$6:$BC$53,INDEX(T_Equipos[Grupo],MATCH(BD24,T_Equipos[NombreEquipo],0))))</f>
        <v>2</v>
      </c>
      <c r="DH24" s="742">
        <f ca="1">DA24+COUNTIFS(DB$6:DB$53,DB24,DG$6:DG$53,"&lt;"&amp;DG24,$BC$6:$BC$53,INDEX(T_Equipos[Grupo],MATCH(BD24,T_Equipos[NombreEquipo],0)))</f>
        <v>3</v>
      </c>
      <c r="DI24" s="730"/>
      <c r="DJ24" s="730">
        <f t="shared" ca="1" si="53"/>
        <v>1</v>
      </c>
      <c r="DK24" s="730">
        <f t="shared" ca="1" si="24"/>
        <v>0</v>
      </c>
      <c r="DL24" s="730">
        <f t="shared" ca="1" si="33"/>
        <v>1</v>
      </c>
      <c r="DM24" s="724" t="str">
        <f t="shared" ca="1" si="34"/>
        <v>1.1</v>
      </c>
      <c r="DN24" s="730" cm="1">
        <f t="array" aca="1" ref="DN24" ca="1">OFFSET(Horarios!$P$3,DJ24-1,0,DL24,1)</f>
        <v>1</v>
      </c>
      <c r="DO24" s="730"/>
      <c r="DP24" s="730" t="s">
        <v>93</v>
      </c>
      <c r="DQ24" s="730" t="str">
        <f t="shared" ca="1" si="35"/>
        <v>Costa de Marfil</v>
      </c>
      <c r="DR24" s="730"/>
      <c r="DS24" s="730"/>
      <c r="DT24" s="730" t="str">
        <f t="shared" ca="1" si="15"/>
        <v>Escocia-Brasil</v>
      </c>
      <c r="DU24" s="730"/>
      <c r="DV24" s="730"/>
      <c r="DW24" s="8"/>
    </row>
    <row r="25" spans="1:127" ht="16.95" customHeight="1" thickBot="1">
      <c r="A25" s="725"/>
      <c r="B25" s="725"/>
      <c r="C25" s="725"/>
      <c r="D25" s="730" t="str">
        <f t="shared" si="73"/>
        <v>Pendiente</v>
      </c>
      <c r="E25" s="730" t="str">
        <f t="shared" si="74"/>
        <v>-</v>
      </c>
      <c r="F25" s="730" t="str">
        <f t="shared" si="75"/>
        <v>-</v>
      </c>
      <c r="G25" s="730"/>
      <c r="H25" s="730" t="str">
        <f t="shared" si="76"/>
        <v>-</v>
      </c>
      <c r="I25" s="730" t="str">
        <f t="shared" si="77"/>
        <v>-</v>
      </c>
      <c r="J25" s="730"/>
      <c r="K25" s="730" t="str">
        <f t="shared" si="78"/>
        <v>-</v>
      </c>
      <c r="L25" s="730" t="str">
        <f t="shared" si="79"/>
        <v>-</v>
      </c>
      <c r="M25" s="730"/>
      <c r="N25" s="730" t="str">
        <f t="shared" si="80"/>
        <v>-</v>
      </c>
      <c r="O25" s="730" t="str">
        <f t="shared" si="81"/>
        <v>-</v>
      </c>
      <c r="P25" s="730"/>
      <c r="Q25" s="730" t="str">
        <f t="shared" si="82"/>
        <v>-</v>
      </c>
      <c r="R25" s="730" t="str">
        <f t="shared" si="83"/>
        <v>-</v>
      </c>
      <c r="S25" s="730"/>
      <c r="T25" s="730" t="str">
        <f t="shared" si="84"/>
        <v>-</v>
      </c>
      <c r="U25" s="730" t="str">
        <f t="shared" si="85"/>
        <v>-</v>
      </c>
      <c r="V25" s="170"/>
      <c r="W25" s="859"/>
      <c r="X25" s="226">
        <f ca="1">Horarios!C25</f>
        <v>46197.75</v>
      </c>
      <c r="Y25" s="227">
        <f ca="1">Horarios!C25</f>
        <v>46197.75</v>
      </c>
      <c r="Z25" s="228" t="str">
        <f>$Z$8</f>
        <v>J3</v>
      </c>
      <c r="AA25" s="229" t="str">
        <f ca="1">A22</f>
        <v>Marruecos</v>
      </c>
      <c r="AB25" s="476" t="e" cm="1" vm="10">
        <f t="array" aca="1" ref="AB25" ca="1">Ver_flag_local</f>
        <v>#VALUE!</v>
      </c>
      <c r="AC25" s="230"/>
      <c r="AD25" s="231"/>
      <c r="AE25" s="481" t="e" cm="1" vm="11">
        <f t="array" aca="1" ref="AE25" ca="1">Ver_flag_visit</f>
        <v>#VALUE!</v>
      </c>
      <c r="AF25" s="232" t="str">
        <f ca="1">A23</f>
        <v>Haití</v>
      </c>
      <c r="AG25" s="411">
        <f t="shared" si="86"/>
        <v>0</v>
      </c>
      <c r="AH25" s="194">
        <v>50</v>
      </c>
      <c r="AI25" s="19" t="str">
        <f t="shared" si="91"/>
        <v>4C</v>
      </c>
      <c r="AJ25" s="233">
        <v>4</v>
      </c>
      <c r="AK25" s="484" t="e" cm="1" vm="12">
        <f t="array" aca="1" ref="AK25" ca="1">Ver_flag_visit</f>
        <v>#VALUE!</v>
      </c>
      <c r="AL25" s="234" t="str">
        <f ca="1">IFERROR(INDEX($BD$6:$BD$53,MATCH(AI25,$BN$6:$BN$53,0)),"")</f>
        <v>Escocia</v>
      </c>
      <c r="AM25" s="235">
        <f t="shared" ca="1" si="90"/>
        <v>0</v>
      </c>
      <c r="AN25" s="236">
        <f t="shared" ca="1" si="90"/>
        <v>0</v>
      </c>
      <c r="AO25" s="236">
        <f t="shared" ca="1" si="90"/>
        <v>0</v>
      </c>
      <c r="AP25" s="236">
        <f t="shared" ca="1" si="90"/>
        <v>0</v>
      </c>
      <c r="AQ25" s="236">
        <f t="shared" ca="1" si="90"/>
        <v>0</v>
      </c>
      <c r="AR25" s="236">
        <f t="shared" ca="1" si="90"/>
        <v>0</v>
      </c>
      <c r="AS25" s="236">
        <f t="shared" ca="1" si="90"/>
        <v>0</v>
      </c>
      <c r="AT25" s="237">
        <f t="shared" ca="1" si="90"/>
        <v>0</v>
      </c>
      <c r="AU25" s="418">
        <f ca="1">INDEX($DL$6:$DL$53,MATCH(AI25,$DP$6:$DP$53,0))</f>
        <v>1</v>
      </c>
      <c r="AV25" s="215" t="str">
        <f ca="1">INDEX($BD$6:$BD$53,MATCH(AI25,$BM$6:$BM$53,0))</f>
        <v>Escocia</v>
      </c>
      <c r="AW25" s="425"/>
      <c r="AX25" s="216"/>
      <c r="AY25" s="238" t="str">
        <f ca="1">+A24</f>
        <v>Escocia</v>
      </c>
      <c r="AZ25" s="239"/>
      <c r="BA25" s="173"/>
      <c r="BB25" s="730"/>
      <c r="BC25" s="742" t="str">
        <f ca="1">+INDEX(T_Equipos[Grupo],MATCH(WORLDCUP!BD25,T_Equipos[NombreEquipo],0))</f>
        <v>E</v>
      </c>
      <c r="BD25" s="730" t="str">
        <f ca="1">+Equipos!B21</f>
        <v>Ecuador</v>
      </c>
      <c r="BE25" s="734">
        <f t="shared" ca="1" si="25"/>
        <v>0</v>
      </c>
      <c r="BF25" s="734">
        <f t="shared" ca="1" si="26"/>
        <v>0</v>
      </c>
      <c r="BG25" s="734">
        <f t="shared" ca="1" si="17"/>
        <v>0</v>
      </c>
      <c r="BH25" s="734">
        <f t="shared" ca="1" si="18"/>
        <v>0</v>
      </c>
      <c r="BI25" s="734">
        <f t="shared" ca="1" si="19"/>
        <v>0</v>
      </c>
      <c r="BJ25" s="734">
        <f t="shared" ca="1" si="20"/>
        <v>0</v>
      </c>
      <c r="BK25" s="734">
        <f t="shared" ca="1" si="21"/>
        <v>0</v>
      </c>
      <c r="BL25" s="734">
        <f t="shared" ca="1" si="27"/>
        <v>0</v>
      </c>
      <c r="BM25" s="734" t="str">
        <f t="shared" ca="1" si="22"/>
        <v>4E</v>
      </c>
      <c r="BN25" s="734" t="str">
        <f t="shared" ca="1" si="23"/>
        <v>4E</v>
      </c>
      <c r="BO25" s="743">
        <f t="shared" ca="1" si="28"/>
        <v>0</v>
      </c>
      <c r="BP25" s="743">
        <f ca="1">COUNTIFS($BO$6:$BO$53,"&gt;"&amp;BO25,$BC$6:$BC$53,INDEX(T_Equipos[Grupo],MATCH(BD25,T_Equipos[NombreEquipo],0)))+1</f>
        <v>1</v>
      </c>
      <c r="BQ25" s="743" t="str">
        <f ca="1">IF(COUNTIFS($BP$6:$BP$53,BP25,$BC$6:$BC$53,INDEX(T_Equipos[Grupo],MATCH(BD25,T_Equipos[NombreEquipo],0)))=1,"-","P."&amp;BP25&amp;" ("&amp;COUNTIFS($BP$6:$BP$53,BP25,$BC$6:$BC$53,INDEX(T_Equipos[Grupo],MATCH(BD25,T_Equipos[NombreEquipo],0)))&amp;")")</f>
        <v>P.1 (4)</v>
      </c>
      <c r="BR25" s="743">
        <f t="shared" ca="1" si="29"/>
        <v>0</v>
      </c>
      <c r="BS25" s="743">
        <f ca="1">BP25+COUNTIFS($BQ$6:$BQ$53,BQ25,$BR$6:BR$53,"&gt;"&amp;BR25,$BC$6:$BC$53,INDEX(T_Equipos[Grupo],MATCH(BD25,T_Equipos[NombreEquipo],0)))</f>
        <v>1</v>
      </c>
      <c r="BT25" s="743" t="str">
        <f ca="1">IF(COUNTIFS($BS$6:$BS$53,BS25,$BC$6:$BC$53,INDEX(T_Equipos[Grupo],MATCH(BD25,T_Equipos[NombreEquipo],0)))=1,"-","P."&amp;BS25&amp;" ("&amp;COUNTIFS($BS$6:$BS$53,BS25,$BC$6:$BC$53,INDEX(T_Equipos[Grupo],MATCH(BD25,T_Equipos[NombreEquipo],0)))&amp;")")</f>
        <v>P.1 (4)</v>
      </c>
      <c r="BU25" s="744">
        <f t="shared" ca="1" si="36"/>
        <v>0</v>
      </c>
      <c r="BV25" s="744">
        <f t="shared" ca="1" si="37"/>
        <v>0</v>
      </c>
      <c r="BW25" s="744">
        <f t="shared" ca="1" si="38"/>
        <v>0</v>
      </c>
      <c r="BX25" s="744">
        <f t="shared" ca="1" si="39"/>
        <v>0</v>
      </c>
      <c r="BY25" s="744">
        <f ca="1">BS25+COUNTIFS($BT$6:$BT$53,BT25,$BX$6:BX$53,"&gt;"&amp;BX25,$BC$6:$BC$53,INDEX(T_Equipos[Grupo],MATCH(BD25,T_Equipos[NombreEquipo],0)))</f>
        <v>1</v>
      </c>
      <c r="BZ25" s="743" t="str">
        <f ca="1">IF(COUNTIFS($BY$6:$BY$53,BY25,$BC$6:$BC$53,INDEX(T_Equipos[Grupo],MATCH(BD25,T_Equipos[NombreEquipo],0)))=1,"-","P."&amp;BY25&amp;" ("&amp;COUNTIFS($BY$6:$BY$53,BY25,$BC$6:$BC$53,INDEX(T_Equipos[Grupo],MATCH(BD25,T_Equipos[NombreEquipo],0)))&amp;")")</f>
        <v>P.1 (4)</v>
      </c>
      <c r="CA25" s="744">
        <f t="shared" ca="1" si="40"/>
        <v>0</v>
      </c>
      <c r="CB25" s="744">
        <f t="shared" ca="1" si="41"/>
        <v>0</v>
      </c>
      <c r="CC25" s="744">
        <f t="shared" ca="1" si="42"/>
        <v>0</v>
      </c>
      <c r="CD25" s="744">
        <f ca="1">BY25+COUNTIFS($BZ$6:$BZ$53,BZ25,$CC$6:CC$53,"&gt;"&amp;CC25,$BC$6:$BC$53,INDEX(T_Equipos[Grupo],MATCH(BD25,T_Equipos[NombreEquipo],0)))</f>
        <v>1</v>
      </c>
      <c r="CE25" s="743" t="str">
        <f ca="1">IF(COUNTIFS($CD$6:$CD$53,CD25,$BC$6:$BC$53,INDEX(T_Equipos[Grupo],MATCH(BD25,T_Equipos[NombreEquipo],0)))=1,"-","P."&amp;CD25&amp;" ("&amp;COUNTIFS($CD$6:$CD$53,CD25,$BC$6:$BC$53,INDEX(T_Equipos[Grupo],MATCH(BD25,T_Equipos[NombreEquipo],0)))&amp;")")</f>
        <v>P.1 (4)</v>
      </c>
      <c r="CF25" s="744">
        <f t="shared" ca="1" si="43"/>
        <v>0</v>
      </c>
      <c r="CG25" s="744">
        <f ca="1">CD25+COUNTIFS($CE$6:$CE$53,CE25,$CF$6:CF$53,"&gt;"&amp;CF25,$BC$6:$BC$53,INDEX(T_Equipos[Grupo],MATCH(BD25,T_Equipos[NombreEquipo],0)))</f>
        <v>1</v>
      </c>
      <c r="CH25" s="743" t="str">
        <f ca="1">IF(COUNTIFS($CG$6:$CG$53,CG25,$BC$6:$BC$53,INDEX(T_Equipos[Grupo],MATCH(BD25,T_Equipos[NombreEquipo],0)))=1,"-","P."&amp;CG25&amp;" ("&amp;COUNTIFS($CG$6:$CG$53,CG25,$BC$6:$BC$53,INDEX(T_Equipos[Grupo],MATCH(BD25,T_Equipos[NombreEquipo],0)))&amp;")")</f>
        <v>P.1 (4)</v>
      </c>
      <c r="CI25" s="744">
        <f t="shared" ca="1" si="44"/>
        <v>0</v>
      </c>
      <c r="CJ25" s="744">
        <f t="shared" ca="1" si="45"/>
        <v>0</v>
      </c>
      <c r="CK25" s="744">
        <f t="shared" ca="1" si="46"/>
        <v>0</v>
      </c>
      <c r="CL25" s="744">
        <f t="shared" ca="1" si="47"/>
        <v>0</v>
      </c>
      <c r="CM25" s="744">
        <f ca="1">CG25+COUNTIFS($CH$6:$CH$53,CH25,$CL$6:CL$53,"&gt;"&amp;CL25,$BC$6:$BC$53,INDEX(T_Equipos[Grupo],MATCH(BD25,T_Equipos[NombreEquipo],0)))</f>
        <v>1</v>
      </c>
      <c r="CN25" s="743" t="str">
        <f ca="1">IF(COUNTIFS($CM$6:$CM$53,CM25,$BC$6:$BC$53,INDEX(T_Equipos[Grupo],MATCH(BD25,T_Equipos[NombreEquipo],0)))=1,"-","P."&amp;CM25&amp;" ("&amp;COUNTIFS($CM$6:$CM$53,CM25,$BC$6:$BC$53,INDEX(T_Equipos[Grupo],MATCH(BD25,T_Equipos[NombreEquipo],0)))&amp;")")</f>
        <v>P.1 (4)</v>
      </c>
      <c r="CO25" s="744">
        <f t="shared" ca="1" si="48"/>
        <v>0</v>
      </c>
      <c r="CP25" s="744">
        <f t="shared" ca="1" si="49"/>
        <v>0</v>
      </c>
      <c r="CQ25" s="744">
        <f t="shared" ca="1" si="50"/>
        <v>0</v>
      </c>
      <c r="CR25" s="744">
        <f ca="1">CM25+COUNTIFS($CN$6:$CN$53,CN25,$CQ$6:CQ$53,"&gt;"&amp;CQ25,$BC$6:$BC$53,INDEX(T_Equipos[Grupo],MATCH(BD25,T_Equipos[NombreEquipo],0)))</f>
        <v>1</v>
      </c>
      <c r="CS25" s="743" t="str">
        <f ca="1">IF(COUNTIFS($CR$6:$CR$53,CR25,$BC$6:$BC$53,INDEX(T_Equipos[Grupo],MATCH(BD25,T_Equipos[NombreEquipo],0)))=1,"-","P."&amp;CR25&amp;" ("&amp;COUNTIFS($CR$6:$CR$53,CR25,$BC$6:$BC$53,INDEX(T_Equipos[Grupo],MATCH(BD25,T_Equipos[NombreEquipo],0)))&amp;")")</f>
        <v>P.1 (4)</v>
      </c>
      <c r="CT25" s="744">
        <f t="shared" ca="1" si="51"/>
        <v>0</v>
      </c>
      <c r="CU25" s="744">
        <f ca="1">CR25+COUNTIFS($CS$6:$CS$53,CS25,$CT$6:CT$53,"&gt;"&amp;CT25,$BC$6:$BC$53,INDEX(T_Equipos[Grupo],MATCH(BD25,T_Equipos[NombreEquipo],0)))</f>
        <v>1</v>
      </c>
      <c r="CV25" s="743" t="str">
        <f ca="1">IF(COUNTIFS($CU$6:$CU$53,CU25,$BC$6:$BC$53,INDEX(T_Equipos[Grupo],MATCH(BD25,T_Equipos[NombreEquipo],0)))=1,"-","P."&amp;CU25&amp;" ("&amp;COUNTIFS($CU$6:$CU$53,CU25,$BC$6:$BC$53,INDEX(T_Equipos[Grupo],MATCH(BD25,T_Equipos[NombreEquipo],0)))&amp;")")</f>
        <v>P.1 (4)</v>
      </c>
      <c r="CW25" s="743">
        <f t="shared" ca="1" si="30"/>
        <v>0</v>
      </c>
      <c r="CX25" s="743">
        <f ca="1">CU25+COUNTIFS($CV$6:$CV$53,CV25,$CW$6:CW$53,"&gt;"&amp;CW25,$BC$6:$BC$53,INDEX(T_Equipos[Grupo],MATCH(BD25,T_Equipos[NombreEquipo],0)))</f>
        <v>1</v>
      </c>
      <c r="CY25" s="743" t="str">
        <f ca="1">IF(COUNTIFS($CX$6:$CX$53,CX25,$BC$6:$BC$53,INDEX(T_Equipos[Grupo],MATCH(BD25,T_Equipos[NombreEquipo],0)))=1,"-","P."&amp;CX25&amp;" ("&amp;COUNTIFS($CX$6:$CX$53,CX25,$BC$6:$BC$53,INDEX(T_Equipos[Grupo],MATCH(BD25,T_Equipos[NombreEquipo],0)))&amp;")")</f>
        <v>P.1 (4)</v>
      </c>
      <c r="CZ25" s="743">
        <f t="shared" ca="1" si="31"/>
        <v>0</v>
      </c>
      <c r="DA25" s="744">
        <f ca="1">CX25+COUNTIFS($CY$6:$CY$53,CY25,$CZ$6:CZ$53,"&gt;"&amp;CZ25,$BC$6:$BC$53,INDEX(T_Equipos[Grupo],MATCH(BD25,T_Equipos[NombreEquipo],0)))</f>
        <v>1</v>
      </c>
      <c r="DB25" s="743" t="str">
        <f ca="1">IF(COUNTIFS($DA$6:$DA$53,DA25,$BC$6:$BC$53,INDEX(T_Equipos[Grupo],MATCH(BD25,T_Equipos[NombreEquipo],0)))=1,"-","P."&amp;DA25&amp;" ("&amp;COUNTIFS($DA$6:$DA$53,DA25,$BC$6:$BC$53,INDEX(T_Equipos[Grupo],MATCH(BD25,T_Equipos[NombreEquipo],0)))&amp;")")</f>
        <v>P.1 (4)</v>
      </c>
      <c r="DC25" s="742">
        <f ca="1">IF(DB25="-","-",COUNTIFS(T_Equipos[Rank],"&lt;"&amp;INDEX(T_Equipos[Rank],MATCH(BD25,T_Equipos[NombreEquipo],0)),$BC$6:$BC$53,INDEX(T_Equipos[Grupo],MATCH(BD25,T_Equipos[NombreEquipo],0)))+1)</f>
        <v>4</v>
      </c>
      <c r="DD25" s="742">
        <f ca="1">DA25+COUNTIFS($DB$6:$DB$53,DB25,$DC$6:DC$53,"&lt;"&amp;DC25,$BC$6:$BC$53,INDEX(T_Equipos[Grupo],MATCH(BD25,T_Equipos[NombreEquipo],0)))</f>
        <v>4</v>
      </c>
      <c r="DE25" s="742"/>
      <c r="DF25" s="742">
        <f t="shared" ca="1" si="52"/>
        <v>4</v>
      </c>
      <c r="DG25" s="742">
        <f ca="1">IF(DB25="-","-",COUNTIFS(DF$6:DF$53,"&lt;"&amp;DF25,$BC$6:$BC$53,INDEX(T_Equipos[Grupo],MATCH(BD25,T_Equipos[NombreEquipo],0))))</f>
        <v>3</v>
      </c>
      <c r="DH25" s="742">
        <f ca="1">DA25+COUNTIFS(DB$6:DB$53,DB25,DG$6:DG$53,"&lt;"&amp;DG25,$BC$6:$BC$53,INDEX(T_Equipos[Grupo],MATCH(BD25,T_Equipos[NombreEquipo],0)))</f>
        <v>4</v>
      </c>
      <c r="DI25" s="730"/>
      <c r="DJ25" s="730">
        <f t="shared" ca="1" si="53"/>
        <v>1</v>
      </c>
      <c r="DK25" s="730">
        <f t="shared" ca="1" si="24"/>
        <v>0</v>
      </c>
      <c r="DL25" s="730">
        <f t="shared" ca="1" si="33"/>
        <v>1</v>
      </c>
      <c r="DM25" s="724" t="str">
        <f t="shared" ca="1" si="34"/>
        <v>1.1</v>
      </c>
      <c r="DN25" s="730" cm="1">
        <f t="array" aca="1" ref="DN25" ca="1">OFFSET(Horarios!$P$3,DJ25-1,0,DL25,1)</f>
        <v>1</v>
      </c>
      <c r="DO25" s="730"/>
      <c r="DP25" s="730" t="s">
        <v>663</v>
      </c>
      <c r="DQ25" s="730" t="str">
        <f t="shared" ca="1" si="35"/>
        <v>Ecuador</v>
      </c>
      <c r="DR25" s="730"/>
      <c r="DS25" s="730"/>
      <c r="DT25" s="730" t="str">
        <f t="shared" ca="1" si="15"/>
        <v>Marruecos-Haití</v>
      </c>
      <c r="DU25" s="730"/>
      <c r="DV25" s="730"/>
      <c r="DW25" s="8"/>
    </row>
    <row r="26" spans="1:127" ht="15" thickBot="1">
      <c r="A26" s="725"/>
      <c r="B26" s="725"/>
      <c r="C26" s="725"/>
      <c r="D26" s="730"/>
      <c r="E26" s="730"/>
      <c r="F26" s="730"/>
      <c r="G26" s="730"/>
      <c r="H26" s="730"/>
      <c r="I26" s="730"/>
      <c r="J26" s="730"/>
      <c r="K26" s="730"/>
      <c r="L26" s="730"/>
      <c r="M26" s="730"/>
      <c r="N26" s="730"/>
      <c r="O26" s="730"/>
      <c r="P26" s="730"/>
      <c r="Q26" s="730"/>
      <c r="R26" s="730"/>
      <c r="S26" s="730"/>
      <c r="T26" s="730"/>
      <c r="U26" s="730"/>
      <c r="V26" s="170"/>
      <c r="W26" s="240"/>
      <c r="X26" s="241"/>
      <c r="Y26" s="240"/>
      <c r="Z26" s="242"/>
      <c r="AA26" s="243"/>
      <c r="AB26" s="479"/>
      <c r="AC26" s="245"/>
      <c r="AD26" s="245"/>
      <c r="AE26" s="479"/>
      <c r="AF26" s="246"/>
      <c r="AG26" s="413"/>
      <c r="AH26" s="194"/>
      <c r="AI26" s="169"/>
      <c r="AJ26" s="247"/>
      <c r="AK26" s="248"/>
      <c r="AL26" s="184"/>
      <c r="AM26" s="249"/>
      <c r="AN26" s="247"/>
      <c r="AO26" s="247"/>
      <c r="AP26" s="247"/>
      <c r="AQ26" s="247"/>
      <c r="AR26" s="247"/>
      <c r="AS26" s="247"/>
      <c r="AT26" s="247"/>
      <c r="AU26" s="418"/>
      <c r="AV26" s="214"/>
      <c r="AW26" s="426"/>
      <c r="AX26" s="216"/>
      <c r="AY26" s="240"/>
      <c r="AZ26" s="241"/>
      <c r="BA26" s="173"/>
      <c r="BB26" s="730"/>
      <c r="BC26" s="742" t="str">
        <f ca="1">+INDEX(T_Equipos[Grupo],MATCH(WORLDCUP!BD26,T_Equipos[NombreEquipo],0))</f>
        <v>F</v>
      </c>
      <c r="BD26" s="730" t="str">
        <f ca="1">+Equipos!B22</f>
        <v>Países Bajos</v>
      </c>
      <c r="BE26" s="734">
        <f t="shared" ca="1" si="25"/>
        <v>0</v>
      </c>
      <c r="BF26" s="734">
        <f t="shared" ca="1" si="26"/>
        <v>0</v>
      </c>
      <c r="BG26" s="734">
        <f t="shared" ca="1" si="17"/>
        <v>0</v>
      </c>
      <c r="BH26" s="734">
        <f t="shared" ca="1" si="18"/>
        <v>0</v>
      </c>
      <c r="BI26" s="734">
        <f t="shared" ca="1" si="19"/>
        <v>0</v>
      </c>
      <c r="BJ26" s="734">
        <f t="shared" ca="1" si="20"/>
        <v>0</v>
      </c>
      <c r="BK26" s="734">
        <f t="shared" ca="1" si="21"/>
        <v>0</v>
      </c>
      <c r="BL26" s="734">
        <f t="shared" ca="1" si="27"/>
        <v>0</v>
      </c>
      <c r="BM26" s="734" t="str">
        <f t="shared" ca="1" si="22"/>
        <v>1F</v>
      </c>
      <c r="BN26" s="734" t="str">
        <f t="shared" ca="1" si="23"/>
        <v>1F</v>
      </c>
      <c r="BO26" s="744">
        <f t="shared" ca="1" si="28"/>
        <v>0</v>
      </c>
      <c r="BP26" s="743">
        <f ca="1">COUNTIFS($BO$6:$BO$53,"&gt;"&amp;BO26,$BC$6:$BC$53,INDEX(T_Equipos[Grupo],MATCH(BD26,T_Equipos[NombreEquipo],0)))+1</f>
        <v>1</v>
      </c>
      <c r="BQ26" s="743" t="str">
        <f ca="1">IF(COUNTIFS($BP$6:$BP$53,BP26,$BC$6:$BC$53,INDEX(T_Equipos[Grupo],MATCH(BD26,T_Equipos[NombreEquipo],0)))=1,"-","P."&amp;BP26&amp;" ("&amp;COUNTIFS($BP$6:$BP$53,BP26,$BC$6:$BC$53,INDEX(T_Equipos[Grupo],MATCH(BD26,T_Equipos[NombreEquipo],0)))&amp;")")</f>
        <v>P.1 (4)</v>
      </c>
      <c r="BR26" s="744">
        <f t="shared" ca="1" si="29"/>
        <v>0</v>
      </c>
      <c r="BS26" s="743">
        <f ca="1">BP26+COUNTIFS($BQ$6:$BQ$53,BQ26,$BR$6:BR$53,"&gt;"&amp;BR26,$BC$6:$BC$53,INDEX(T_Equipos[Grupo],MATCH(BD26,T_Equipos[NombreEquipo],0)))</f>
        <v>1</v>
      </c>
      <c r="BT26" s="743" t="str">
        <f ca="1">IF(COUNTIFS($BS$6:$BS$53,BS26,$BC$6:$BC$53,INDEX(T_Equipos[Grupo],MATCH(BD26,T_Equipos[NombreEquipo],0)))=1,"-","P."&amp;BS26&amp;" ("&amp;COUNTIFS($BS$6:$BS$53,BS26,$BC$6:$BC$53,INDEX(T_Equipos[Grupo],MATCH(BD26,T_Equipos[NombreEquipo],0)))&amp;")")</f>
        <v>P.1 (4)</v>
      </c>
      <c r="BU26" s="744">
        <f t="shared" ca="1" si="36"/>
        <v>0</v>
      </c>
      <c r="BV26" s="744">
        <f t="shared" ca="1" si="37"/>
        <v>0</v>
      </c>
      <c r="BW26" s="744">
        <f t="shared" ca="1" si="38"/>
        <v>0</v>
      </c>
      <c r="BX26" s="744">
        <f t="shared" ca="1" si="39"/>
        <v>0</v>
      </c>
      <c r="BY26" s="744">
        <f ca="1">BS26+COUNTIFS($BT$6:$BT$53,BT26,$BX$6:BX$53,"&gt;"&amp;BX26,$BC$6:$BC$53,INDEX(T_Equipos[Grupo],MATCH(BD26,T_Equipos[NombreEquipo],0)))</f>
        <v>1</v>
      </c>
      <c r="BZ26" s="743" t="str">
        <f ca="1">IF(COUNTIFS($BY$6:$BY$53,BY26,$BC$6:$BC$53,INDEX(T_Equipos[Grupo],MATCH(BD26,T_Equipos[NombreEquipo],0)))=1,"-","P."&amp;BY26&amp;" ("&amp;COUNTIFS($BY$6:$BY$53,BY26,$BC$6:$BC$53,INDEX(T_Equipos[Grupo],MATCH(BD26,T_Equipos[NombreEquipo],0)))&amp;")")</f>
        <v>P.1 (4)</v>
      </c>
      <c r="CA26" s="744">
        <f t="shared" ca="1" si="40"/>
        <v>0</v>
      </c>
      <c r="CB26" s="744">
        <f t="shared" ca="1" si="41"/>
        <v>0</v>
      </c>
      <c r="CC26" s="744">
        <f t="shared" ca="1" si="42"/>
        <v>0</v>
      </c>
      <c r="CD26" s="744">
        <f ca="1">BY26+COUNTIFS($BZ$6:$BZ$53,BZ26,$CC$6:CC$53,"&gt;"&amp;CC26,$BC$6:$BC$53,INDEX(T_Equipos[Grupo],MATCH(BD26,T_Equipos[NombreEquipo],0)))</f>
        <v>1</v>
      </c>
      <c r="CE26" s="743" t="str">
        <f ca="1">IF(COUNTIFS($CD$6:$CD$53,CD26,$BC$6:$BC$53,INDEX(T_Equipos[Grupo],MATCH(BD26,T_Equipos[NombreEquipo],0)))=1,"-","P."&amp;CD26&amp;" ("&amp;COUNTIFS($CD$6:$CD$53,CD26,$BC$6:$BC$53,INDEX(T_Equipos[Grupo],MATCH(BD26,T_Equipos[NombreEquipo],0)))&amp;")")</f>
        <v>P.1 (4)</v>
      </c>
      <c r="CF26" s="744">
        <f t="shared" ca="1" si="43"/>
        <v>0</v>
      </c>
      <c r="CG26" s="744">
        <f ca="1">CD26+COUNTIFS($CE$6:$CE$53,CE26,$CF$6:CF$53,"&gt;"&amp;CF26,$BC$6:$BC$53,INDEX(T_Equipos[Grupo],MATCH(BD26,T_Equipos[NombreEquipo],0)))</f>
        <v>1</v>
      </c>
      <c r="CH26" s="743" t="str">
        <f ca="1">IF(COUNTIFS($CG$6:$CG$53,CG26,$BC$6:$BC$53,INDEX(T_Equipos[Grupo],MATCH(BD26,T_Equipos[NombreEquipo],0)))=1,"-","P."&amp;CG26&amp;" ("&amp;COUNTIFS($CG$6:$CG$53,CG26,$BC$6:$BC$53,INDEX(T_Equipos[Grupo],MATCH(BD26,T_Equipos[NombreEquipo],0)))&amp;")")</f>
        <v>P.1 (4)</v>
      </c>
      <c r="CI26" s="744">
        <f t="shared" ca="1" si="44"/>
        <v>0</v>
      </c>
      <c r="CJ26" s="744">
        <f t="shared" ca="1" si="45"/>
        <v>0</v>
      </c>
      <c r="CK26" s="744">
        <f t="shared" ca="1" si="46"/>
        <v>0</v>
      </c>
      <c r="CL26" s="744">
        <f t="shared" ca="1" si="47"/>
        <v>0</v>
      </c>
      <c r="CM26" s="744">
        <f ca="1">CG26+COUNTIFS($CH$6:$CH$53,CH26,$CL$6:CL$53,"&gt;"&amp;CL26,$BC$6:$BC$53,INDEX(T_Equipos[Grupo],MATCH(BD26,T_Equipos[NombreEquipo],0)))</f>
        <v>1</v>
      </c>
      <c r="CN26" s="743" t="str">
        <f ca="1">IF(COUNTIFS($CM$6:$CM$53,CM26,$BC$6:$BC$53,INDEX(T_Equipos[Grupo],MATCH(BD26,T_Equipos[NombreEquipo],0)))=1,"-","P."&amp;CM26&amp;" ("&amp;COUNTIFS($CM$6:$CM$53,CM26,$BC$6:$BC$53,INDEX(T_Equipos[Grupo],MATCH(BD26,T_Equipos[NombreEquipo],0)))&amp;")")</f>
        <v>P.1 (4)</v>
      </c>
      <c r="CO26" s="744">
        <f t="shared" ca="1" si="48"/>
        <v>0</v>
      </c>
      <c r="CP26" s="744">
        <f t="shared" ca="1" si="49"/>
        <v>0</v>
      </c>
      <c r="CQ26" s="744">
        <f t="shared" ca="1" si="50"/>
        <v>0</v>
      </c>
      <c r="CR26" s="744">
        <f ca="1">CM26+COUNTIFS($CN$6:$CN$53,CN26,$CQ$6:CQ$53,"&gt;"&amp;CQ26,$BC$6:$BC$53,INDEX(T_Equipos[Grupo],MATCH(BD26,T_Equipos[NombreEquipo],0)))</f>
        <v>1</v>
      </c>
      <c r="CS26" s="743" t="str">
        <f ca="1">IF(COUNTIFS($CR$6:$CR$53,CR26,$BC$6:$BC$53,INDEX(T_Equipos[Grupo],MATCH(BD26,T_Equipos[NombreEquipo],0)))=1,"-","P."&amp;CR26&amp;" ("&amp;COUNTIFS($CR$6:$CR$53,CR26,$BC$6:$BC$53,INDEX(T_Equipos[Grupo],MATCH(BD26,T_Equipos[NombreEquipo],0)))&amp;")")</f>
        <v>P.1 (4)</v>
      </c>
      <c r="CT26" s="744">
        <f t="shared" ca="1" si="51"/>
        <v>0</v>
      </c>
      <c r="CU26" s="744">
        <f ca="1">CR26+COUNTIFS($CS$6:$CS$53,CS26,$CT$6:CT$53,"&gt;"&amp;CT26,$BC$6:$BC$53,INDEX(T_Equipos[Grupo],MATCH(BD26,T_Equipos[NombreEquipo],0)))</f>
        <v>1</v>
      </c>
      <c r="CV26" s="743" t="str">
        <f ca="1">IF(COUNTIFS($CU$6:$CU$53,CU26,$BC$6:$BC$53,INDEX(T_Equipos[Grupo],MATCH(BD26,T_Equipos[NombreEquipo],0)))=1,"-","P."&amp;CU26&amp;" ("&amp;COUNTIFS($CU$6:$CU$53,CU26,$BC$6:$BC$53,INDEX(T_Equipos[Grupo],MATCH(BD26,T_Equipos[NombreEquipo],0)))&amp;")")</f>
        <v>P.1 (4)</v>
      </c>
      <c r="CW26" s="743">
        <f t="shared" ca="1" si="30"/>
        <v>0</v>
      </c>
      <c r="CX26" s="743">
        <f ca="1">CU26+COUNTIFS($CV$6:$CV$53,CV26,$CW$6:CW$53,"&gt;"&amp;CW26,$BC$6:$BC$53,INDEX(T_Equipos[Grupo],MATCH(BD26,T_Equipos[NombreEquipo],0)))</f>
        <v>1</v>
      </c>
      <c r="CY26" s="743" t="str">
        <f ca="1">IF(COUNTIFS($CX$6:$CX$53,CX26,$BC$6:$BC$53,INDEX(T_Equipos[Grupo],MATCH(BD26,T_Equipos[NombreEquipo],0)))=1,"-","P."&amp;CX26&amp;" ("&amp;COUNTIFS($CX$6:$CX$53,CX26,$BC$6:$BC$53,INDEX(T_Equipos[Grupo],MATCH(BD26,T_Equipos[NombreEquipo],0)))&amp;")")</f>
        <v>P.1 (4)</v>
      </c>
      <c r="CZ26" s="743">
        <f t="shared" ca="1" si="31"/>
        <v>0</v>
      </c>
      <c r="DA26" s="744">
        <f ca="1">CX26+COUNTIFS($CY$6:$CY$53,CY26,$CZ$6:CZ$53,"&gt;"&amp;CZ26,$BC$6:$BC$53,INDEX(T_Equipos[Grupo],MATCH(BD26,T_Equipos[NombreEquipo],0)))</f>
        <v>1</v>
      </c>
      <c r="DB26" s="743" t="str">
        <f ca="1">IF(COUNTIFS($DA$6:$DA$53,DA26,$BC$6:$BC$53,INDEX(T_Equipos[Grupo],MATCH(BD26,T_Equipos[NombreEquipo],0)))=1,"-","P."&amp;DA26&amp;" ("&amp;COUNTIFS($DA$6:$DA$53,DA26,$BC$6:$BC$53,INDEX(T_Equipos[Grupo],MATCH(BD26,T_Equipos[NombreEquipo],0)))&amp;")")</f>
        <v>P.1 (4)</v>
      </c>
      <c r="DC26" s="742">
        <f ca="1">IF(DB26="-","-",COUNTIFS(T_Equipos[Rank],"&lt;"&amp;INDEX(T_Equipos[Rank],MATCH(BD26,T_Equipos[NombreEquipo],0)),$BC$6:$BC$53,INDEX(T_Equipos[Grupo],MATCH(BD26,T_Equipos[NombreEquipo],0)))+1)</f>
        <v>1</v>
      </c>
      <c r="DD26" s="742">
        <f ca="1">DA26+COUNTIFS($DB$6:$DB$53,DB26,$DC$6:DC$53,"&lt;"&amp;DC26,$BC$6:$BC$53,INDEX(T_Equipos[Grupo],MATCH(BD26,T_Equipos[NombreEquipo],0)))</f>
        <v>1</v>
      </c>
      <c r="DE26" s="742"/>
      <c r="DF26" s="742">
        <f t="shared" ca="1" si="52"/>
        <v>1</v>
      </c>
      <c r="DG26" s="742">
        <f ca="1">IF(DB26="-","-",COUNTIFS(DF$6:DF$53,"&lt;"&amp;DF26,$BC$6:$BC$53,INDEX(T_Equipos[Grupo],MATCH(BD26,T_Equipos[NombreEquipo],0))))</f>
        <v>0</v>
      </c>
      <c r="DH26" s="742">
        <f ca="1">DA26+COUNTIFS(DB$6:DB$53,DB26,DG$6:DG$53,"&lt;"&amp;DG26,$BC$6:$BC$53,INDEX(T_Equipos[Grupo],MATCH(BD26,T_Equipos[NombreEquipo],0)))</f>
        <v>1</v>
      </c>
      <c r="DI26" s="730"/>
      <c r="DJ26" s="730">
        <f t="shared" ca="1" si="53"/>
        <v>1</v>
      </c>
      <c r="DK26" s="730">
        <f t="shared" ca="1" si="24"/>
        <v>0</v>
      </c>
      <c r="DL26" s="730">
        <f t="shared" ca="1" si="33"/>
        <v>1</v>
      </c>
      <c r="DM26" s="724" t="str">
        <f t="shared" ca="1" si="34"/>
        <v>1.1</v>
      </c>
      <c r="DN26" s="730" cm="1">
        <f t="array" aca="1" ref="DN26" ca="1">OFFSET(Horarios!$P$3,DJ26-1,0,DL26,1)</f>
        <v>1</v>
      </c>
      <c r="DO26" s="730"/>
      <c r="DP26" s="730" t="s">
        <v>664</v>
      </c>
      <c r="DQ26" s="730" t="str">
        <f t="shared" ca="1" si="35"/>
        <v>Países Bajos</v>
      </c>
      <c r="DR26" s="730"/>
      <c r="DS26" s="730"/>
      <c r="DT26" s="730" t="str">
        <f t="shared" si="15"/>
        <v>-</v>
      </c>
      <c r="DU26" s="730"/>
      <c r="DV26" s="730"/>
      <c r="DW26" s="8"/>
    </row>
    <row r="27" spans="1:127" ht="15" thickBot="1">
      <c r="A27" s="725"/>
      <c r="B27" s="728"/>
      <c r="C27" s="725"/>
      <c r="D27" s="725"/>
      <c r="E27" s="725"/>
      <c r="F27" s="725"/>
      <c r="G27" s="725"/>
      <c r="H27" s="725"/>
      <c r="I27" s="725"/>
      <c r="J27" s="725"/>
      <c r="K27" s="725"/>
      <c r="L27" s="725"/>
      <c r="M27" s="725"/>
      <c r="N27" s="730"/>
      <c r="O27" s="730"/>
      <c r="P27" s="730"/>
      <c r="Q27" s="730"/>
      <c r="R27" s="730"/>
      <c r="S27" s="730"/>
      <c r="T27" s="730"/>
      <c r="U27" s="730"/>
      <c r="V27" s="170"/>
      <c r="W27" s="177"/>
      <c r="X27" s="178" t="str">
        <f>X11</f>
        <v>Fecha</v>
      </c>
      <c r="Y27" s="178" t="str">
        <f>Y11</f>
        <v>Hora</v>
      </c>
      <c r="Z27" s="179" t="str">
        <f t="shared" ref="Z27:AA27" si="92">Z11</f>
        <v>Jor.</v>
      </c>
      <c r="AA27" s="180" t="str">
        <f t="shared" si="92"/>
        <v>Casa</v>
      </c>
      <c r="AB27" s="179"/>
      <c r="AC27" s="179" t="str">
        <f>AC3</f>
        <v>Gol</v>
      </c>
      <c r="AD27" s="179" t="str">
        <f>AD3</f>
        <v>Gol</v>
      </c>
      <c r="AE27" s="179"/>
      <c r="AF27" s="182" t="str">
        <f t="shared" ref="AF27" si="93">AF11</f>
        <v>Fuera</v>
      </c>
      <c r="AG27" s="412"/>
      <c r="AH27" s="194"/>
      <c r="AI27" s="18"/>
      <c r="AJ27" s="184"/>
      <c r="AK27" s="250"/>
      <c r="AL27" s="184"/>
      <c r="AM27" s="184"/>
      <c r="AN27" s="184"/>
      <c r="AO27" s="184"/>
      <c r="AP27" s="184"/>
      <c r="AQ27" s="184"/>
      <c r="AR27" s="184"/>
      <c r="AS27" s="184"/>
      <c r="AT27" s="184"/>
      <c r="AU27" s="419"/>
      <c r="AV27" s="22"/>
      <c r="AW27" s="427"/>
      <c r="AX27" s="251"/>
      <c r="AY27" s="240"/>
      <c r="AZ27" s="241"/>
      <c r="BA27" s="173"/>
      <c r="BB27" s="730"/>
      <c r="BC27" s="742" t="str">
        <f ca="1">+INDEX(T_Equipos[Grupo],MATCH(WORLDCUP!BD27,T_Equipos[NombreEquipo],0))</f>
        <v>F</v>
      </c>
      <c r="BD27" s="730" t="str">
        <f ca="1">+Equipos!B23</f>
        <v>Japón</v>
      </c>
      <c r="BE27" s="734">
        <f t="shared" ca="1" si="25"/>
        <v>0</v>
      </c>
      <c r="BF27" s="734">
        <f t="shared" ca="1" si="26"/>
        <v>0</v>
      </c>
      <c r="BG27" s="734">
        <f t="shared" ca="1" si="17"/>
        <v>0</v>
      </c>
      <c r="BH27" s="734">
        <f t="shared" ca="1" si="18"/>
        <v>0</v>
      </c>
      <c r="BI27" s="734">
        <f t="shared" ca="1" si="19"/>
        <v>0</v>
      </c>
      <c r="BJ27" s="734">
        <f t="shared" ca="1" si="20"/>
        <v>0</v>
      </c>
      <c r="BK27" s="734">
        <f t="shared" ca="1" si="21"/>
        <v>0</v>
      </c>
      <c r="BL27" s="734">
        <f t="shared" ca="1" si="27"/>
        <v>0</v>
      </c>
      <c r="BM27" s="734" t="str">
        <f t="shared" ca="1" si="22"/>
        <v>2F</v>
      </c>
      <c r="BN27" s="734" t="str">
        <f t="shared" ca="1" si="23"/>
        <v>2F</v>
      </c>
      <c r="BO27" s="744">
        <f t="shared" ca="1" si="28"/>
        <v>0</v>
      </c>
      <c r="BP27" s="743">
        <f ca="1">COUNTIFS($BO$6:$BO$53,"&gt;"&amp;BO27,$BC$6:$BC$53,INDEX(T_Equipos[Grupo],MATCH(BD27,T_Equipos[NombreEquipo],0)))+1</f>
        <v>1</v>
      </c>
      <c r="BQ27" s="743" t="str">
        <f ca="1">IF(COUNTIFS($BP$6:$BP$53,BP27,$BC$6:$BC$53,INDEX(T_Equipos[Grupo],MATCH(BD27,T_Equipos[NombreEquipo],0)))=1,"-","P."&amp;BP27&amp;" ("&amp;COUNTIFS($BP$6:$BP$53,BP27,$BC$6:$BC$53,INDEX(T_Equipos[Grupo],MATCH(BD27,T_Equipos[NombreEquipo],0)))&amp;")")</f>
        <v>P.1 (4)</v>
      </c>
      <c r="BR27" s="744">
        <f t="shared" ca="1" si="29"/>
        <v>0</v>
      </c>
      <c r="BS27" s="743">
        <f ca="1">BP27+COUNTIFS($BQ$6:$BQ$53,BQ27,$BR$6:BR$53,"&gt;"&amp;BR27,$BC$6:$BC$53,INDEX(T_Equipos[Grupo],MATCH(BD27,T_Equipos[NombreEquipo],0)))</f>
        <v>1</v>
      </c>
      <c r="BT27" s="743" t="str">
        <f ca="1">IF(COUNTIFS($BS$6:$BS$53,BS27,$BC$6:$BC$53,INDEX(T_Equipos[Grupo],MATCH(BD27,T_Equipos[NombreEquipo],0)))=1,"-","P."&amp;BS27&amp;" ("&amp;COUNTIFS($BS$6:$BS$53,BS27,$BC$6:$BC$53,INDEX(T_Equipos[Grupo],MATCH(BD27,T_Equipos[NombreEquipo],0)))&amp;")")</f>
        <v>P.1 (4)</v>
      </c>
      <c r="BU27" s="744">
        <f t="shared" ca="1" si="36"/>
        <v>0</v>
      </c>
      <c r="BV27" s="744">
        <f t="shared" ca="1" si="37"/>
        <v>0</v>
      </c>
      <c r="BW27" s="744">
        <f t="shared" ca="1" si="38"/>
        <v>0</v>
      </c>
      <c r="BX27" s="744">
        <f t="shared" ca="1" si="39"/>
        <v>0</v>
      </c>
      <c r="BY27" s="744">
        <f ca="1">BS27+COUNTIFS($BT$6:$BT$53,BT27,$BX$6:BX$53,"&gt;"&amp;BX27,$BC$6:$BC$53,INDEX(T_Equipos[Grupo],MATCH(BD27,T_Equipos[NombreEquipo],0)))</f>
        <v>1</v>
      </c>
      <c r="BZ27" s="743" t="str">
        <f ca="1">IF(COUNTIFS($BY$6:$BY$53,BY27,$BC$6:$BC$53,INDEX(T_Equipos[Grupo],MATCH(BD27,T_Equipos[NombreEquipo],0)))=1,"-","P."&amp;BY27&amp;" ("&amp;COUNTIFS($BY$6:$BY$53,BY27,$BC$6:$BC$53,INDEX(T_Equipos[Grupo],MATCH(BD27,T_Equipos[NombreEquipo],0)))&amp;")")</f>
        <v>P.1 (4)</v>
      </c>
      <c r="CA27" s="744">
        <f t="shared" ca="1" si="40"/>
        <v>0</v>
      </c>
      <c r="CB27" s="744">
        <f t="shared" ca="1" si="41"/>
        <v>0</v>
      </c>
      <c r="CC27" s="744">
        <f t="shared" ca="1" si="42"/>
        <v>0</v>
      </c>
      <c r="CD27" s="744">
        <f ca="1">BY27+COUNTIFS($BZ$6:$BZ$53,BZ27,$CC$6:CC$53,"&gt;"&amp;CC27,$BC$6:$BC$53,INDEX(T_Equipos[Grupo],MATCH(BD27,T_Equipos[NombreEquipo],0)))</f>
        <v>1</v>
      </c>
      <c r="CE27" s="743" t="str">
        <f ca="1">IF(COUNTIFS($CD$6:$CD$53,CD27,$BC$6:$BC$53,INDEX(T_Equipos[Grupo],MATCH(BD27,T_Equipos[NombreEquipo],0)))=1,"-","P."&amp;CD27&amp;" ("&amp;COUNTIFS($CD$6:$CD$53,CD27,$BC$6:$BC$53,INDEX(T_Equipos[Grupo],MATCH(BD27,T_Equipos[NombreEquipo],0)))&amp;")")</f>
        <v>P.1 (4)</v>
      </c>
      <c r="CF27" s="744">
        <f t="shared" ca="1" si="43"/>
        <v>0</v>
      </c>
      <c r="CG27" s="744">
        <f ca="1">CD27+COUNTIFS($CE$6:$CE$53,CE27,$CF$6:CF$53,"&gt;"&amp;CF27,$BC$6:$BC$53,INDEX(T_Equipos[Grupo],MATCH(BD27,T_Equipos[NombreEquipo],0)))</f>
        <v>1</v>
      </c>
      <c r="CH27" s="743" t="str">
        <f ca="1">IF(COUNTIFS($CG$6:$CG$53,CG27,$BC$6:$BC$53,INDEX(T_Equipos[Grupo],MATCH(BD27,T_Equipos[NombreEquipo],0)))=1,"-","P."&amp;CG27&amp;" ("&amp;COUNTIFS($CG$6:$CG$53,CG27,$BC$6:$BC$53,INDEX(T_Equipos[Grupo],MATCH(BD27,T_Equipos[NombreEquipo],0)))&amp;")")</f>
        <v>P.1 (4)</v>
      </c>
      <c r="CI27" s="744">
        <f t="shared" ca="1" si="44"/>
        <v>0</v>
      </c>
      <c r="CJ27" s="744">
        <f t="shared" ca="1" si="45"/>
        <v>0</v>
      </c>
      <c r="CK27" s="744">
        <f t="shared" ca="1" si="46"/>
        <v>0</v>
      </c>
      <c r="CL27" s="744">
        <f t="shared" ca="1" si="47"/>
        <v>0</v>
      </c>
      <c r="CM27" s="744">
        <f ca="1">CG27+COUNTIFS($CH$6:$CH$53,CH27,$CL$6:CL$53,"&gt;"&amp;CL27,$BC$6:$BC$53,INDEX(T_Equipos[Grupo],MATCH(BD27,T_Equipos[NombreEquipo],0)))</f>
        <v>1</v>
      </c>
      <c r="CN27" s="743" t="str">
        <f ca="1">IF(COUNTIFS($CM$6:$CM$53,CM27,$BC$6:$BC$53,INDEX(T_Equipos[Grupo],MATCH(BD27,T_Equipos[NombreEquipo],0)))=1,"-","P."&amp;CM27&amp;" ("&amp;COUNTIFS($CM$6:$CM$53,CM27,$BC$6:$BC$53,INDEX(T_Equipos[Grupo],MATCH(BD27,T_Equipos[NombreEquipo],0)))&amp;")")</f>
        <v>P.1 (4)</v>
      </c>
      <c r="CO27" s="744">
        <f t="shared" ca="1" si="48"/>
        <v>0</v>
      </c>
      <c r="CP27" s="744">
        <f t="shared" ca="1" si="49"/>
        <v>0</v>
      </c>
      <c r="CQ27" s="744">
        <f t="shared" ca="1" si="50"/>
        <v>0</v>
      </c>
      <c r="CR27" s="744">
        <f ca="1">CM27+COUNTIFS($CN$6:$CN$53,CN27,$CQ$6:CQ$53,"&gt;"&amp;CQ27,$BC$6:$BC$53,INDEX(T_Equipos[Grupo],MATCH(BD27,T_Equipos[NombreEquipo],0)))</f>
        <v>1</v>
      </c>
      <c r="CS27" s="743" t="str">
        <f ca="1">IF(COUNTIFS($CR$6:$CR$53,CR27,$BC$6:$BC$53,INDEX(T_Equipos[Grupo],MATCH(BD27,T_Equipos[NombreEquipo],0)))=1,"-","P."&amp;CR27&amp;" ("&amp;COUNTIFS($CR$6:$CR$53,CR27,$BC$6:$BC$53,INDEX(T_Equipos[Grupo],MATCH(BD27,T_Equipos[NombreEquipo],0)))&amp;")")</f>
        <v>P.1 (4)</v>
      </c>
      <c r="CT27" s="744">
        <f t="shared" ca="1" si="51"/>
        <v>0</v>
      </c>
      <c r="CU27" s="744">
        <f ca="1">CR27+COUNTIFS($CS$6:$CS$53,CS27,$CT$6:CT$53,"&gt;"&amp;CT27,$BC$6:$BC$53,INDEX(T_Equipos[Grupo],MATCH(BD27,T_Equipos[NombreEquipo],0)))</f>
        <v>1</v>
      </c>
      <c r="CV27" s="743" t="str">
        <f ca="1">IF(COUNTIFS($CU$6:$CU$53,CU27,$BC$6:$BC$53,INDEX(T_Equipos[Grupo],MATCH(BD27,T_Equipos[NombreEquipo],0)))=1,"-","P."&amp;CU27&amp;" ("&amp;COUNTIFS($CU$6:$CU$53,CU27,$BC$6:$BC$53,INDEX(T_Equipos[Grupo],MATCH(BD27,T_Equipos[NombreEquipo],0)))&amp;")")</f>
        <v>P.1 (4)</v>
      </c>
      <c r="CW27" s="743">
        <f t="shared" ca="1" si="30"/>
        <v>0</v>
      </c>
      <c r="CX27" s="743">
        <f ca="1">CU27+COUNTIFS($CV$6:$CV$53,CV27,$CW$6:CW$53,"&gt;"&amp;CW27,$BC$6:$BC$53,INDEX(T_Equipos[Grupo],MATCH(BD27,T_Equipos[NombreEquipo],0)))</f>
        <v>1</v>
      </c>
      <c r="CY27" s="743" t="str">
        <f ca="1">IF(COUNTIFS($CX$6:$CX$53,CX27,$BC$6:$BC$53,INDEX(T_Equipos[Grupo],MATCH(BD27,T_Equipos[NombreEquipo],0)))=1,"-","P."&amp;CX27&amp;" ("&amp;COUNTIFS($CX$6:$CX$53,CX27,$BC$6:$BC$53,INDEX(T_Equipos[Grupo],MATCH(BD27,T_Equipos[NombreEquipo],0)))&amp;")")</f>
        <v>P.1 (4)</v>
      </c>
      <c r="CZ27" s="743">
        <f t="shared" ca="1" si="31"/>
        <v>0</v>
      </c>
      <c r="DA27" s="744">
        <f ca="1">CX27+COUNTIFS($CY$6:$CY$53,CY27,$CZ$6:CZ$53,"&gt;"&amp;CZ27,$BC$6:$BC$53,INDEX(T_Equipos[Grupo],MATCH(BD27,T_Equipos[NombreEquipo],0)))</f>
        <v>1</v>
      </c>
      <c r="DB27" s="743" t="str">
        <f ca="1">IF(COUNTIFS($DA$6:$DA$53,DA27,$BC$6:$BC$53,INDEX(T_Equipos[Grupo],MATCH(BD27,T_Equipos[NombreEquipo],0)))=1,"-","P."&amp;DA27&amp;" ("&amp;COUNTIFS($DA$6:$DA$53,DA27,$BC$6:$BC$53,INDEX(T_Equipos[Grupo],MATCH(BD27,T_Equipos[NombreEquipo],0)))&amp;")")</f>
        <v>P.1 (4)</v>
      </c>
      <c r="DC27" s="742">
        <f ca="1">IF(DB27="-","-",COUNTIFS(T_Equipos[Rank],"&lt;"&amp;INDEX(T_Equipos[Rank],MATCH(BD27,T_Equipos[NombreEquipo],0)),$BC$6:$BC$53,INDEX(T_Equipos[Grupo],MATCH(BD27,T_Equipos[NombreEquipo],0)))+1)</f>
        <v>2</v>
      </c>
      <c r="DD27" s="742">
        <f ca="1">DA27+COUNTIFS($DB$6:$DB$53,DB27,$DC$6:DC$53,"&lt;"&amp;DC27,$BC$6:$BC$53,INDEX(T_Equipos[Grupo],MATCH(BD27,T_Equipos[NombreEquipo],0)))</f>
        <v>2</v>
      </c>
      <c r="DE27" s="742"/>
      <c r="DF27" s="742">
        <f t="shared" ca="1" si="52"/>
        <v>2</v>
      </c>
      <c r="DG27" s="742">
        <f ca="1">IF(DB27="-","-",COUNTIFS(DF$6:DF$53,"&lt;"&amp;DF27,$BC$6:$BC$53,INDEX(T_Equipos[Grupo],MATCH(BD27,T_Equipos[NombreEquipo],0))))</f>
        <v>1</v>
      </c>
      <c r="DH27" s="742">
        <f ca="1">DA27+COUNTIFS(DB$6:DB$53,DB27,DG$6:DG$53,"&lt;"&amp;DG27,$BC$6:$BC$53,INDEX(T_Equipos[Grupo],MATCH(BD27,T_Equipos[NombreEquipo],0)))</f>
        <v>2</v>
      </c>
      <c r="DI27" s="730"/>
      <c r="DJ27" s="730">
        <f t="shared" ca="1" si="53"/>
        <v>1</v>
      </c>
      <c r="DK27" s="730">
        <f t="shared" ca="1" si="24"/>
        <v>0</v>
      </c>
      <c r="DL27" s="730">
        <f t="shared" ca="1" si="33"/>
        <v>1</v>
      </c>
      <c r="DM27" s="724" t="str">
        <f t="shared" ca="1" si="34"/>
        <v>1.1</v>
      </c>
      <c r="DN27" s="730" cm="1">
        <f t="array" aca="1" ref="DN27" ca="1">OFFSET(Horarios!$P$3,DJ27-1,0,DL27,1)</f>
        <v>1</v>
      </c>
      <c r="DO27" s="730"/>
      <c r="DP27" s="730" t="s">
        <v>665</v>
      </c>
      <c r="DQ27" s="730" t="str">
        <f t="shared" ca="1" si="35"/>
        <v>Japón</v>
      </c>
      <c r="DR27" s="730"/>
      <c r="DS27" s="730"/>
      <c r="DT27" s="730" t="str">
        <f t="shared" si="15"/>
        <v>Casa-Fuera</v>
      </c>
      <c r="DU27" s="730"/>
      <c r="DV27" s="730"/>
      <c r="DW27" s="8"/>
    </row>
    <row r="28" spans="1:127" ht="15" customHeight="1" thickBot="1">
      <c r="A28" s="727" t="s">
        <v>30</v>
      </c>
      <c r="B28" s="728" t="s">
        <v>73</v>
      </c>
      <c r="C28" s="729">
        <f>COUNTIF(Equipos!$C$2:$C$49,WORLDCUP!B28)</f>
        <v>4</v>
      </c>
      <c r="D28" s="730" t="str">
        <f t="shared" ref="D28:D33" si="94">IF(OR(AC28="",AD28=""),"Pendiente",IF(AC28&gt;AD28,"Local",IF(AC28&lt;AD28,"Visitante","Empate")))</f>
        <v>Local</v>
      </c>
      <c r="E28" s="730" t="str">
        <f t="shared" ref="E28:E33" ca="1" si="95">IF(D28="Pendiente","-",INDEX($BT$6:$BT$53,MATCH($AA28,$BD$6:$BD$53,0)))</f>
        <v>-</v>
      </c>
      <c r="F28" s="730" t="str">
        <f t="shared" ref="F28:F33" ca="1" si="96">IF(D28="Pendiente","-",INDEX($BT$6:$BT$53,MATCH($AF28,$BD$6:$BD$53,0)))</f>
        <v>P.2 (3)</v>
      </c>
      <c r="G28" s="730"/>
      <c r="H28" s="730" t="str">
        <f t="shared" ref="H28:H33" ca="1" si="97">IF(D28="Pendiente","-",INDEX($BZ$6:$BZ$53,MATCH($AA28,$BD$6:$BD$53,0)))</f>
        <v>-</v>
      </c>
      <c r="I28" s="730" t="str">
        <f t="shared" ref="I28:I33" ca="1" si="98">IF(D28="Pendiente","-",INDEX($BZ$6:$BZ$53,MATCH($AF28,$BD$6:$BD$53,0)))</f>
        <v>P.2 (3)</v>
      </c>
      <c r="J28" s="730"/>
      <c r="K28" s="730" t="str">
        <f t="shared" ref="K28:K33" ca="1" si="99">IF(D28="Pendiente","-",INDEX($CE$6:$CE$53,MATCH($AA28,$BD$6:$BD$53,0)))</f>
        <v>-</v>
      </c>
      <c r="L28" s="730" t="str">
        <f t="shared" ref="L28:L33" ca="1" si="100">IF(D28="Pendiente","-",INDEX($CE$6:$CE$53,MATCH($AF28,$BD$6:$BD$53,0)))</f>
        <v>P.2 (3)</v>
      </c>
      <c r="M28" s="730"/>
      <c r="N28" s="730" t="str">
        <f t="shared" ref="N28:N33" ca="1" si="101">IF(D28="Pendiente","-",INDEX($CH$6:$CH$53,MATCH($AA28,$BD$6:$BD$53,0)))</f>
        <v>-</v>
      </c>
      <c r="O28" s="730" t="str">
        <f t="shared" ref="O28:O33" ca="1" si="102">IF(D28="Pendiente","-",INDEX($CH$6:$CH$53,MATCH($AF28,$BD$6:$BD$53,0)))</f>
        <v>P.2 (3)</v>
      </c>
      <c r="P28" s="730"/>
      <c r="Q28" s="730" t="str">
        <f t="shared" ref="Q28:Q33" ca="1" si="103">IF(D28="Pendiente","-",INDEX($CN$6:$CN$53,MATCH($AA28,$BD$6:$BD$53,0)))</f>
        <v>-</v>
      </c>
      <c r="R28" s="730" t="str">
        <f t="shared" ref="R28:R33" ca="1" si="104">IF(D28="Pendiente","-",INDEX($CN$6:$CN$53,MATCH($AF28,$BD$6:$BD$53,0)))</f>
        <v>P.2 (3)</v>
      </c>
      <c r="S28" s="730"/>
      <c r="T28" s="730" t="str">
        <f t="shared" ref="T28:T33" ca="1" si="105">IF(D28="Pendiente","-",INDEX($CS$6:$CS$53,MATCH($AA28,$BD$6:$BD$53,0)))</f>
        <v>-</v>
      </c>
      <c r="U28" s="730" t="str">
        <f t="shared" ref="U28:U33" ca="1" si="106">IF(D28="Pendiente","-",INDEX($CS$6:$CS$53,MATCH($AF28,$BD$6:$BD$53,0)))</f>
        <v>P.2 (3)</v>
      </c>
      <c r="V28" s="170"/>
      <c r="W28" s="860" t="s">
        <v>73</v>
      </c>
      <c r="X28" s="187">
        <f ca="1">Horarios!C28</f>
        <v>46185.875</v>
      </c>
      <c r="Y28" s="188">
        <f ca="1">Horarios!C28</f>
        <v>46185.875</v>
      </c>
      <c r="Z28" s="189" t="str">
        <f>$Z$4</f>
        <v>J1</v>
      </c>
      <c r="AA28" s="190" t="str">
        <f ca="1">A29</f>
        <v>Estados Unidos</v>
      </c>
      <c r="AB28" s="475" t="e" cm="1" vm="13">
        <f t="array" aca="1" ref="AB28" ca="1">Ver_flag_local</f>
        <v>#VALUE!</v>
      </c>
      <c r="AC28" s="191">
        <v>4</v>
      </c>
      <c r="AD28" s="192">
        <v>1</v>
      </c>
      <c r="AE28" s="480" t="e" cm="1" vm="14">
        <f t="array" aca="1" ref="AE28" ca="1">Ver_flag_visit</f>
        <v>#VALUE!</v>
      </c>
      <c r="AF28" s="193" t="str">
        <f ca="1">A30</f>
        <v>Paraguay</v>
      </c>
      <c r="AG28" s="411">
        <f t="shared" ref="AG28:AG33" si="107">IF(NOT(OR(ISBLANK(AC28),ISBLANK(AD28))),1,0)</f>
        <v>1</v>
      </c>
      <c r="AH28" s="194">
        <v>4</v>
      </c>
      <c r="AI28" s="19"/>
      <c r="AJ28" s="195" t="str">
        <f>CONCATENATE(AJ3," ",B28)</f>
        <v>Grupo D</v>
      </c>
      <c r="AK28" s="196"/>
      <c r="AL28" s="196"/>
      <c r="AM28" s="196"/>
      <c r="AN28" s="196"/>
      <c r="AO28" s="196"/>
      <c r="AP28" s="196"/>
      <c r="AQ28" s="196"/>
      <c r="AR28" s="196"/>
      <c r="AS28" s="196"/>
      <c r="AT28" s="197"/>
      <c r="AU28" s="419"/>
      <c r="AV28" s="198" t="str">
        <f t="shared" ref="AV28" ca="1" si="108">IF(AU29&gt;0,$AV$3,"")</f>
        <v/>
      </c>
      <c r="AW28" s="206"/>
      <c r="AX28" s="253"/>
      <c r="AY28" s="240"/>
      <c r="AZ28" s="241"/>
      <c r="BA28" s="173"/>
      <c r="BB28" s="730"/>
      <c r="BC28" s="742" t="str">
        <f ca="1">+INDEX(T_Equipos[Grupo],MATCH(WORLDCUP!BD28,T_Equipos[NombreEquipo],0))</f>
        <v>F</v>
      </c>
      <c r="BD28" s="730" t="str">
        <f ca="1">+Equipos!B24</f>
        <v>Suecia</v>
      </c>
      <c r="BE28" s="734">
        <f t="shared" ca="1" si="25"/>
        <v>0</v>
      </c>
      <c r="BF28" s="734">
        <f t="shared" ca="1" si="26"/>
        <v>0</v>
      </c>
      <c r="BG28" s="734">
        <f t="shared" ca="1" si="17"/>
        <v>0</v>
      </c>
      <c r="BH28" s="734">
        <f t="shared" ca="1" si="18"/>
        <v>0</v>
      </c>
      <c r="BI28" s="734">
        <f t="shared" ca="1" si="19"/>
        <v>0</v>
      </c>
      <c r="BJ28" s="734">
        <f t="shared" ca="1" si="20"/>
        <v>0</v>
      </c>
      <c r="BK28" s="734">
        <f t="shared" ca="1" si="21"/>
        <v>0</v>
      </c>
      <c r="BL28" s="734">
        <f t="shared" ca="1" si="27"/>
        <v>0</v>
      </c>
      <c r="BM28" s="734" t="str">
        <f t="shared" ca="1" si="22"/>
        <v>3F</v>
      </c>
      <c r="BN28" s="734" t="str">
        <f t="shared" ca="1" si="23"/>
        <v>3F</v>
      </c>
      <c r="BO28" s="744">
        <f t="shared" ca="1" si="28"/>
        <v>0</v>
      </c>
      <c r="BP28" s="743">
        <f ca="1">COUNTIFS($BO$6:$BO$53,"&gt;"&amp;BO28,$BC$6:$BC$53,INDEX(T_Equipos[Grupo],MATCH(BD28,T_Equipos[NombreEquipo],0)))+1</f>
        <v>1</v>
      </c>
      <c r="BQ28" s="743" t="str">
        <f ca="1">IF(COUNTIFS($BP$6:$BP$53,BP28,$BC$6:$BC$53,INDEX(T_Equipos[Grupo],MATCH(BD28,T_Equipos[NombreEquipo],0)))=1,"-","P."&amp;BP28&amp;" ("&amp;COUNTIFS($BP$6:$BP$53,BP28,$BC$6:$BC$53,INDEX(T_Equipos[Grupo],MATCH(BD28,T_Equipos[NombreEquipo],0)))&amp;")")</f>
        <v>P.1 (4)</v>
      </c>
      <c r="BR28" s="744">
        <f t="shared" ca="1" si="29"/>
        <v>0</v>
      </c>
      <c r="BS28" s="743">
        <f ca="1">BP28+COUNTIFS($BQ$6:$BQ$53,BQ28,$BR$6:BR$53,"&gt;"&amp;BR28,$BC$6:$BC$53,INDEX(T_Equipos[Grupo],MATCH(BD28,T_Equipos[NombreEquipo],0)))</f>
        <v>1</v>
      </c>
      <c r="BT28" s="743" t="str">
        <f ca="1">IF(COUNTIFS($BS$6:$BS$53,BS28,$BC$6:$BC$53,INDEX(T_Equipos[Grupo],MATCH(BD28,T_Equipos[NombreEquipo],0)))=1,"-","P."&amp;BS28&amp;" ("&amp;COUNTIFS($BS$6:$BS$53,BS28,$BC$6:$BC$53,INDEX(T_Equipos[Grupo],MATCH(BD28,T_Equipos[NombreEquipo],0)))&amp;")")</f>
        <v>P.1 (4)</v>
      </c>
      <c r="BU28" s="744">
        <f t="shared" ca="1" si="36"/>
        <v>0</v>
      </c>
      <c r="BV28" s="744">
        <f t="shared" ca="1" si="37"/>
        <v>0</v>
      </c>
      <c r="BW28" s="744">
        <f t="shared" ca="1" si="38"/>
        <v>0</v>
      </c>
      <c r="BX28" s="744">
        <f t="shared" ca="1" si="39"/>
        <v>0</v>
      </c>
      <c r="BY28" s="744">
        <f ca="1">BS28+COUNTIFS($BT$6:$BT$53,BT28,$BX$6:BX$53,"&gt;"&amp;BX28,$BC$6:$BC$53,INDEX(T_Equipos[Grupo],MATCH(BD28,T_Equipos[NombreEquipo],0)))</f>
        <v>1</v>
      </c>
      <c r="BZ28" s="743" t="str">
        <f ca="1">IF(COUNTIFS($BY$6:$BY$53,BY28,$BC$6:$BC$53,INDEX(T_Equipos[Grupo],MATCH(BD28,T_Equipos[NombreEquipo],0)))=1,"-","P."&amp;BY28&amp;" ("&amp;COUNTIFS($BY$6:$BY$53,BY28,$BC$6:$BC$53,INDEX(T_Equipos[Grupo],MATCH(BD28,T_Equipos[NombreEquipo],0)))&amp;")")</f>
        <v>P.1 (4)</v>
      </c>
      <c r="CA28" s="744">
        <f t="shared" ca="1" si="40"/>
        <v>0</v>
      </c>
      <c r="CB28" s="744">
        <f t="shared" ca="1" si="41"/>
        <v>0</v>
      </c>
      <c r="CC28" s="744">
        <f t="shared" ca="1" si="42"/>
        <v>0</v>
      </c>
      <c r="CD28" s="744">
        <f ca="1">BY28+COUNTIFS($BZ$6:$BZ$53,BZ28,$CC$6:CC$53,"&gt;"&amp;CC28,$BC$6:$BC$53,INDEX(T_Equipos[Grupo],MATCH(BD28,T_Equipos[NombreEquipo],0)))</f>
        <v>1</v>
      </c>
      <c r="CE28" s="743" t="str">
        <f ca="1">IF(COUNTIFS($CD$6:$CD$53,CD28,$BC$6:$BC$53,INDEX(T_Equipos[Grupo],MATCH(BD28,T_Equipos[NombreEquipo],0)))=1,"-","P."&amp;CD28&amp;" ("&amp;COUNTIFS($CD$6:$CD$53,CD28,$BC$6:$BC$53,INDEX(T_Equipos[Grupo],MATCH(BD28,T_Equipos[NombreEquipo],0)))&amp;")")</f>
        <v>P.1 (4)</v>
      </c>
      <c r="CF28" s="744">
        <f t="shared" ca="1" si="43"/>
        <v>0</v>
      </c>
      <c r="CG28" s="744">
        <f ca="1">CD28+COUNTIFS($CE$6:$CE$53,CE28,$CF$6:CF$53,"&gt;"&amp;CF28,$BC$6:$BC$53,INDEX(T_Equipos[Grupo],MATCH(BD28,T_Equipos[NombreEquipo],0)))</f>
        <v>1</v>
      </c>
      <c r="CH28" s="743" t="str">
        <f ca="1">IF(COUNTIFS($CG$6:$CG$53,CG28,$BC$6:$BC$53,INDEX(T_Equipos[Grupo],MATCH(BD28,T_Equipos[NombreEquipo],0)))=1,"-","P."&amp;CG28&amp;" ("&amp;COUNTIFS($CG$6:$CG$53,CG28,$BC$6:$BC$53,INDEX(T_Equipos[Grupo],MATCH(BD28,T_Equipos[NombreEquipo],0)))&amp;")")</f>
        <v>P.1 (4)</v>
      </c>
      <c r="CI28" s="744">
        <f t="shared" ca="1" si="44"/>
        <v>0</v>
      </c>
      <c r="CJ28" s="744">
        <f t="shared" ca="1" si="45"/>
        <v>0</v>
      </c>
      <c r="CK28" s="744">
        <f t="shared" ca="1" si="46"/>
        <v>0</v>
      </c>
      <c r="CL28" s="744">
        <f t="shared" ca="1" si="47"/>
        <v>0</v>
      </c>
      <c r="CM28" s="744">
        <f ca="1">CG28+COUNTIFS($CH$6:$CH$53,CH28,$CL$6:CL$53,"&gt;"&amp;CL28,$BC$6:$BC$53,INDEX(T_Equipos[Grupo],MATCH(BD28,T_Equipos[NombreEquipo],0)))</f>
        <v>1</v>
      </c>
      <c r="CN28" s="743" t="str">
        <f ca="1">IF(COUNTIFS($CM$6:$CM$53,CM28,$BC$6:$BC$53,INDEX(T_Equipos[Grupo],MATCH(BD28,T_Equipos[NombreEquipo],0)))=1,"-","P."&amp;CM28&amp;" ("&amp;COUNTIFS($CM$6:$CM$53,CM28,$BC$6:$BC$53,INDEX(T_Equipos[Grupo],MATCH(BD28,T_Equipos[NombreEquipo],0)))&amp;")")</f>
        <v>P.1 (4)</v>
      </c>
      <c r="CO28" s="744">
        <f t="shared" ca="1" si="48"/>
        <v>0</v>
      </c>
      <c r="CP28" s="744">
        <f t="shared" ca="1" si="49"/>
        <v>0</v>
      </c>
      <c r="CQ28" s="744">
        <f t="shared" ca="1" si="50"/>
        <v>0</v>
      </c>
      <c r="CR28" s="744">
        <f ca="1">CM28+COUNTIFS($CN$6:$CN$53,CN28,$CQ$6:CQ$53,"&gt;"&amp;CQ28,$BC$6:$BC$53,INDEX(T_Equipos[Grupo],MATCH(BD28,T_Equipos[NombreEquipo],0)))</f>
        <v>1</v>
      </c>
      <c r="CS28" s="743" t="str">
        <f ca="1">IF(COUNTIFS($CR$6:$CR$53,CR28,$BC$6:$BC$53,INDEX(T_Equipos[Grupo],MATCH(BD28,T_Equipos[NombreEquipo],0)))=1,"-","P."&amp;CR28&amp;" ("&amp;COUNTIFS($CR$6:$CR$53,CR28,$BC$6:$BC$53,INDEX(T_Equipos[Grupo],MATCH(BD28,T_Equipos[NombreEquipo],0)))&amp;")")</f>
        <v>P.1 (4)</v>
      </c>
      <c r="CT28" s="744">
        <f t="shared" ca="1" si="51"/>
        <v>0</v>
      </c>
      <c r="CU28" s="744">
        <f ca="1">CR28+COUNTIFS($CS$6:$CS$53,CS28,$CT$6:CT$53,"&gt;"&amp;CT28,$BC$6:$BC$53,INDEX(T_Equipos[Grupo],MATCH(BD28,T_Equipos[NombreEquipo],0)))</f>
        <v>1</v>
      </c>
      <c r="CV28" s="743" t="str">
        <f ca="1">IF(COUNTIFS($CU$6:$CU$53,CU28,$BC$6:$BC$53,INDEX(T_Equipos[Grupo],MATCH(BD28,T_Equipos[NombreEquipo],0)))=1,"-","P."&amp;CU28&amp;" ("&amp;COUNTIFS($CU$6:$CU$53,CU28,$BC$6:$BC$53,INDEX(T_Equipos[Grupo],MATCH(BD28,T_Equipos[NombreEquipo],0)))&amp;")")</f>
        <v>P.1 (4)</v>
      </c>
      <c r="CW28" s="743">
        <f t="shared" ca="1" si="30"/>
        <v>0</v>
      </c>
      <c r="CX28" s="743">
        <f ca="1">CU28+COUNTIFS($CV$6:$CV$53,CV28,$CW$6:CW$53,"&gt;"&amp;CW28,$BC$6:$BC$53,INDEX(T_Equipos[Grupo],MATCH(BD28,T_Equipos[NombreEquipo],0)))</f>
        <v>1</v>
      </c>
      <c r="CY28" s="743" t="str">
        <f ca="1">IF(COUNTIFS($CX$6:$CX$53,CX28,$BC$6:$BC$53,INDEX(T_Equipos[Grupo],MATCH(BD28,T_Equipos[NombreEquipo],0)))=1,"-","P."&amp;CX28&amp;" ("&amp;COUNTIFS($CX$6:$CX$53,CX28,$BC$6:$BC$53,INDEX(T_Equipos[Grupo],MATCH(BD28,T_Equipos[NombreEquipo],0)))&amp;")")</f>
        <v>P.1 (4)</v>
      </c>
      <c r="CZ28" s="743">
        <f t="shared" ca="1" si="31"/>
        <v>0</v>
      </c>
      <c r="DA28" s="744">
        <f ca="1">CX28+COUNTIFS($CY$6:$CY$53,CY28,$CZ$6:CZ$53,"&gt;"&amp;CZ28,$BC$6:$BC$53,INDEX(T_Equipos[Grupo],MATCH(BD28,T_Equipos[NombreEquipo],0)))</f>
        <v>1</v>
      </c>
      <c r="DB28" s="743" t="str">
        <f ca="1">IF(COUNTIFS($DA$6:$DA$53,DA28,$BC$6:$BC$53,INDEX(T_Equipos[Grupo],MATCH(BD28,T_Equipos[NombreEquipo],0)))=1,"-","P."&amp;DA28&amp;" ("&amp;COUNTIFS($DA$6:$DA$53,DA28,$BC$6:$BC$53,INDEX(T_Equipos[Grupo],MATCH(BD28,T_Equipos[NombreEquipo],0)))&amp;")")</f>
        <v>P.1 (4)</v>
      </c>
      <c r="DC28" s="742">
        <f ca="1">IF(DB28="-","-",COUNTIFS(T_Equipos[Rank],"&lt;"&amp;INDEX(T_Equipos[Rank],MATCH(BD28,T_Equipos[NombreEquipo],0)),$BC$6:$BC$53,INDEX(T_Equipos[Grupo],MATCH(BD28,T_Equipos[NombreEquipo],0)))+1)</f>
        <v>3</v>
      </c>
      <c r="DD28" s="742">
        <f ca="1">DA28+COUNTIFS($DB$6:$DB$53,DB28,$DC$6:DC$53,"&lt;"&amp;DC28,$BC$6:$BC$53,INDEX(T_Equipos[Grupo],MATCH(BD28,T_Equipos[NombreEquipo],0)))</f>
        <v>3</v>
      </c>
      <c r="DE28" s="742"/>
      <c r="DF28" s="742">
        <f t="shared" ca="1" si="52"/>
        <v>3</v>
      </c>
      <c r="DG28" s="742">
        <f ca="1">IF(DB28="-","-",COUNTIFS(DF$6:DF$53,"&lt;"&amp;DF28,$BC$6:$BC$53,INDEX(T_Equipos[Grupo],MATCH(BD28,T_Equipos[NombreEquipo],0))))</f>
        <v>2</v>
      </c>
      <c r="DH28" s="742">
        <f ca="1">DA28+COUNTIFS(DB$6:DB$53,DB28,DG$6:DG$53,"&lt;"&amp;DG28,$BC$6:$BC$53,INDEX(T_Equipos[Grupo],MATCH(BD28,T_Equipos[NombreEquipo],0)))</f>
        <v>3</v>
      </c>
      <c r="DI28" s="730"/>
      <c r="DJ28" s="730">
        <f t="shared" ca="1" si="53"/>
        <v>1</v>
      </c>
      <c r="DK28" s="730">
        <f t="shared" ca="1" si="24"/>
        <v>0</v>
      </c>
      <c r="DL28" s="730">
        <f t="shared" ca="1" si="33"/>
        <v>1</v>
      </c>
      <c r="DM28" s="724" t="str">
        <f t="shared" ca="1" si="34"/>
        <v>1.1</v>
      </c>
      <c r="DN28" s="730" cm="1">
        <f t="array" aca="1" ref="DN28" ca="1">OFFSET(Horarios!$P$3,DJ28-1,0,DL28,1)</f>
        <v>1</v>
      </c>
      <c r="DO28" s="730"/>
      <c r="DP28" s="730" t="s">
        <v>94</v>
      </c>
      <c r="DQ28" s="730" t="str">
        <f t="shared" ca="1" si="35"/>
        <v>Suecia</v>
      </c>
      <c r="DR28" s="730"/>
      <c r="DS28" s="730"/>
      <c r="DT28" s="730" t="str">
        <f t="shared" ca="1" si="15"/>
        <v>Estados Unidos-Paraguay</v>
      </c>
      <c r="DU28" s="730"/>
      <c r="DV28" s="730"/>
      <c r="DW28" s="8"/>
    </row>
    <row r="29" spans="1:127" ht="16.05" customHeight="1">
      <c r="A29" s="731" t="str">
        <f ca="1">+Equipos!B14</f>
        <v>Estados Unidos</v>
      </c>
      <c r="B29" s="728"/>
      <c r="C29" s="728"/>
      <c r="D29" s="730" t="str">
        <f t="shared" si="94"/>
        <v>Pendiente</v>
      </c>
      <c r="E29" s="730" t="str">
        <f t="shared" si="95"/>
        <v>-</v>
      </c>
      <c r="F29" s="730" t="str">
        <f t="shared" si="96"/>
        <v>-</v>
      </c>
      <c r="G29" s="730"/>
      <c r="H29" s="730" t="str">
        <f t="shared" si="97"/>
        <v>-</v>
      </c>
      <c r="I29" s="730" t="str">
        <f t="shared" si="98"/>
        <v>-</v>
      </c>
      <c r="J29" s="730"/>
      <c r="K29" s="730" t="str">
        <f t="shared" si="99"/>
        <v>-</v>
      </c>
      <c r="L29" s="730" t="str">
        <f t="shared" si="100"/>
        <v>-</v>
      </c>
      <c r="M29" s="730"/>
      <c r="N29" s="730" t="str">
        <f t="shared" si="101"/>
        <v>-</v>
      </c>
      <c r="O29" s="730" t="str">
        <f t="shared" si="102"/>
        <v>-</v>
      </c>
      <c r="P29" s="730"/>
      <c r="Q29" s="730" t="str">
        <f t="shared" si="103"/>
        <v>-</v>
      </c>
      <c r="R29" s="730" t="str">
        <f t="shared" si="104"/>
        <v>-</v>
      </c>
      <c r="S29" s="730"/>
      <c r="T29" s="730" t="str">
        <f t="shared" si="105"/>
        <v>-</v>
      </c>
      <c r="U29" s="730" t="str">
        <f t="shared" si="106"/>
        <v>-</v>
      </c>
      <c r="V29" s="170"/>
      <c r="W29" s="860"/>
      <c r="X29" s="187">
        <f ca="1">Horarios!C29</f>
        <v>46187</v>
      </c>
      <c r="Y29" s="188">
        <f ca="1">Horarios!C29</f>
        <v>46187</v>
      </c>
      <c r="Z29" s="189" t="str">
        <f>$Z$4</f>
        <v>J1</v>
      </c>
      <c r="AA29" s="190" t="str">
        <f ca="1">A31</f>
        <v>Australia</v>
      </c>
      <c r="AB29" s="475" t="e" cm="1" vm="15">
        <f t="array" aca="1" ref="AB29" ca="1">Ver_flag_local</f>
        <v>#VALUE!</v>
      </c>
      <c r="AC29" s="191"/>
      <c r="AD29" s="192"/>
      <c r="AE29" s="480" t="e" cm="1" vm="16">
        <f t="array" aca="1" ref="AE29" ca="1">Ver_flag_visit</f>
        <v>#VALUE!</v>
      </c>
      <c r="AF29" s="193" t="str">
        <f ca="1">A32</f>
        <v>Turquía</v>
      </c>
      <c r="AG29" s="411">
        <f t="shared" si="107"/>
        <v>0</v>
      </c>
      <c r="AH29" s="194">
        <v>6</v>
      </c>
      <c r="AI29" s="19"/>
      <c r="AJ29" s="202" t="str">
        <f>AJ5</f>
        <v>Pos</v>
      </c>
      <c r="AK29" s="203"/>
      <c r="AL29" s="204" t="str">
        <f t="shared" ref="AL29:AT29" si="109">AL5</f>
        <v>Selección</v>
      </c>
      <c r="AM29" s="203" t="str">
        <f t="shared" si="109"/>
        <v>Pts</v>
      </c>
      <c r="AN29" s="203" t="str">
        <f t="shared" si="109"/>
        <v>J</v>
      </c>
      <c r="AO29" s="203" t="str">
        <f t="shared" si="109"/>
        <v>G</v>
      </c>
      <c r="AP29" s="203" t="str">
        <f t="shared" si="109"/>
        <v>E</v>
      </c>
      <c r="AQ29" s="203" t="str">
        <f t="shared" si="109"/>
        <v>P</v>
      </c>
      <c r="AR29" s="203" t="str">
        <f t="shared" si="109"/>
        <v>GF</v>
      </c>
      <c r="AS29" s="203" t="str">
        <f t="shared" si="109"/>
        <v>GC</v>
      </c>
      <c r="AT29" s="205" t="str">
        <f t="shared" si="109"/>
        <v>DG</v>
      </c>
      <c r="AU29" s="419">
        <f t="shared" ref="AU29" ca="1" si="110">COUNTIF(AU30:AU33,"&gt;1")</f>
        <v>0</v>
      </c>
      <c r="AV29" s="206"/>
      <c r="AW29" s="206"/>
      <c r="AX29" s="253"/>
      <c r="AY29" s="207" t="str">
        <f>AL29</f>
        <v>Selección</v>
      </c>
      <c r="AZ29" s="208" t="str">
        <f>+Idiomas!$D$69</f>
        <v>Puntos penalizados</v>
      </c>
      <c r="BA29" s="173"/>
      <c r="BB29" s="730"/>
      <c r="BC29" s="742" t="str">
        <f ca="1">+INDEX(T_Equipos[Grupo],MATCH(WORLDCUP!BD29,T_Equipos[NombreEquipo],0))</f>
        <v>F</v>
      </c>
      <c r="BD29" s="730" t="str">
        <f ca="1">+Equipos!B25</f>
        <v>Túnez</v>
      </c>
      <c r="BE29" s="734">
        <f t="shared" ca="1" si="25"/>
        <v>0</v>
      </c>
      <c r="BF29" s="734">
        <f t="shared" ca="1" si="26"/>
        <v>0</v>
      </c>
      <c r="BG29" s="734">
        <f t="shared" ca="1" si="17"/>
        <v>0</v>
      </c>
      <c r="BH29" s="734">
        <f t="shared" ca="1" si="18"/>
        <v>0</v>
      </c>
      <c r="BI29" s="734">
        <f t="shared" ca="1" si="19"/>
        <v>0</v>
      </c>
      <c r="BJ29" s="734">
        <f t="shared" ca="1" si="20"/>
        <v>0</v>
      </c>
      <c r="BK29" s="734">
        <f t="shared" ca="1" si="21"/>
        <v>0</v>
      </c>
      <c r="BL29" s="734">
        <f t="shared" ca="1" si="27"/>
        <v>0</v>
      </c>
      <c r="BM29" s="734" t="str">
        <f t="shared" ca="1" si="22"/>
        <v>4F</v>
      </c>
      <c r="BN29" s="734" t="str">
        <f t="shared" ca="1" si="23"/>
        <v>4F</v>
      </c>
      <c r="BO29" s="744">
        <f t="shared" ca="1" si="28"/>
        <v>0</v>
      </c>
      <c r="BP29" s="743">
        <f ca="1">COUNTIFS($BO$6:$BO$53,"&gt;"&amp;BO29,$BC$6:$BC$53,INDEX(T_Equipos[Grupo],MATCH(BD29,T_Equipos[NombreEquipo],0)))+1</f>
        <v>1</v>
      </c>
      <c r="BQ29" s="743" t="str">
        <f ca="1">IF(COUNTIFS($BP$6:$BP$53,BP29,$BC$6:$BC$53,INDEX(T_Equipos[Grupo],MATCH(BD29,T_Equipos[NombreEquipo],0)))=1,"-","P."&amp;BP29&amp;" ("&amp;COUNTIFS($BP$6:$BP$53,BP29,$BC$6:$BC$53,INDEX(T_Equipos[Grupo],MATCH(BD29,T_Equipos[NombreEquipo],0)))&amp;")")</f>
        <v>P.1 (4)</v>
      </c>
      <c r="BR29" s="744">
        <f t="shared" ca="1" si="29"/>
        <v>0</v>
      </c>
      <c r="BS29" s="743">
        <f ca="1">BP29+COUNTIFS($BQ$6:$BQ$53,BQ29,$BR$6:BR$53,"&gt;"&amp;BR29,$BC$6:$BC$53,INDEX(T_Equipos[Grupo],MATCH(BD29,T_Equipos[NombreEquipo],0)))</f>
        <v>1</v>
      </c>
      <c r="BT29" s="743" t="str">
        <f ca="1">IF(COUNTIFS($BS$6:$BS$53,BS29,$BC$6:$BC$53,INDEX(T_Equipos[Grupo],MATCH(BD29,T_Equipos[NombreEquipo],0)))=1,"-","P."&amp;BS29&amp;" ("&amp;COUNTIFS($BS$6:$BS$53,BS29,$BC$6:$BC$53,INDEX(T_Equipos[Grupo],MATCH(BD29,T_Equipos[NombreEquipo],0)))&amp;")")</f>
        <v>P.1 (4)</v>
      </c>
      <c r="BU29" s="744">
        <f t="shared" ca="1" si="36"/>
        <v>0</v>
      </c>
      <c r="BV29" s="744">
        <f t="shared" ca="1" si="37"/>
        <v>0</v>
      </c>
      <c r="BW29" s="744">
        <f t="shared" ca="1" si="38"/>
        <v>0</v>
      </c>
      <c r="BX29" s="744">
        <f t="shared" ca="1" si="39"/>
        <v>0</v>
      </c>
      <c r="BY29" s="744">
        <f ca="1">BS29+COUNTIFS($BT$6:$BT$53,BT29,$BX$6:BX$53,"&gt;"&amp;BX29,$BC$6:$BC$53,INDEX(T_Equipos[Grupo],MATCH(BD29,T_Equipos[NombreEquipo],0)))</f>
        <v>1</v>
      </c>
      <c r="BZ29" s="743" t="str">
        <f ca="1">IF(COUNTIFS($BY$6:$BY$53,BY29,$BC$6:$BC$53,INDEX(T_Equipos[Grupo],MATCH(BD29,T_Equipos[NombreEquipo],0)))=1,"-","P."&amp;BY29&amp;" ("&amp;COUNTIFS($BY$6:$BY$53,BY29,$BC$6:$BC$53,INDEX(T_Equipos[Grupo],MATCH(BD29,T_Equipos[NombreEquipo],0)))&amp;")")</f>
        <v>P.1 (4)</v>
      </c>
      <c r="CA29" s="744">
        <f t="shared" ca="1" si="40"/>
        <v>0</v>
      </c>
      <c r="CB29" s="744">
        <f t="shared" ca="1" si="41"/>
        <v>0</v>
      </c>
      <c r="CC29" s="744">
        <f t="shared" ca="1" si="42"/>
        <v>0</v>
      </c>
      <c r="CD29" s="744">
        <f ca="1">BY29+COUNTIFS($BZ$6:$BZ$53,BZ29,$CC$6:CC$53,"&gt;"&amp;CC29,$BC$6:$BC$53,INDEX(T_Equipos[Grupo],MATCH(BD29,T_Equipos[NombreEquipo],0)))</f>
        <v>1</v>
      </c>
      <c r="CE29" s="743" t="str">
        <f ca="1">IF(COUNTIFS($CD$6:$CD$53,CD29,$BC$6:$BC$53,INDEX(T_Equipos[Grupo],MATCH(BD29,T_Equipos[NombreEquipo],0)))=1,"-","P."&amp;CD29&amp;" ("&amp;COUNTIFS($CD$6:$CD$53,CD29,$BC$6:$BC$53,INDEX(T_Equipos[Grupo],MATCH(BD29,T_Equipos[NombreEquipo],0)))&amp;")")</f>
        <v>P.1 (4)</v>
      </c>
      <c r="CF29" s="744">
        <f t="shared" ca="1" si="43"/>
        <v>0</v>
      </c>
      <c r="CG29" s="744">
        <f ca="1">CD29+COUNTIFS($CE$6:$CE$53,CE29,$CF$6:CF$53,"&gt;"&amp;CF29,$BC$6:$BC$53,INDEX(T_Equipos[Grupo],MATCH(BD29,T_Equipos[NombreEquipo],0)))</f>
        <v>1</v>
      </c>
      <c r="CH29" s="743" t="str">
        <f ca="1">IF(COUNTIFS($CG$6:$CG$53,CG29,$BC$6:$BC$53,INDEX(T_Equipos[Grupo],MATCH(BD29,T_Equipos[NombreEquipo],0)))=1,"-","P."&amp;CG29&amp;" ("&amp;COUNTIFS($CG$6:$CG$53,CG29,$BC$6:$BC$53,INDEX(T_Equipos[Grupo],MATCH(BD29,T_Equipos[NombreEquipo],0)))&amp;")")</f>
        <v>P.1 (4)</v>
      </c>
      <c r="CI29" s="744">
        <f t="shared" ca="1" si="44"/>
        <v>0</v>
      </c>
      <c r="CJ29" s="744">
        <f t="shared" ca="1" si="45"/>
        <v>0</v>
      </c>
      <c r="CK29" s="744">
        <f t="shared" ca="1" si="46"/>
        <v>0</v>
      </c>
      <c r="CL29" s="744">
        <f t="shared" ca="1" si="47"/>
        <v>0</v>
      </c>
      <c r="CM29" s="744">
        <f ca="1">CG29+COUNTIFS($CH$6:$CH$53,CH29,$CL$6:CL$53,"&gt;"&amp;CL29,$BC$6:$BC$53,INDEX(T_Equipos[Grupo],MATCH(BD29,T_Equipos[NombreEquipo],0)))</f>
        <v>1</v>
      </c>
      <c r="CN29" s="743" t="str">
        <f ca="1">IF(COUNTIFS($CM$6:$CM$53,CM29,$BC$6:$BC$53,INDEX(T_Equipos[Grupo],MATCH(BD29,T_Equipos[NombreEquipo],0)))=1,"-","P."&amp;CM29&amp;" ("&amp;COUNTIFS($CM$6:$CM$53,CM29,$BC$6:$BC$53,INDEX(T_Equipos[Grupo],MATCH(BD29,T_Equipos[NombreEquipo],0)))&amp;")")</f>
        <v>P.1 (4)</v>
      </c>
      <c r="CO29" s="744">
        <f t="shared" ca="1" si="48"/>
        <v>0</v>
      </c>
      <c r="CP29" s="744">
        <f t="shared" ca="1" si="49"/>
        <v>0</v>
      </c>
      <c r="CQ29" s="744">
        <f t="shared" ca="1" si="50"/>
        <v>0</v>
      </c>
      <c r="CR29" s="744">
        <f ca="1">CM29+COUNTIFS($CN$6:$CN$53,CN29,$CQ$6:CQ$53,"&gt;"&amp;CQ29,$BC$6:$BC$53,INDEX(T_Equipos[Grupo],MATCH(BD29,T_Equipos[NombreEquipo],0)))</f>
        <v>1</v>
      </c>
      <c r="CS29" s="743" t="str">
        <f ca="1">IF(COUNTIFS($CR$6:$CR$53,CR29,$BC$6:$BC$53,INDEX(T_Equipos[Grupo],MATCH(BD29,T_Equipos[NombreEquipo],0)))=1,"-","P."&amp;CR29&amp;" ("&amp;COUNTIFS($CR$6:$CR$53,CR29,$BC$6:$BC$53,INDEX(T_Equipos[Grupo],MATCH(BD29,T_Equipos[NombreEquipo],0)))&amp;")")</f>
        <v>P.1 (4)</v>
      </c>
      <c r="CT29" s="744">
        <f t="shared" ca="1" si="51"/>
        <v>0</v>
      </c>
      <c r="CU29" s="744">
        <f ca="1">CR29+COUNTIFS($CS$6:$CS$53,CS29,$CT$6:CT$53,"&gt;"&amp;CT29,$BC$6:$BC$53,INDEX(T_Equipos[Grupo],MATCH(BD29,T_Equipos[NombreEquipo],0)))</f>
        <v>1</v>
      </c>
      <c r="CV29" s="743" t="str">
        <f ca="1">IF(COUNTIFS($CU$6:$CU$53,CU29,$BC$6:$BC$53,INDEX(T_Equipos[Grupo],MATCH(BD29,T_Equipos[NombreEquipo],0)))=1,"-","P."&amp;CU29&amp;" ("&amp;COUNTIFS($CU$6:$CU$53,CU29,$BC$6:$BC$53,INDEX(T_Equipos[Grupo],MATCH(BD29,T_Equipos[NombreEquipo],0)))&amp;")")</f>
        <v>P.1 (4)</v>
      </c>
      <c r="CW29" s="743">
        <f t="shared" ca="1" si="30"/>
        <v>0</v>
      </c>
      <c r="CX29" s="743">
        <f ca="1">CU29+COUNTIFS($CV$6:$CV$53,CV29,$CW$6:CW$53,"&gt;"&amp;CW29,$BC$6:$BC$53,INDEX(T_Equipos[Grupo],MATCH(BD29,T_Equipos[NombreEquipo],0)))</f>
        <v>1</v>
      </c>
      <c r="CY29" s="743" t="str">
        <f ca="1">IF(COUNTIFS($CX$6:$CX$53,CX29,$BC$6:$BC$53,INDEX(T_Equipos[Grupo],MATCH(BD29,T_Equipos[NombreEquipo],0)))=1,"-","P."&amp;CX29&amp;" ("&amp;COUNTIFS($CX$6:$CX$53,CX29,$BC$6:$BC$53,INDEX(T_Equipos[Grupo],MATCH(BD29,T_Equipos[NombreEquipo],0)))&amp;")")</f>
        <v>P.1 (4)</v>
      </c>
      <c r="CZ29" s="743">
        <f t="shared" ca="1" si="31"/>
        <v>0</v>
      </c>
      <c r="DA29" s="744">
        <f ca="1">CX29+COUNTIFS($CY$6:$CY$53,CY29,$CZ$6:CZ$53,"&gt;"&amp;CZ29,$BC$6:$BC$53,INDEX(T_Equipos[Grupo],MATCH(BD29,T_Equipos[NombreEquipo],0)))</f>
        <v>1</v>
      </c>
      <c r="DB29" s="743" t="str">
        <f ca="1">IF(COUNTIFS($DA$6:$DA$53,DA29,$BC$6:$BC$53,INDEX(T_Equipos[Grupo],MATCH(BD29,T_Equipos[NombreEquipo],0)))=1,"-","P."&amp;DA29&amp;" ("&amp;COUNTIFS($DA$6:$DA$53,DA29,$BC$6:$BC$53,INDEX(T_Equipos[Grupo],MATCH(BD29,T_Equipos[NombreEquipo],0)))&amp;")")</f>
        <v>P.1 (4)</v>
      </c>
      <c r="DC29" s="742">
        <f ca="1">IF(DB29="-","-",COUNTIFS(T_Equipos[Rank],"&lt;"&amp;INDEX(T_Equipos[Rank],MATCH(BD29,T_Equipos[NombreEquipo],0)),$BC$6:$BC$53,INDEX(T_Equipos[Grupo],MATCH(BD29,T_Equipos[NombreEquipo],0)))+1)</f>
        <v>4</v>
      </c>
      <c r="DD29" s="742">
        <f ca="1">DA29+COUNTIFS($DB$6:$DB$53,DB29,$DC$6:DC$53,"&lt;"&amp;DC29,$BC$6:$BC$53,INDEX(T_Equipos[Grupo],MATCH(BD29,T_Equipos[NombreEquipo],0)))</f>
        <v>4</v>
      </c>
      <c r="DE29" s="742"/>
      <c r="DF29" s="742">
        <f t="shared" ca="1" si="52"/>
        <v>4</v>
      </c>
      <c r="DG29" s="742">
        <f ca="1">IF(DB29="-","-",COUNTIFS(DF$6:DF$53,"&lt;"&amp;DF29,$BC$6:$BC$53,INDEX(T_Equipos[Grupo],MATCH(BD29,T_Equipos[NombreEquipo],0))))</f>
        <v>3</v>
      </c>
      <c r="DH29" s="742">
        <f ca="1">DA29+COUNTIFS(DB$6:DB$53,DB29,DG$6:DG$53,"&lt;"&amp;DG29,$BC$6:$BC$53,INDEX(T_Equipos[Grupo],MATCH(BD29,T_Equipos[NombreEquipo],0)))</f>
        <v>4</v>
      </c>
      <c r="DI29" s="730"/>
      <c r="DJ29" s="730">
        <f t="shared" ca="1" si="53"/>
        <v>1</v>
      </c>
      <c r="DK29" s="730">
        <f t="shared" ca="1" si="24"/>
        <v>0</v>
      </c>
      <c r="DL29" s="730">
        <f t="shared" ca="1" si="33"/>
        <v>1</v>
      </c>
      <c r="DM29" s="724" t="str">
        <f t="shared" ca="1" si="34"/>
        <v>1.1</v>
      </c>
      <c r="DN29" s="730" cm="1">
        <f t="array" aca="1" ref="DN29" ca="1">OFFSET(Horarios!$P$3,DJ29-1,0,DL29,1)</f>
        <v>1</v>
      </c>
      <c r="DO29" s="730"/>
      <c r="DP29" s="730" t="s">
        <v>666</v>
      </c>
      <c r="DQ29" s="730" t="str">
        <f t="shared" ca="1" si="35"/>
        <v>Túnez</v>
      </c>
      <c r="DR29" s="730"/>
      <c r="DS29" s="730"/>
      <c r="DT29" s="730" t="str">
        <f t="shared" ca="1" si="15"/>
        <v>Australia-Turquía</v>
      </c>
      <c r="DU29" s="730"/>
      <c r="DV29" s="730"/>
      <c r="DW29" s="8"/>
    </row>
    <row r="30" spans="1:127" ht="16.05" customHeight="1">
      <c r="A30" s="731" t="str">
        <f ca="1">+Equipos!B15</f>
        <v>Paraguay</v>
      </c>
      <c r="B30" s="728"/>
      <c r="C30" s="732"/>
      <c r="D30" s="730" t="str">
        <f t="shared" si="94"/>
        <v>Pendiente</v>
      </c>
      <c r="E30" s="730" t="str">
        <f t="shared" si="95"/>
        <v>-</v>
      </c>
      <c r="F30" s="730" t="str">
        <f t="shared" si="96"/>
        <v>-</v>
      </c>
      <c r="G30" s="730"/>
      <c r="H30" s="730" t="str">
        <f t="shared" si="97"/>
        <v>-</v>
      </c>
      <c r="I30" s="730" t="str">
        <f t="shared" si="98"/>
        <v>-</v>
      </c>
      <c r="J30" s="730"/>
      <c r="K30" s="730" t="str">
        <f t="shared" si="99"/>
        <v>-</v>
      </c>
      <c r="L30" s="730" t="str">
        <f t="shared" si="100"/>
        <v>-</v>
      </c>
      <c r="M30" s="730"/>
      <c r="N30" s="730" t="str">
        <f t="shared" si="101"/>
        <v>-</v>
      </c>
      <c r="O30" s="730" t="str">
        <f t="shared" si="102"/>
        <v>-</v>
      </c>
      <c r="P30" s="730"/>
      <c r="Q30" s="730" t="str">
        <f t="shared" si="103"/>
        <v>-</v>
      </c>
      <c r="R30" s="730" t="str">
        <f t="shared" si="104"/>
        <v>-</v>
      </c>
      <c r="S30" s="730"/>
      <c r="T30" s="730" t="str">
        <f t="shared" si="105"/>
        <v>-</v>
      </c>
      <c r="U30" s="730" t="str">
        <f t="shared" si="106"/>
        <v>-</v>
      </c>
      <c r="V30" s="170"/>
      <c r="W30" s="860"/>
      <c r="X30" s="187">
        <f ca="1">Horarios!C30</f>
        <v>46192.625</v>
      </c>
      <c r="Y30" s="188">
        <f ca="1">Horarios!C30</f>
        <v>46192.625</v>
      </c>
      <c r="Z30" s="189" t="str">
        <f>$Z$6</f>
        <v>J2</v>
      </c>
      <c r="AA30" s="190" t="str">
        <f ca="1">A29</f>
        <v>Estados Unidos</v>
      </c>
      <c r="AB30" s="475" t="e" cm="1" vm="13">
        <f t="array" aca="1" ref="AB30" ca="1">Ver_flag_local</f>
        <v>#VALUE!</v>
      </c>
      <c r="AC30" s="191"/>
      <c r="AD30" s="192"/>
      <c r="AE30" s="480" t="e" cm="1" vm="15">
        <f t="array" aca="1" ref="AE30" ca="1">Ver_flag_visit</f>
        <v>#VALUE!</v>
      </c>
      <c r="AF30" s="193" t="str">
        <f ca="1">A31</f>
        <v>Australia</v>
      </c>
      <c r="AG30" s="411">
        <f t="shared" si="107"/>
        <v>0</v>
      </c>
      <c r="AH30" s="194">
        <v>32</v>
      </c>
      <c r="AI30" s="19" t="str">
        <f>AJ30&amp;$B$28</f>
        <v>1D</v>
      </c>
      <c r="AJ30" s="209">
        <v>1</v>
      </c>
      <c r="AK30" s="485" t="e" cm="1" vm="13">
        <f t="array" aca="1" ref="AK30" ca="1">Ver_flag_visit</f>
        <v>#VALUE!</v>
      </c>
      <c r="AL30" s="210" t="str">
        <f ca="1">IFERROR(INDEX($BD$6:$BD$53,MATCH(AI30,$BN$6:$BN$53,0)),"")</f>
        <v>Estados Unidos</v>
      </c>
      <c r="AM30" s="211">
        <f t="shared" ref="AM30:AT33" ca="1" si="111">INDEX($BE$6:$BN$53,MATCH($AL30,$BD$6:$BD$53,0),MATCH(AM$5,$BE$5:$BN$5,0))</f>
        <v>3</v>
      </c>
      <c r="AN30" s="212">
        <f t="shared" ca="1" si="111"/>
        <v>1</v>
      </c>
      <c r="AO30" s="212">
        <f t="shared" ca="1" si="111"/>
        <v>1</v>
      </c>
      <c r="AP30" s="212">
        <f t="shared" ca="1" si="111"/>
        <v>0</v>
      </c>
      <c r="AQ30" s="212">
        <f t="shared" ca="1" si="111"/>
        <v>0</v>
      </c>
      <c r="AR30" s="212">
        <f t="shared" ca="1" si="111"/>
        <v>4</v>
      </c>
      <c r="AS30" s="212">
        <f t="shared" ca="1" si="111"/>
        <v>1</v>
      </c>
      <c r="AT30" s="213">
        <f t="shared" ca="1" si="111"/>
        <v>3</v>
      </c>
      <c r="AU30" s="418">
        <f ca="1">INDEX($DL$6:$DL$53,MATCH(AI30,$DP$6:$DP$53,0))</f>
        <v>1</v>
      </c>
      <c r="AV30" s="215" t="str">
        <f ca="1">INDEX($BD$6:$BD$53,MATCH(AI30,$BM$6:$BM$53,0))</f>
        <v>Estados Unidos</v>
      </c>
      <c r="AW30" s="425"/>
      <c r="AX30" s="216"/>
      <c r="AY30" s="217" t="str">
        <f ca="1">+A29</f>
        <v>Estados Unidos</v>
      </c>
      <c r="AZ30" s="218"/>
      <c r="BA30" s="173"/>
      <c r="BB30" s="730"/>
      <c r="BC30" s="742" t="str">
        <f ca="1">+INDEX(T_Equipos[Grupo],MATCH(WORLDCUP!BD30,T_Equipos[NombreEquipo],0))</f>
        <v>G</v>
      </c>
      <c r="BD30" s="730" t="str">
        <f ca="1">+Equipos!B26</f>
        <v>Bélgica</v>
      </c>
      <c r="BE30" s="734">
        <f t="shared" ca="1" si="25"/>
        <v>0</v>
      </c>
      <c r="BF30" s="734">
        <f t="shared" ca="1" si="26"/>
        <v>0</v>
      </c>
      <c r="BG30" s="734">
        <f t="shared" ca="1" si="17"/>
        <v>0</v>
      </c>
      <c r="BH30" s="734">
        <f t="shared" ca="1" si="18"/>
        <v>0</v>
      </c>
      <c r="BI30" s="734">
        <f t="shared" ca="1" si="19"/>
        <v>0</v>
      </c>
      <c r="BJ30" s="734">
        <f t="shared" ca="1" si="20"/>
        <v>0</v>
      </c>
      <c r="BK30" s="734">
        <f t="shared" ca="1" si="21"/>
        <v>0</v>
      </c>
      <c r="BL30" s="734">
        <f t="shared" ca="1" si="27"/>
        <v>0</v>
      </c>
      <c r="BM30" s="734" t="str">
        <f t="shared" ca="1" si="22"/>
        <v>1G</v>
      </c>
      <c r="BN30" s="734" t="str">
        <f t="shared" ca="1" si="23"/>
        <v>1G</v>
      </c>
      <c r="BO30" s="743">
        <f t="shared" ca="1" si="28"/>
        <v>0</v>
      </c>
      <c r="BP30" s="743">
        <f ca="1">COUNTIFS($BO$6:$BO$53,"&gt;"&amp;BO30,$BC$6:$BC$53,INDEX(T_Equipos[Grupo],MATCH(BD30,T_Equipos[NombreEquipo],0)))+1</f>
        <v>1</v>
      </c>
      <c r="BQ30" s="743" t="str">
        <f ca="1">IF(COUNTIFS($BP$6:$BP$53,BP30,$BC$6:$BC$53,INDEX(T_Equipos[Grupo],MATCH(BD30,T_Equipos[NombreEquipo],0)))=1,"-","P."&amp;BP30&amp;" ("&amp;COUNTIFS($BP$6:$BP$53,BP30,$BC$6:$BC$53,INDEX(T_Equipos[Grupo],MATCH(BD30,T_Equipos[NombreEquipo],0)))&amp;")")</f>
        <v>P.1 (4)</v>
      </c>
      <c r="BR30" s="743">
        <f t="shared" ca="1" si="29"/>
        <v>0</v>
      </c>
      <c r="BS30" s="743">
        <f ca="1">BP30+COUNTIFS($BQ$6:$BQ$53,BQ30,$BR$6:BR$53,"&gt;"&amp;BR30,$BC$6:$BC$53,INDEX(T_Equipos[Grupo],MATCH(BD30,T_Equipos[NombreEquipo],0)))</f>
        <v>1</v>
      </c>
      <c r="BT30" s="743" t="str">
        <f ca="1">IF(COUNTIFS($BS$6:$BS$53,BS30,$BC$6:$BC$53,INDEX(T_Equipos[Grupo],MATCH(BD30,T_Equipos[NombreEquipo],0)))=1,"-","P."&amp;BS30&amp;" ("&amp;COUNTIFS($BS$6:$BS$53,BS30,$BC$6:$BC$53,INDEX(T_Equipos[Grupo],MATCH(BD30,T_Equipos[NombreEquipo],0)))&amp;")")</f>
        <v>P.1 (4)</v>
      </c>
      <c r="BU30" s="744">
        <f t="shared" ca="1" si="36"/>
        <v>0</v>
      </c>
      <c r="BV30" s="744">
        <f t="shared" ca="1" si="37"/>
        <v>0</v>
      </c>
      <c r="BW30" s="744">
        <f t="shared" ca="1" si="38"/>
        <v>0</v>
      </c>
      <c r="BX30" s="744">
        <f t="shared" ca="1" si="39"/>
        <v>0</v>
      </c>
      <c r="BY30" s="744">
        <f ca="1">BS30+COUNTIFS($BT$6:$BT$53,BT30,$BX$6:BX$53,"&gt;"&amp;BX30,$BC$6:$BC$53,INDEX(T_Equipos[Grupo],MATCH(BD30,T_Equipos[NombreEquipo],0)))</f>
        <v>1</v>
      </c>
      <c r="BZ30" s="743" t="str">
        <f ca="1">IF(COUNTIFS($BY$6:$BY$53,BY30,$BC$6:$BC$53,INDEX(T_Equipos[Grupo],MATCH(BD30,T_Equipos[NombreEquipo],0)))=1,"-","P."&amp;BY30&amp;" ("&amp;COUNTIFS($BY$6:$BY$53,BY30,$BC$6:$BC$53,INDEX(T_Equipos[Grupo],MATCH(BD30,T_Equipos[NombreEquipo],0)))&amp;")")</f>
        <v>P.1 (4)</v>
      </c>
      <c r="CA30" s="744">
        <f t="shared" ca="1" si="40"/>
        <v>0</v>
      </c>
      <c r="CB30" s="744">
        <f t="shared" ca="1" si="41"/>
        <v>0</v>
      </c>
      <c r="CC30" s="744">
        <f t="shared" ca="1" si="42"/>
        <v>0</v>
      </c>
      <c r="CD30" s="744">
        <f ca="1">BY30+COUNTIFS($BZ$6:$BZ$53,BZ30,$CC$6:CC$53,"&gt;"&amp;CC30,$BC$6:$BC$53,INDEX(T_Equipos[Grupo],MATCH(BD30,T_Equipos[NombreEquipo],0)))</f>
        <v>1</v>
      </c>
      <c r="CE30" s="743" t="str">
        <f ca="1">IF(COUNTIFS($CD$6:$CD$53,CD30,$BC$6:$BC$53,INDEX(T_Equipos[Grupo],MATCH(BD30,T_Equipos[NombreEquipo],0)))=1,"-","P."&amp;CD30&amp;" ("&amp;COUNTIFS($CD$6:$CD$53,CD30,$BC$6:$BC$53,INDEX(T_Equipos[Grupo],MATCH(BD30,T_Equipos[NombreEquipo],0)))&amp;")")</f>
        <v>P.1 (4)</v>
      </c>
      <c r="CF30" s="744">
        <f t="shared" ca="1" si="43"/>
        <v>0</v>
      </c>
      <c r="CG30" s="744">
        <f ca="1">CD30+COUNTIFS($CE$6:$CE$53,CE30,$CF$6:CF$53,"&gt;"&amp;CF30,$BC$6:$BC$53,INDEX(T_Equipos[Grupo],MATCH(BD30,T_Equipos[NombreEquipo],0)))</f>
        <v>1</v>
      </c>
      <c r="CH30" s="743" t="str">
        <f ca="1">IF(COUNTIFS($CG$6:$CG$53,CG30,$BC$6:$BC$53,INDEX(T_Equipos[Grupo],MATCH(BD30,T_Equipos[NombreEquipo],0)))=1,"-","P."&amp;CG30&amp;" ("&amp;COUNTIFS($CG$6:$CG$53,CG30,$BC$6:$BC$53,INDEX(T_Equipos[Grupo],MATCH(BD30,T_Equipos[NombreEquipo],0)))&amp;")")</f>
        <v>P.1 (4)</v>
      </c>
      <c r="CI30" s="744">
        <f t="shared" ca="1" si="44"/>
        <v>0</v>
      </c>
      <c r="CJ30" s="744">
        <f t="shared" ca="1" si="45"/>
        <v>0</v>
      </c>
      <c r="CK30" s="744">
        <f t="shared" ca="1" si="46"/>
        <v>0</v>
      </c>
      <c r="CL30" s="744">
        <f t="shared" ca="1" si="47"/>
        <v>0</v>
      </c>
      <c r="CM30" s="744">
        <f ca="1">CG30+COUNTIFS($CH$6:$CH$53,CH30,$CL$6:CL$53,"&gt;"&amp;CL30,$BC$6:$BC$53,INDEX(T_Equipos[Grupo],MATCH(BD30,T_Equipos[NombreEquipo],0)))</f>
        <v>1</v>
      </c>
      <c r="CN30" s="743" t="str">
        <f ca="1">IF(COUNTIFS($CM$6:$CM$53,CM30,$BC$6:$BC$53,INDEX(T_Equipos[Grupo],MATCH(BD30,T_Equipos[NombreEquipo],0)))=1,"-","P."&amp;CM30&amp;" ("&amp;COUNTIFS($CM$6:$CM$53,CM30,$BC$6:$BC$53,INDEX(T_Equipos[Grupo],MATCH(BD30,T_Equipos[NombreEquipo],0)))&amp;")")</f>
        <v>P.1 (4)</v>
      </c>
      <c r="CO30" s="744">
        <f t="shared" ca="1" si="48"/>
        <v>0</v>
      </c>
      <c r="CP30" s="744">
        <f t="shared" ca="1" si="49"/>
        <v>0</v>
      </c>
      <c r="CQ30" s="744">
        <f t="shared" ca="1" si="50"/>
        <v>0</v>
      </c>
      <c r="CR30" s="744">
        <f ca="1">CM30+COUNTIFS($CN$6:$CN$53,CN30,$CQ$6:CQ$53,"&gt;"&amp;CQ30,$BC$6:$BC$53,INDEX(T_Equipos[Grupo],MATCH(BD30,T_Equipos[NombreEquipo],0)))</f>
        <v>1</v>
      </c>
      <c r="CS30" s="743" t="str">
        <f ca="1">IF(COUNTIFS($CR$6:$CR$53,CR30,$BC$6:$BC$53,INDEX(T_Equipos[Grupo],MATCH(BD30,T_Equipos[NombreEquipo],0)))=1,"-","P."&amp;CR30&amp;" ("&amp;COUNTIFS($CR$6:$CR$53,CR30,$BC$6:$BC$53,INDEX(T_Equipos[Grupo],MATCH(BD30,T_Equipos[NombreEquipo],0)))&amp;")")</f>
        <v>P.1 (4)</v>
      </c>
      <c r="CT30" s="744">
        <f t="shared" ca="1" si="51"/>
        <v>0</v>
      </c>
      <c r="CU30" s="744">
        <f ca="1">CR30+COUNTIFS($CS$6:$CS$53,CS30,$CT$6:CT$53,"&gt;"&amp;CT30,$BC$6:$BC$53,INDEX(T_Equipos[Grupo],MATCH(BD30,T_Equipos[NombreEquipo],0)))</f>
        <v>1</v>
      </c>
      <c r="CV30" s="743" t="str">
        <f ca="1">IF(COUNTIFS($CU$6:$CU$53,CU30,$BC$6:$BC$53,INDEX(T_Equipos[Grupo],MATCH(BD30,T_Equipos[NombreEquipo],0)))=1,"-","P."&amp;CU30&amp;" ("&amp;COUNTIFS($CU$6:$CU$53,CU30,$BC$6:$BC$53,INDEX(T_Equipos[Grupo],MATCH(BD30,T_Equipos[NombreEquipo],0)))&amp;")")</f>
        <v>P.1 (4)</v>
      </c>
      <c r="CW30" s="743">
        <f t="shared" ca="1" si="30"/>
        <v>0</v>
      </c>
      <c r="CX30" s="743">
        <f ca="1">CU30+COUNTIFS($CV$6:$CV$53,CV30,$CW$6:CW$53,"&gt;"&amp;CW30,$BC$6:$BC$53,INDEX(T_Equipos[Grupo],MATCH(BD30,T_Equipos[NombreEquipo],0)))</f>
        <v>1</v>
      </c>
      <c r="CY30" s="743" t="str">
        <f ca="1">IF(COUNTIFS($CX$6:$CX$53,CX30,$BC$6:$BC$53,INDEX(T_Equipos[Grupo],MATCH(BD30,T_Equipos[NombreEquipo],0)))=1,"-","P."&amp;CX30&amp;" ("&amp;COUNTIFS($CX$6:$CX$53,CX30,$BC$6:$BC$53,INDEX(T_Equipos[Grupo],MATCH(BD30,T_Equipos[NombreEquipo],0)))&amp;")")</f>
        <v>P.1 (4)</v>
      </c>
      <c r="CZ30" s="743">
        <f t="shared" ca="1" si="31"/>
        <v>0</v>
      </c>
      <c r="DA30" s="744">
        <f ca="1">CX30+COUNTIFS($CY$6:$CY$53,CY30,$CZ$6:CZ$53,"&gt;"&amp;CZ30,$BC$6:$BC$53,INDEX(T_Equipos[Grupo],MATCH(BD30,T_Equipos[NombreEquipo],0)))</f>
        <v>1</v>
      </c>
      <c r="DB30" s="743" t="str">
        <f ca="1">IF(COUNTIFS($DA$6:$DA$53,DA30,$BC$6:$BC$53,INDEX(T_Equipos[Grupo],MATCH(BD30,T_Equipos[NombreEquipo],0)))=1,"-","P."&amp;DA30&amp;" ("&amp;COUNTIFS($DA$6:$DA$53,DA30,$BC$6:$BC$53,INDEX(T_Equipos[Grupo],MATCH(BD30,T_Equipos[NombreEquipo],0)))&amp;")")</f>
        <v>P.1 (4)</v>
      </c>
      <c r="DC30" s="742">
        <f ca="1">IF(DB30="-","-",COUNTIFS(T_Equipos[Rank],"&lt;"&amp;INDEX(T_Equipos[Rank],MATCH(BD30,T_Equipos[NombreEquipo],0)),$BC$6:$BC$53,INDEX(T_Equipos[Grupo],MATCH(BD30,T_Equipos[NombreEquipo],0)))+1)</f>
        <v>1</v>
      </c>
      <c r="DD30" s="742">
        <f ca="1">DA30+COUNTIFS($DB$6:$DB$53,DB30,$DC$6:DC$53,"&lt;"&amp;DC30,$BC$6:$BC$53,INDEX(T_Equipos[Grupo],MATCH(BD30,T_Equipos[NombreEquipo],0)))</f>
        <v>1</v>
      </c>
      <c r="DE30" s="742"/>
      <c r="DF30" s="742">
        <f t="shared" ca="1" si="52"/>
        <v>1</v>
      </c>
      <c r="DG30" s="742">
        <f ca="1">IF(DB30="-","-",COUNTIFS(DF$6:DF$53,"&lt;"&amp;DF30,$BC$6:$BC$53,INDEX(T_Equipos[Grupo],MATCH(BD30,T_Equipos[NombreEquipo],0))))</f>
        <v>0</v>
      </c>
      <c r="DH30" s="742">
        <f ca="1">DA30+COUNTIFS(DB$6:DB$53,DB30,DG$6:DG$53,"&lt;"&amp;DG30,$BC$6:$BC$53,INDEX(T_Equipos[Grupo],MATCH(BD30,T_Equipos[NombreEquipo],0)))</f>
        <v>1</v>
      </c>
      <c r="DI30" s="730"/>
      <c r="DJ30" s="730">
        <f t="shared" ca="1" si="53"/>
        <v>1</v>
      </c>
      <c r="DK30" s="730">
        <f t="shared" ca="1" si="24"/>
        <v>0</v>
      </c>
      <c r="DL30" s="730">
        <f t="shared" ca="1" si="33"/>
        <v>1</v>
      </c>
      <c r="DM30" s="724" t="str">
        <f t="shared" ca="1" si="34"/>
        <v>1.1</v>
      </c>
      <c r="DN30" s="730" cm="1">
        <f t="array" aca="1" ref="DN30" ca="1">OFFSET(Horarios!$P$3,DJ30-1,0,DL30,1)</f>
        <v>1</v>
      </c>
      <c r="DO30" s="730"/>
      <c r="DP30" s="730" t="s">
        <v>667</v>
      </c>
      <c r="DQ30" s="730" t="str">
        <f t="shared" ca="1" si="35"/>
        <v>Bélgica</v>
      </c>
      <c r="DR30" s="730"/>
      <c r="DS30" s="730"/>
      <c r="DT30" s="730" t="str">
        <f t="shared" ca="1" si="15"/>
        <v>Estados Unidos-Australia</v>
      </c>
      <c r="DU30" s="730"/>
      <c r="DV30" s="730"/>
      <c r="DW30" s="8"/>
    </row>
    <row r="31" spans="1:127" ht="16.05" customHeight="1">
      <c r="A31" s="731" t="str">
        <f ca="1">+Equipos!B16</f>
        <v>Australia</v>
      </c>
      <c r="B31" s="728"/>
      <c r="C31" s="730"/>
      <c r="D31" s="730" t="str">
        <f t="shared" si="94"/>
        <v>Pendiente</v>
      </c>
      <c r="E31" s="730" t="str">
        <f t="shared" si="95"/>
        <v>-</v>
      </c>
      <c r="F31" s="730" t="str">
        <f t="shared" si="96"/>
        <v>-</v>
      </c>
      <c r="G31" s="730"/>
      <c r="H31" s="730" t="str">
        <f t="shared" si="97"/>
        <v>-</v>
      </c>
      <c r="I31" s="730" t="str">
        <f t="shared" si="98"/>
        <v>-</v>
      </c>
      <c r="J31" s="730"/>
      <c r="K31" s="730" t="str">
        <f t="shared" si="99"/>
        <v>-</v>
      </c>
      <c r="L31" s="730" t="str">
        <f t="shared" si="100"/>
        <v>-</v>
      </c>
      <c r="M31" s="730"/>
      <c r="N31" s="730" t="str">
        <f t="shared" si="101"/>
        <v>-</v>
      </c>
      <c r="O31" s="730" t="str">
        <f t="shared" si="102"/>
        <v>-</v>
      </c>
      <c r="P31" s="730"/>
      <c r="Q31" s="730" t="str">
        <f t="shared" si="103"/>
        <v>-</v>
      </c>
      <c r="R31" s="730" t="str">
        <f t="shared" si="104"/>
        <v>-</v>
      </c>
      <c r="S31" s="730"/>
      <c r="T31" s="730" t="str">
        <f t="shared" si="105"/>
        <v>-</v>
      </c>
      <c r="U31" s="730" t="str">
        <f t="shared" si="106"/>
        <v>-</v>
      </c>
      <c r="V31" s="170"/>
      <c r="W31" s="860"/>
      <c r="X31" s="187">
        <f ca="1">Horarios!C31</f>
        <v>46192.958333333336</v>
      </c>
      <c r="Y31" s="188">
        <f ca="1">Horarios!C31</f>
        <v>46192.958333333336</v>
      </c>
      <c r="Z31" s="189" t="str">
        <f>$Z$6</f>
        <v>J2</v>
      </c>
      <c r="AA31" s="190" t="str">
        <f ca="1">A32</f>
        <v>Turquía</v>
      </c>
      <c r="AB31" s="475" t="e" cm="1" vm="16">
        <f t="array" aca="1" ref="AB31" ca="1">Ver_flag_local</f>
        <v>#VALUE!</v>
      </c>
      <c r="AC31" s="191"/>
      <c r="AD31" s="192"/>
      <c r="AE31" s="480" t="e" cm="1" vm="14">
        <f t="array" aca="1" ref="AE31" ca="1">Ver_flag_visit</f>
        <v>#VALUE!</v>
      </c>
      <c r="AF31" s="193" t="str">
        <f ca="1">A30</f>
        <v>Paraguay</v>
      </c>
      <c r="AG31" s="411">
        <f t="shared" si="107"/>
        <v>0</v>
      </c>
      <c r="AH31" s="194">
        <v>31</v>
      </c>
      <c r="AI31" s="19" t="str">
        <f t="shared" ref="AI31:AI33" si="112">AJ31&amp;$B$28</f>
        <v>2D</v>
      </c>
      <c r="AJ31" s="219">
        <v>2</v>
      </c>
      <c r="AK31" s="483" t="e" cm="1" vm="15">
        <f t="array" aca="1" ref="AK31" ca="1">Ver_flag_visit</f>
        <v>#VALUE!</v>
      </c>
      <c r="AL31" s="220" t="str">
        <f ca="1">IFERROR(INDEX($BD$6:$BD$53,MATCH(AI31,$BN$6:$BN$53,0)),"")</f>
        <v>Australia</v>
      </c>
      <c r="AM31" s="221">
        <f t="shared" ca="1" si="111"/>
        <v>0</v>
      </c>
      <c r="AN31" s="222">
        <f t="shared" ca="1" si="111"/>
        <v>0</v>
      </c>
      <c r="AO31" s="222">
        <f t="shared" ca="1" si="111"/>
        <v>0</v>
      </c>
      <c r="AP31" s="222">
        <f t="shared" ca="1" si="111"/>
        <v>0</v>
      </c>
      <c r="AQ31" s="222">
        <f t="shared" ca="1" si="111"/>
        <v>0</v>
      </c>
      <c r="AR31" s="222">
        <f t="shared" ca="1" si="111"/>
        <v>0</v>
      </c>
      <c r="AS31" s="222">
        <f t="shared" ca="1" si="111"/>
        <v>0</v>
      </c>
      <c r="AT31" s="223">
        <f t="shared" ca="1" si="111"/>
        <v>0</v>
      </c>
      <c r="AU31" s="418">
        <f ca="1">INDEX($DL$6:$DL$53,MATCH(AI31,$DP$6:$DP$53,0))</f>
        <v>1</v>
      </c>
      <c r="AV31" s="215" t="str">
        <f ca="1">INDEX($BD$6:$BD$53,MATCH(AI31,$BM$6:$BM$53,0))</f>
        <v>Australia</v>
      </c>
      <c r="AW31" s="425"/>
      <c r="AX31" s="216"/>
      <c r="AY31" s="224" t="str">
        <f ca="1">+A30</f>
        <v>Paraguay</v>
      </c>
      <c r="AZ31" s="225"/>
      <c r="BA31" s="173"/>
      <c r="BB31" s="730"/>
      <c r="BC31" s="742" t="str">
        <f ca="1">+INDEX(T_Equipos[Grupo],MATCH(WORLDCUP!BD31,T_Equipos[NombreEquipo],0))</f>
        <v>G</v>
      </c>
      <c r="BD31" s="730" t="str">
        <f ca="1">+Equipos!B27</f>
        <v>Egipto</v>
      </c>
      <c r="BE31" s="734">
        <f t="shared" ca="1" si="25"/>
        <v>0</v>
      </c>
      <c r="BF31" s="734">
        <f t="shared" ca="1" si="26"/>
        <v>0</v>
      </c>
      <c r="BG31" s="734">
        <f t="shared" ca="1" si="17"/>
        <v>0</v>
      </c>
      <c r="BH31" s="734">
        <f t="shared" ca="1" si="18"/>
        <v>0</v>
      </c>
      <c r="BI31" s="734">
        <f t="shared" ca="1" si="19"/>
        <v>0</v>
      </c>
      <c r="BJ31" s="734">
        <f t="shared" ca="1" si="20"/>
        <v>0</v>
      </c>
      <c r="BK31" s="734">
        <f t="shared" ca="1" si="21"/>
        <v>0</v>
      </c>
      <c r="BL31" s="734">
        <f t="shared" ca="1" si="27"/>
        <v>0</v>
      </c>
      <c r="BM31" s="734" t="str">
        <f t="shared" ca="1" si="22"/>
        <v>2G</v>
      </c>
      <c r="BN31" s="734" t="str">
        <f t="shared" ca="1" si="23"/>
        <v>2G</v>
      </c>
      <c r="BO31" s="743">
        <f t="shared" ca="1" si="28"/>
        <v>0</v>
      </c>
      <c r="BP31" s="743">
        <f ca="1">COUNTIFS($BO$6:$BO$53,"&gt;"&amp;BO31,$BC$6:$BC$53,INDEX(T_Equipos[Grupo],MATCH(BD31,T_Equipos[NombreEquipo],0)))+1</f>
        <v>1</v>
      </c>
      <c r="BQ31" s="743" t="str">
        <f ca="1">IF(COUNTIFS($BP$6:$BP$53,BP31,$BC$6:$BC$53,INDEX(T_Equipos[Grupo],MATCH(BD31,T_Equipos[NombreEquipo],0)))=1,"-","P."&amp;BP31&amp;" ("&amp;COUNTIFS($BP$6:$BP$53,BP31,$BC$6:$BC$53,INDEX(T_Equipos[Grupo],MATCH(BD31,T_Equipos[NombreEquipo],0)))&amp;")")</f>
        <v>P.1 (4)</v>
      </c>
      <c r="BR31" s="743">
        <f t="shared" ca="1" si="29"/>
        <v>0</v>
      </c>
      <c r="BS31" s="743">
        <f ca="1">BP31+COUNTIFS($BQ$6:$BQ$53,BQ31,$BR$6:BR$53,"&gt;"&amp;BR31,$BC$6:$BC$53,INDEX(T_Equipos[Grupo],MATCH(BD31,T_Equipos[NombreEquipo],0)))</f>
        <v>1</v>
      </c>
      <c r="BT31" s="743" t="str">
        <f ca="1">IF(COUNTIFS($BS$6:$BS$53,BS31,$BC$6:$BC$53,INDEX(T_Equipos[Grupo],MATCH(BD31,T_Equipos[NombreEquipo],0)))=1,"-","P."&amp;BS31&amp;" ("&amp;COUNTIFS($BS$6:$BS$53,BS31,$BC$6:$BC$53,INDEX(T_Equipos[Grupo],MATCH(BD31,T_Equipos[NombreEquipo],0)))&amp;")")</f>
        <v>P.1 (4)</v>
      </c>
      <c r="BU31" s="744">
        <f t="shared" ca="1" si="36"/>
        <v>0</v>
      </c>
      <c r="BV31" s="744">
        <f t="shared" ca="1" si="37"/>
        <v>0</v>
      </c>
      <c r="BW31" s="744">
        <f t="shared" ca="1" si="38"/>
        <v>0</v>
      </c>
      <c r="BX31" s="744">
        <f t="shared" ca="1" si="39"/>
        <v>0</v>
      </c>
      <c r="BY31" s="744">
        <f ca="1">BS31+COUNTIFS($BT$6:$BT$53,BT31,$BX$6:BX$53,"&gt;"&amp;BX31,$BC$6:$BC$53,INDEX(T_Equipos[Grupo],MATCH(BD31,T_Equipos[NombreEquipo],0)))</f>
        <v>1</v>
      </c>
      <c r="BZ31" s="743" t="str">
        <f ca="1">IF(COUNTIFS($BY$6:$BY$53,BY31,$BC$6:$BC$53,INDEX(T_Equipos[Grupo],MATCH(BD31,T_Equipos[NombreEquipo],0)))=1,"-","P."&amp;BY31&amp;" ("&amp;COUNTIFS($BY$6:$BY$53,BY31,$BC$6:$BC$53,INDEX(T_Equipos[Grupo],MATCH(BD31,T_Equipos[NombreEquipo],0)))&amp;")")</f>
        <v>P.1 (4)</v>
      </c>
      <c r="CA31" s="744">
        <f t="shared" ca="1" si="40"/>
        <v>0</v>
      </c>
      <c r="CB31" s="744">
        <f t="shared" ca="1" si="41"/>
        <v>0</v>
      </c>
      <c r="CC31" s="744">
        <f t="shared" ca="1" si="42"/>
        <v>0</v>
      </c>
      <c r="CD31" s="744">
        <f ca="1">BY31+COUNTIFS($BZ$6:$BZ$53,BZ31,$CC$6:CC$53,"&gt;"&amp;CC31,$BC$6:$BC$53,INDEX(T_Equipos[Grupo],MATCH(BD31,T_Equipos[NombreEquipo],0)))</f>
        <v>1</v>
      </c>
      <c r="CE31" s="743" t="str">
        <f ca="1">IF(COUNTIFS($CD$6:$CD$53,CD31,$BC$6:$BC$53,INDEX(T_Equipos[Grupo],MATCH(BD31,T_Equipos[NombreEquipo],0)))=1,"-","P."&amp;CD31&amp;" ("&amp;COUNTIFS($CD$6:$CD$53,CD31,$BC$6:$BC$53,INDEX(T_Equipos[Grupo],MATCH(BD31,T_Equipos[NombreEquipo],0)))&amp;")")</f>
        <v>P.1 (4)</v>
      </c>
      <c r="CF31" s="744">
        <f t="shared" ca="1" si="43"/>
        <v>0</v>
      </c>
      <c r="CG31" s="744">
        <f ca="1">CD31+COUNTIFS($CE$6:$CE$53,CE31,$CF$6:CF$53,"&gt;"&amp;CF31,$BC$6:$BC$53,INDEX(T_Equipos[Grupo],MATCH(BD31,T_Equipos[NombreEquipo],0)))</f>
        <v>1</v>
      </c>
      <c r="CH31" s="743" t="str">
        <f ca="1">IF(COUNTIFS($CG$6:$CG$53,CG31,$BC$6:$BC$53,INDEX(T_Equipos[Grupo],MATCH(BD31,T_Equipos[NombreEquipo],0)))=1,"-","P."&amp;CG31&amp;" ("&amp;COUNTIFS($CG$6:$CG$53,CG31,$BC$6:$BC$53,INDEX(T_Equipos[Grupo],MATCH(BD31,T_Equipos[NombreEquipo],0)))&amp;")")</f>
        <v>P.1 (4)</v>
      </c>
      <c r="CI31" s="744">
        <f t="shared" ca="1" si="44"/>
        <v>0</v>
      </c>
      <c r="CJ31" s="744">
        <f t="shared" ca="1" si="45"/>
        <v>0</v>
      </c>
      <c r="CK31" s="744">
        <f t="shared" ca="1" si="46"/>
        <v>0</v>
      </c>
      <c r="CL31" s="744">
        <f t="shared" ca="1" si="47"/>
        <v>0</v>
      </c>
      <c r="CM31" s="744">
        <f ca="1">CG31+COUNTIFS($CH$6:$CH$53,CH31,$CL$6:CL$53,"&gt;"&amp;CL31,$BC$6:$BC$53,INDEX(T_Equipos[Grupo],MATCH(BD31,T_Equipos[NombreEquipo],0)))</f>
        <v>1</v>
      </c>
      <c r="CN31" s="743" t="str">
        <f ca="1">IF(COUNTIFS($CM$6:$CM$53,CM31,$BC$6:$BC$53,INDEX(T_Equipos[Grupo],MATCH(BD31,T_Equipos[NombreEquipo],0)))=1,"-","P."&amp;CM31&amp;" ("&amp;COUNTIFS($CM$6:$CM$53,CM31,$BC$6:$BC$53,INDEX(T_Equipos[Grupo],MATCH(BD31,T_Equipos[NombreEquipo],0)))&amp;")")</f>
        <v>P.1 (4)</v>
      </c>
      <c r="CO31" s="744">
        <f t="shared" ca="1" si="48"/>
        <v>0</v>
      </c>
      <c r="CP31" s="744">
        <f t="shared" ca="1" si="49"/>
        <v>0</v>
      </c>
      <c r="CQ31" s="744">
        <f t="shared" ca="1" si="50"/>
        <v>0</v>
      </c>
      <c r="CR31" s="744">
        <f ca="1">CM31+COUNTIFS($CN$6:$CN$53,CN31,$CQ$6:CQ$53,"&gt;"&amp;CQ31,$BC$6:$BC$53,INDEX(T_Equipos[Grupo],MATCH(BD31,T_Equipos[NombreEquipo],0)))</f>
        <v>1</v>
      </c>
      <c r="CS31" s="743" t="str">
        <f ca="1">IF(COUNTIFS($CR$6:$CR$53,CR31,$BC$6:$BC$53,INDEX(T_Equipos[Grupo],MATCH(BD31,T_Equipos[NombreEquipo],0)))=1,"-","P."&amp;CR31&amp;" ("&amp;COUNTIFS($CR$6:$CR$53,CR31,$BC$6:$BC$53,INDEX(T_Equipos[Grupo],MATCH(BD31,T_Equipos[NombreEquipo],0)))&amp;")")</f>
        <v>P.1 (4)</v>
      </c>
      <c r="CT31" s="744">
        <f t="shared" ca="1" si="51"/>
        <v>0</v>
      </c>
      <c r="CU31" s="744">
        <f ca="1">CR31+COUNTIFS($CS$6:$CS$53,CS31,$CT$6:CT$53,"&gt;"&amp;CT31,$BC$6:$BC$53,INDEX(T_Equipos[Grupo],MATCH(BD31,T_Equipos[NombreEquipo],0)))</f>
        <v>1</v>
      </c>
      <c r="CV31" s="743" t="str">
        <f ca="1">IF(COUNTIFS($CU$6:$CU$53,CU31,$BC$6:$BC$53,INDEX(T_Equipos[Grupo],MATCH(BD31,T_Equipos[NombreEquipo],0)))=1,"-","P."&amp;CU31&amp;" ("&amp;COUNTIFS($CU$6:$CU$53,CU31,$BC$6:$BC$53,INDEX(T_Equipos[Grupo],MATCH(BD31,T_Equipos[NombreEquipo],0)))&amp;")")</f>
        <v>P.1 (4)</v>
      </c>
      <c r="CW31" s="743">
        <f t="shared" ca="1" si="30"/>
        <v>0</v>
      </c>
      <c r="CX31" s="743">
        <f ca="1">CU31+COUNTIFS($CV$6:$CV$53,CV31,$CW$6:CW$53,"&gt;"&amp;CW31,$BC$6:$BC$53,INDEX(T_Equipos[Grupo],MATCH(BD31,T_Equipos[NombreEquipo],0)))</f>
        <v>1</v>
      </c>
      <c r="CY31" s="743" t="str">
        <f ca="1">IF(COUNTIFS($CX$6:$CX$53,CX31,$BC$6:$BC$53,INDEX(T_Equipos[Grupo],MATCH(BD31,T_Equipos[NombreEquipo],0)))=1,"-","P."&amp;CX31&amp;" ("&amp;COUNTIFS($CX$6:$CX$53,CX31,$BC$6:$BC$53,INDEX(T_Equipos[Grupo],MATCH(BD31,T_Equipos[NombreEquipo],0)))&amp;")")</f>
        <v>P.1 (4)</v>
      </c>
      <c r="CZ31" s="743">
        <f t="shared" ca="1" si="31"/>
        <v>0</v>
      </c>
      <c r="DA31" s="744">
        <f ca="1">CX31+COUNTIFS($CY$6:$CY$53,CY31,$CZ$6:CZ$53,"&gt;"&amp;CZ31,$BC$6:$BC$53,INDEX(T_Equipos[Grupo],MATCH(BD31,T_Equipos[NombreEquipo],0)))</f>
        <v>1</v>
      </c>
      <c r="DB31" s="743" t="str">
        <f ca="1">IF(COUNTIFS($DA$6:$DA$53,DA31,$BC$6:$BC$53,INDEX(T_Equipos[Grupo],MATCH(BD31,T_Equipos[NombreEquipo],0)))=1,"-","P."&amp;DA31&amp;" ("&amp;COUNTIFS($DA$6:$DA$53,DA31,$BC$6:$BC$53,INDEX(T_Equipos[Grupo],MATCH(BD31,T_Equipos[NombreEquipo],0)))&amp;")")</f>
        <v>P.1 (4)</v>
      </c>
      <c r="DC31" s="742">
        <f ca="1">IF(DB31="-","-",COUNTIFS(T_Equipos[Rank],"&lt;"&amp;INDEX(T_Equipos[Rank],MATCH(BD31,T_Equipos[NombreEquipo],0)),$BC$6:$BC$53,INDEX(T_Equipos[Grupo],MATCH(BD31,T_Equipos[NombreEquipo],0)))+1)</f>
        <v>2</v>
      </c>
      <c r="DD31" s="742">
        <f ca="1">DA31+COUNTIFS($DB$6:$DB$53,DB31,$DC$6:DC$53,"&lt;"&amp;DC31,$BC$6:$BC$53,INDEX(T_Equipos[Grupo],MATCH(BD31,T_Equipos[NombreEquipo],0)))</f>
        <v>2</v>
      </c>
      <c r="DE31" s="742"/>
      <c r="DF31" s="742">
        <f t="shared" ca="1" si="52"/>
        <v>2</v>
      </c>
      <c r="DG31" s="742">
        <f ca="1">IF(DB31="-","-",COUNTIFS(DF$6:DF$53,"&lt;"&amp;DF31,$BC$6:$BC$53,INDEX(T_Equipos[Grupo],MATCH(BD31,T_Equipos[NombreEquipo],0))))</f>
        <v>1</v>
      </c>
      <c r="DH31" s="742">
        <f ca="1">DA31+COUNTIFS(DB$6:DB$53,DB31,DG$6:DG$53,"&lt;"&amp;DG31,$BC$6:$BC$53,INDEX(T_Equipos[Grupo],MATCH(BD31,T_Equipos[NombreEquipo],0)))</f>
        <v>2</v>
      </c>
      <c r="DI31" s="730"/>
      <c r="DJ31" s="730">
        <f t="shared" ca="1" si="53"/>
        <v>1</v>
      </c>
      <c r="DK31" s="730">
        <f t="shared" ca="1" si="24"/>
        <v>0</v>
      </c>
      <c r="DL31" s="730">
        <f t="shared" ca="1" si="33"/>
        <v>1</v>
      </c>
      <c r="DM31" s="724" t="str">
        <f t="shared" ca="1" si="34"/>
        <v>1.1</v>
      </c>
      <c r="DN31" s="730" cm="1">
        <f t="array" aca="1" ref="DN31" ca="1">OFFSET(Horarios!$P$3,DJ31-1,0,DL31,1)</f>
        <v>1</v>
      </c>
      <c r="DO31" s="730"/>
      <c r="DP31" s="730" t="s">
        <v>668</v>
      </c>
      <c r="DQ31" s="730" t="str">
        <f t="shared" ca="1" si="35"/>
        <v>Egipto</v>
      </c>
      <c r="DR31" s="730"/>
      <c r="DS31" s="730"/>
      <c r="DT31" s="730" t="str">
        <f t="shared" ca="1" si="15"/>
        <v>Turquía-Paraguay</v>
      </c>
      <c r="DU31" s="730"/>
      <c r="DV31" s="730"/>
      <c r="DW31" s="8"/>
    </row>
    <row r="32" spans="1:127" ht="16.05" customHeight="1">
      <c r="A32" s="731" t="str">
        <f ca="1">+Equipos!B17</f>
        <v>Turquía</v>
      </c>
      <c r="B32" s="728"/>
      <c r="C32" s="730"/>
      <c r="D32" s="730" t="str">
        <f t="shared" si="94"/>
        <v>Pendiente</v>
      </c>
      <c r="E32" s="730" t="str">
        <f t="shared" si="95"/>
        <v>-</v>
      </c>
      <c r="F32" s="730" t="str">
        <f t="shared" si="96"/>
        <v>-</v>
      </c>
      <c r="G32" s="730"/>
      <c r="H32" s="730" t="str">
        <f t="shared" si="97"/>
        <v>-</v>
      </c>
      <c r="I32" s="730" t="str">
        <f t="shared" si="98"/>
        <v>-</v>
      </c>
      <c r="J32" s="730"/>
      <c r="K32" s="730" t="str">
        <f t="shared" si="99"/>
        <v>-</v>
      </c>
      <c r="L32" s="730" t="str">
        <f t="shared" si="100"/>
        <v>-</v>
      </c>
      <c r="M32" s="730"/>
      <c r="N32" s="730" t="str">
        <f t="shared" si="101"/>
        <v>-</v>
      </c>
      <c r="O32" s="730" t="str">
        <f t="shared" si="102"/>
        <v>-</v>
      </c>
      <c r="P32" s="730"/>
      <c r="Q32" s="730" t="str">
        <f t="shared" si="103"/>
        <v>-</v>
      </c>
      <c r="R32" s="730" t="str">
        <f t="shared" si="104"/>
        <v>-</v>
      </c>
      <c r="S32" s="730"/>
      <c r="T32" s="730" t="str">
        <f t="shared" si="105"/>
        <v>-</v>
      </c>
      <c r="U32" s="730" t="str">
        <f t="shared" si="106"/>
        <v>-</v>
      </c>
      <c r="V32" s="170"/>
      <c r="W32" s="860"/>
      <c r="X32" s="187">
        <f ca="1">Horarios!C32</f>
        <v>46198.916666666664</v>
      </c>
      <c r="Y32" s="188">
        <f ca="1">Horarios!C32</f>
        <v>46198.916666666664</v>
      </c>
      <c r="Z32" s="189" t="str">
        <f>$Z$8</f>
        <v>J3</v>
      </c>
      <c r="AA32" s="190" t="str">
        <f ca="1">A32</f>
        <v>Turquía</v>
      </c>
      <c r="AB32" s="475" t="e" cm="1" vm="16">
        <f t="array" aca="1" ref="AB32" ca="1">Ver_flag_local</f>
        <v>#VALUE!</v>
      </c>
      <c r="AC32" s="191"/>
      <c r="AD32" s="192"/>
      <c r="AE32" s="480" t="e" cm="1" vm="13">
        <f t="array" aca="1" ref="AE32" ca="1">Ver_flag_visit</f>
        <v>#VALUE!</v>
      </c>
      <c r="AF32" s="193" t="str">
        <f ca="1">A29</f>
        <v>Estados Unidos</v>
      </c>
      <c r="AG32" s="411">
        <f t="shared" si="107"/>
        <v>0</v>
      </c>
      <c r="AH32" s="194">
        <v>59</v>
      </c>
      <c r="AI32" s="19" t="str">
        <f t="shared" si="112"/>
        <v>3D</v>
      </c>
      <c r="AJ32" s="219">
        <v>3</v>
      </c>
      <c r="AK32" s="483" t="e" cm="1" vm="16">
        <f t="array" aca="1" ref="AK32" ca="1">Ver_flag_visit</f>
        <v>#VALUE!</v>
      </c>
      <c r="AL32" s="220" t="str">
        <f ca="1">IFERROR(INDEX($BD$6:$BD$53,MATCH(AI32,$BN$6:$BN$53,0)),"")</f>
        <v>Turquía</v>
      </c>
      <c r="AM32" s="221">
        <f t="shared" ca="1" si="111"/>
        <v>0</v>
      </c>
      <c r="AN32" s="222">
        <f t="shared" ca="1" si="111"/>
        <v>0</v>
      </c>
      <c r="AO32" s="222">
        <f t="shared" ca="1" si="111"/>
        <v>0</v>
      </c>
      <c r="AP32" s="222">
        <f t="shared" ca="1" si="111"/>
        <v>0</v>
      </c>
      <c r="AQ32" s="222">
        <f t="shared" ca="1" si="111"/>
        <v>0</v>
      </c>
      <c r="AR32" s="222">
        <f t="shared" ca="1" si="111"/>
        <v>0</v>
      </c>
      <c r="AS32" s="222">
        <f t="shared" ca="1" si="111"/>
        <v>0</v>
      </c>
      <c r="AT32" s="223">
        <f t="shared" ca="1" si="111"/>
        <v>0</v>
      </c>
      <c r="AU32" s="418">
        <f ca="1">INDEX($DL$6:$DL$53,MATCH(AI32,$DP$6:$DP$53,0))</f>
        <v>1</v>
      </c>
      <c r="AV32" s="215" t="str">
        <f ca="1">INDEX($BD$6:$BD$53,MATCH(AI32,$BM$6:$BM$53,0))</f>
        <v>Turquía</v>
      </c>
      <c r="AW32" s="425"/>
      <c r="AX32" s="216"/>
      <c r="AY32" s="217" t="str">
        <f ca="1">+A31</f>
        <v>Australia</v>
      </c>
      <c r="AZ32" s="218"/>
      <c r="BA32" s="173"/>
      <c r="BB32" s="730"/>
      <c r="BC32" s="742" t="str">
        <f ca="1">+INDEX(T_Equipos[Grupo],MATCH(WORLDCUP!BD32,T_Equipos[NombreEquipo],0))</f>
        <v>G</v>
      </c>
      <c r="BD32" s="730" t="str">
        <f ca="1">+Equipos!B28</f>
        <v>Irán</v>
      </c>
      <c r="BE32" s="734">
        <f t="shared" ca="1" si="25"/>
        <v>0</v>
      </c>
      <c r="BF32" s="734">
        <f t="shared" ca="1" si="26"/>
        <v>0</v>
      </c>
      <c r="BG32" s="734">
        <f t="shared" ca="1" si="17"/>
        <v>0</v>
      </c>
      <c r="BH32" s="734">
        <f t="shared" ca="1" si="18"/>
        <v>0</v>
      </c>
      <c r="BI32" s="734">
        <f t="shared" ca="1" si="19"/>
        <v>0</v>
      </c>
      <c r="BJ32" s="734">
        <f t="shared" ca="1" si="20"/>
        <v>0</v>
      </c>
      <c r="BK32" s="734">
        <f t="shared" ca="1" si="21"/>
        <v>0</v>
      </c>
      <c r="BL32" s="734">
        <f t="shared" ca="1" si="27"/>
        <v>0</v>
      </c>
      <c r="BM32" s="734" t="str">
        <f t="shared" ca="1" si="22"/>
        <v>3G</v>
      </c>
      <c r="BN32" s="734" t="str">
        <f t="shared" ca="1" si="23"/>
        <v>3G</v>
      </c>
      <c r="BO32" s="743">
        <f t="shared" ca="1" si="28"/>
        <v>0</v>
      </c>
      <c r="BP32" s="743">
        <f ca="1">COUNTIFS($BO$6:$BO$53,"&gt;"&amp;BO32,$BC$6:$BC$53,INDEX(T_Equipos[Grupo],MATCH(BD32,T_Equipos[NombreEquipo],0)))+1</f>
        <v>1</v>
      </c>
      <c r="BQ32" s="743" t="str">
        <f ca="1">IF(COUNTIFS($BP$6:$BP$53,BP32,$BC$6:$BC$53,INDEX(T_Equipos[Grupo],MATCH(BD32,T_Equipos[NombreEquipo],0)))=1,"-","P."&amp;BP32&amp;" ("&amp;COUNTIFS($BP$6:$BP$53,BP32,$BC$6:$BC$53,INDEX(T_Equipos[Grupo],MATCH(BD32,T_Equipos[NombreEquipo],0)))&amp;")")</f>
        <v>P.1 (4)</v>
      </c>
      <c r="BR32" s="743">
        <f t="shared" ca="1" si="29"/>
        <v>0</v>
      </c>
      <c r="BS32" s="743">
        <f ca="1">BP32+COUNTIFS($BQ$6:$BQ$53,BQ32,$BR$6:BR$53,"&gt;"&amp;BR32,$BC$6:$BC$53,INDEX(T_Equipos[Grupo],MATCH(BD32,T_Equipos[NombreEquipo],0)))</f>
        <v>1</v>
      </c>
      <c r="BT32" s="743" t="str">
        <f ca="1">IF(COUNTIFS($BS$6:$BS$53,BS32,$BC$6:$BC$53,INDEX(T_Equipos[Grupo],MATCH(BD32,T_Equipos[NombreEquipo],0)))=1,"-","P."&amp;BS32&amp;" ("&amp;COUNTIFS($BS$6:$BS$53,BS32,$BC$6:$BC$53,INDEX(T_Equipos[Grupo],MATCH(BD32,T_Equipos[NombreEquipo],0)))&amp;")")</f>
        <v>P.1 (4)</v>
      </c>
      <c r="BU32" s="744">
        <f t="shared" ca="1" si="36"/>
        <v>0</v>
      </c>
      <c r="BV32" s="744">
        <f t="shared" ca="1" si="37"/>
        <v>0</v>
      </c>
      <c r="BW32" s="744">
        <f t="shared" ca="1" si="38"/>
        <v>0</v>
      </c>
      <c r="BX32" s="744">
        <f t="shared" ca="1" si="39"/>
        <v>0</v>
      </c>
      <c r="BY32" s="744">
        <f ca="1">BS32+COUNTIFS($BT$6:$BT$53,BT32,$BX$6:BX$53,"&gt;"&amp;BX32,$BC$6:$BC$53,INDEX(T_Equipos[Grupo],MATCH(BD32,T_Equipos[NombreEquipo],0)))</f>
        <v>1</v>
      </c>
      <c r="BZ32" s="743" t="str">
        <f ca="1">IF(COUNTIFS($BY$6:$BY$53,BY32,$BC$6:$BC$53,INDEX(T_Equipos[Grupo],MATCH(BD32,T_Equipos[NombreEquipo],0)))=1,"-","P."&amp;BY32&amp;" ("&amp;COUNTIFS($BY$6:$BY$53,BY32,$BC$6:$BC$53,INDEX(T_Equipos[Grupo],MATCH(BD32,T_Equipos[NombreEquipo],0)))&amp;")")</f>
        <v>P.1 (4)</v>
      </c>
      <c r="CA32" s="744">
        <f t="shared" ca="1" si="40"/>
        <v>0</v>
      </c>
      <c r="CB32" s="744">
        <f t="shared" ca="1" si="41"/>
        <v>0</v>
      </c>
      <c r="CC32" s="744">
        <f t="shared" ca="1" si="42"/>
        <v>0</v>
      </c>
      <c r="CD32" s="744">
        <f ca="1">BY32+COUNTIFS($BZ$6:$BZ$53,BZ32,$CC$6:CC$53,"&gt;"&amp;CC32,$BC$6:$BC$53,INDEX(T_Equipos[Grupo],MATCH(BD32,T_Equipos[NombreEquipo],0)))</f>
        <v>1</v>
      </c>
      <c r="CE32" s="743" t="str">
        <f ca="1">IF(COUNTIFS($CD$6:$CD$53,CD32,$BC$6:$BC$53,INDEX(T_Equipos[Grupo],MATCH(BD32,T_Equipos[NombreEquipo],0)))=1,"-","P."&amp;CD32&amp;" ("&amp;COUNTIFS($CD$6:$CD$53,CD32,$BC$6:$BC$53,INDEX(T_Equipos[Grupo],MATCH(BD32,T_Equipos[NombreEquipo],0)))&amp;")")</f>
        <v>P.1 (4)</v>
      </c>
      <c r="CF32" s="744">
        <f t="shared" ca="1" si="43"/>
        <v>0</v>
      </c>
      <c r="CG32" s="744">
        <f ca="1">CD32+COUNTIFS($CE$6:$CE$53,CE32,$CF$6:CF$53,"&gt;"&amp;CF32,$BC$6:$BC$53,INDEX(T_Equipos[Grupo],MATCH(BD32,T_Equipos[NombreEquipo],0)))</f>
        <v>1</v>
      </c>
      <c r="CH32" s="743" t="str">
        <f ca="1">IF(COUNTIFS($CG$6:$CG$53,CG32,$BC$6:$BC$53,INDEX(T_Equipos[Grupo],MATCH(BD32,T_Equipos[NombreEquipo],0)))=1,"-","P."&amp;CG32&amp;" ("&amp;COUNTIFS($CG$6:$CG$53,CG32,$BC$6:$BC$53,INDEX(T_Equipos[Grupo],MATCH(BD32,T_Equipos[NombreEquipo],0)))&amp;")")</f>
        <v>P.1 (4)</v>
      </c>
      <c r="CI32" s="744">
        <f t="shared" ca="1" si="44"/>
        <v>0</v>
      </c>
      <c r="CJ32" s="744">
        <f t="shared" ca="1" si="45"/>
        <v>0</v>
      </c>
      <c r="CK32" s="744">
        <f t="shared" ca="1" si="46"/>
        <v>0</v>
      </c>
      <c r="CL32" s="744">
        <f t="shared" ca="1" si="47"/>
        <v>0</v>
      </c>
      <c r="CM32" s="744">
        <f ca="1">CG32+COUNTIFS($CH$6:$CH$53,CH32,$CL$6:CL$53,"&gt;"&amp;CL32,$BC$6:$BC$53,INDEX(T_Equipos[Grupo],MATCH(BD32,T_Equipos[NombreEquipo],0)))</f>
        <v>1</v>
      </c>
      <c r="CN32" s="743" t="str">
        <f ca="1">IF(COUNTIFS($CM$6:$CM$53,CM32,$BC$6:$BC$53,INDEX(T_Equipos[Grupo],MATCH(BD32,T_Equipos[NombreEquipo],0)))=1,"-","P."&amp;CM32&amp;" ("&amp;COUNTIFS($CM$6:$CM$53,CM32,$BC$6:$BC$53,INDEX(T_Equipos[Grupo],MATCH(BD32,T_Equipos[NombreEquipo],0)))&amp;")")</f>
        <v>P.1 (4)</v>
      </c>
      <c r="CO32" s="744">
        <f t="shared" ca="1" si="48"/>
        <v>0</v>
      </c>
      <c r="CP32" s="744">
        <f t="shared" ca="1" si="49"/>
        <v>0</v>
      </c>
      <c r="CQ32" s="744">
        <f t="shared" ca="1" si="50"/>
        <v>0</v>
      </c>
      <c r="CR32" s="744">
        <f ca="1">CM32+COUNTIFS($CN$6:$CN$53,CN32,$CQ$6:CQ$53,"&gt;"&amp;CQ32,$BC$6:$BC$53,INDEX(T_Equipos[Grupo],MATCH(BD32,T_Equipos[NombreEquipo],0)))</f>
        <v>1</v>
      </c>
      <c r="CS32" s="743" t="str">
        <f ca="1">IF(COUNTIFS($CR$6:$CR$53,CR32,$BC$6:$BC$53,INDEX(T_Equipos[Grupo],MATCH(BD32,T_Equipos[NombreEquipo],0)))=1,"-","P."&amp;CR32&amp;" ("&amp;COUNTIFS($CR$6:$CR$53,CR32,$BC$6:$BC$53,INDEX(T_Equipos[Grupo],MATCH(BD32,T_Equipos[NombreEquipo],0)))&amp;")")</f>
        <v>P.1 (4)</v>
      </c>
      <c r="CT32" s="744">
        <f t="shared" ca="1" si="51"/>
        <v>0</v>
      </c>
      <c r="CU32" s="744">
        <f ca="1">CR32+COUNTIFS($CS$6:$CS$53,CS32,$CT$6:CT$53,"&gt;"&amp;CT32,$BC$6:$BC$53,INDEX(T_Equipos[Grupo],MATCH(BD32,T_Equipos[NombreEquipo],0)))</f>
        <v>1</v>
      </c>
      <c r="CV32" s="743" t="str">
        <f ca="1">IF(COUNTIFS($CU$6:$CU$53,CU32,$BC$6:$BC$53,INDEX(T_Equipos[Grupo],MATCH(BD32,T_Equipos[NombreEquipo],0)))=1,"-","P."&amp;CU32&amp;" ("&amp;COUNTIFS($CU$6:$CU$53,CU32,$BC$6:$BC$53,INDEX(T_Equipos[Grupo],MATCH(BD32,T_Equipos[NombreEquipo],0)))&amp;")")</f>
        <v>P.1 (4)</v>
      </c>
      <c r="CW32" s="743">
        <f t="shared" ca="1" si="30"/>
        <v>0</v>
      </c>
      <c r="CX32" s="743">
        <f ca="1">CU32+COUNTIFS($CV$6:$CV$53,CV32,$CW$6:CW$53,"&gt;"&amp;CW32,$BC$6:$BC$53,INDEX(T_Equipos[Grupo],MATCH(BD32,T_Equipos[NombreEquipo],0)))</f>
        <v>1</v>
      </c>
      <c r="CY32" s="743" t="str">
        <f ca="1">IF(COUNTIFS($CX$6:$CX$53,CX32,$BC$6:$BC$53,INDEX(T_Equipos[Grupo],MATCH(BD32,T_Equipos[NombreEquipo],0)))=1,"-","P."&amp;CX32&amp;" ("&amp;COUNTIFS($CX$6:$CX$53,CX32,$BC$6:$BC$53,INDEX(T_Equipos[Grupo],MATCH(BD32,T_Equipos[NombreEquipo],0)))&amp;")")</f>
        <v>P.1 (4)</v>
      </c>
      <c r="CZ32" s="743">
        <f t="shared" ca="1" si="31"/>
        <v>0</v>
      </c>
      <c r="DA32" s="744">
        <f ca="1">CX32+COUNTIFS($CY$6:$CY$53,CY32,$CZ$6:CZ$53,"&gt;"&amp;CZ32,$BC$6:$BC$53,INDEX(T_Equipos[Grupo],MATCH(BD32,T_Equipos[NombreEquipo],0)))</f>
        <v>1</v>
      </c>
      <c r="DB32" s="743" t="str">
        <f ca="1">IF(COUNTIFS($DA$6:$DA$53,DA32,$BC$6:$BC$53,INDEX(T_Equipos[Grupo],MATCH(BD32,T_Equipos[NombreEquipo],0)))=1,"-","P."&amp;DA32&amp;" ("&amp;COUNTIFS($DA$6:$DA$53,DA32,$BC$6:$BC$53,INDEX(T_Equipos[Grupo],MATCH(BD32,T_Equipos[NombreEquipo],0)))&amp;")")</f>
        <v>P.1 (4)</v>
      </c>
      <c r="DC32" s="742">
        <f ca="1">IF(DB32="-","-",COUNTIFS(T_Equipos[Rank],"&lt;"&amp;INDEX(T_Equipos[Rank],MATCH(BD32,T_Equipos[NombreEquipo],0)),$BC$6:$BC$53,INDEX(T_Equipos[Grupo],MATCH(BD32,T_Equipos[NombreEquipo],0)))+1)</f>
        <v>3</v>
      </c>
      <c r="DD32" s="742">
        <f ca="1">DA32+COUNTIFS($DB$6:$DB$53,DB32,$DC$6:DC$53,"&lt;"&amp;DC32,$BC$6:$BC$53,INDEX(T_Equipos[Grupo],MATCH(BD32,T_Equipos[NombreEquipo],0)))</f>
        <v>3</v>
      </c>
      <c r="DE32" s="742"/>
      <c r="DF32" s="742">
        <f t="shared" ca="1" si="52"/>
        <v>3</v>
      </c>
      <c r="DG32" s="742">
        <f ca="1">IF(DB32="-","-",COUNTIFS(DF$6:DF$53,"&lt;"&amp;DF32,$BC$6:$BC$53,INDEX(T_Equipos[Grupo],MATCH(BD32,T_Equipos[NombreEquipo],0))))</f>
        <v>2</v>
      </c>
      <c r="DH32" s="742">
        <f ca="1">DA32+COUNTIFS(DB$6:DB$53,DB32,DG$6:DG$53,"&lt;"&amp;DG32,$BC$6:$BC$53,INDEX(T_Equipos[Grupo],MATCH(BD32,T_Equipos[NombreEquipo],0)))</f>
        <v>3</v>
      </c>
      <c r="DI32" s="730"/>
      <c r="DJ32" s="730">
        <f t="shared" ca="1" si="53"/>
        <v>1</v>
      </c>
      <c r="DK32" s="730">
        <f t="shared" ca="1" si="24"/>
        <v>0</v>
      </c>
      <c r="DL32" s="730">
        <f t="shared" ca="1" si="33"/>
        <v>1</v>
      </c>
      <c r="DM32" s="724" t="str">
        <f t="shared" ca="1" si="34"/>
        <v>1.1</v>
      </c>
      <c r="DN32" s="730" cm="1">
        <f t="array" aca="1" ref="DN32" ca="1">OFFSET(Horarios!$P$3,DJ32-1,0,DL32,1)</f>
        <v>1</v>
      </c>
      <c r="DO32" s="730"/>
      <c r="DP32" s="730" t="s">
        <v>435</v>
      </c>
      <c r="DQ32" s="730" t="str">
        <f t="shared" ca="1" si="35"/>
        <v>Irán</v>
      </c>
      <c r="DR32" s="730"/>
      <c r="DS32" s="730"/>
      <c r="DT32" s="730" t="str">
        <f t="shared" ca="1" si="15"/>
        <v>Turquía-Estados Unidos</v>
      </c>
      <c r="DU32" s="730"/>
      <c r="DV32" s="730"/>
      <c r="DW32" s="8"/>
    </row>
    <row r="33" spans="1:127" ht="16.95" customHeight="1" thickBot="1">
      <c r="A33" s="725"/>
      <c r="B33" s="725"/>
      <c r="C33" s="725"/>
      <c r="D33" s="730" t="str">
        <f t="shared" si="94"/>
        <v>Pendiente</v>
      </c>
      <c r="E33" s="730" t="str">
        <f t="shared" si="95"/>
        <v>-</v>
      </c>
      <c r="F33" s="730" t="str">
        <f t="shared" si="96"/>
        <v>-</v>
      </c>
      <c r="G33" s="730"/>
      <c r="H33" s="730" t="str">
        <f t="shared" si="97"/>
        <v>-</v>
      </c>
      <c r="I33" s="730" t="str">
        <f t="shared" si="98"/>
        <v>-</v>
      </c>
      <c r="J33" s="730"/>
      <c r="K33" s="730" t="str">
        <f t="shared" si="99"/>
        <v>-</v>
      </c>
      <c r="L33" s="730" t="str">
        <f t="shared" si="100"/>
        <v>-</v>
      </c>
      <c r="M33" s="730"/>
      <c r="N33" s="730" t="str">
        <f t="shared" si="101"/>
        <v>-</v>
      </c>
      <c r="O33" s="730" t="str">
        <f t="shared" si="102"/>
        <v>-</v>
      </c>
      <c r="P33" s="730"/>
      <c r="Q33" s="730" t="str">
        <f t="shared" si="103"/>
        <v>-</v>
      </c>
      <c r="R33" s="730" t="str">
        <f t="shared" si="104"/>
        <v>-</v>
      </c>
      <c r="S33" s="730"/>
      <c r="T33" s="730" t="str">
        <f t="shared" si="105"/>
        <v>-</v>
      </c>
      <c r="U33" s="730" t="str">
        <f t="shared" si="106"/>
        <v>-</v>
      </c>
      <c r="V33" s="170"/>
      <c r="W33" s="861"/>
      <c r="X33" s="226">
        <f ca="1">Horarios!C33</f>
        <v>46198.916666666664</v>
      </c>
      <c r="Y33" s="227">
        <f ca="1">Horarios!C33</f>
        <v>46198.916666666664</v>
      </c>
      <c r="Z33" s="228" t="str">
        <f>$Z$8</f>
        <v>J3</v>
      </c>
      <c r="AA33" s="229" t="str">
        <f ca="1">A30</f>
        <v>Paraguay</v>
      </c>
      <c r="AB33" s="476" t="e" cm="1" vm="14">
        <f t="array" aca="1" ref="AB33" ca="1">Ver_flag_local</f>
        <v>#VALUE!</v>
      </c>
      <c r="AC33" s="230"/>
      <c r="AD33" s="231"/>
      <c r="AE33" s="481" t="e" cm="1" vm="15">
        <f t="array" aca="1" ref="AE33" ca="1">Ver_flag_visit</f>
        <v>#VALUE!</v>
      </c>
      <c r="AF33" s="232" t="str">
        <f ca="1">A31</f>
        <v>Australia</v>
      </c>
      <c r="AG33" s="411">
        <f t="shared" si="107"/>
        <v>0</v>
      </c>
      <c r="AH33" s="194">
        <v>60</v>
      </c>
      <c r="AI33" s="19" t="str">
        <f t="shared" si="112"/>
        <v>4D</v>
      </c>
      <c r="AJ33" s="233">
        <v>4</v>
      </c>
      <c r="AK33" s="484" t="e" cm="1" vm="14">
        <f t="array" aca="1" ref="AK33" ca="1">Ver_flag_visit</f>
        <v>#VALUE!</v>
      </c>
      <c r="AL33" s="234" t="str">
        <f ca="1">IFERROR(INDEX($BD$6:$BD$53,MATCH(AI33,$BN$6:$BN$53,0)),"")</f>
        <v>Paraguay</v>
      </c>
      <c r="AM33" s="235">
        <f t="shared" ca="1" si="111"/>
        <v>0</v>
      </c>
      <c r="AN33" s="236">
        <f t="shared" ca="1" si="111"/>
        <v>1</v>
      </c>
      <c r="AO33" s="236">
        <f t="shared" ca="1" si="111"/>
        <v>0</v>
      </c>
      <c r="AP33" s="236">
        <f t="shared" ca="1" si="111"/>
        <v>0</v>
      </c>
      <c r="AQ33" s="236">
        <f t="shared" ca="1" si="111"/>
        <v>1</v>
      </c>
      <c r="AR33" s="236">
        <f t="shared" ca="1" si="111"/>
        <v>1</v>
      </c>
      <c r="AS33" s="236">
        <f t="shared" ca="1" si="111"/>
        <v>4</v>
      </c>
      <c r="AT33" s="237">
        <f t="shared" ca="1" si="111"/>
        <v>-3</v>
      </c>
      <c r="AU33" s="418">
        <f ca="1">INDEX($DL$6:$DL$53,MATCH(AI33,$DP$6:$DP$53,0))</f>
        <v>1</v>
      </c>
      <c r="AV33" s="215" t="str">
        <f ca="1">INDEX($BD$6:$BD$53,MATCH(AI33,$BM$6:$BM$53,0))</f>
        <v>Paraguay</v>
      </c>
      <c r="AW33" s="425"/>
      <c r="AX33" s="216"/>
      <c r="AY33" s="238" t="str">
        <f ca="1">+A32</f>
        <v>Turquía</v>
      </c>
      <c r="AZ33" s="239"/>
      <c r="BA33" s="173"/>
      <c r="BB33" s="730"/>
      <c r="BC33" s="742" t="str">
        <f ca="1">+INDEX(T_Equipos[Grupo],MATCH(WORLDCUP!BD33,T_Equipos[NombreEquipo],0))</f>
        <v>G</v>
      </c>
      <c r="BD33" s="730" t="str">
        <f ca="1">+Equipos!B29</f>
        <v>Nueva Zelanda</v>
      </c>
      <c r="BE33" s="734">
        <f t="shared" ca="1" si="25"/>
        <v>0</v>
      </c>
      <c r="BF33" s="734">
        <f t="shared" ca="1" si="26"/>
        <v>0</v>
      </c>
      <c r="BG33" s="734">
        <f t="shared" ca="1" si="17"/>
        <v>0</v>
      </c>
      <c r="BH33" s="734">
        <f t="shared" ca="1" si="18"/>
        <v>0</v>
      </c>
      <c r="BI33" s="734">
        <f t="shared" ca="1" si="19"/>
        <v>0</v>
      </c>
      <c r="BJ33" s="734">
        <f t="shared" ca="1" si="20"/>
        <v>0</v>
      </c>
      <c r="BK33" s="734">
        <f t="shared" ca="1" si="21"/>
        <v>0</v>
      </c>
      <c r="BL33" s="734">
        <f t="shared" ca="1" si="27"/>
        <v>0</v>
      </c>
      <c r="BM33" s="734" t="str">
        <f t="shared" ca="1" si="22"/>
        <v>4G</v>
      </c>
      <c r="BN33" s="734" t="str">
        <f t="shared" ca="1" si="23"/>
        <v>4G</v>
      </c>
      <c r="BO33" s="743">
        <f t="shared" ca="1" si="28"/>
        <v>0</v>
      </c>
      <c r="BP33" s="743">
        <f ca="1">COUNTIFS($BO$6:$BO$53,"&gt;"&amp;BO33,$BC$6:$BC$53,INDEX(T_Equipos[Grupo],MATCH(BD33,T_Equipos[NombreEquipo],0)))+1</f>
        <v>1</v>
      </c>
      <c r="BQ33" s="743" t="str">
        <f ca="1">IF(COUNTIFS($BP$6:$BP$53,BP33,$BC$6:$BC$53,INDEX(T_Equipos[Grupo],MATCH(BD33,T_Equipos[NombreEquipo],0)))=1,"-","P."&amp;BP33&amp;" ("&amp;COUNTIFS($BP$6:$BP$53,BP33,$BC$6:$BC$53,INDEX(T_Equipos[Grupo],MATCH(BD33,T_Equipos[NombreEquipo],0)))&amp;")")</f>
        <v>P.1 (4)</v>
      </c>
      <c r="BR33" s="743">
        <f t="shared" ca="1" si="29"/>
        <v>0</v>
      </c>
      <c r="BS33" s="743">
        <f ca="1">BP33+COUNTIFS($BQ$6:$BQ$53,BQ33,$BR$6:BR$53,"&gt;"&amp;BR33,$BC$6:$BC$53,INDEX(T_Equipos[Grupo],MATCH(BD33,T_Equipos[NombreEquipo],0)))</f>
        <v>1</v>
      </c>
      <c r="BT33" s="743" t="str">
        <f ca="1">IF(COUNTIFS($BS$6:$BS$53,BS33,$BC$6:$BC$53,INDEX(T_Equipos[Grupo],MATCH(BD33,T_Equipos[NombreEquipo],0)))=1,"-","P."&amp;BS33&amp;" ("&amp;COUNTIFS($BS$6:$BS$53,BS33,$BC$6:$BC$53,INDEX(T_Equipos[Grupo],MATCH(BD33,T_Equipos[NombreEquipo],0)))&amp;")")</f>
        <v>P.1 (4)</v>
      </c>
      <c r="BU33" s="744">
        <f t="shared" ca="1" si="36"/>
        <v>0</v>
      </c>
      <c r="BV33" s="744">
        <f t="shared" ca="1" si="37"/>
        <v>0</v>
      </c>
      <c r="BW33" s="744">
        <f t="shared" ca="1" si="38"/>
        <v>0</v>
      </c>
      <c r="BX33" s="744">
        <f t="shared" ca="1" si="39"/>
        <v>0</v>
      </c>
      <c r="BY33" s="744">
        <f ca="1">BS33+COUNTIFS($BT$6:$BT$53,BT33,$BX$6:BX$53,"&gt;"&amp;BX33,$BC$6:$BC$53,INDEX(T_Equipos[Grupo],MATCH(BD33,T_Equipos[NombreEquipo],0)))</f>
        <v>1</v>
      </c>
      <c r="BZ33" s="743" t="str">
        <f ca="1">IF(COUNTIFS($BY$6:$BY$53,BY33,$BC$6:$BC$53,INDEX(T_Equipos[Grupo],MATCH(BD33,T_Equipos[NombreEquipo],0)))=1,"-","P."&amp;BY33&amp;" ("&amp;COUNTIFS($BY$6:$BY$53,BY33,$BC$6:$BC$53,INDEX(T_Equipos[Grupo],MATCH(BD33,T_Equipos[NombreEquipo],0)))&amp;")")</f>
        <v>P.1 (4)</v>
      </c>
      <c r="CA33" s="744">
        <f t="shared" ca="1" si="40"/>
        <v>0</v>
      </c>
      <c r="CB33" s="744">
        <f t="shared" ca="1" si="41"/>
        <v>0</v>
      </c>
      <c r="CC33" s="744">
        <f t="shared" ca="1" si="42"/>
        <v>0</v>
      </c>
      <c r="CD33" s="744">
        <f ca="1">BY33+COUNTIFS($BZ$6:$BZ$53,BZ33,$CC$6:CC$53,"&gt;"&amp;CC33,$BC$6:$BC$53,INDEX(T_Equipos[Grupo],MATCH(BD33,T_Equipos[NombreEquipo],0)))</f>
        <v>1</v>
      </c>
      <c r="CE33" s="743" t="str">
        <f ca="1">IF(COUNTIFS($CD$6:$CD$53,CD33,$BC$6:$BC$53,INDEX(T_Equipos[Grupo],MATCH(BD33,T_Equipos[NombreEquipo],0)))=1,"-","P."&amp;CD33&amp;" ("&amp;COUNTIFS($CD$6:$CD$53,CD33,$BC$6:$BC$53,INDEX(T_Equipos[Grupo],MATCH(BD33,T_Equipos[NombreEquipo],0)))&amp;")")</f>
        <v>P.1 (4)</v>
      </c>
      <c r="CF33" s="744">
        <f t="shared" ca="1" si="43"/>
        <v>0</v>
      </c>
      <c r="CG33" s="744">
        <f ca="1">CD33+COUNTIFS($CE$6:$CE$53,CE33,$CF$6:CF$53,"&gt;"&amp;CF33,$BC$6:$BC$53,INDEX(T_Equipos[Grupo],MATCH(BD33,T_Equipos[NombreEquipo],0)))</f>
        <v>1</v>
      </c>
      <c r="CH33" s="743" t="str">
        <f ca="1">IF(COUNTIFS($CG$6:$CG$53,CG33,$BC$6:$BC$53,INDEX(T_Equipos[Grupo],MATCH(BD33,T_Equipos[NombreEquipo],0)))=1,"-","P."&amp;CG33&amp;" ("&amp;COUNTIFS($CG$6:$CG$53,CG33,$BC$6:$BC$53,INDEX(T_Equipos[Grupo],MATCH(BD33,T_Equipos[NombreEquipo],0)))&amp;")")</f>
        <v>P.1 (4)</v>
      </c>
      <c r="CI33" s="744">
        <f t="shared" ca="1" si="44"/>
        <v>0</v>
      </c>
      <c r="CJ33" s="744">
        <f t="shared" ca="1" si="45"/>
        <v>0</v>
      </c>
      <c r="CK33" s="744">
        <f t="shared" ca="1" si="46"/>
        <v>0</v>
      </c>
      <c r="CL33" s="744">
        <f t="shared" ca="1" si="47"/>
        <v>0</v>
      </c>
      <c r="CM33" s="744">
        <f ca="1">CG33+COUNTIFS($CH$6:$CH$53,CH33,$CL$6:CL$53,"&gt;"&amp;CL33,$BC$6:$BC$53,INDEX(T_Equipos[Grupo],MATCH(BD33,T_Equipos[NombreEquipo],0)))</f>
        <v>1</v>
      </c>
      <c r="CN33" s="743" t="str">
        <f ca="1">IF(COUNTIFS($CM$6:$CM$53,CM33,$BC$6:$BC$53,INDEX(T_Equipos[Grupo],MATCH(BD33,T_Equipos[NombreEquipo],0)))=1,"-","P."&amp;CM33&amp;" ("&amp;COUNTIFS($CM$6:$CM$53,CM33,$BC$6:$BC$53,INDEX(T_Equipos[Grupo],MATCH(BD33,T_Equipos[NombreEquipo],0)))&amp;")")</f>
        <v>P.1 (4)</v>
      </c>
      <c r="CO33" s="744">
        <f t="shared" ca="1" si="48"/>
        <v>0</v>
      </c>
      <c r="CP33" s="744">
        <f t="shared" ca="1" si="49"/>
        <v>0</v>
      </c>
      <c r="CQ33" s="744">
        <f t="shared" ca="1" si="50"/>
        <v>0</v>
      </c>
      <c r="CR33" s="744">
        <f ca="1">CM33+COUNTIFS($CN$6:$CN$53,CN33,$CQ$6:CQ$53,"&gt;"&amp;CQ33,$BC$6:$BC$53,INDEX(T_Equipos[Grupo],MATCH(BD33,T_Equipos[NombreEquipo],0)))</f>
        <v>1</v>
      </c>
      <c r="CS33" s="743" t="str">
        <f ca="1">IF(COUNTIFS($CR$6:$CR$53,CR33,$BC$6:$BC$53,INDEX(T_Equipos[Grupo],MATCH(BD33,T_Equipos[NombreEquipo],0)))=1,"-","P."&amp;CR33&amp;" ("&amp;COUNTIFS($CR$6:$CR$53,CR33,$BC$6:$BC$53,INDEX(T_Equipos[Grupo],MATCH(BD33,T_Equipos[NombreEquipo],0)))&amp;")")</f>
        <v>P.1 (4)</v>
      </c>
      <c r="CT33" s="744">
        <f t="shared" ca="1" si="51"/>
        <v>0</v>
      </c>
      <c r="CU33" s="744">
        <f ca="1">CR33+COUNTIFS($CS$6:$CS$53,CS33,$CT$6:CT$53,"&gt;"&amp;CT33,$BC$6:$BC$53,INDEX(T_Equipos[Grupo],MATCH(BD33,T_Equipos[NombreEquipo],0)))</f>
        <v>1</v>
      </c>
      <c r="CV33" s="743" t="str">
        <f ca="1">IF(COUNTIFS($CU$6:$CU$53,CU33,$BC$6:$BC$53,INDEX(T_Equipos[Grupo],MATCH(BD33,T_Equipos[NombreEquipo],0)))=1,"-","P."&amp;CU33&amp;" ("&amp;COUNTIFS($CU$6:$CU$53,CU33,$BC$6:$BC$53,INDEX(T_Equipos[Grupo],MATCH(BD33,T_Equipos[NombreEquipo],0)))&amp;")")</f>
        <v>P.1 (4)</v>
      </c>
      <c r="CW33" s="743">
        <f t="shared" ca="1" si="30"/>
        <v>0</v>
      </c>
      <c r="CX33" s="743">
        <f ca="1">CU33+COUNTIFS($CV$6:$CV$53,CV33,$CW$6:CW$53,"&gt;"&amp;CW33,$BC$6:$BC$53,INDEX(T_Equipos[Grupo],MATCH(BD33,T_Equipos[NombreEquipo],0)))</f>
        <v>1</v>
      </c>
      <c r="CY33" s="743" t="str">
        <f ca="1">IF(COUNTIFS($CX$6:$CX$53,CX33,$BC$6:$BC$53,INDEX(T_Equipos[Grupo],MATCH(BD33,T_Equipos[NombreEquipo],0)))=1,"-","P."&amp;CX33&amp;" ("&amp;COUNTIFS($CX$6:$CX$53,CX33,$BC$6:$BC$53,INDEX(T_Equipos[Grupo],MATCH(BD33,T_Equipos[NombreEquipo],0)))&amp;")")</f>
        <v>P.1 (4)</v>
      </c>
      <c r="CZ33" s="743">
        <f t="shared" ca="1" si="31"/>
        <v>0</v>
      </c>
      <c r="DA33" s="744">
        <f ca="1">CX33+COUNTIFS($CY$6:$CY$53,CY33,$CZ$6:CZ$53,"&gt;"&amp;CZ33,$BC$6:$BC$53,INDEX(T_Equipos[Grupo],MATCH(BD33,T_Equipos[NombreEquipo],0)))</f>
        <v>1</v>
      </c>
      <c r="DB33" s="743" t="str">
        <f ca="1">IF(COUNTIFS($DA$6:$DA$53,DA33,$BC$6:$BC$53,INDEX(T_Equipos[Grupo],MATCH(BD33,T_Equipos[NombreEquipo],0)))=1,"-","P."&amp;DA33&amp;" ("&amp;COUNTIFS($DA$6:$DA$53,DA33,$BC$6:$BC$53,INDEX(T_Equipos[Grupo],MATCH(BD33,T_Equipos[NombreEquipo],0)))&amp;")")</f>
        <v>P.1 (4)</v>
      </c>
      <c r="DC33" s="742">
        <f ca="1">IF(DB33="-","-",COUNTIFS(T_Equipos[Rank],"&lt;"&amp;INDEX(T_Equipos[Rank],MATCH(BD33,T_Equipos[NombreEquipo],0)),$BC$6:$BC$53,INDEX(T_Equipos[Grupo],MATCH(BD33,T_Equipos[NombreEquipo],0)))+1)</f>
        <v>4</v>
      </c>
      <c r="DD33" s="742">
        <f ca="1">DA33+COUNTIFS($DB$6:$DB$53,DB33,$DC$6:DC$53,"&lt;"&amp;DC33,$BC$6:$BC$53,INDEX(T_Equipos[Grupo],MATCH(BD33,T_Equipos[NombreEquipo],0)))</f>
        <v>4</v>
      </c>
      <c r="DE33" s="742"/>
      <c r="DF33" s="742">
        <f t="shared" ca="1" si="52"/>
        <v>4</v>
      </c>
      <c r="DG33" s="742">
        <f ca="1">IF(DB33="-","-",COUNTIFS(DF$6:DF$53,"&lt;"&amp;DF33,$BC$6:$BC$53,INDEX(T_Equipos[Grupo],MATCH(BD33,T_Equipos[NombreEquipo],0))))</f>
        <v>3</v>
      </c>
      <c r="DH33" s="742">
        <f ca="1">DA33+COUNTIFS(DB$6:DB$53,DB33,DG$6:DG$53,"&lt;"&amp;DG33,$BC$6:$BC$53,INDEX(T_Equipos[Grupo],MATCH(BD33,T_Equipos[NombreEquipo],0)))</f>
        <v>4</v>
      </c>
      <c r="DI33" s="730"/>
      <c r="DJ33" s="730">
        <f t="shared" ca="1" si="53"/>
        <v>1</v>
      </c>
      <c r="DK33" s="730">
        <f t="shared" ca="1" si="24"/>
        <v>0</v>
      </c>
      <c r="DL33" s="730">
        <f t="shared" ca="1" si="33"/>
        <v>1</v>
      </c>
      <c r="DM33" s="724" t="str">
        <f t="shared" ca="1" si="34"/>
        <v>1.1</v>
      </c>
      <c r="DN33" s="730" cm="1">
        <f t="array" aca="1" ref="DN33" ca="1">OFFSET(Horarios!$P$3,DJ33-1,0,DL33,1)</f>
        <v>1</v>
      </c>
      <c r="DO33" s="730"/>
      <c r="DP33" s="730" t="s">
        <v>669</v>
      </c>
      <c r="DQ33" s="730" t="str">
        <f t="shared" ca="1" si="35"/>
        <v>Nueva Zelanda</v>
      </c>
      <c r="DR33" s="730"/>
      <c r="DS33" s="730"/>
      <c r="DT33" s="730" t="str">
        <f t="shared" ca="1" si="15"/>
        <v>Paraguay-Australia</v>
      </c>
      <c r="DU33" s="730"/>
      <c r="DV33" s="730"/>
      <c r="DW33" s="8"/>
    </row>
    <row r="34" spans="1:127" ht="15" thickBot="1">
      <c r="A34" s="725"/>
      <c r="B34" s="725"/>
      <c r="C34" s="725"/>
      <c r="D34" s="730"/>
      <c r="E34" s="730"/>
      <c r="F34" s="730"/>
      <c r="G34" s="730"/>
      <c r="H34" s="730"/>
      <c r="I34" s="730"/>
      <c r="J34" s="730"/>
      <c r="K34" s="730"/>
      <c r="L34" s="730"/>
      <c r="M34" s="730"/>
      <c r="N34" s="730"/>
      <c r="O34" s="730"/>
      <c r="P34" s="730"/>
      <c r="Q34" s="730"/>
      <c r="R34" s="730"/>
      <c r="S34" s="730"/>
      <c r="T34" s="730"/>
      <c r="U34" s="730"/>
      <c r="V34" s="170"/>
      <c r="W34" s="240"/>
      <c r="X34" s="241"/>
      <c r="Y34" s="240"/>
      <c r="Z34" s="242"/>
      <c r="AA34" s="243"/>
      <c r="AB34" s="479"/>
      <c r="AC34" s="245"/>
      <c r="AD34" s="245"/>
      <c r="AE34" s="479"/>
      <c r="AF34" s="246"/>
      <c r="AG34" s="413"/>
      <c r="AH34" s="194"/>
      <c r="AI34" s="169"/>
      <c r="AJ34" s="247"/>
      <c r="AK34" s="248"/>
      <c r="AL34" s="184"/>
      <c r="AM34" s="249"/>
      <c r="AN34" s="247"/>
      <c r="AO34" s="247"/>
      <c r="AP34" s="247"/>
      <c r="AQ34" s="247"/>
      <c r="AR34" s="247"/>
      <c r="AS34" s="247"/>
      <c r="AT34" s="247"/>
      <c r="AU34" s="418"/>
      <c r="AV34" s="214"/>
      <c r="AW34" s="426"/>
      <c r="AX34" s="216"/>
      <c r="AY34" s="240"/>
      <c r="AZ34" s="241"/>
      <c r="BA34" s="173"/>
      <c r="BB34" s="730"/>
      <c r="BC34" s="742" t="str">
        <f ca="1">+INDEX(T_Equipos[Grupo],MATCH(WORLDCUP!BD34,T_Equipos[NombreEquipo],0))</f>
        <v>H</v>
      </c>
      <c r="BD34" s="730" t="str">
        <f ca="1">+Equipos!B30</f>
        <v>España</v>
      </c>
      <c r="BE34" s="734">
        <f t="shared" ca="1" si="25"/>
        <v>0</v>
      </c>
      <c r="BF34" s="734">
        <f t="shared" ca="1" si="26"/>
        <v>0</v>
      </c>
      <c r="BG34" s="734">
        <f t="shared" ca="1" si="17"/>
        <v>0</v>
      </c>
      <c r="BH34" s="734">
        <f t="shared" ca="1" si="18"/>
        <v>0</v>
      </c>
      <c r="BI34" s="734">
        <f t="shared" ca="1" si="19"/>
        <v>0</v>
      </c>
      <c r="BJ34" s="734">
        <f t="shared" ca="1" si="20"/>
        <v>0</v>
      </c>
      <c r="BK34" s="734">
        <f t="shared" ca="1" si="21"/>
        <v>0</v>
      </c>
      <c r="BL34" s="734">
        <f t="shared" ca="1" si="27"/>
        <v>0</v>
      </c>
      <c r="BM34" s="734" t="str">
        <f t="shared" ca="1" si="22"/>
        <v>1H</v>
      </c>
      <c r="BN34" s="734" t="str">
        <f t="shared" ca="1" si="23"/>
        <v>1H</v>
      </c>
      <c r="BO34" s="744">
        <f t="shared" ca="1" si="28"/>
        <v>0</v>
      </c>
      <c r="BP34" s="743">
        <f ca="1">COUNTIFS($BO$6:$BO$53,"&gt;"&amp;BO34,$BC$6:$BC$53,INDEX(T_Equipos[Grupo],MATCH(BD34,T_Equipos[NombreEquipo],0)))+1</f>
        <v>1</v>
      </c>
      <c r="BQ34" s="743" t="str">
        <f ca="1">IF(COUNTIFS($BP$6:$BP$53,BP34,$BC$6:$BC$53,INDEX(T_Equipos[Grupo],MATCH(BD34,T_Equipos[NombreEquipo],0)))=1,"-","P."&amp;BP34&amp;" ("&amp;COUNTIFS($BP$6:$BP$53,BP34,$BC$6:$BC$53,INDEX(T_Equipos[Grupo],MATCH(BD34,T_Equipos[NombreEquipo],0)))&amp;")")</f>
        <v>P.1 (4)</v>
      </c>
      <c r="BR34" s="744">
        <f t="shared" ca="1" si="29"/>
        <v>0</v>
      </c>
      <c r="BS34" s="743">
        <f ca="1">BP34+COUNTIFS($BQ$6:$BQ$53,BQ34,$BR$6:BR$53,"&gt;"&amp;BR34,$BC$6:$BC$53,INDEX(T_Equipos[Grupo],MATCH(BD34,T_Equipos[NombreEquipo],0)))</f>
        <v>1</v>
      </c>
      <c r="BT34" s="743" t="str">
        <f ca="1">IF(COUNTIFS($BS$6:$BS$53,BS34,$BC$6:$BC$53,INDEX(T_Equipos[Grupo],MATCH(BD34,T_Equipos[NombreEquipo],0)))=1,"-","P."&amp;BS34&amp;" ("&amp;COUNTIFS($BS$6:$BS$53,BS34,$BC$6:$BC$53,INDEX(T_Equipos[Grupo],MATCH(BD34,T_Equipos[NombreEquipo],0)))&amp;")")</f>
        <v>P.1 (4)</v>
      </c>
      <c r="BU34" s="744">
        <f t="shared" ca="1" si="36"/>
        <v>0</v>
      </c>
      <c r="BV34" s="744">
        <f t="shared" ca="1" si="37"/>
        <v>0</v>
      </c>
      <c r="BW34" s="744">
        <f t="shared" ca="1" si="38"/>
        <v>0</v>
      </c>
      <c r="BX34" s="744">
        <f t="shared" ca="1" si="39"/>
        <v>0</v>
      </c>
      <c r="BY34" s="744">
        <f ca="1">BS34+COUNTIFS($BT$6:$BT$53,BT34,$BX$6:BX$53,"&gt;"&amp;BX34,$BC$6:$BC$53,INDEX(T_Equipos[Grupo],MATCH(BD34,T_Equipos[NombreEquipo],0)))</f>
        <v>1</v>
      </c>
      <c r="BZ34" s="743" t="str">
        <f ca="1">IF(COUNTIFS($BY$6:$BY$53,BY34,$BC$6:$BC$53,INDEX(T_Equipos[Grupo],MATCH(BD34,T_Equipos[NombreEquipo],0)))=1,"-","P."&amp;BY34&amp;" ("&amp;COUNTIFS($BY$6:$BY$53,BY34,$BC$6:$BC$53,INDEX(T_Equipos[Grupo],MATCH(BD34,T_Equipos[NombreEquipo],0)))&amp;")")</f>
        <v>P.1 (4)</v>
      </c>
      <c r="CA34" s="744">
        <f t="shared" ca="1" si="40"/>
        <v>0</v>
      </c>
      <c r="CB34" s="744">
        <f t="shared" ca="1" si="41"/>
        <v>0</v>
      </c>
      <c r="CC34" s="744">
        <f t="shared" ca="1" si="42"/>
        <v>0</v>
      </c>
      <c r="CD34" s="744">
        <f ca="1">BY34+COUNTIFS($BZ$6:$BZ$53,BZ34,$CC$6:CC$53,"&gt;"&amp;CC34,$BC$6:$BC$53,INDEX(T_Equipos[Grupo],MATCH(BD34,T_Equipos[NombreEquipo],0)))</f>
        <v>1</v>
      </c>
      <c r="CE34" s="743" t="str">
        <f ca="1">IF(COUNTIFS($CD$6:$CD$53,CD34,$BC$6:$BC$53,INDEX(T_Equipos[Grupo],MATCH(BD34,T_Equipos[NombreEquipo],0)))=1,"-","P."&amp;CD34&amp;" ("&amp;COUNTIFS($CD$6:$CD$53,CD34,$BC$6:$BC$53,INDEX(T_Equipos[Grupo],MATCH(BD34,T_Equipos[NombreEquipo],0)))&amp;")")</f>
        <v>P.1 (4)</v>
      </c>
      <c r="CF34" s="744">
        <f t="shared" ca="1" si="43"/>
        <v>0</v>
      </c>
      <c r="CG34" s="744">
        <f ca="1">CD34+COUNTIFS($CE$6:$CE$53,CE34,$CF$6:CF$53,"&gt;"&amp;CF34,$BC$6:$BC$53,INDEX(T_Equipos[Grupo],MATCH(BD34,T_Equipos[NombreEquipo],0)))</f>
        <v>1</v>
      </c>
      <c r="CH34" s="743" t="str">
        <f ca="1">IF(COUNTIFS($CG$6:$CG$53,CG34,$BC$6:$BC$53,INDEX(T_Equipos[Grupo],MATCH(BD34,T_Equipos[NombreEquipo],0)))=1,"-","P."&amp;CG34&amp;" ("&amp;COUNTIFS($CG$6:$CG$53,CG34,$BC$6:$BC$53,INDEX(T_Equipos[Grupo],MATCH(BD34,T_Equipos[NombreEquipo],0)))&amp;")")</f>
        <v>P.1 (4)</v>
      </c>
      <c r="CI34" s="744">
        <f t="shared" ca="1" si="44"/>
        <v>0</v>
      </c>
      <c r="CJ34" s="744">
        <f t="shared" ca="1" si="45"/>
        <v>0</v>
      </c>
      <c r="CK34" s="744">
        <f t="shared" ca="1" si="46"/>
        <v>0</v>
      </c>
      <c r="CL34" s="744">
        <f t="shared" ca="1" si="47"/>
        <v>0</v>
      </c>
      <c r="CM34" s="744">
        <f ca="1">CG34+COUNTIFS($CH$6:$CH$53,CH34,$CL$6:CL$53,"&gt;"&amp;CL34,$BC$6:$BC$53,INDEX(T_Equipos[Grupo],MATCH(BD34,T_Equipos[NombreEquipo],0)))</f>
        <v>1</v>
      </c>
      <c r="CN34" s="743" t="str">
        <f ca="1">IF(COUNTIFS($CM$6:$CM$53,CM34,$BC$6:$BC$53,INDEX(T_Equipos[Grupo],MATCH(BD34,T_Equipos[NombreEquipo],0)))=1,"-","P."&amp;CM34&amp;" ("&amp;COUNTIFS($CM$6:$CM$53,CM34,$BC$6:$BC$53,INDEX(T_Equipos[Grupo],MATCH(BD34,T_Equipos[NombreEquipo],0)))&amp;")")</f>
        <v>P.1 (4)</v>
      </c>
      <c r="CO34" s="744">
        <f t="shared" ca="1" si="48"/>
        <v>0</v>
      </c>
      <c r="CP34" s="744">
        <f t="shared" ca="1" si="49"/>
        <v>0</v>
      </c>
      <c r="CQ34" s="744">
        <f t="shared" ca="1" si="50"/>
        <v>0</v>
      </c>
      <c r="CR34" s="744">
        <f ca="1">CM34+COUNTIFS($CN$6:$CN$53,CN34,$CQ$6:CQ$53,"&gt;"&amp;CQ34,$BC$6:$BC$53,INDEX(T_Equipos[Grupo],MATCH(BD34,T_Equipos[NombreEquipo],0)))</f>
        <v>1</v>
      </c>
      <c r="CS34" s="743" t="str">
        <f ca="1">IF(COUNTIFS($CR$6:$CR$53,CR34,$BC$6:$BC$53,INDEX(T_Equipos[Grupo],MATCH(BD34,T_Equipos[NombreEquipo],0)))=1,"-","P."&amp;CR34&amp;" ("&amp;COUNTIFS($CR$6:$CR$53,CR34,$BC$6:$BC$53,INDEX(T_Equipos[Grupo],MATCH(BD34,T_Equipos[NombreEquipo],0)))&amp;")")</f>
        <v>P.1 (4)</v>
      </c>
      <c r="CT34" s="744">
        <f t="shared" ca="1" si="51"/>
        <v>0</v>
      </c>
      <c r="CU34" s="744">
        <f ca="1">CR34+COUNTIFS($CS$6:$CS$53,CS34,$CT$6:CT$53,"&gt;"&amp;CT34,$BC$6:$BC$53,INDEX(T_Equipos[Grupo],MATCH(BD34,T_Equipos[NombreEquipo],0)))</f>
        <v>1</v>
      </c>
      <c r="CV34" s="743" t="str">
        <f ca="1">IF(COUNTIFS($CU$6:$CU$53,CU34,$BC$6:$BC$53,INDEX(T_Equipos[Grupo],MATCH(BD34,T_Equipos[NombreEquipo],0)))=1,"-","P."&amp;CU34&amp;" ("&amp;COUNTIFS($CU$6:$CU$53,CU34,$BC$6:$BC$53,INDEX(T_Equipos[Grupo],MATCH(BD34,T_Equipos[NombreEquipo],0)))&amp;")")</f>
        <v>P.1 (4)</v>
      </c>
      <c r="CW34" s="743">
        <f t="shared" ca="1" si="30"/>
        <v>0</v>
      </c>
      <c r="CX34" s="743">
        <f ca="1">CU34+COUNTIFS($CV$6:$CV$53,CV34,$CW$6:CW$53,"&gt;"&amp;CW34,$BC$6:$BC$53,INDEX(T_Equipos[Grupo],MATCH(BD34,T_Equipos[NombreEquipo],0)))</f>
        <v>1</v>
      </c>
      <c r="CY34" s="743" t="str">
        <f ca="1">IF(COUNTIFS($CX$6:$CX$53,CX34,$BC$6:$BC$53,INDEX(T_Equipos[Grupo],MATCH(BD34,T_Equipos[NombreEquipo],0)))=1,"-","P."&amp;CX34&amp;" ("&amp;COUNTIFS($CX$6:$CX$53,CX34,$BC$6:$BC$53,INDEX(T_Equipos[Grupo],MATCH(BD34,T_Equipos[NombreEquipo],0)))&amp;")")</f>
        <v>P.1 (4)</v>
      </c>
      <c r="CZ34" s="743">
        <f t="shared" ca="1" si="31"/>
        <v>0</v>
      </c>
      <c r="DA34" s="744">
        <f ca="1">CX34+COUNTIFS($CY$6:$CY$53,CY34,$CZ$6:CZ$53,"&gt;"&amp;CZ34,$BC$6:$BC$53,INDEX(T_Equipos[Grupo],MATCH(BD34,T_Equipos[NombreEquipo],0)))</f>
        <v>1</v>
      </c>
      <c r="DB34" s="743" t="str">
        <f ca="1">IF(COUNTIFS($DA$6:$DA$53,DA34,$BC$6:$BC$53,INDEX(T_Equipos[Grupo],MATCH(BD34,T_Equipos[NombreEquipo],0)))=1,"-","P."&amp;DA34&amp;" ("&amp;COUNTIFS($DA$6:$DA$53,DA34,$BC$6:$BC$53,INDEX(T_Equipos[Grupo],MATCH(BD34,T_Equipos[NombreEquipo],0)))&amp;")")</f>
        <v>P.1 (4)</v>
      </c>
      <c r="DC34" s="742">
        <f ca="1">IF(DB34="-","-",COUNTIFS(T_Equipos[Rank],"&lt;"&amp;INDEX(T_Equipos[Rank],MATCH(BD34,T_Equipos[NombreEquipo],0)),$BC$6:$BC$53,INDEX(T_Equipos[Grupo],MATCH(BD34,T_Equipos[NombreEquipo],0)))+1)</f>
        <v>1</v>
      </c>
      <c r="DD34" s="742">
        <f ca="1">DA34+COUNTIFS($DB$6:$DB$53,DB34,$DC$6:DC$53,"&lt;"&amp;DC34,$BC$6:$BC$53,INDEX(T_Equipos[Grupo],MATCH(BD34,T_Equipos[NombreEquipo],0)))</f>
        <v>1</v>
      </c>
      <c r="DE34" s="742"/>
      <c r="DF34" s="742">
        <f t="shared" ca="1" si="52"/>
        <v>1</v>
      </c>
      <c r="DG34" s="742">
        <f ca="1">IF(DB34="-","-",COUNTIFS(DF$6:DF$53,"&lt;"&amp;DF34,$BC$6:$BC$53,INDEX(T_Equipos[Grupo],MATCH(BD34,T_Equipos[NombreEquipo],0))))</f>
        <v>0</v>
      </c>
      <c r="DH34" s="742">
        <f ca="1">DA34+COUNTIFS(DB$6:DB$53,DB34,DG$6:DG$53,"&lt;"&amp;DG34,$BC$6:$BC$53,INDEX(T_Equipos[Grupo],MATCH(BD34,T_Equipos[NombreEquipo],0)))</f>
        <v>1</v>
      </c>
      <c r="DI34" s="730"/>
      <c r="DJ34" s="730">
        <f t="shared" ca="1" si="53"/>
        <v>1</v>
      </c>
      <c r="DK34" s="730">
        <f t="shared" ca="1" si="24"/>
        <v>0</v>
      </c>
      <c r="DL34" s="730">
        <f t="shared" ca="1" si="33"/>
        <v>1</v>
      </c>
      <c r="DM34" s="724" t="str">
        <f t="shared" ca="1" si="34"/>
        <v>1.1</v>
      </c>
      <c r="DN34" s="730" cm="1">
        <f t="array" aca="1" ref="DN34" ca="1">OFFSET(Horarios!$P$3,DJ34-1,0,DL34,1)</f>
        <v>1</v>
      </c>
      <c r="DO34" s="730"/>
      <c r="DP34" s="730" t="s">
        <v>670</v>
      </c>
      <c r="DQ34" s="730" t="str">
        <f t="shared" ca="1" si="35"/>
        <v>España</v>
      </c>
      <c r="DR34" s="730"/>
      <c r="DS34" s="730"/>
      <c r="DT34" s="730" t="str">
        <f t="shared" si="15"/>
        <v>-</v>
      </c>
      <c r="DU34" s="730"/>
      <c r="DV34" s="730"/>
      <c r="DW34" s="8"/>
    </row>
    <row r="35" spans="1:127" ht="15" thickBot="1">
      <c r="A35" s="725"/>
      <c r="B35" s="728"/>
      <c r="C35" s="725"/>
      <c r="D35" s="725"/>
      <c r="E35" s="725"/>
      <c r="F35" s="725"/>
      <c r="G35" s="725"/>
      <c r="H35" s="725"/>
      <c r="I35" s="725"/>
      <c r="J35" s="725"/>
      <c r="K35" s="725"/>
      <c r="L35" s="725"/>
      <c r="M35" s="725"/>
      <c r="N35" s="730"/>
      <c r="O35" s="730"/>
      <c r="P35" s="730"/>
      <c r="Q35" s="730"/>
      <c r="R35" s="730"/>
      <c r="S35" s="730"/>
      <c r="T35" s="730"/>
      <c r="U35" s="730"/>
      <c r="V35" s="170"/>
      <c r="W35" s="177"/>
      <c r="X35" s="178" t="str">
        <f>X19</f>
        <v>Fecha</v>
      </c>
      <c r="Y35" s="178" t="str">
        <f>Y19</f>
        <v>Hora</v>
      </c>
      <c r="Z35" s="179" t="str">
        <f t="shared" ref="Z35:AA35" si="113">Z19</f>
        <v>Jor.</v>
      </c>
      <c r="AA35" s="180" t="str">
        <f t="shared" si="113"/>
        <v>Casa</v>
      </c>
      <c r="AB35" s="179"/>
      <c r="AC35" s="179" t="str">
        <f>AC3</f>
        <v>Gol</v>
      </c>
      <c r="AD35" s="179" t="str">
        <f>AD3</f>
        <v>Gol</v>
      </c>
      <c r="AE35" s="179"/>
      <c r="AF35" s="182" t="str">
        <f t="shared" ref="AF35" si="114">AF19</f>
        <v>Fuera</v>
      </c>
      <c r="AG35" s="412"/>
      <c r="AH35" s="194"/>
      <c r="AI35" s="18"/>
      <c r="AJ35" s="184"/>
      <c r="AK35" s="250"/>
      <c r="AL35" s="184"/>
      <c r="AM35" s="184"/>
      <c r="AN35" s="184"/>
      <c r="AO35" s="184"/>
      <c r="AP35" s="184"/>
      <c r="AQ35" s="184"/>
      <c r="AR35" s="184"/>
      <c r="AS35" s="184"/>
      <c r="AT35" s="184"/>
      <c r="AU35" s="419"/>
      <c r="AV35" s="22"/>
      <c r="AW35" s="427"/>
      <c r="AX35" s="251"/>
      <c r="AY35" s="240"/>
      <c r="AZ35" s="241"/>
      <c r="BA35" s="173"/>
      <c r="BB35" s="730"/>
      <c r="BC35" s="742" t="str">
        <f ca="1">+INDEX(T_Equipos[Grupo],MATCH(WORLDCUP!BD35,T_Equipos[NombreEquipo],0))</f>
        <v>H</v>
      </c>
      <c r="BD35" s="730" t="str">
        <f ca="1">+Equipos!B31</f>
        <v>Cabo Verde</v>
      </c>
      <c r="BE35" s="734">
        <f t="shared" ca="1" si="25"/>
        <v>0</v>
      </c>
      <c r="BF35" s="734">
        <f t="shared" ca="1" si="26"/>
        <v>0</v>
      </c>
      <c r="BG35" s="734">
        <f t="shared" ca="1" si="17"/>
        <v>0</v>
      </c>
      <c r="BH35" s="734">
        <f t="shared" ca="1" si="18"/>
        <v>0</v>
      </c>
      <c r="BI35" s="734">
        <f t="shared" ca="1" si="19"/>
        <v>0</v>
      </c>
      <c r="BJ35" s="734">
        <f t="shared" ca="1" si="20"/>
        <v>0</v>
      </c>
      <c r="BK35" s="734">
        <f t="shared" ca="1" si="21"/>
        <v>0</v>
      </c>
      <c r="BL35" s="734">
        <f t="shared" ca="1" si="27"/>
        <v>0</v>
      </c>
      <c r="BM35" s="734" t="str">
        <f t="shared" ca="1" si="22"/>
        <v>2H</v>
      </c>
      <c r="BN35" s="734" t="str">
        <f t="shared" ca="1" si="23"/>
        <v>2H</v>
      </c>
      <c r="BO35" s="744">
        <f t="shared" ca="1" si="28"/>
        <v>0</v>
      </c>
      <c r="BP35" s="743">
        <f ca="1">COUNTIFS($BO$6:$BO$53,"&gt;"&amp;BO35,$BC$6:$BC$53,INDEX(T_Equipos[Grupo],MATCH(BD35,T_Equipos[NombreEquipo],0)))+1</f>
        <v>1</v>
      </c>
      <c r="BQ35" s="743" t="str">
        <f ca="1">IF(COUNTIFS($BP$6:$BP$53,BP35,$BC$6:$BC$53,INDEX(T_Equipos[Grupo],MATCH(BD35,T_Equipos[NombreEquipo],0)))=1,"-","P."&amp;BP35&amp;" ("&amp;COUNTIFS($BP$6:$BP$53,BP35,$BC$6:$BC$53,INDEX(T_Equipos[Grupo],MATCH(BD35,T_Equipos[NombreEquipo],0)))&amp;")")</f>
        <v>P.1 (4)</v>
      </c>
      <c r="BR35" s="744">
        <f t="shared" ca="1" si="29"/>
        <v>0</v>
      </c>
      <c r="BS35" s="743">
        <f ca="1">BP35+COUNTIFS($BQ$6:$BQ$53,BQ35,$BR$6:BR$53,"&gt;"&amp;BR35,$BC$6:$BC$53,INDEX(T_Equipos[Grupo],MATCH(BD35,T_Equipos[NombreEquipo],0)))</f>
        <v>1</v>
      </c>
      <c r="BT35" s="743" t="str">
        <f ca="1">IF(COUNTIFS($BS$6:$BS$53,BS35,$BC$6:$BC$53,INDEX(T_Equipos[Grupo],MATCH(BD35,T_Equipos[NombreEquipo],0)))=1,"-","P."&amp;BS35&amp;" ("&amp;COUNTIFS($BS$6:$BS$53,BS35,$BC$6:$BC$53,INDEX(T_Equipos[Grupo],MATCH(BD35,T_Equipos[NombreEquipo],0)))&amp;")")</f>
        <v>P.1 (4)</v>
      </c>
      <c r="BU35" s="744">
        <f t="shared" ca="1" si="36"/>
        <v>0</v>
      </c>
      <c r="BV35" s="744">
        <f t="shared" ca="1" si="37"/>
        <v>0</v>
      </c>
      <c r="BW35" s="744">
        <f t="shared" ca="1" si="38"/>
        <v>0</v>
      </c>
      <c r="BX35" s="744">
        <f t="shared" ca="1" si="39"/>
        <v>0</v>
      </c>
      <c r="BY35" s="744">
        <f ca="1">BS35+COUNTIFS($BT$6:$BT$53,BT35,$BX$6:BX$53,"&gt;"&amp;BX35,$BC$6:$BC$53,INDEX(T_Equipos[Grupo],MATCH(BD35,T_Equipos[NombreEquipo],0)))</f>
        <v>1</v>
      </c>
      <c r="BZ35" s="743" t="str">
        <f ca="1">IF(COUNTIFS($BY$6:$BY$53,BY35,$BC$6:$BC$53,INDEX(T_Equipos[Grupo],MATCH(BD35,T_Equipos[NombreEquipo],0)))=1,"-","P."&amp;BY35&amp;" ("&amp;COUNTIFS($BY$6:$BY$53,BY35,$BC$6:$BC$53,INDEX(T_Equipos[Grupo],MATCH(BD35,T_Equipos[NombreEquipo],0)))&amp;")")</f>
        <v>P.1 (4)</v>
      </c>
      <c r="CA35" s="744">
        <f t="shared" ca="1" si="40"/>
        <v>0</v>
      </c>
      <c r="CB35" s="744">
        <f t="shared" ca="1" si="41"/>
        <v>0</v>
      </c>
      <c r="CC35" s="744">
        <f t="shared" ca="1" si="42"/>
        <v>0</v>
      </c>
      <c r="CD35" s="744">
        <f ca="1">BY35+COUNTIFS($BZ$6:$BZ$53,BZ35,$CC$6:CC$53,"&gt;"&amp;CC35,$BC$6:$BC$53,INDEX(T_Equipos[Grupo],MATCH(BD35,T_Equipos[NombreEquipo],0)))</f>
        <v>1</v>
      </c>
      <c r="CE35" s="743" t="str">
        <f ca="1">IF(COUNTIFS($CD$6:$CD$53,CD35,$BC$6:$BC$53,INDEX(T_Equipos[Grupo],MATCH(BD35,T_Equipos[NombreEquipo],0)))=1,"-","P."&amp;CD35&amp;" ("&amp;COUNTIFS($CD$6:$CD$53,CD35,$BC$6:$BC$53,INDEX(T_Equipos[Grupo],MATCH(BD35,T_Equipos[NombreEquipo],0)))&amp;")")</f>
        <v>P.1 (4)</v>
      </c>
      <c r="CF35" s="744">
        <f t="shared" ca="1" si="43"/>
        <v>0</v>
      </c>
      <c r="CG35" s="744">
        <f ca="1">CD35+COUNTIFS($CE$6:$CE$53,CE35,$CF$6:CF$53,"&gt;"&amp;CF35,$BC$6:$BC$53,INDEX(T_Equipos[Grupo],MATCH(BD35,T_Equipos[NombreEquipo],0)))</f>
        <v>1</v>
      </c>
      <c r="CH35" s="743" t="str">
        <f ca="1">IF(COUNTIFS($CG$6:$CG$53,CG35,$BC$6:$BC$53,INDEX(T_Equipos[Grupo],MATCH(BD35,T_Equipos[NombreEquipo],0)))=1,"-","P."&amp;CG35&amp;" ("&amp;COUNTIFS($CG$6:$CG$53,CG35,$BC$6:$BC$53,INDEX(T_Equipos[Grupo],MATCH(BD35,T_Equipos[NombreEquipo],0)))&amp;")")</f>
        <v>P.1 (4)</v>
      </c>
      <c r="CI35" s="744">
        <f t="shared" ca="1" si="44"/>
        <v>0</v>
      </c>
      <c r="CJ35" s="744">
        <f t="shared" ca="1" si="45"/>
        <v>0</v>
      </c>
      <c r="CK35" s="744">
        <f t="shared" ca="1" si="46"/>
        <v>0</v>
      </c>
      <c r="CL35" s="744">
        <f t="shared" ca="1" si="47"/>
        <v>0</v>
      </c>
      <c r="CM35" s="744">
        <f ca="1">CG35+COUNTIFS($CH$6:$CH$53,CH35,$CL$6:CL$53,"&gt;"&amp;CL35,$BC$6:$BC$53,INDEX(T_Equipos[Grupo],MATCH(BD35,T_Equipos[NombreEquipo],0)))</f>
        <v>1</v>
      </c>
      <c r="CN35" s="743" t="str">
        <f ca="1">IF(COUNTIFS($CM$6:$CM$53,CM35,$BC$6:$BC$53,INDEX(T_Equipos[Grupo],MATCH(BD35,T_Equipos[NombreEquipo],0)))=1,"-","P."&amp;CM35&amp;" ("&amp;COUNTIFS($CM$6:$CM$53,CM35,$BC$6:$BC$53,INDEX(T_Equipos[Grupo],MATCH(BD35,T_Equipos[NombreEquipo],0)))&amp;")")</f>
        <v>P.1 (4)</v>
      </c>
      <c r="CO35" s="744">
        <f t="shared" ca="1" si="48"/>
        <v>0</v>
      </c>
      <c r="CP35" s="744">
        <f t="shared" ca="1" si="49"/>
        <v>0</v>
      </c>
      <c r="CQ35" s="744">
        <f t="shared" ca="1" si="50"/>
        <v>0</v>
      </c>
      <c r="CR35" s="744">
        <f ca="1">CM35+COUNTIFS($CN$6:$CN$53,CN35,$CQ$6:CQ$53,"&gt;"&amp;CQ35,$BC$6:$BC$53,INDEX(T_Equipos[Grupo],MATCH(BD35,T_Equipos[NombreEquipo],0)))</f>
        <v>1</v>
      </c>
      <c r="CS35" s="743" t="str">
        <f ca="1">IF(COUNTIFS($CR$6:$CR$53,CR35,$BC$6:$BC$53,INDEX(T_Equipos[Grupo],MATCH(BD35,T_Equipos[NombreEquipo],0)))=1,"-","P."&amp;CR35&amp;" ("&amp;COUNTIFS($CR$6:$CR$53,CR35,$BC$6:$BC$53,INDEX(T_Equipos[Grupo],MATCH(BD35,T_Equipos[NombreEquipo],0)))&amp;")")</f>
        <v>P.1 (4)</v>
      </c>
      <c r="CT35" s="744">
        <f t="shared" ca="1" si="51"/>
        <v>0</v>
      </c>
      <c r="CU35" s="744">
        <f ca="1">CR35+COUNTIFS($CS$6:$CS$53,CS35,$CT$6:CT$53,"&gt;"&amp;CT35,$BC$6:$BC$53,INDEX(T_Equipos[Grupo],MATCH(BD35,T_Equipos[NombreEquipo],0)))</f>
        <v>1</v>
      </c>
      <c r="CV35" s="743" t="str">
        <f ca="1">IF(COUNTIFS($CU$6:$CU$53,CU35,$BC$6:$BC$53,INDEX(T_Equipos[Grupo],MATCH(BD35,T_Equipos[NombreEquipo],0)))=1,"-","P."&amp;CU35&amp;" ("&amp;COUNTIFS($CU$6:$CU$53,CU35,$BC$6:$BC$53,INDEX(T_Equipos[Grupo],MATCH(BD35,T_Equipos[NombreEquipo],0)))&amp;")")</f>
        <v>P.1 (4)</v>
      </c>
      <c r="CW35" s="743">
        <f t="shared" ca="1" si="30"/>
        <v>0</v>
      </c>
      <c r="CX35" s="743">
        <f ca="1">CU35+COUNTIFS($CV$6:$CV$53,CV35,$CW$6:CW$53,"&gt;"&amp;CW35,$BC$6:$BC$53,INDEX(T_Equipos[Grupo],MATCH(BD35,T_Equipos[NombreEquipo],0)))</f>
        <v>1</v>
      </c>
      <c r="CY35" s="743" t="str">
        <f ca="1">IF(COUNTIFS($CX$6:$CX$53,CX35,$BC$6:$BC$53,INDEX(T_Equipos[Grupo],MATCH(BD35,T_Equipos[NombreEquipo],0)))=1,"-","P."&amp;CX35&amp;" ("&amp;COUNTIFS($CX$6:$CX$53,CX35,$BC$6:$BC$53,INDEX(T_Equipos[Grupo],MATCH(BD35,T_Equipos[NombreEquipo],0)))&amp;")")</f>
        <v>P.1 (4)</v>
      </c>
      <c r="CZ35" s="743">
        <f t="shared" ca="1" si="31"/>
        <v>0</v>
      </c>
      <c r="DA35" s="744">
        <f ca="1">CX35+COUNTIFS($CY$6:$CY$53,CY35,$CZ$6:CZ$53,"&gt;"&amp;CZ35,$BC$6:$BC$53,INDEX(T_Equipos[Grupo],MATCH(BD35,T_Equipos[NombreEquipo],0)))</f>
        <v>1</v>
      </c>
      <c r="DB35" s="743" t="str">
        <f ca="1">IF(COUNTIFS($DA$6:$DA$53,DA35,$BC$6:$BC$53,INDEX(T_Equipos[Grupo],MATCH(BD35,T_Equipos[NombreEquipo],0)))=1,"-","P."&amp;DA35&amp;" ("&amp;COUNTIFS($DA$6:$DA$53,DA35,$BC$6:$BC$53,INDEX(T_Equipos[Grupo],MATCH(BD35,T_Equipos[NombreEquipo],0)))&amp;")")</f>
        <v>P.1 (4)</v>
      </c>
      <c r="DC35" s="742">
        <f ca="1">IF(DB35="-","-",COUNTIFS(T_Equipos[Rank],"&lt;"&amp;INDEX(T_Equipos[Rank],MATCH(BD35,T_Equipos[NombreEquipo],0)),$BC$6:$BC$53,INDEX(T_Equipos[Grupo],MATCH(BD35,T_Equipos[NombreEquipo],0)))+1)</f>
        <v>2</v>
      </c>
      <c r="DD35" s="742">
        <f ca="1">DA35+COUNTIFS($DB$6:$DB$53,DB35,$DC$6:DC$53,"&lt;"&amp;DC35,$BC$6:$BC$53,INDEX(T_Equipos[Grupo],MATCH(BD35,T_Equipos[NombreEquipo],0)))</f>
        <v>2</v>
      </c>
      <c r="DE35" s="742"/>
      <c r="DF35" s="742">
        <f t="shared" ca="1" si="52"/>
        <v>2</v>
      </c>
      <c r="DG35" s="742">
        <f ca="1">IF(DB35="-","-",COUNTIFS(DF$6:DF$53,"&lt;"&amp;DF35,$BC$6:$BC$53,INDEX(T_Equipos[Grupo],MATCH(BD35,T_Equipos[NombreEquipo],0))))</f>
        <v>1</v>
      </c>
      <c r="DH35" s="742">
        <f ca="1">DA35+COUNTIFS(DB$6:DB$53,DB35,DG$6:DG$53,"&lt;"&amp;DG35,$BC$6:$BC$53,INDEX(T_Equipos[Grupo],MATCH(BD35,T_Equipos[NombreEquipo],0)))</f>
        <v>2</v>
      </c>
      <c r="DI35" s="730"/>
      <c r="DJ35" s="730">
        <f t="shared" ca="1" si="53"/>
        <v>1</v>
      </c>
      <c r="DK35" s="730">
        <f t="shared" ca="1" si="24"/>
        <v>0</v>
      </c>
      <c r="DL35" s="730">
        <f t="shared" ca="1" si="33"/>
        <v>1</v>
      </c>
      <c r="DM35" s="724" t="str">
        <f t="shared" ca="1" si="34"/>
        <v>1.1</v>
      </c>
      <c r="DN35" s="730" cm="1">
        <f t="array" aca="1" ref="DN35" ca="1">OFFSET(Horarios!$P$3,DJ35-1,0,DL35,1)</f>
        <v>1</v>
      </c>
      <c r="DO35" s="730"/>
      <c r="DP35" s="730" t="s">
        <v>671</v>
      </c>
      <c r="DQ35" s="730" t="str">
        <f t="shared" ca="1" si="35"/>
        <v>Cabo Verde</v>
      </c>
      <c r="DR35" s="730"/>
      <c r="DS35" s="730"/>
      <c r="DT35" s="730" t="str">
        <f t="shared" si="15"/>
        <v>Casa-Fuera</v>
      </c>
      <c r="DU35" s="730"/>
      <c r="DV35" s="730"/>
      <c r="DW35" s="8"/>
    </row>
    <row r="36" spans="1:127" ht="15" customHeight="1" thickBot="1">
      <c r="A36" s="727" t="s">
        <v>30</v>
      </c>
      <c r="B36" s="728" t="s">
        <v>3</v>
      </c>
      <c r="C36" s="729">
        <f>COUNTIF(Equipos!$C$2:$C$49,WORLDCUP!B36)</f>
        <v>4</v>
      </c>
      <c r="D36" s="730" t="str">
        <f t="shared" ref="D36:D41" si="115">IF(OR(AC36="",AD36=""),"Pendiente",IF(AC36&gt;AD36,"Local",IF(AC36&lt;AD36,"Visitante","Empate")))</f>
        <v>Pendiente</v>
      </c>
      <c r="E36" s="730" t="str">
        <f t="shared" ref="E36:E41" si="116">IF(D36="Pendiente","-",INDEX($BT$6:$BT$53,MATCH($AA36,$BD$6:$BD$53,0)))</f>
        <v>-</v>
      </c>
      <c r="F36" s="730" t="str">
        <f t="shared" ref="F36:F41" si="117">IF(D36="Pendiente","-",INDEX($BT$6:$BT$53,MATCH($AF36,$BD$6:$BD$53,0)))</f>
        <v>-</v>
      </c>
      <c r="G36" s="730"/>
      <c r="H36" s="730" t="str">
        <f t="shared" ref="H36:H41" si="118">IF(D36="Pendiente","-",INDEX($BZ$6:$BZ$53,MATCH($AA36,$BD$6:$BD$53,0)))</f>
        <v>-</v>
      </c>
      <c r="I36" s="730" t="str">
        <f t="shared" ref="I36:I41" si="119">IF(D36="Pendiente","-",INDEX($BZ$6:$BZ$53,MATCH($AF36,$BD$6:$BD$53,0)))</f>
        <v>-</v>
      </c>
      <c r="J36" s="730"/>
      <c r="K36" s="730" t="str">
        <f t="shared" ref="K36:K41" si="120">IF(D36="Pendiente","-",INDEX($CE$6:$CE$53,MATCH($AA36,$BD$6:$BD$53,0)))</f>
        <v>-</v>
      </c>
      <c r="L36" s="730" t="str">
        <f t="shared" ref="L36:L41" si="121">IF(D36="Pendiente","-",INDEX($CE$6:$CE$53,MATCH($AF36,$BD$6:$BD$53,0)))</f>
        <v>-</v>
      </c>
      <c r="M36" s="730"/>
      <c r="N36" s="730" t="str">
        <f t="shared" ref="N36:N41" si="122">IF(D36="Pendiente","-",INDEX($CH$6:$CH$53,MATCH($AA36,$BD$6:$BD$53,0)))</f>
        <v>-</v>
      </c>
      <c r="O36" s="730" t="str">
        <f t="shared" ref="O36:O41" si="123">IF(D36="Pendiente","-",INDEX($CH$6:$CH$53,MATCH($AF36,$BD$6:$BD$53,0)))</f>
        <v>-</v>
      </c>
      <c r="P36" s="730"/>
      <c r="Q36" s="730" t="str">
        <f t="shared" ref="Q36:Q41" si="124">IF(D36="Pendiente","-",INDEX($CN$6:$CN$53,MATCH($AA36,$BD$6:$BD$53,0)))</f>
        <v>-</v>
      </c>
      <c r="R36" s="730" t="str">
        <f t="shared" ref="R36:R41" si="125">IF(D36="Pendiente","-",INDEX($CN$6:$CN$53,MATCH($AF36,$BD$6:$BD$53,0)))</f>
        <v>-</v>
      </c>
      <c r="S36" s="730"/>
      <c r="T36" s="730" t="str">
        <f t="shared" ref="T36:T41" si="126">IF(D36="Pendiente","-",INDEX($CS$6:$CS$53,MATCH($AA36,$BD$6:$BD$53,0)))</f>
        <v>-</v>
      </c>
      <c r="U36" s="730" t="str">
        <f t="shared" ref="U36:U41" si="127">IF(D36="Pendiente","-",INDEX($CS$6:$CS$53,MATCH($AF36,$BD$6:$BD$53,0)))</f>
        <v>-</v>
      </c>
      <c r="V36" s="170"/>
      <c r="W36" s="862" t="s">
        <v>3</v>
      </c>
      <c r="X36" s="187">
        <f ca="1">Horarios!C36</f>
        <v>46187.541666666664</v>
      </c>
      <c r="Y36" s="188">
        <f ca="1">Horarios!C36</f>
        <v>46187.541666666664</v>
      </c>
      <c r="Z36" s="189" t="str">
        <f>$Z$4</f>
        <v>J1</v>
      </c>
      <c r="AA36" s="190" t="str">
        <f ca="1">A37</f>
        <v>Alemania</v>
      </c>
      <c r="AB36" s="475" t="e" cm="1" vm="17">
        <f t="array" aca="1" ref="AB36" ca="1">Ver_flag_local</f>
        <v>#VALUE!</v>
      </c>
      <c r="AC36" s="191"/>
      <c r="AD36" s="192"/>
      <c r="AE36" s="480" t="e" cm="1" vm="18">
        <f t="array" aca="1" ref="AE36" ca="1">Ver_flag_visit</f>
        <v>#VALUE!</v>
      </c>
      <c r="AF36" s="193" t="str">
        <f ca="1">A38</f>
        <v>Curazao</v>
      </c>
      <c r="AG36" s="411">
        <f t="shared" ref="AG36:AG41" si="128">IF(NOT(OR(ISBLANK(AC36),ISBLANK(AD36))),1,0)</f>
        <v>0</v>
      </c>
      <c r="AH36" s="194">
        <v>10</v>
      </c>
      <c r="AI36" s="19"/>
      <c r="AJ36" s="195" t="str">
        <f>CONCATENATE(AJ3," ",B36)</f>
        <v>Grupo E</v>
      </c>
      <c r="AK36" s="196"/>
      <c r="AL36" s="196"/>
      <c r="AM36" s="196"/>
      <c r="AN36" s="196"/>
      <c r="AO36" s="196"/>
      <c r="AP36" s="196"/>
      <c r="AQ36" s="196"/>
      <c r="AR36" s="196"/>
      <c r="AS36" s="196"/>
      <c r="AT36" s="197"/>
      <c r="AU36" s="419"/>
      <c r="AV36" s="198" t="str">
        <f t="shared" ref="AV36" ca="1" si="129">IF(AU37&gt;0,$AV$3,"")</f>
        <v/>
      </c>
      <c r="AW36" s="206"/>
      <c r="AX36" s="253"/>
      <c r="AY36" s="240"/>
      <c r="AZ36" s="241"/>
      <c r="BA36" s="173"/>
      <c r="BB36" s="730"/>
      <c r="BC36" s="742" t="str">
        <f ca="1">+INDEX(T_Equipos[Grupo],MATCH(WORLDCUP!BD36,T_Equipos[NombreEquipo],0))</f>
        <v>H</v>
      </c>
      <c r="BD36" s="730" t="str">
        <f ca="1">+Equipos!B32</f>
        <v>Arabia Saudita</v>
      </c>
      <c r="BE36" s="734">
        <f t="shared" ca="1" si="25"/>
        <v>0</v>
      </c>
      <c r="BF36" s="734">
        <f t="shared" ca="1" si="26"/>
        <v>0</v>
      </c>
      <c r="BG36" s="734">
        <f t="shared" ca="1" si="17"/>
        <v>0</v>
      </c>
      <c r="BH36" s="734">
        <f t="shared" ca="1" si="18"/>
        <v>0</v>
      </c>
      <c r="BI36" s="734">
        <f t="shared" ca="1" si="19"/>
        <v>0</v>
      </c>
      <c r="BJ36" s="734">
        <f t="shared" ca="1" si="20"/>
        <v>0</v>
      </c>
      <c r="BK36" s="734">
        <f t="shared" ca="1" si="21"/>
        <v>0</v>
      </c>
      <c r="BL36" s="734">
        <f t="shared" ca="1" si="27"/>
        <v>0</v>
      </c>
      <c r="BM36" s="734" t="str">
        <f t="shared" ca="1" si="22"/>
        <v>3H</v>
      </c>
      <c r="BN36" s="734" t="str">
        <f t="shared" ca="1" si="23"/>
        <v>3H</v>
      </c>
      <c r="BO36" s="744">
        <f t="shared" ca="1" si="28"/>
        <v>0</v>
      </c>
      <c r="BP36" s="743">
        <f ca="1">COUNTIFS($BO$6:$BO$53,"&gt;"&amp;BO36,$BC$6:$BC$53,INDEX(T_Equipos[Grupo],MATCH(BD36,T_Equipos[NombreEquipo],0)))+1</f>
        <v>1</v>
      </c>
      <c r="BQ36" s="743" t="str">
        <f ca="1">IF(COUNTIFS($BP$6:$BP$53,BP36,$BC$6:$BC$53,INDEX(T_Equipos[Grupo],MATCH(BD36,T_Equipos[NombreEquipo],0)))=1,"-","P."&amp;BP36&amp;" ("&amp;COUNTIFS($BP$6:$BP$53,BP36,$BC$6:$BC$53,INDEX(T_Equipos[Grupo],MATCH(BD36,T_Equipos[NombreEquipo],0)))&amp;")")</f>
        <v>P.1 (4)</v>
      </c>
      <c r="BR36" s="744">
        <f t="shared" ca="1" si="29"/>
        <v>0</v>
      </c>
      <c r="BS36" s="743">
        <f ca="1">BP36+COUNTIFS($BQ$6:$BQ$53,BQ36,$BR$6:BR$53,"&gt;"&amp;BR36,$BC$6:$BC$53,INDEX(T_Equipos[Grupo],MATCH(BD36,T_Equipos[NombreEquipo],0)))</f>
        <v>1</v>
      </c>
      <c r="BT36" s="743" t="str">
        <f ca="1">IF(COUNTIFS($BS$6:$BS$53,BS36,$BC$6:$BC$53,INDEX(T_Equipos[Grupo],MATCH(BD36,T_Equipos[NombreEquipo],0)))=1,"-","P."&amp;BS36&amp;" ("&amp;COUNTIFS($BS$6:$BS$53,BS36,$BC$6:$BC$53,INDEX(T_Equipos[Grupo],MATCH(BD36,T_Equipos[NombreEquipo],0)))&amp;")")</f>
        <v>P.1 (4)</v>
      </c>
      <c r="BU36" s="744">
        <f t="shared" ca="1" si="36"/>
        <v>0</v>
      </c>
      <c r="BV36" s="744">
        <f t="shared" ca="1" si="37"/>
        <v>0</v>
      </c>
      <c r="BW36" s="744">
        <f t="shared" ca="1" si="38"/>
        <v>0</v>
      </c>
      <c r="BX36" s="744">
        <f t="shared" ca="1" si="39"/>
        <v>0</v>
      </c>
      <c r="BY36" s="744">
        <f ca="1">BS36+COUNTIFS($BT$6:$BT$53,BT36,$BX$6:BX$53,"&gt;"&amp;BX36,$BC$6:$BC$53,INDEX(T_Equipos[Grupo],MATCH(BD36,T_Equipos[NombreEquipo],0)))</f>
        <v>1</v>
      </c>
      <c r="BZ36" s="743" t="str">
        <f ca="1">IF(COUNTIFS($BY$6:$BY$53,BY36,$BC$6:$BC$53,INDEX(T_Equipos[Grupo],MATCH(BD36,T_Equipos[NombreEquipo],0)))=1,"-","P."&amp;BY36&amp;" ("&amp;COUNTIFS($BY$6:$BY$53,BY36,$BC$6:$BC$53,INDEX(T_Equipos[Grupo],MATCH(BD36,T_Equipos[NombreEquipo],0)))&amp;")")</f>
        <v>P.1 (4)</v>
      </c>
      <c r="CA36" s="744">
        <f t="shared" ca="1" si="40"/>
        <v>0</v>
      </c>
      <c r="CB36" s="744">
        <f t="shared" ca="1" si="41"/>
        <v>0</v>
      </c>
      <c r="CC36" s="744">
        <f t="shared" ca="1" si="42"/>
        <v>0</v>
      </c>
      <c r="CD36" s="744">
        <f ca="1">BY36+COUNTIFS($BZ$6:$BZ$53,BZ36,$CC$6:CC$53,"&gt;"&amp;CC36,$BC$6:$BC$53,INDEX(T_Equipos[Grupo],MATCH(BD36,T_Equipos[NombreEquipo],0)))</f>
        <v>1</v>
      </c>
      <c r="CE36" s="743" t="str">
        <f ca="1">IF(COUNTIFS($CD$6:$CD$53,CD36,$BC$6:$BC$53,INDEX(T_Equipos[Grupo],MATCH(BD36,T_Equipos[NombreEquipo],0)))=1,"-","P."&amp;CD36&amp;" ("&amp;COUNTIFS($CD$6:$CD$53,CD36,$BC$6:$BC$53,INDEX(T_Equipos[Grupo],MATCH(BD36,T_Equipos[NombreEquipo],0)))&amp;")")</f>
        <v>P.1 (4)</v>
      </c>
      <c r="CF36" s="744">
        <f t="shared" ca="1" si="43"/>
        <v>0</v>
      </c>
      <c r="CG36" s="744">
        <f ca="1">CD36+COUNTIFS($CE$6:$CE$53,CE36,$CF$6:CF$53,"&gt;"&amp;CF36,$BC$6:$BC$53,INDEX(T_Equipos[Grupo],MATCH(BD36,T_Equipos[NombreEquipo],0)))</f>
        <v>1</v>
      </c>
      <c r="CH36" s="743" t="str">
        <f ca="1">IF(COUNTIFS($CG$6:$CG$53,CG36,$BC$6:$BC$53,INDEX(T_Equipos[Grupo],MATCH(BD36,T_Equipos[NombreEquipo],0)))=1,"-","P."&amp;CG36&amp;" ("&amp;COUNTIFS($CG$6:$CG$53,CG36,$BC$6:$BC$53,INDEX(T_Equipos[Grupo],MATCH(BD36,T_Equipos[NombreEquipo],0)))&amp;")")</f>
        <v>P.1 (4)</v>
      </c>
      <c r="CI36" s="744">
        <f t="shared" ca="1" si="44"/>
        <v>0</v>
      </c>
      <c r="CJ36" s="744">
        <f t="shared" ca="1" si="45"/>
        <v>0</v>
      </c>
      <c r="CK36" s="744">
        <f t="shared" ca="1" si="46"/>
        <v>0</v>
      </c>
      <c r="CL36" s="744">
        <f t="shared" ca="1" si="47"/>
        <v>0</v>
      </c>
      <c r="CM36" s="744">
        <f ca="1">CG36+COUNTIFS($CH$6:$CH$53,CH36,$CL$6:CL$53,"&gt;"&amp;CL36,$BC$6:$BC$53,INDEX(T_Equipos[Grupo],MATCH(BD36,T_Equipos[NombreEquipo],0)))</f>
        <v>1</v>
      </c>
      <c r="CN36" s="743" t="str">
        <f ca="1">IF(COUNTIFS($CM$6:$CM$53,CM36,$BC$6:$BC$53,INDEX(T_Equipos[Grupo],MATCH(BD36,T_Equipos[NombreEquipo],0)))=1,"-","P."&amp;CM36&amp;" ("&amp;COUNTIFS($CM$6:$CM$53,CM36,$BC$6:$BC$53,INDEX(T_Equipos[Grupo],MATCH(BD36,T_Equipos[NombreEquipo],0)))&amp;")")</f>
        <v>P.1 (4)</v>
      </c>
      <c r="CO36" s="744">
        <f t="shared" ca="1" si="48"/>
        <v>0</v>
      </c>
      <c r="CP36" s="744">
        <f t="shared" ca="1" si="49"/>
        <v>0</v>
      </c>
      <c r="CQ36" s="744">
        <f t="shared" ca="1" si="50"/>
        <v>0</v>
      </c>
      <c r="CR36" s="744">
        <f ca="1">CM36+COUNTIFS($CN$6:$CN$53,CN36,$CQ$6:CQ$53,"&gt;"&amp;CQ36,$BC$6:$BC$53,INDEX(T_Equipos[Grupo],MATCH(BD36,T_Equipos[NombreEquipo],0)))</f>
        <v>1</v>
      </c>
      <c r="CS36" s="743" t="str">
        <f ca="1">IF(COUNTIFS($CR$6:$CR$53,CR36,$BC$6:$BC$53,INDEX(T_Equipos[Grupo],MATCH(BD36,T_Equipos[NombreEquipo],0)))=1,"-","P."&amp;CR36&amp;" ("&amp;COUNTIFS($CR$6:$CR$53,CR36,$BC$6:$BC$53,INDEX(T_Equipos[Grupo],MATCH(BD36,T_Equipos[NombreEquipo],0)))&amp;")")</f>
        <v>P.1 (4)</v>
      </c>
      <c r="CT36" s="744">
        <f t="shared" ca="1" si="51"/>
        <v>0</v>
      </c>
      <c r="CU36" s="744">
        <f ca="1">CR36+COUNTIFS($CS$6:$CS$53,CS36,$CT$6:CT$53,"&gt;"&amp;CT36,$BC$6:$BC$53,INDEX(T_Equipos[Grupo],MATCH(BD36,T_Equipos[NombreEquipo],0)))</f>
        <v>1</v>
      </c>
      <c r="CV36" s="743" t="str">
        <f ca="1">IF(COUNTIFS($CU$6:$CU$53,CU36,$BC$6:$BC$53,INDEX(T_Equipos[Grupo],MATCH(BD36,T_Equipos[NombreEquipo],0)))=1,"-","P."&amp;CU36&amp;" ("&amp;COUNTIFS($CU$6:$CU$53,CU36,$BC$6:$BC$53,INDEX(T_Equipos[Grupo],MATCH(BD36,T_Equipos[NombreEquipo],0)))&amp;")")</f>
        <v>P.1 (4)</v>
      </c>
      <c r="CW36" s="743">
        <f t="shared" ca="1" si="30"/>
        <v>0</v>
      </c>
      <c r="CX36" s="743">
        <f ca="1">CU36+COUNTIFS($CV$6:$CV$53,CV36,$CW$6:CW$53,"&gt;"&amp;CW36,$BC$6:$BC$53,INDEX(T_Equipos[Grupo],MATCH(BD36,T_Equipos[NombreEquipo],0)))</f>
        <v>1</v>
      </c>
      <c r="CY36" s="743" t="str">
        <f ca="1">IF(COUNTIFS($CX$6:$CX$53,CX36,$BC$6:$BC$53,INDEX(T_Equipos[Grupo],MATCH(BD36,T_Equipos[NombreEquipo],0)))=1,"-","P."&amp;CX36&amp;" ("&amp;COUNTIFS($CX$6:$CX$53,CX36,$BC$6:$BC$53,INDEX(T_Equipos[Grupo],MATCH(BD36,T_Equipos[NombreEquipo],0)))&amp;")")</f>
        <v>P.1 (4)</v>
      </c>
      <c r="CZ36" s="743">
        <f t="shared" ca="1" si="31"/>
        <v>0</v>
      </c>
      <c r="DA36" s="744">
        <f ca="1">CX36+COUNTIFS($CY$6:$CY$53,CY36,$CZ$6:CZ$53,"&gt;"&amp;CZ36,$BC$6:$BC$53,INDEX(T_Equipos[Grupo],MATCH(BD36,T_Equipos[NombreEquipo],0)))</f>
        <v>1</v>
      </c>
      <c r="DB36" s="743" t="str">
        <f ca="1">IF(COUNTIFS($DA$6:$DA$53,DA36,$BC$6:$BC$53,INDEX(T_Equipos[Grupo],MATCH(BD36,T_Equipos[NombreEquipo],0)))=1,"-","P."&amp;DA36&amp;" ("&amp;COUNTIFS($DA$6:$DA$53,DA36,$BC$6:$BC$53,INDEX(T_Equipos[Grupo],MATCH(BD36,T_Equipos[NombreEquipo],0)))&amp;")")</f>
        <v>P.1 (4)</v>
      </c>
      <c r="DC36" s="742">
        <f ca="1">IF(DB36="-","-",COUNTIFS(T_Equipos[Rank],"&lt;"&amp;INDEX(T_Equipos[Rank],MATCH(BD36,T_Equipos[NombreEquipo],0)),$BC$6:$BC$53,INDEX(T_Equipos[Grupo],MATCH(BD36,T_Equipos[NombreEquipo],0)))+1)</f>
        <v>3</v>
      </c>
      <c r="DD36" s="742">
        <f ca="1">DA36+COUNTIFS($DB$6:$DB$53,DB36,$DC$6:DC$53,"&lt;"&amp;DC36,$BC$6:$BC$53,INDEX(T_Equipos[Grupo],MATCH(BD36,T_Equipos[NombreEquipo],0)))</f>
        <v>3</v>
      </c>
      <c r="DE36" s="742"/>
      <c r="DF36" s="742">
        <f t="shared" ca="1" si="52"/>
        <v>3</v>
      </c>
      <c r="DG36" s="742">
        <f ca="1">IF(DB36="-","-",COUNTIFS(DF$6:DF$53,"&lt;"&amp;DF36,$BC$6:$BC$53,INDEX(T_Equipos[Grupo],MATCH(BD36,T_Equipos[NombreEquipo],0))))</f>
        <v>2</v>
      </c>
      <c r="DH36" s="742">
        <f ca="1">DA36+COUNTIFS(DB$6:DB$53,DB36,DG$6:DG$53,"&lt;"&amp;DG36,$BC$6:$BC$53,INDEX(T_Equipos[Grupo],MATCH(BD36,T_Equipos[NombreEquipo],0)))</f>
        <v>3</v>
      </c>
      <c r="DI36" s="730"/>
      <c r="DJ36" s="730">
        <f t="shared" ca="1" si="53"/>
        <v>1</v>
      </c>
      <c r="DK36" s="730">
        <f t="shared" ca="1" si="24"/>
        <v>0</v>
      </c>
      <c r="DL36" s="730">
        <f t="shared" ca="1" si="33"/>
        <v>1</v>
      </c>
      <c r="DM36" s="724" t="str">
        <f t="shared" ca="1" si="34"/>
        <v>1.1</v>
      </c>
      <c r="DN36" s="730" cm="1">
        <f t="array" aca="1" ref="DN36" ca="1">OFFSET(Horarios!$P$3,DJ36-1,0,DL36,1)</f>
        <v>1</v>
      </c>
      <c r="DO36" s="730"/>
      <c r="DP36" s="730" t="s">
        <v>436</v>
      </c>
      <c r="DQ36" s="730" t="str">
        <f t="shared" ca="1" si="35"/>
        <v>Arabia Saudita</v>
      </c>
      <c r="DR36" s="730"/>
      <c r="DS36" s="730"/>
      <c r="DT36" s="730" t="str">
        <f t="shared" ca="1" si="15"/>
        <v>Alemania-Curazao</v>
      </c>
      <c r="DU36" s="730"/>
      <c r="DV36" s="730"/>
      <c r="DW36" s="8"/>
    </row>
    <row r="37" spans="1:127" ht="16.05" customHeight="1">
      <c r="A37" s="731" t="str">
        <f ca="1">+Equipos!B18</f>
        <v>Alemania</v>
      </c>
      <c r="B37" s="728"/>
      <c r="C37" s="728"/>
      <c r="D37" s="730" t="str">
        <f t="shared" si="115"/>
        <v>Pendiente</v>
      </c>
      <c r="E37" s="730" t="str">
        <f t="shared" si="116"/>
        <v>-</v>
      </c>
      <c r="F37" s="730" t="str">
        <f t="shared" si="117"/>
        <v>-</v>
      </c>
      <c r="G37" s="730"/>
      <c r="H37" s="730" t="str">
        <f t="shared" si="118"/>
        <v>-</v>
      </c>
      <c r="I37" s="730" t="str">
        <f t="shared" si="119"/>
        <v>-</v>
      </c>
      <c r="J37" s="730"/>
      <c r="K37" s="730" t="str">
        <f t="shared" si="120"/>
        <v>-</v>
      </c>
      <c r="L37" s="730" t="str">
        <f t="shared" si="121"/>
        <v>-</v>
      </c>
      <c r="M37" s="730"/>
      <c r="N37" s="730" t="str">
        <f t="shared" si="122"/>
        <v>-</v>
      </c>
      <c r="O37" s="730" t="str">
        <f t="shared" si="123"/>
        <v>-</v>
      </c>
      <c r="P37" s="730"/>
      <c r="Q37" s="730" t="str">
        <f t="shared" si="124"/>
        <v>-</v>
      </c>
      <c r="R37" s="730" t="str">
        <f t="shared" si="125"/>
        <v>-</v>
      </c>
      <c r="S37" s="730"/>
      <c r="T37" s="730" t="str">
        <f t="shared" si="126"/>
        <v>-</v>
      </c>
      <c r="U37" s="730" t="str">
        <f t="shared" si="127"/>
        <v>-</v>
      </c>
      <c r="V37" s="170"/>
      <c r="W37" s="862"/>
      <c r="X37" s="187">
        <f ca="1">Horarios!C37</f>
        <v>46187.791666666664</v>
      </c>
      <c r="Y37" s="188">
        <f ca="1">Horarios!C37</f>
        <v>46187.791666666664</v>
      </c>
      <c r="Z37" s="189" t="str">
        <f>$Z$4</f>
        <v>J1</v>
      </c>
      <c r="AA37" s="190" t="str">
        <f ca="1">A39</f>
        <v>Costa de Marfil</v>
      </c>
      <c r="AB37" s="475" t="e" cm="1" vm="19">
        <f t="array" aca="1" ref="AB37" ca="1">Ver_flag_local</f>
        <v>#VALUE!</v>
      </c>
      <c r="AC37" s="191"/>
      <c r="AD37" s="192"/>
      <c r="AE37" s="480" t="e" cm="1" vm="20">
        <f t="array" aca="1" ref="AE37" ca="1">Ver_flag_visit</f>
        <v>#VALUE!</v>
      </c>
      <c r="AF37" s="193" t="str">
        <f ca="1">A40</f>
        <v>Ecuador</v>
      </c>
      <c r="AG37" s="411">
        <f t="shared" si="128"/>
        <v>0</v>
      </c>
      <c r="AH37" s="194">
        <v>9</v>
      </c>
      <c r="AI37" s="19"/>
      <c r="AJ37" s="202" t="str">
        <f>AJ5</f>
        <v>Pos</v>
      </c>
      <c r="AK37" s="203"/>
      <c r="AL37" s="204" t="str">
        <f t="shared" ref="AL37:AT37" si="130">AL5</f>
        <v>Selección</v>
      </c>
      <c r="AM37" s="203" t="str">
        <f t="shared" si="130"/>
        <v>Pts</v>
      </c>
      <c r="AN37" s="203" t="str">
        <f t="shared" si="130"/>
        <v>J</v>
      </c>
      <c r="AO37" s="203" t="str">
        <f t="shared" si="130"/>
        <v>G</v>
      </c>
      <c r="AP37" s="203" t="str">
        <f t="shared" si="130"/>
        <v>E</v>
      </c>
      <c r="AQ37" s="203" t="str">
        <f t="shared" si="130"/>
        <v>P</v>
      </c>
      <c r="AR37" s="203" t="str">
        <f t="shared" si="130"/>
        <v>GF</v>
      </c>
      <c r="AS37" s="203" t="str">
        <f t="shared" si="130"/>
        <v>GC</v>
      </c>
      <c r="AT37" s="205" t="str">
        <f t="shared" si="130"/>
        <v>DG</v>
      </c>
      <c r="AU37" s="419">
        <f t="shared" ref="AU37" ca="1" si="131">COUNTIF(AU38:AU41,"&gt;1")</f>
        <v>0</v>
      </c>
      <c r="AV37" s="206"/>
      <c r="AW37" s="206"/>
      <c r="AX37" s="253"/>
      <c r="AY37" s="207" t="str">
        <f>AL37</f>
        <v>Selección</v>
      </c>
      <c r="AZ37" s="208" t="str">
        <f>+Idiomas!$D$69</f>
        <v>Puntos penalizados</v>
      </c>
      <c r="BA37" s="173"/>
      <c r="BB37" s="730"/>
      <c r="BC37" s="742" t="str">
        <f ca="1">+INDEX(T_Equipos[Grupo],MATCH(WORLDCUP!BD37,T_Equipos[NombreEquipo],0))</f>
        <v>H</v>
      </c>
      <c r="BD37" s="730" t="str">
        <f ca="1">+Equipos!B33</f>
        <v>Uruguay</v>
      </c>
      <c r="BE37" s="734">
        <f t="shared" ca="1" si="25"/>
        <v>0</v>
      </c>
      <c r="BF37" s="734">
        <f t="shared" ca="1" si="26"/>
        <v>0</v>
      </c>
      <c r="BG37" s="734">
        <f t="shared" ca="1" si="17"/>
        <v>0</v>
      </c>
      <c r="BH37" s="734">
        <f t="shared" ca="1" si="18"/>
        <v>0</v>
      </c>
      <c r="BI37" s="734">
        <f t="shared" ca="1" si="19"/>
        <v>0</v>
      </c>
      <c r="BJ37" s="734">
        <f t="shared" ca="1" si="20"/>
        <v>0</v>
      </c>
      <c r="BK37" s="734">
        <f t="shared" ca="1" si="21"/>
        <v>0</v>
      </c>
      <c r="BL37" s="734">
        <f t="shared" ca="1" si="27"/>
        <v>0</v>
      </c>
      <c r="BM37" s="734" t="str">
        <f t="shared" ca="1" si="22"/>
        <v>4H</v>
      </c>
      <c r="BN37" s="734" t="str">
        <f t="shared" ca="1" si="23"/>
        <v>4H</v>
      </c>
      <c r="BO37" s="744">
        <f t="shared" ca="1" si="28"/>
        <v>0</v>
      </c>
      <c r="BP37" s="743">
        <f ca="1">COUNTIFS($BO$6:$BO$53,"&gt;"&amp;BO37,$BC$6:$BC$53,INDEX(T_Equipos[Grupo],MATCH(BD37,T_Equipos[NombreEquipo],0)))+1</f>
        <v>1</v>
      </c>
      <c r="BQ37" s="743" t="str">
        <f ca="1">IF(COUNTIFS($BP$6:$BP$53,BP37,$BC$6:$BC$53,INDEX(T_Equipos[Grupo],MATCH(BD37,T_Equipos[NombreEquipo],0)))=1,"-","P."&amp;BP37&amp;" ("&amp;COUNTIFS($BP$6:$BP$53,BP37,$BC$6:$BC$53,INDEX(T_Equipos[Grupo],MATCH(BD37,T_Equipos[NombreEquipo],0)))&amp;")")</f>
        <v>P.1 (4)</v>
      </c>
      <c r="BR37" s="744">
        <f t="shared" ca="1" si="29"/>
        <v>0</v>
      </c>
      <c r="BS37" s="743">
        <f ca="1">BP37+COUNTIFS($BQ$6:$BQ$53,BQ37,$BR$6:BR$53,"&gt;"&amp;BR37,$BC$6:$BC$53,INDEX(T_Equipos[Grupo],MATCH(BD37,T_Equipos[NombreEquipo],0)))</f>
        <v>1</v>
      </c>
      <c r="BT37" s="743" t="str">
        <f ca="1">IF(COUNTIFS($BS$6:$BS$53,BS37,$BC$6:$BC$53,INDEX(T_Equipos[Grupo],MATCH(BD37,T_Equipos[NombreEquipo],0)))=1,"-","P."&amp;BS37&amp;" ("&amp;COUNTIFS($BS$6:$BS$53,BS37,$BC$6:$BC$53,INDEX(T_Equipos[Grupo],MATCH(BD37,T_Equipos[NombreEquipo],0)))&amp;")")</f>
        <v>P.1 (4)</v>
      </c>
      <c r="BU37" s="744">
        <f t="shared" ca="1" si="36"/>
        <v>0</v>
      </c>
      <c r="BV37" s="744">
        <f t="shared" ca="1" si="37"/>
        <v>0</v>
      </c>
      <c r="BW37" s="744">
        <f t="shared" ca="1" si="38"/>
        <v>0</v>
      </c>
      <c r="BX37" s="744">
        <f t="shared" ca="1" si="39"/>
        <v>0</v>
      </c>
      <c r="BY37" s="744">
        <f ca="1">BS37+COUNTIFS($BT$6:$BT$53,BT37,$BX$6:BX$53,"&gt;"&amp;BX37,$BC$6:$BC$53,INDEX(T_Equipos[Grupo],MATCH(BD37,T_Equipos[NombreEquipo],0)))</f>
        <v>1</v>
      </c>
      <c r="BZ37" s="743" t="str">
        <f ca="1">IF(COUNTIFS($BY$6:$BY$53,BY37,$BC$6:$BC$53,INDEX(T_Equipos[Grupo],MATCH(BD37,T_Equipos[NombreEquipo],0)))=1,"-","P."&amp;BY37&amp;" ("&amp;COUNTIFS($BY$6:$BY$53,BY37,$BC$6:$BC$53,INDEX(T_Equipos[Grupo],MATCH(BD37,T_Equipos[NombreEquipo],0)))&amp;")")</f>
        <v>P.1 (4)</v>
      </c>
      <c r="CA37" s="744">
        <f t="shared" ca="1" si="40"/>
        <v>0</v>
      </c>
      <c r="CB37" s="744">
        <f t="shared" ca="1" si="41"/>
        <v>0</v>
      </c>
      <c r="CC37" s="744">
        <f t="shared" ca="1" si="42"/>
        <v>0</v>
      </c>
      <c r="CD37" s="744">
        <f ca="1">BY37+COUNTIFS($BZ$6:$BZ$53,BZ37,$CC$6:CC$53,"&gt;"&amp;CC37,$BC$6:$BC$53,INDEX(T_Equipos[Grupo],MATCH(BD37,T_Equipos[NombreEquipo],0)))</f>
        <v>1</v>
      </c>
      <c r="CE37" s="743" t="str">
        <f ca="1">IF(COUNTIFS($CD$6:$CD$53,CD37,$BC$6:$BC$53,INDEX(T_Equipos[Grupo],MATCH(BD37,T_Equipos[NombreEquipo],0)))=1,"-","P."&amp;CD37&amp;" ("&amp;COUNTIFS($CD$6:$CD$53,CD37,$BC$6:$BC$53,INDEX(T_Equipos[Grupo],MATCH(BD37,T_Equipos[NombreEquipo],0)))&amp;")")</f>
        <v>P.1 (4)</v>
      </c>
      <c r="CF37" s="744">
        <f t="shared" ca="1" si="43"/>
        <v>0</v>
      </c>
      <c r="CG37" s="744">
        <f ca="1">CD37+COUNTIFS($CE$6:$CE$53,CE37,$CF$6:CF$53,"&gt;"&amp;CF37,$BC$6:$BC$53,INDEX(T_Equipos[Grupo],MATCH(BD37,T_Equipos[NombreEquipo],0)))</f>
        <v>1</v>
      </c>
      <c r="CH37" s="743" t="str">
        <f ca="1">IF(COUNTIFS($CG$6:$CG$53,CG37,$BC$6:$BC$53,INDEX(T_Equipos[Grupo],MATCH(BD37,T_Equipos[NombreEquipo],0)))=1,"-","P."&amp;CG37&amp;" ("&amp;COUNTIFS($CG$6:$CG$53,CG37,$BC$6:$BC$53,INDEX(T_Equipos[Grupo],MATCH(BD37,T_Equipos[NombreEquipo],0)))&amp;")")</f>
        <v>P.1 (4)</v>
      </c>
      <c r="CI37" s="744">
        <f t="shared" ca="1" si="44"/>
        <v>0</v>
      </c>
      <c r="CJ37" s="744">
        <f t="shared" ca="1" si="45"/>
        <v>0</v>
      </c>
      <c r="CK37" s="744">
        <f t="shared" ca="1" si="46"/>
        <v>0</v>
      </c>
      <c r="CL37" s="744">
        <f t="shared" ca="1" si="47"/>
        <v>0</v>
      </c>
      <c r="CM37" s="744">
        <f ca="1">CG37+COUNTIFS($CH$6:$CH$53,CH37,$CL$6:CL$53,"&gt;"&amp;CL37,$BC$6:$BC$53,INDEX(T_Equipos[Grupo],MATCH(BD37,T_Equipos[NombreEquipo],0)))</f>
        <v>1</v>
      </c>
      <c r="CN37" s="743" t="str">
        <f ca="1">IF(COUNTIFS($CM$6:$CM$53,CM37,$BC$6:$BC$53,INDEX(T_Equipos[Grupo],MATCH(BD37,T_Equipos[NombreEquipo],0)))=1,"-","P."&amp;CM37&amp;" ("&amp;COUNTIFS($CM$6:$CM$53,CM37,$BC$6:$BC$53,INDEX(T_Equipos[Grupo],MATCH(BD37,T_Equipos[NombreEquipo],0)))&amp;")")</f>
        <v>P.1 (4)</v>
      </c>
      <c r="CO37" s="744">
        <f t="shared" ca="1" si="48"/>
        <v>0</v>
      </c>
      <c r="CP37" s="744">
        <f t="shared" ca="1" si="49"/>
        <v>0</v>
      </c>
      <c r="CQ37" s="744">
        <f t="shared" ca="1" si="50"/>
        <v>0</v>
      </c>
      <c r="CR37" s="744">
        <f ca="1">CM37+COUNTIFS($CN$6:$CN$53,CN37,$CQ$6:CQ$53,"&gt;"&amp;CQ37,$BC$6:$BC$53,INDEX(T_Equipos[Grupo],MATCH(BD37,T_Equipos[NombreEquipo],0)))</f>
        <v>1</v>
      </c>
      <c r="CS37" s="743" t="str">
        <f ca="1">IF(COUNTIFS($CR$6:$CR$53,CR37,$BC$6:$BC$53,INDEX(T_Equipos[Grupo],MATCH(BD37,T_Equipos[NombreEquipo],0)))=1,"-","P."&amp;CR37&amp;" ("&amp;COUNTIFS($CR$6:$CR$53,CR37,$BC$6:$BC$53,INDEX(T_Equipos[Grupo],MATCH(BD37,T_Equipos[NombreEquipo],0)))&amp;")")</f>
        <v>P.1 (4)</v>
      </c>
      <c r="CT37" s="744">
        <f t="shared" ca="1" si="51"/>
        <v>0</v>
      </c>
      <c r="CU37" s="744">
        <f ca="1">CR37+COUNTIFS($CS$6:$CS$53,CS37,$CT$6:CT$53,"&gt;"&amp;CT37,$BC$6:$BC$53,INDEX(T_Equipos[Grupo],MATCH(BD37,T_Equipos[NombreEquipo],0)))</f>
        <v>1</v>
      </c>
      <c r="CV37" s="743" t="str">
        <f ca="1">IF(COUNTIFS($CU$6:$CU$53,CU37,$BC$6:$BC$53,INDEX(T_Equipos[Grupo],MATCH(BD37,T_Equipos[NombreEquipo],0)))=1,"-","P."&amp;CU37&amp;" ("&amp;COUNTIFS($CU$6:$CU$53,CU37,$BC$6:$BC$53,INDEX(T_Equipos[Grupo],MATCH(BD37,T_Equipos[NombreEquipo],0)))&amp;")")</f>
        <v>P.1 (4)</v>
      </c>
      <c r="CW37" s="743">
        <f t="shared" ca="1" si="30"/>
        <v>0</v>
      </c>
      <c r="CX37" s="743">
        <f ca="1">CU37+COUNTIFS($CV$6:$CV$53,CV37,$CW$6:CW$53,"&gt;"&amp;CW37,$BC$6:$BC$53,INDEX(T_Equipos[Grupo],MATCH(BD37,T_Equipos[NombreEquipo],0)))</f>
        <v>1</v>
      </c>
      <c r="CY37" s="743" t="str">
        <f ca="1">IF(COUNTIFS($CX$6:$CX$53,CX37,$BC$6:$BC$53,INDEX(T_Equipos[Grupo],MATCH(BD37,T_Equipos[NombreEquipo],0)))=1,"-","P."&amp;CX37&amp;" ("&amp;COUNTIFS($CX$6:$CX$53,CX37,$BC$6:$BC$53,INDEX(T_Equipos[Grupo],MATCH(BD37,T_Equipos[NombreEquipo],0)))&amp;")")</f>
        <v>P.1 (4)</v>
      </c>
      <c r="CZ37" s="743">
        <f t="shared" ca="1" si="31"/>
        <v>0</v>
      </c>
      <c r="DA37" s="744">
        <f ca="1">CX37+COUNTIFS($CY$6:$CY$53,CY37,$CZ$6:CZ$53,"&gt;"&amp;CZ37,$BC$6:$BC$53,INDEX(T_Equipos[Grupo],MATCH(BD37,T_Equipos[NombreEquipo],0)))</f>
        <v>1</v>
      </c>
      <c r="DB37" s="743" t="str">
        <f ca="1">IF(COUNTIFS($DA$6:$DA$53,DA37,$BC$6:$BC$53,INDEX(T_Equipos[Grupo],MATCH(BD37,T_Equipos[NombreEquipo],0)))=1,"-","P."&amp;DA37&amp;" ("&amp;COUNTIFS($DA$6:$DA$53,DA37,$BC$6:$BC$53,INDEX(T_Equipos[Grupo],MATCH(BD37,T_Equipos[NombreEquipo],0)))&amp;")")</f>
        <v>P.1 (4)</v>
      </c>
      <c r="DC37" s="742">
        <f ca="1">IF(DB37="-","-",COUNTIFS(T_Equipos[Rank],"&lt;"&amp;INDEX(T_Equipos[Rank],MATCH(BD37,T_Equipos[NombreEquipo],0)),$BC$6:$BC$53,INDEX(T_Equipos[Grupo],MATCH(BD37,T_Equipos[NombreEquipo],0)))+1)</f>
        <v>4</v>
      </c>
      <c r="DD37" s="742">
        <f ca="1">DA37+COUNTIFS($DB$6:$DB$53,DB37,$DC$6:DC$53,"&lt;"&amp;DC37,$BC$6:$BC$53,INDEX(T_Equipos[Grupo],MATCH(BD37,T_Equipos[NombreEquipo],0)))</f>
        <v>4</v>
      </c>
      <c r="DE37" s="742"/>
      <c r="DF37" s="742">
        <f t="shared" ca="1" si="52"/>
        <v>4</v>
      </c>
      <c r="DG37" s="742">
        <f ca="1">IF(DB37="-","-",COUNTIFS(DF$6:DF$53,"&lt;"&amp;DF37,$BC$6:$BC$53,INDEX(T_Equipos[Grupo],MATCH(BD37,T_Equipos[NombreEquipo],0))))</f>
        <v>3</v>
      </c>
      <c r="DH37" s="742">
        <f ca="1">DA37+COUNTIFS(DB$6:DB$53,DB37,DG$6:DG$53,"&lt;"&amp;DG37,$BC$6:$BC$53,INDEX(T_Equipos[Grupo],MATCH(BD37,T_Equipos[NombreEquipo],0)))</f>
        <v>4</v>
      </c>
      <c r="DI37" s="730"/>
      <c r="DJ37" s="730">
        <f t="shared" ca="1" si="53"/>
        <v>1</v>
      </c>
      <c r="DK37" s="730">
        <f t="shared" ca="1" si="24"/>
        <v>0</v>
      </c>
      <c r="DL37" s="730">
        <f t="shared" ca="1" si="33"/>
        <v>1</v>
      </c>
      <c r="DM37" s="724" t="str">
        <f t="shared" ca="1" si="34"/>
        <v>1.1</v>
      </c>
      <c r="DN37" s="730" cm="1">
        <f t="array" aca="1" ref="DN37" ca="1">OFFSET(Horarios!$P$3,DJ37-1,0,DL37,1)</f>
        <v>1</v>
      </c>
      <c r="DO37" s="730"/>
      <c r="DP37" s="730" t="s">
        <v>672</v>
      </c>
      <c r="DQ37" s="730" t="str">
        <f t="shared" ca="1" si="35"/>
        <v>Uruguay</v>
      </c>
      <c r="DR37" s="730"/>
      <c r="DS37" s="730"/>
      <c r="DT37" s="730" t="str">
        <f t="shared" ca="1" si="15"/>
        <v>Costa de Marfil-Ecuador</v>
      </c>
      <c r="DU37" s="730"/>
      <c r="DV37" s="730"/>
      <c r="DW37" s="8"/>
    </row>
    <row r="38" spans="1:127" ht="16.05" customHeight="1">
      <c r="A38" s="731" t="str">
        <f ca="1">+Equipos!B19</f>
        <v>Curazao</v>
      </c>
      <c r="B38" s="728"/>
      <c r="C38" s="732"/>
      <c r="D38" s="730" t="str">
        <f t="shared" si="115"/>
        <v>Pendiente</v>
      </c>
      <c r="E38" s="730" t="str">
        <f t="shared" si="116"/>
        <v>-</v>
      </c>
      <c r="F38" s="730" t="str">
        <f t="shared" si="117"/>
        <v>-</v>
      </c>
      <c r="G38" s="730"/>
      <c r="H38" s="730" t="str">
        <f t="shared" si="118"/>
        <v>-</v>
      </c>
      <c r="I38" s="730" t="str">
        <f t="shared" si="119"/>
        <v>-</v>
      </c>
      <c r="J38" s="730"/>
      <c r="K38" s="730" t="str">
        <f t="shared" si="120"/>
        <v>-</v>
      </c>
      <c r="L38" s="730" t="str">
        <f t="shared" si="121"/>
        <v>-</v>
      </c>
      <c r="M38" s="730"/>
      <c r="N38" s="730" t="str">
        <f t="shared" si="122"/>
        <v>-</v>
      </c>
      <c r="O38" s="730" t="str">
        <f t="shared" si="123"/>
        <v>-</v>
      </c>
      <c r="P38" s="730"/>
      <c r="Q38" s="730" t="str">
        <f t="shared" si="124"/>
        <v>-</v>
      </c>
      <c r="R38" s="730" t="str">
        <f t="shared" si="125"/>
        <v>-</v>
      </c>
      <c r="S38" s="730"/>
      <c r="T38" s="730" t="str">
        <f t="shared" si="126"/>
        <v>-</v>
      </c>
      <c r="U38" s="730" t="str">
        <f t="shared" si="127"/>
        <v>-</v>
      </c>
      <c r="V38" s="170"/>
      <c r="W38" s="862"/>
      <c r="X38" s="187">
        <f ca="1">Horarios!C38</f>
        <v>46193.666666666664</v>
      </c>
      <c r="Y38" s="188">
        <f ca="1">Horarios!C38</f>
        <v>46193.666666666664</v>
      </c>
      <c r="Z38" s="189" t="str">
        <f>$Z$6</f>
        <v>J2</v>
      </c>
      <c r="AA38" s="190" t="str">
        <f ca="1">A37</f>
        <v>Alemania</v>
      </c>
      <c r="AB38" s="475" t="e" cm="1" vm="17">
        <f t="array" aca="1" ref="AB38" ca="1">Ver_flag_local</f>
        <v>#VALUE!</v>
      </c>
      <c r="AC38" s="191"/>
      <c r="AD38" s="192"/>
      <c r="AE38" s="480" t="e" cm="1" vm="19">
        <f t="array" aca="1" ref="AE38" ca="1">Ver_flag_visit</f>
        <v>#VALUE!</v>
      </c>
      <c r="AF38" s="193" t="str">
        <f ca="1">A39</f>
        <v>Costa de Marfil</v>
      </c>
      <c r="AG38" s="411">
        <f t="shared" si="128"/>
        <v>0</v>
      </c>
      <c r="AH38" s="194">
        <v>33</v>
      </c>
      <c r="AI38" s="19" t="str">
        <f>AJ38&amp;$B$36</f>
        <v>1E</v>
      </c>
      <c r="AJ38" s="209">
        <v>1</v>
      </c>
      <c r="AK38" s="485" t="e" cm="1" vm="17">
        <f t="array" aca="1" ref="AK38" ca="1">Ver_flag_visit</f>
        <v>#VALUE!</v>
      </c>
      <c r="AL38" s="210" t="str">
        <f ca="1">IFERROR(INDEX($BD$6:$BD$53,MATCH(AI38,$BN$6:$BN$53,0)),"")</f>
        <v>Alemania</v>
      </c>
      <c r="AM38" s="211">
        <f t="shared" ref="AM38:AT41" ca="1" si="132">INDEX($BE$6:$BN$53,MATCH($AL38,$BD$6:$BD$53,0),MATCH(AM$5,$BE$5:$BN$5,0))</f>
        <v>0</v>
      </c>
      <c r="AN38" s="212">
        <f t="shared" ca="1" si="132"/>
        <v>0</v>
      </c>
      <c r="AO38" s="212">
        <f t="shared" ca="1" si="132"/>
        <v>0</v>
      </c>
      <c r="AP38" s="212">
        <f t="shared" ca="1" si="132"/>
        <v>0</v>
      </c>
      <c r="AQ38" s="212">
        <f t="shared" ca="1" si="132"/>
        <v>0</v>
      </c>
      <c r="AR38" s="212">
        <f t="shared" ca="1" si="132"/>
        <v>0</v>
      </c>
      <c r="AS38" s="212">
        <f t="shared" ca="1" si="132"/>
        <v>0</v>
      </c>
      <c r="AT38" s="213">
        <f t="shared" ca="1" si="132"/>
        <v>0</v>
      </c>
      <c r="AU38" s="418">
        <f ca="1">INDEX($DL$6:$DL$53,MATCH(AI38,$DP$6:$DP$53,0))</f>
        <v>1</v>
      </c>
      <c r="AV38" s="215" t="str">
        <f ca="1">INDEX($BD$6:$BD$53,MATCH(AI38,$BM$6:$BM$53,0))</f>
        <v>Alemania</v>
      </c>
      <c r="AW38" s="425"/>
      <c r="AX38" s="216"/>
      <c r="AY38" s="217" t="str">
        <f ca="1">+A37</f>
        <v>Alemania</v>
      </c>
      <c r="AZ38" s="218"/>
      <c r="BA38" s="173"/>
      <c r="BB38" s="730"/>
      <c r="BC38" s="742" t="str">
        <f ca="1">+INDEX(T_Equipos[Grupo],MATCH(WORLDCUP!BD38,T_Equipos[NombreEquipo],0))</f>
        <v>I</v>
      </c>
      <c r="BD38" s="730" t="str">
        <f ca="1">+Equipos!B34</f>
        <v>Francia</v>
      </c>
      <c r="BE38" s="734">
        <f t="shared" ca="1" si="25"/>
        <v>0</v>
      </c>
      <c r="BF38" s="734">
        <f t="shared" ca="1" si="26"/>
        <v>0</v>
      </c>
      <c r="BG38" s="734">
        <f t="shared" ca="1" si="17"/>
        <v>0</v>
      </c>
      <c r="BH38" s="734">
        <f t="shared" ca="1" si="18"/>
        <v>0</v>
      </c>
      <c r="BI38" s="734">
        <f t="shared" ca="1" si="19"/>
        <v>0</v>
      </c>
      <c r="BJ38" s="734">
        <f t="shared" ca="1" si="20"/>
        <v>0</v>
      </c>
      <c r="BK38" s="734">
        <f t="shared" ca="1" si="21"/>
        <v>0</v>
      </c>
      <c r="BL38" s="734">
        <f t="shared" ca="1" si="27"/>
        <v>0</v>
      </c>
      <c r="BM38" s="734" t="str">
        <f t="shared" ca="1" si="22"/>
        <v>1I</v>
      </c>
      <c r="BN38" s="734" t="str">
        <f t="shared" ca="1" si="23"/>
        <v>1I</v>
      </c>
      <c r="BO38" s="743">
        <f t="shared" ca="1" si="28"/>
        <v>0</v>
      </c>
      <c r="BP38" s="743">
        <f ca="1">COUNTIFS($BO$6:$BO$53,"&gt;"&amp;BO38,$BC$6:$BC$53,INDEX(T_Equipos[Grupo],MATCH(BD38,T_Equipos[NombreEquipo],0)))+1</f>
        <v>1</v>
      </c>
      <c r="BQ38" s="743" t="str">
        <f ca="1">IF(COUNTIFS($BP$6:$BP$53,BP38,$BC$6:$BC$53,INDEX(T_Equipos[Grupo],MATCH(BD38,T_Equipos[NombreEquipo],0)))=1,"-","P."&amp;BP38&amp;" ("&amp;COUNTIFS($BP$6:$BP$53,BP38,$BC$6:$BC$53,INDEX(T_Equipos[Grupo],MATCH(BD38,T_Equipos[NombreEquipo],0)))&amp;")")</f>
        <v>P.1 (4)</v>
      </c>
      <c r="BR38" s="743">
        <f t="shared" ca="1" si="29"/>
        <v>0</v>
      </c>
      <c r="BS38" s="743">
        <f ca="1">BP38+COUNTIFS($BQ$6:$BQ$53,BQ38,$BR$6:BR$53,"&gt;"&amp;BR38,$BC$6:$BC$53,INDEX(T_Equipos[Grupo],MATCH(BD38,T_Equipos[NombreEquipo],0)))</f>
        <v>1</v>
      </c>
      <c r="BT38" s="743" t="str">
        <f ca="1">IF(COUNTIFS($BS$6:$BS$53,BS38,$BC$6:$BC$53,INDEX(T_Equipos[Grupo],MATCH(BD38,T_Equipos[NombreEquipo],0)))=1,"-","P."&amp;BS38&amp;" ("&amp;COUNTIFS($BS$6:$BS$53,BS38,$BC$6:$BC$53,INDEX(T_Equipos[Grupo],MATCH(BD38,T_Equipos[NombreEquipo],0)))&amp;")")</f>
        <v>P.1 (4)</v>
      </c>
      <c r="BU38" s="744">
        <f t="shared" ca="1" si="36"/>
        <v>0</v>
      </c>
      <c r="BV38" s="744">
        <f t="shared" ca="1" si="37"/>
        <v>0</v>
      </c>
      <c r="BW38" s="744">
        <f t="shared" ca="1" si="38"/>
        <v>0</v>
      </c>
      <c r="BX38" s="744">
        <f t="shared" ca="1" si="39"/>
        <v>0</v>
      </c>
      <c r="BY38" s="744">
        <f ca="1">BS38+COUNTIFS($BT$6:$BT$53,BT38,$BX$6:BX$53,"&gt;"&amp;BX38,$BC$6:$BC$53,INDEX(T_Equipos[Grupo],MATCH(BD38,T_Equipos[NombreEquipo],0)))</f>
        <v>1</v>
      </c>
      <c r="BZ38" s="743" t="str">
        <f ca="1">IF(COUNTIFS($BY$6:$BY$53,BY38,$BC$6:$BC$53,INDEX(T_Equipos[Grupo],MATCH(BD38,T_Equipos[NombreEquipo],0)))=1,"-","P."&amp;BY38&amp;" ("&amp;COUNTIFS($BY$6:$BY$53,BY38,$BC$6:$BC$53,INDEX(T_Equipos[Grupo],MATCH(BD38,T_Equipos[NombreEquipo],0)))&amp;")")</f>
        <v>P.1 (4)</v>
      </c>
      <c r="CA38" s="744">
        <f t="shared" ca="1" si="40"/>
        <v>0</v>
      </c>
      <c r="CB38" s="744">
        <f t="shared" ca="1" si="41"/>
        <v>0</v>
      </c>
      <c r="CC38" s="744">
        <f t="shared" ca="1" si="42"/>
        <v>0</v>
      </c>
      <c r="CD38" s="744">
        <f ca="1">BY38+COUNTIFS($BZ$6:$BZ$53,BZ38,$CC$6:CC$53,"&gt;"&amp;CC38,$BC$6:$BC$53,INDEX(T_Equipos[Grupo],MATCH(BD38,T_Equipos[NombreEquipo],0)))</f>
        <v>1</v>
      </c>
      <c r="CE38" s="743" t="str">
        <f ca="1">IF(COUNTIFS($CD$6:$CD$53,CD38,$BC$6:$BC$53,INDEX(T_Equipos[Grupo],MATCH(BD38,T_Equipos[NombreEquipo],0)))=1,"-","P."&amp;CD38&amp;" ("&amp;COUNTIFS($CD$6:$CD$53,CD38,$BC$6:$BC$53,INDEX(T_Equipos[Grupo],MATCH(BD38,T_Equipos[NombreEquipo],0)))&amp;")")</f>
        <v>P.1 (4)</v>
      </c>
      <c r="CF38" s="744">
        <f t="shared" ca="1" si="43"/>
        <v>0</v>
      </c>
      <c r="CG38" s="744">
        <f ca="1">CD38+COUNTIFS($CE$6:$CE$53,CE38,$CF$6:CF$53,"&gt;"&amp;CF38,$BC$6:$BC$53,INDEX(T_Equipos[Grupo],MATCH(BD38,T_Equipos[NombreEquipo],0)))</f>
        <v>1</v>
      </c>
      <c r="CH38" s="743" t="str">
        <f ca="1">IF(COUNTIFS($CG$6:$CG$53,CG38,$BC$6:$BC$53,INDEX(T_Equipos[Grupo],MATCH(BD38,T_Equipos[NombreEquipo],0)))=1,"-","P."&amp;CG38&amp;" ("&amp;COUNTIFS($CG$6:$CG$53,CG38,$BC$6:$BC$53,INDEX(T_Equipos[Grupo],MATCH(BD38,T_Equipos[NombreEquipo],0)))&amp;")")</f>
        <v>P.1 (4)</v>
      </c>
      <c r="CI38" s="744">
        <f t="shared" ca="1" si="44"/>
        <v>0</v>
      </c>
      <c r="CJ38" s="744">
        <f t="shared" ca="1" si="45"/>
        <v>0</v>
      </c>
      <c r="CK38" s="744">
        <f t="shared" ca="1" si="46"/>
        <v>0</v>
      </c>
      <c r="CL38" s="744">
        <f t="shared" ca="1" si="47"/>
        <v>0</v>
      </c>
      <c r="CM38" s="744">
        <f ca="1">CG38+COUNTIFS($CH$6:$CH$53,CH38,$CL$6:CL$53,"&gt;"&amp;CL38,$BC$6:$BC$53,INDEX(T_Equipos[Grupo],MATCH(BD38,T_Equipos[NombreEquipo],0)))</f>
        <v>1</v>
      </c>
      <c r="CN38" s="743" t="str">
        <f ca="1">IF(COUNTIFS($CM$6:$CM$53,CM38,$BC$6:$BC$53,INDEX(T_Equipos[Grupo],MATCH(BD38,T_Equipos[NombreEquipo],0)))=1,"-","P."&amp;CM38&amp;" ("&amp;COUNTIFS($CM$6:$CM$53,CM38,$BC$6:$BC$53,INDEX(T_Equipos[Grupo],MATCH(BD38,T_Equipos[NombreEquipo],0)))&amp;")")</f>
        <v>P.1 (4)</v>
      </c>
      <c r="CO38" s="744">
        <f t="shared" ca="1" si="48"/>
        <v>0</v>
      </c>
      <c r="CP38" s="744">
        <f t="shared" ca="1" si="49"/>
        <v>0</v>
      </c>
      <c r="CQ38" s="744">
        <f t="shared" ca="1" si="50"/>
        <v>0</v>
      </c>
      <c r="CR38" s="744">
        <f ca="1">CM38+COUNTIFS($CN$6:$CN$53,CN38,$CQ$6:CQ$53,"&gt;"&amp;CQ38,$BC$6:$BC$53,INDEX(T_Equipos[Grupo],MATCH(BD38,T_Equipos[NombreEquipo],0)))</f>
        <v>1</v>
      </c>
      <c r="CS38" s="743" t="str">
        <f ca="1">IF(COUNTIFS($CR$6:$CR$53,CR38,$BC$6:$BC$53,INDEX(T_Equipos[Grupo],MATCH(BD38,T_Equipos[NombreEquipo],0)))=1,"-","P."&amp;CR38&amp;" ("&amp;COUNTIFS($CR$6:$CR$53,CR38,$BC$6:$BC$53,INDEX(T_Equipos[Grupo],MATCH(BD38,T_Equipos[NombreEquipo],0)))&amp;")")</f>
        <v>P.1 (4)</v>
      </c>
      <c r="CT38" s="744">
        <f t="shared" ca="1" si="51"/>
        <v>0</v>
      </c>
      <c r="CU38" s="744">
        <f ca="1">CR38+COUNTIFS($CS$6:$CS$53,CS38,$CT$6:CT$53,"&gt;"&amp;CT38,$BC$6:$BC$53,INDEX(T_Equipos[Grupo],MATCH(BD38,T_Equipos[NombreEquipo],0)))</f>
        <v>1</v>
      </c>
      <c r="CV38" s="743" t="str">
        <f ca="1">IF(COUNTIFS($CU$6:$CU$53,CU38,$BC$6:$BC$53,INDEX(T_Equipos[Grupo],MATCH(BD38,T_Equipos[NombreEquipo],0)))=1,"-","P."&amp;CU38&amp;" ("&amp;COUNTIFS($CU$6:$CU$53,CU38,$BC$6:$BC$53,INDEX(T_Equipos[Grupo],MATCH(BD38,T_Equipos[NombreEquipo],0)))&amp;")")</f>
        <v>P.1 (4)</v>
      </c>
      <c r="CW38" s="743">
        <f t="shared" ca="1" si="30"/>
        <v>0</v>
      </c>
      <c r="CX38" s="743">
        <f ca="1">CU38+COUNTIFS($CV$6:$CV$53,CV38,$CW$6:CW$53,"&gt;"&amp;CW38,$BC$6:$BC$53,INDEX(T_Equipos[Grupo],MATCH(BD38,T_Equipos[NombreEquipo],0)))</f>
        <v>1</v>
      </c>
      <c r="CY38" s="743" t="str">
        <f ca="1">IF(COUNTIFS($CX$6:$CX$53,CX38,$BC$6:$BC$53,INDEX(T_Equipos[Grupo],MATCH(BD38,T_Equipos[NombreEquipo],0)))=1,"-","P."&amp;CX38&amp;" ("&amp;COUNTIFS($CX$6:$CX$53,CX38,$BC$6:$BC$53,INDEX(T_Equipos[Grupo],MATCH(BD38,T_Equipos[NombreEquipo],0)))&amp;")")</f>
        <v>P.1 (4)</v>
      </c>
      <c r="CZ38" s="743">
        <f t="shared" ca="1" si="31"/>
        <v>0</v>
      </c>
      <c r="DA38" s="744">
        <f ca="1">CX38+COUNTIFS($CY$6:$CY$53,CY38,$CZ$6:CZ$53,"&gt;"&amp;CZ38,$BC$6:$BC$53,INDEX(T_Equipos[Grupo],MATCH(BD38,T_Equipos[NombreEquipo],0)))</f>
        <v>1</v>
      </c>
      <c r="DB38" s="743" t="str">
        <f ca="1">IF(COUNTIFS($DA$6:$DA$53,DA38,$BC$6:$BC$53,INDEX(T_Equipos[Grupo],MATCH(BD38,T_Equipos[NombreEquipo],0)))=1,"-","P."&amp;DA38&amp;" ("&amp;COUNTIFS($DA$6:$DA$53,DA38,$BC$6:$BC$53,INDEX(T_Equipos[Grupo],MATCH(BD38,T_Equipos[NombreEquipo],0)))&amp;")")</f>
        <v>P.1 (4)</v>
      </c>
      <c r="DC38" s="742">
        <f ca="1">IF(DB38="-","-",COUNTIFS(T_Equipos[Rank],"&lt;"&amp;INDEX(T_Equipos[Rank],MATCH(BD38,T_Equipos[NombreEquipo],0)),$BC$6:$BC$53,INDEX(T_Equipos[Grupo],MATCH(BD38,T_Equipos[NombreEquipo],0)))+1)</f>
        <v>1</v>
      </c>
      <c r="DD38" s="742">
        <f ca="1">DA38+COUNTIFS($DB$6:$DB$53,DB38,$DC$6:DC$53,"&lt;"&amp;DC38,$BC$6:$BC$53,INDEX(T_Equipos[Grupo],MATCH(BD38,T_Equipos[NombreEquipo],0)))</f>
        <v>1</v>
      </c>
      <c r="DE38" s="742"/>
      <c r="DF38" s="742">
        <f t="shared" ca="1" si="52"/>
        <v>1</v>
      </c>
      <c r="DG38" s="742">
        <f ca="1">IF(DB38="-","-",COUNTIFS(DF$6:DF$53,"&lt;"&amp;DF38,$BC$6:$BC$53,INDEX(T_Equipos[Grupo],MATCH(BD38,T_Equipos[NombreEquipo],0))))</f>
        <v>0</v>
      </c>
      <c r="DH38" s="742">
        <f ca="1">DA38+COUNTIFS(DB$6:DB$53,DB38,DG$6:DG$53,"&lt;"&amp;DG38,$BC$6:$BC$53,INDEX(T_Equipos[Grupo],MATCH(BD38,T_Equipos[NombreEquipo],0)))</f>
        <v>1</v>
      </c>
      <c r="DI38" s="730"/>
      <c r="DJ38" s="730">
        <f t="shared" ca="1" si="53"/>
        <v>1</v>
      </c>
      <c r="DK38" s="730">
        <f t="shared" ca="1" si="24"/>
        <v>0</v>
      </c>
      <c r="DL38" s="730">
        <f t="shared" ca="1" si="33"/>
        <v>1</v>
      </c>
      <c r="DM38" s="724" t="str">
        <f t="shared" ca="1" si="34"/>
        <v>1.1</v>
      </c>
      <c r="DN38" s="730" cm="1">
        <f t="array" aca="1" ref="DN38" ca="1">OFFSET(Horarios!$P$3,DJ38-1,0,DL38,1)</f>
        <v>1</v>
      </c>
      <c r="DO38" s="730"/>
      <c r="DP38" s="730" t="s">
        <v>673</v>
      </c>
      <c r="DQ38" s="730" t="str">
        <f t="shared" ca="1" si="35"/>
        <v>Francia</v>
      </c>
      <c r="DR38" s="730"/>
      <c r="DS38" s="730"/>
      <c r="DT38" s="730" t="str">
        <f t="shared" ca="1" si="15"/>
        <v>Alemania-Costa de Marfil</v>
      </c>
      <c r="DU38" s="730"/>
      <c r="DV38" s="730"/>
      <c r="DW38" s="8"/>
    </row>
    <row r="39" spans="1:127" ht="16.05" customHeight="1">
      <c r="A39" s="731" t="str">
        <f ca="1">+Equipos!B20</f>
        <v>Costa de Marfil</v>
      </c>
      <c r="B39" s="728"/>
      <c r="C39" s="730"/>
      <c r="D39" s="730" t="str">
        <f t="shared" si="115"/>
        <v>Pendiente</v>
      </c>
      <c r="E39" s="730" t="str">
        <f t="shared" si="116"/>
        <v>-</v>
      </c>
      <c r="F39" s="730" t="str">
        <f t="shared" si="117"/>
        <v>-</v>
      </c>
      <c r="G39" s="730"/>
      <c r="H39" s="730" t="str">
        <f t="shared" si="118"/>
        <v>-</v>
      </c>
      <c r="I39" s="730" t="str">
        <f t="shared" si="119"/>
        <v>-</v>
      </c>
      <c r="J39" s="730"/>
      <c r="K39" s="730" t="str">
        <f t="shared" si="120"/>
        <v>-</v>
      </c>
      <c r="L39" s="730" t="str">
        <f t="shared" si="121"/>
        <v>-</v>
      </c>
      <c r="M39" s="730"/>
      <c r="N39" s="730" t="str">
        <f t="shared" si="122"/>
        <v>-</v>
      </c>
      <c r="O39" s="730" t="str">
        <f t="shared" si="123"/>
        <v>-</v>
      </c>
      <c r="P39" s="730"/>
      <c r="Q39" s="730" t="str">
        <f t="shared" si="124"/>
        <v>-</v>
      </c>
      <c r="R39" s="730" t="str">
        <f t="shared" si="125"/>
        <v>-</v>
      </c>
      <c r="S39" s="730"/>
      <c r="T39" s="730" t="str">
        <f t="shared" si="126"/>
        <v>-</v>
      </c>
      <c r="U39" s="730" t="str">
        <f t="shared" si="127"/>
        <v>-</v>
      </c>
      <c r="V39" s="170"/>
      <c r="W39" s="862"/>
      <c r="X39" s="187">
        <f ca="1">Horarios!C39</f>
        <v>46193.833333333336</v>
      </c>
      <c r="Y39" s="188">
        <f ca="1">Horarios!C39</f>
        <v>46193.833333333336</v>
      </c>
      <c r="Z39" s="189" t="str">
        <f>$Z$6</f>
        <v>J2</v>
      </c>
      <c r="AA39" s="190" t="str">
        <f ca="1">A40</f>
        <v>Ecuador</v>
      </c>
      <c r="AB39" s="475" t="e" cm="1" vm="20">
        <f t="array" aca="1" ref="AB39" ca="1">Ver_flag_local</f>
        <v>#VALUE!</v>
      </c>
      <c r="AC39" s="191"/>
      <c r="AD39" s="192"/>
      <c r="AE39" s="480" t="e" cm="1" vm="18">
        <f t="array" aca="1" ref="AE39" ca="1">Ver_flag_visit</f>
        <v>#VALUE!</v>
      </c>
      <c r="AF39" s="193" t="str">
        <f ca="1">A38</f>
        <v>Curazao</v>
      </c>
      <c r="AG39" s="411">
        <f t="shared" si="128"/>
        <v>0</v>
      </c>
      <c r="AH39" s="194">
        <v>34</v>
      </c>
      <c r="AI39" s="19" t="str">
        <f t="shared" ref="AI39:AI41" si="133">AJ39&amp;$B$36</f>
        <v>2E</v>
      </c>
      <c r="AJ39" s="219">
        <v>2</v>
      </c>
      <c r="AK39" s="483" t="e" cm="1" vm="18">
        <f t="array" aca="1" ref="AK39" ca="1">Ver_flag_visit</f>
        <v>#VALUE!</v>
      </c>
      <c r="AL39" s="220" t="str">
        <f ca="1">IFERROR(INDEX($BD$6:$BD$53,MATCH(AI39,$BN$6:$BN$53,0)),"")</f>
        <v>Curazao</v>
      </c>
      <c r="AM39" s="221">
        <f t="shared" ca="1" si="132"/>
        <v>0</v>
      </c>
      <c r="AN39" s="222">
        <f t="shared" ca="1" si="132"/>
        <v>0</v>
      </c>
      <c r="AO39" s="222">
        <f t="shared" ca="1" si="132"/>
        <v>0</v>
      </c>
      <c r="AP39" s="222">
        <f t="shared" ca="1" si="132"/>
        <v>0</v>
      </c>
      <c r="AQ39" s="222">
        <f t="shared" ca="1" si="132"/>
        <v>0</v>
      </c>
      <c r="AR39" s="222">
        <f t="shared" ca="1" si="132"/>
        <v>0</v>
      </c>
      <c r="AS39" s="222">
        <f t="shared" ca="1" si="132"/>
        <v>0</v>
      </c>
      <c r="AT39" s="223">
        <f t="shared" ca="1" si="132"/>
        <v>0</v>
      </c>
      <c r="AU39" s="418">
        <f ca="1">INDEX($DL$6:$DL$53,MATCH(AI39,$DP$6:$DP$53,0))</f>
        <v>1</v>
      </c>
      <c r="AV39" s="215" t="str">
        <f ca="1">INDEX($BD$6:$BD$53,MATCH(AI39,$BM$6:$BM$53,0))</f>
        <v>Curazao</v>
      </c>
      <c r="AW39" s="425"/>
      <c r="AX39" s="216"/>
      <c r="AY39" s="224" t="str">
        <f ca="1">+A38</f>
        <v>Curazao</v>
      </c>
      <c r="AZ39" s="225"/>
      <c r="BA39" s="173"/>
      <c r="BB39" s="730"/>
      <c r="BC39" s="742" t="str">
        <f ca="1">+INDEX(T_Equipos[Grupo],MATCH(WORLDCUP!BD39,T_Equipos[NombreEquipo],0))</f>
        <v>I</v>
      </c>
      <c r="BD39" s="730" t="str">
        <f ca="1">+Equipos!B35</f>
        <v>Senegal</v>
      </c>
      <c r="BE39" s="734">
        <f t="shared" ca="1" si="25"/>
        <v>0</v>
      </c>
      <c r="BF39" s="734">
        <f t="shared" ca="1" si="26"/>
        <v>0</v>
      </c>
      <c r="BG39" s="734">
        <f t="shared" ca="1" si="17"/>
        <v>0</v>
      </c>
      <c r="BH39" s="734">
        <f t="shared" ca="1" si="18"/>
        <v>0</v>
      </c>
      <c r="BI39" s="734">
        <f t="shared" ca="1" si="19"/>
        <v>0</v>
      </c>
      <c r="BJ39" s="734">
        <f t="shared" ca="1" si="20"/>
        <v>0</v>
      </c>
      <c r="BK39" s="734">
        <f t="shared" ca="1" si="21"/>
        <v>0</v>
      </c>
      <c r="BL39" s="734">
        <f t="shared" ca="1" si="27"/>
        <v>0</v>
      </c>
      <c r="BM39" s="734" t="str">
        <f t="shared" ca="1" si="22"/>
        <v>2I</v>
      </c>
      <c r="BN39" s="734" t="str">
        <f t="shared" ca="1" si="23"/>
        <v>2I</v>
      </c>
      <c r="BO39" s="743">
        <f t="shared" ca="1" si="28"/>
        <v>0</v>
      </c>
      <c r="BP39" s="743">
        <f ca="1">COUNTIFS($BO$6:$BO$53,"&gt;"&amp;BO39,$BC$6:$BC$53,INDEX(T_Equipos[Grupo],MATCH(BD39,T_Equipos[NombreEquipo],0)))+1</f>
        <v>1</v>
      </c>
      <c r="BQ39" s="743" t="str">
        <f ca="1">IF(COUNTIFS($BP$6:$BP$53,BP39,$BC$6:$BC$53,INDEX(T_Equipos[Grupo],MATCH(BD39,T_Equipos[NombreEquipo],0)))=1,"-","P."&amp;BP39&amp;" ("&amp;COUNTIFS($BP$6:$BP$53,BP39,$BC$6:$BC$53,INDEX(T_Equipos[Grupo],MATCH(BD39,T_Equipos[NombreEquipo],0)))&amp;")")</f>
        <v>P.1 (4)</v>
      </c>
      <c r="BR39" s="743">
        <f t="shared" ca="1" si="29"/>
        <v>0</v>
      </c>
      <c r="BS39" s="743">
        <f ca="1">BP39+COUNTIFS($BQ$6:$BQ$53,BQ39,$BR$6:BR$53,"&gt;"&amp;BR39,$BC$6:$BC$53,INDEX(T_Equipos[Grupo],MATCH(BD39,T_Equipos[NombreEquipo],0)))</f>
        <v>1</v>
      </c>
      <c r="BT39" s="743" t="str">
        <f ca="1">IF(COUNTIFS($BS$6:$BS$53,BS39,$BC$6:$BC$53,INDEX(T_Equipos[Grupo],MATCH(BD39,T_Equipos[NombreEquipo],0)))=1,"-","P."&amp;BS39&amp;" ("&amp;COUNTIFS($BS$6:$BS$53,BS39,$BC$6:$BC$53,INDEX(T_Equipos[Grupo],MATCH(BD39,T_Equipos[NombreEquipo],0)))&amp;")")</f>
        <v>P.1 (4)</v>
      </c>
      <c r="BU39" s="744">
        <f t="shared" ca="1" si="36"/>
        <v>0</v>
      </c>
      <c r="BV39" s="744">
        <f t="shared" ca="1" si="37"/>
        <v>0</v>
      </c>
      <c r="BW39" s="744">
        <f t="shared" ca="1" si="38"/>
        <v>0</v>
      </c>
      <c r="BX39" s="744">
        <f t="shared" ca="1" si="39"/>
        <v>0</v>
      </c>
      <c r="BY39" s="744">
        <f ca="1">BS39+COUNTIFS($BT$6:$BT$53,BT39,$BX$6:BX$53,"&gt;"&amp;BX39,$BC$6:$BC$53,INDEX(T_Equipos[Grupo],MATCH(BD39,T_Equipos[NombreEquipo],0)))</f>
        <v>1</v>
      </c>
      <c r="BZ39" s="743" t="str">
        <f ca="1">IF(COUNTIFS($BY$6:$BY$53,BY39,$BC$6:$BC$53,INDEX(T_Equipos[Grupo],MATCH(BD39,T_Equipos[NombreEquipo],0)))=1,"-","P."&amp;BY39&amp;" ("&amp;COUNTIFS($BY$6:$BY$53,BY39,$BC$6:$BC$53,INDEX(T_Equipos[Grupo],MATCH(BD39,T_Equipos[NombreEquipo],0)))&amp;")")</f>
        <v>P.1 (4)</v>
      </c>
      <c r="CA39" s="744">
        <f t="shared" ca="1" si="40"/>
        <v>0</v>
      </c>
      <c r="CB39" s="744">
        <f t="shared" ca="1" si="41"/>
        <v>0</v>
      </c>
      <c r="CC39" s="744">
        <f t="shared" ca="1" si="42"/>
        <v>0</v>
      </c>
      <c r="CD39" s="744">
        <f ca="1">BY39+COUNTIFS($BZ$6:$BZ$53,BZ39,$CC$6:CC$53,"&gt;"&amp;CC39,$BC$6:$BC$53,INDEX(T_Equipos[Grupo],MATCH(BD39,T_Equipos[NombreEquipo],0)))</f>
        <v>1</v>
      </c>
      <c r="CE39" s="743" t="str">
        <f ca="1">IF(COUNTIFS($CD$6:$CD$53,CD39,$BC$6:$BC$53,INDEX(T_Equipos[Grupo],MATCH(BD39,T_Equipos[NombreEquipo],0)))=1,"-","P."&amp;CD39&amp;" ("&amp;COUNTIFS($CD$6:$CD$53,CD39,$BC$6:$BC$53,INDEX(T_Equipos[Grupo],MATCH(BD39,T_Equipos[NombreEquipo],0)))&amp;")")</f>
        <v>P.1 (4)</v>
      </c>
      <c r="CF39" s="744">
        <f t="shared" ca="1" si="43"/>
        <v>0</v>
      </c>
      <c r="CG39" s="744">
        <f ca="1">CD39+COUNTIFS($CE$6:$CE$53,CE39,$CF$6:CF$53,"&gt;"&amp;CF39,$BC$6:$BC$53,INDEX(T_Equipos[Grupo],MATCH(BD39,T_Equipos[NombreEquipo],0)))</f>
        <v>1</v>
      </c>
      <c r="CH39" s="743" t="str">
        <f ca="1">IF(COUNTIFS($CG$6:$CG$53,CG39,$BC$6:$BC$53,INDEX(T_Equipos[Grupo],MATCH(BD39,T_Equipos[NombreEquipo],0)))=1,"-","P."&amp;CG39&amp;" ("&amp;COUNTIFS($CG$6:$CG$53,CG39,$BC$6:$BC$53,INDEX(T_Equipos[Grupo],MATCH(BD39,T_Equipos[NombreEquipo],0)))&amp;")")</f>
        <v>P.1 (4)</v>
      </c>
      <c r="CI39" s="744">
        <f t="shared" ca="1" si="44"/>
        <v>0</v>
      </c>
      <c r="CJ39" s="744">
        <f t="shared" ca="1" si="45"/>
        <v>0</v>
      </c>
      <c r="CK39" s="744">
        <f t="shared" ca="1" si="46"/>
        <v>0</v>
      </c>
      <c r="CL39" s="744">
        <f t="shared" ca="1" si="47"/>
        <v>0</v>
      </c>
      <c r="CM39" s="744">
        <f ca="1">CG39+COUNTIFS($CH$6:$CH$53,CH39,$CL$6:CL$53,"&gt;"&amp;CL39,$BC$6:$BC$53,INDEX(T_Equipos[Grupo],MATCH(BD39,T_Equipos[NombreEquipo],0)))</f>
        <v>1</v>
      </c>
      <c r="CN39" s="743" t="str">
        <f ca="1">IF(COUNTIFS($CM$6:$CM$53,CM39,$BC$6:$BC$53,INDEX(T_Equipos[Grupo],MATCH(BD39,T_Equipos[NombreEquipo],0)))=1,"-","P."&amp;CM39&amp;" ("&amp;COUNTIFS($CM$6:$CM$53,CM39,$BC$6:$BC$53,INDEX(T_Equipos[Grupo],MATCH(BD39,T_Equipos[NombreEquipo],0)))&amp;")")</f>
        <v>P.1 (4)</v>
      </c>
      <c r="CO39" s="744">
        <f t="shared" ca="1" si="48"/>
        <v>0</v>
      </c>
      <c r="CP39" s="744">
        <f t="shared" ca="1" si="49"/>
        <v>0</v>
      </c>
      <c r="CQ39" s="744">
        <f t="shared" ca="1" si="50"/>
        <v>0</v>
      </c>
      <c r="CR39" s="744">
        <f ca="1">CM39+COUNTIFS($CN$6:$CN$53,CN39,$CQ$6:CQ$53,"&gt;"&amp;CQ39,$BC$6:$BC$53,INDEX(T_Equipos[Grupo],MATCH(BD39,T_Equipos[NombreEquipo],0)))</f>
        <v>1</v>
      </c>
      <c r="CS39" s="743" t="str">
        <f ca="1">IF(COUNTIFS($CR$6:$CR$53,CR39,$BC$6:$BC$53,INDEX(T_Equipos[Grupo],MATCH(BD39,T_Equipos[NombreEquipo],0)))=1,"-","P."&amp;CR39&amp;" ("&amp;COUNTIFS($CR$6:$CR$53,CR39,$BC$6:$BC$53,INDEX(T_Equipos[Grupo],MATCH(BD39,T_Equipos[NombreEquipo],0)))&amp;")")</f>
        <v>P.1 (4)</v>
      </c>
      <c r="CT39" s="744">
        <f t="shared" ca="1" si="51"/>
        <v>0</v>
      </c>
      <c r="CU39" s="744">
        <f ca="1">CR39+COUNTIFS($CS$6:$CS$53,CS39,$CT$6:CT$53,"&gt;"&amp;CT39,$BC$6:$BC$53,INDEX(T_Equipos[Grupo],MATCH(BD39,T_Equipos[NombreEquipo],0)))</f>
        <v>1</v>
      </c>
      <c r="CV39" s="743" t="str">
        <f ca="1">IF(COUNTIFS($CU$6:$CU$53,CU39,$BC$6:$BC$53,INDEX(T_Equipos[Grupo],MATCH(BD39,T_Equipos[NombreEquipo],0)))=1,"-","P."&amp;CU39&amp;" ("&amp;COUNTIFS($CU$6:$CU$53,CU39,$BC$6:$BC$53,INDEX(T_Equipos[Grupo],MATCH(BD39,T_Equipos[NombreEquipo],0)))&amp;")")</f>
        <v>P.1 (4)</v>
      </c>
      <c r="CW39" s="743">
        <f t="shared" ca="1" si="30"/>
        <v>0</v>
      </c>
      <c r="CX39" s="743">
        <f ca="1">CU39+COUNTIFS($CV$6:$CV$53,CV39,$CW$6:CW$53,"&gt;"&amp;CW39,$BC$6:$BC$53,INDEX(T_Equipos[Grupo],MATCH(BD39,T_Equipos[NombreEquipo],0)))</f>
        <v>1</v>
      </c>
      <c r="CY39" s="743" t="str">
        <f ca="1">IF(COUNTIFS($CX$6:$CX$53,CX39,$BC$6:$BC$53,INDEX(T_Equipos[Grupo],MATCH(BD39,T_Equipos[NombreEquipo],0)))=1,"-","P."&amp;CX39&amp;" ("&amp;COUNTIFS($CX$6:$CX$53,CX39,$BC$6:$BC$53,INDEX(T_Equipos[Grupo],MATCH(BD39,T_Equipos[NombreEquipo],0)))&amp;")")</f>
        <v>P.1 (4)</v>
      </c>
      <c r="CZ39" s="743">
        <f t="shared" ca="1" si="31"/>
        <v>0</v>
      </c>
      <c r="DA39" s="744">
        <f ca="1">CX39+COUNTIFS($CY$6:$CY$53,CY39,$CZ$6:CZ$53,"&gt;"&amp;CZ39,$BC$6:$BC$53,INDEX(T_Equipos[Grupo],MATCH(BD39,T_Equipos[NombreEquipo],0)))</f>
        <v>1</v>
      </c>
      <c r="DB39" s="743" t="str">
        <f ca="1">IF(COUNTIFS($DA$6:$DA$53,DA39,$BC$6:$BC$53,INDEX(T_Equipos[Grupo],MATCH(BD39,T_Equipos[NombreEquipo],0)))=1,"-","P."&amp;DA39&amp;" ("&amp;COUNTIFS($DA$6:$DA$53,DA39,$BC$6:$BC$53,INDEX(T_Equipos[Grupo],MATCH(BD39,T_Equipos[NombreEquipo],0)))&amp;")")</f>
        <v>P.1 (4)</v>
      </c>
      <c r="DC39" s="742">
        <f ca="1">IF(DB39="-","-",COUNTIFS(T_Equipos[Rank],"&lt;"&amp;INDEX(T_Equipos[Rank],MATCH(BD39,T_Equipos[NombreEquipo],0)),$BC$6:$BC$53,INDEX(T_Equipos[Grupo],MATCH(BD39,T_Equipos[NombreEquipo],0)))+1)</f>
        <v>2</v>
      </c>
      <c r="DD39" s="742">
        <f ca="1">DA39+COUNTIFS($DB$6:$DB$53,DB39,$DC$6:DC$53,"&lt;"&amp;DC39,$BC$6:$BC$53,INDEX(T_Equipos[Grupo],MATCH(BD39,T_Equipos[NombreEquipo],0)))</f>
        <v>2</v>
      </c>
      <c r="DE39" s="742"/>
      <c r="DF39" s="742">
        <f t="shared" ca="1" si="52"/>
        <v>2</v>
      </c>
      <c r="DG39" s="742">
        <f ca="1">IF(DB39="-","-",COUNTIFS(DF$6:DF$53,"&lt;"&amp;DF39,$BC$6:$BC$53,INDEX(T_Equipos[Grupo],MATCH(BD39,T_Equipos[NombreEquipo],0))))</f>
        <v>1</v>
      </c>
      <c r="DH39" s="742">
        <f ca="1">DA39+COUNTIFS(DB$6:DB$53,DB39,DG$6:DG$53,"&lt;"&amp;DG39,$BC$6:$BC$53,INDEX(T_Equipos[Grupo],MATCH(BD39,T_Equipos[NombreEquipo],0)))</f>
        <v>2</v>
      </c>
      <c r="DI39" s="730"/>
      <c r="DJ39" s="730">
        <f t="shared" ca="1" si="53"/>
        <v>1</v>
      </c>
      <c r="DK39" s="730">
        <f t="shared" ca="1" si="24"/>
        <v>0</v>
      </c>
      <c r="DL39" s="730">
        <f t="shared" ca="1" si="33"/>
        <v>1</v>
      </c>
      <c r="DM39" s="724" t="str">
        <f t="shared" ca="1" si="34"/>
        <v>1.1</v>
      </c>
      <c r="DN39" s="730" cm="1">
        <f t="array" aca="1" ref="DN39" ca="1">OFFSET(Horarios!$P$3,DJ39-1,0,DL39,1)</f>
        <v>1</v>
      </c>
      <c r="DO39" s="730"/>
      <c r="DP39" s="730" t="s">
        <v>674</v>
      </c>
      <c r="DQ39" s="730" t="str">
        <f t="shared" ca="1" si="35"/>
        <v>Senegal</v>
      </c>
      <c r="DR39" s="730"/>
      <c r="DS39" s="730"/>
      <c r="DT39" s="730" t="str">
        <f t="shared" ca="1" si="15"/>
        <v>Ecuador-Curazao</v>
      </c>
      <c r="DU39" s="730"/>
      <c r="DV39" s="730"/>
      <c r="DW39" s="8"/>
    </row>
    <row r="40" spans="1:127" ht="16.05" customHeight="1">
      <c r="A40" s="731" t="str">
        <f ca="1">+Equipos!B21</f>
        <v>Ecuador</v>
      </c>
      <c r="B40" s="728"/>
      <c r="C40" s="730"/>
      <c r="D40" s="730" t="str">
        <f t="shared" si="115"/>
        <v>Pendiente</v>
      </c>
      <c r="E40" s="730" t="str">
        <f t="shared" si="116"/>
        <v>-</v>
      </c>
      <c r="F40" s="730" t="str">
        <f t="shared" si="117"/>
        <v>-</v>
      </c>
      <c r="G40" s="730"/>
      <c r="H40" s="730" t="str">
        <f t="shared" si="118"/>
        <v>-</v>
      </c>
      <c r="I40" s="730" t="str">
        <f t="shared" si="119"/>
        <v>-</v>
      </c>
      <c r="J40" s="730"/>
      <c r="K40" s="730" t="str">
        <f t="shared" si="120"/>
        <v>-</v>
      </c>
      <c r="L40" s="730" t="str">
        <f t="shared" si="121"/>
        <v>-</v>
      </c>
      <c r="M40" s="730"/>
      <c r="N40" s="730" t="str">
        <f t="shared" si="122"/>
        <v>-</v>
      </c>
      <c r="O40" s="730" t="str">
        <f t="shared" si="123"/>
        <v>-</v>
      </c>
      <c r="P40" s="730"/>
      <c r="Q40" s="730" t="str">
        <f t="shared" si="124"/>
        <v>-</v>
      </c>
      <c r="R40" s="730" t="str">
        <f t="shared" si="125"/>
        <v>-</v>
      </c>
      <c r="S40" s="730"/>
      <c r="T40" s="730" t="str">
        <f t="shared" si="126"/>
        <v>-</v>
      </c>
      <c r="U40" s="730" t="str">
        <f t="shared" si="127"/>
        <v>-</v>
      </c>
      <c r="V40" s="170"/>
      <c r="W40" s="862"/>
      <c r="X40" s="187">
        <f ca="1">Horarios!C40</f>
        <v>46198.666666666664</v>
      </c>
      <c r="Y40" s="188">
        <f ca="1">Horarios!C40</f>
        <v>46198.666666666664</v>
      </c>
      <c r="Z40" s="189" t="str">
        <f>$Z$8</f>
        <v>J3</v>
      </c>
      <c r="AA40" s="190" t="str">
        <f ca="1">A38</f>
        <v>Curazao</v>
      </c>
      <c r="AB40" s="475" t="e" cm="1" vm="18">
        <f t="array" aca="1" ref="AB40" ca="1">Ver_flag_local</f>
        <v>#VALUE!</v>
      </c>
      <c r="AC40" s="191"/>
      <c r="AD40" s="192"/>
      <c r="AE40" s="480" t="e" cm="1" vm="19">
        <f t="array" aca="1" ref="AE40" ca="1">Ver_flag_visit</f>
        <v>#VALUE!</v>
      </c>
      <c r="AF40" s="193" t="str">
        <f ca="1">A39</f>
        <v>Costa de Marfil</v>
      </c>
      <c r="AG40" s="411">
        <f t="shared" si="128"/>
        <v>0</v>
      </c>
      <c r="AH40" s="194">
        <v>55</v>
      </c>
      <c r="AI40" s="19" t="str">
        <f t="shared" si="133"/>
        <v>3E</v>
      </c>
      <c r="AJ40" s="219">
        <v>3</v>
      </c>
      <c r="AK40" s="483" t="e" cm="1" vm="19">
        <f t="array" aca="1" ref="AK40" ca="1">Ver_flag_visit</f>
        <v>#VALUE!</v>
      </c>
      <c r="AL40" s="220" t="str">
        <f ca="1">IFERROR(INDEX($BD$6:$BD$53,MATCH(AI40,$BN$6:$BN$53,0)),"")</f>
        <v>Costa de Marfil</v>
      </c>
      <c r="AM40" s="221">
        <f t="shared" ca="1" si="132"/>
        <v>0</v>
      </c>
      <c r="AN40" s="222">
        <f t="shared" ca="1" si="132"/>
        <v>0</v>
      </c>
      <c r="AO40" s="222">
        <f t="shared" ca="1" si="132"/>
        <v>0</v>
      </c>
      <c r="AP40" s="222">
        <f t="shared" ca="1" si="132"/>
        <v>0</v>
      </c>
      <c r="AQ40" s="222">
        <f t="shared" ca="1" si="132"/>
        <v>0</v>
      </c>
      <c r="AR40" s="222">
        <f t="shared" ca="1" si="132"/>
        <v>0</v>
      </c>
      <c r="AS40" s="222">
        <f t="shared" ca="1" si="132"/>
        <v>0</v>
      </c>
      <c r="AT40" s="223">
        <f t="shared" ca="1" si="132"/>
        <v>0</v>
      </c>
      <c r="AU40" s="418">
        <f ca="1">INDEX($DL$6:$DL$53,MATCH(AI40,$DP$6:$DP$53,0))</f>
        <v>1</v>
      </c>
      <c r="AV40" s="215" t="str">
        <f ca="1">INDEX($BD$6:$BD$53,MATCH(AI40,$BM$6:$BM$53,0))</f>
        <v>Costa de Marfil</v>
      </c>
      <c r="AW40" s="425"/>
      <c r="AX40" s="216"/>
      <c r="AY40" s="217" t="str">
        <f ca="1">+A39</f>
        <v>Costa de Marfil</v>
      </c>
      <c r="AZ40" s="218"/>
      <c r="BA40" s="173"/>
      <c r="BB40" s="730"/>
      <c r="BC40" s="742" t="str">
        <f ca="1">+INDEX(T_Equipos[Grupo],MATCH(WORLDCUP!BD40,T_Equipos[NombreEquipo],0))</f>
        <v>I</v>
      </c>
      <c r="BD40" s="730" t="str">
        <f ca="1">+Equipos!B36</f>
        <v>Irak</v>
      </c>
      <c r="BE40" s="734">
        <f t="shared" ca="1" si="25"/>
        <v>0</v>
      </c>
      <c r="BF40" s="734">
        <f t="shared" ca="1" si="26"/>
        <v>0</v>
      </c>
      <c r="BG40" s="734">
        <f t="shared" ca="1" si="17"/>
        <v>0</v>
      </c>
      <c r="BH40" s="734">
        <f t="shared" ca="1" si="18"/>
        <v>0</v>
      </c>
      <c r="BI40" s="734">
        <f t="shared" ca="1" si="19"/>
        <v>0</v>
      </c>
      <c r="BJ40" s="734">
        <f t="shared" ca="1" si="20"/>
        <v>0</v>
      </c>
      <c r="BK40" s="734">
        <f t="shared" ca="1" si="21"/>
        <v>0</v>
      </c>
      <c r="BL40" s="734">
        <f t="shared" ca="1" si="27"/>
        <v>0</v>
      </c>
      <c r="BM40" s="734" t="str">
        <f t="shared" ca="1" si="22"/>
        <v>3I</v>
      </c>
      <c r="BN40" s="734" t="str">
        <f t="shared" ca="1" si="23"/>
        <v>3I</v>
      </c>
      <c r="BO40" s="743">
        <f t="shared" ca="1" si="28"/>
        <v>0</v>
      </c>
      <c r="BP40" s="743">
        <f ca="1">COUNTIFS($BO$6:$BO$53,"&gt;"&amp;BO40,$BC$6:$BC$53,INDEX(T_Equipos[Grupo],MATCH(BD40,T_Equipos[NombreEquipo],0)))+1</f>
        <v>1</v>
      </c>
      <c r="BQ40" s="743" t="str">
        <f ca="1">IF(COUNTIFS($BP$6:$BP$53,BP40,$BC$6:$BC$53,INDEX(T_Equipos[Grupo],MATCH(BD40,T_Equipos[NombreEquipo],0)))=1,"-","P."&amp;BP40&amp;" ("&amp;COUNTIFS($BP$6:$BP$53,BP40,$BC$6:$BC$53,INDEX(T_Equipos[Grupo],MATCH(BD40,T_Equipos[NombreEquipo],0)))&amp;")")</f>
        <v>P.1 (4)</v>
      </c>
      <c r="BR40" s="743">
        <f t="shared" ca="1" si="29"/>
        <v>0</v>
      </c>
      <c r="BS40" s="743">
        <f ca="1">BP40+COUNTIFS($BQ$6:$BQ$53,BQ40,$BR$6:BR$53,"&gt;"&amp;BR40,$BC$6:$BC$53,INDEX(T_Equipos[Grupo],MATCH(BD40,T_Equipos[NombreEquipo],0)))</f>
        <v>1</v>
      </c>
      <c r="BT40" s="743" t="str">
        <f ca="1">IF(COUNTIFS($BS$6:$BS$53,BS40,$BC$6:$BC$53,INDEX(T_Equipos[Grupo],MATCH(BD40,T_Equipos[NombreEquipo],0)))=1,"-","P."&amp;BS40&amp;" ("&amp;COUNTIFS($BS$6:$BS$53,BS40,$BC$6:$BC$53,INDEX(T_Equipos[Grupo],MATCH(BD40,T_Equipos[NombreEquipo],0)))&amp;")")</f>
        <v>P.1 (4)</v>
      </c>
      <c r="BU40" s="744">
        <f t="shared" ca="1" si="36"/>
        <v>0</v>
      </c>
      <c r="BV40" s="744">
        <f t="shared" ca="1" si="37"/>
        <v>0</v>
      </c>
      <c r="BW40" s="744">
        <f t="shared" ca="1" si="38"/>
        <v>0</v>
      </c>
      <c r="BX40" s="744">
        <f t="shared" ca="1" si="39"/>
        <v>0</v>
      </c>
      <c r="BY40" s="744">
        <f ca="1">BS40+COUNTIFS($BT$6:$BT$53,BT40,$BX$6:BX$53,"&gt;"&amp;BX40,$BC$6:$BC$53,INDEX(T_Equipos[Grupo],MATCH(BD40,T_Equipos[NombreEquipo],0)))</f>
        <v>1</v>
      </c>
      <c r="BZ40" s="743" t="str">
        <f ca="1">IF(COUNTIFS($BY$6:$BY$53,BY40,$BC$6:$BC$53,INDEX(T_Equipos[Grupo],MATCH(BD40,T_Equipos[NombreEquipo],0)))=1,"-","P."&amp;BY40&amp;" ("&amp;COUNTIFS($BY$6:$BY$53,BY40,$BC$6:$BC$53,INDEX(T_Equipos[Grupo],MATCH(BD40,T_Equipos[NombreEquipo],0)))&amp;")")</f>
        <v>P.1 (4)</v>
      </c>
      <c r="CA40" s="744">
        <f t="shared" ca="1" si="40"/>
        <v>0</v>
      </c>
      <c r="CB40" s="744">
        <f t="shared" ca="1" si="41"/>
        <v>0</v>
      </c>
      <c r="CC40" s="744">
        <f t="shared" ca="1" si="42"/>
        <v>0</v>
      </c>
      <c r="CD40" s="744">
        <f ca="1">BY40+COUNTIFS($BZ$6:$BZ$53,BZ40,$CC$6:CC$53,"&gt;"&amp;CC40,$BC$6:$BC$53,INDEX(T_Equipos[Grupo],MATCH(BD40,T_Equipos[NombreEquipo],0)))</f>
        <v>1</v>
      </c>
      <c r="CE40" s="743" t="str">
        <f ca="1">IF(COUNTIFS($CD$6:$CD$53,CD40,$BC$6:$BC$53,INDEX(T_Equipos[Grupo],MATCH(BD40,T_Equipos[NombreEquipo],0)))=1,"-","P."&amp;CD40&amp;" ("&amp;COUNTIFS($CD$6:$CD$53,CD40,$BC$6:$BC$53,INDEX(T_Equipos[Grupo],MATCH(BD40,T_Equipos[NombreEquipo],0)))&amp;")")</f>
        <v>P.1 (4)</v>
      </c>
      <c r="CF40" s="744">
        <f t="shared" ca="1" si="43"/>
        <v>0</v>
      </c>
      <c r="CG40" s="744">
        <f ca="1">CD40+COUNTIFS($CE$6:$CE$53,CE40,$CF$6:CF$53,"&gt;"&amp;CF40,$BC$6:$BC$53,INDEX(T_Equipos[Grupo],MATCH(BD40,T_Equipos[NombreEquipo],0)))</f>
        <v>1</v>
      </c>
      <c r="CH40" s="743" t="str">
        <f ca="1">IF(COUNTIFS($CG$6:$CG$53,CG40,$BC$6:$BC$53,INDEX(T_Equipos[Grupo],MATCH(BD40,T_Equipos[NombreEquipo],0)))=1,"-","P."&amp;CG40&amp;" ("&amp;COUNTIFS($CG$6:$CG$53,CG40,$BC$6:$BC$53,INDEX(T_Equipos[Grupo],MATCH(BD40,T_Equipos[NombreEquipo],0)))&amp;")")</f>
        <v>P.1 (4)</v>
      </c>
      <c r="CI40" s="744">
        <f t="shared" ca="1" si="44"/>
        <v>0</v>
      </c>
      <c r="CJ40" s="744">
        <f t="shared" ca="1" si="45"/>
        <v>0</v>
      </c>
      <c r="CK40" s="744">
        <f t="shared" ca="1" si="46"/>
        <v>0</v>
      </c>
      <c r="CL40" s="744">
        <f t="shared" ca="1" si="47"/>
        <v>0</v>
      </c>
      <c r="CM40" s="744">
        <f ca="1">CG40+COUNTIFS($CH$6:$CH$53,CH40,$CL$6:CL$53,"&gt;"&amp;CL40,$BC$6:$BC$53,INDEX(T_Equipos[Grupo],MATCH(BD40,T_Equipos[NombreEquipo],0)))</f>
        <v>1</v>
      </c>
      <c r="CN40" s="743" t="str">
        <f ca="1">IF(COUNTIFS($CM$6:$CM$53,CM40,$BC$6:$BC$53,INDEX(T_Equipos[Grupo],MATCH(BD40,T_Equipos[NombreEquipo],0)))=1,"-","P."&amp;CM40&amp;" ("&amp;COUNTIFS($CM$6:$CM$53,CM40,$BC$6:$BC$53,INDEX(T_Equipos[Grupo],MATCH(BD40,T_Equipos[NombreEquipo],0)))&amp;")")</f>
        <v>P.1 (4)</v>
      </c>
      <c r="CO40" s="744">
        <f t="shared" ca="1" si="48"/>
        <v>0</v>
      </c>
      <c r="CP40" s="744">
        <f t="shared" ca="1" si="49"/>
        <v>0</v>
      </c>
      <c r="CQ40" s="744">
        <f t="shared" ca="1" si="50"/>
        <v>0</v>
      </c>
      <c r="CR40" s="744">
        <f ca="1">CM40+COUNTIFS($CN$6:$CN$53,CN40,$CQ$6:CQ$53,"&gt;"&amp;CQ40,$BC$6:$BC$53,INDEX(T_Equipos[Grupo],MATCH(BD40,T_Equipos[NombreEquipo],0)))</f>
        <v>1</v>
      </c>
      <c r="CS40" s="743" t="str">
        <f ca="1">IF(COUNTIFS($CR$6:$CR$53,CR40,$BC$6:$BC$53,INDEX(T_Equipos[Grupo],MATCH(BD40,T_Equipos[NombreEquipo],0)))=1,"-","P."&amp;CR40&amp;" ("&amp;COUNTIFS($CR$6:$CR$53,CR40,$BC$6:$BC$53,INDEX(T_Equipos[Grupo],MATCH(BD40,T_Equipos[NombreEquipo],0)))&amp;")")</f>
        <v>P.1 (4)</v>
      </c>
      <c r="CT40" s="744">
        <f t="shared" ca="1" si="51"/>
        <v>0</v>
      </c>
      <c r="CU40" s="744">
        <f ca="1">CR40+COUNTIFS($CS$6:$CS$53,CS40,$CT$6:CT$53,"&gt;"&amp;CT40,$BC$6:$BC$53,INDEX(T_Equipos[Grupo],MATCH(BD40,T_Equipos[NombreEquipo],0)))</f>
        <v>1</v>
      </c>
      <c r="CV40" s="743" t="str">
        <f ca="1">IF(COUNTIFS($CU$6:$CU$53,CU40,$BC$6:$BC$53,INDEX(T_Equipos[Grupo],MATCH(BD40,T_Equipos[NombreEquipo],0)))=1,"-","P."&amp;CU40&amp;" ("&amp;COUNTIFS($CU$6:$CU$53,CU40,$BC$6:$BC$53,INDEX(T_Equipos[Grupo],MATCH(BD40,T_Equipos[NombreEquipo],0)))&amp;")")</f>
        <v>P.1 (4)</v>
      </c>
      <c r="CW40" s="743">
        <f t="shared" ca="1" si="30"/>
        <v>0</v>
      </c>
      <c r="CX40" s="743">
        <f ca="1">CU40+COUNTIFS($CV$6:$CV$53,CV40,$CW$6:CW$53,"&gt;"&amp;CW40,$BC$6:$BC$53,INDEX(T_Equipos[Grupo],MATCH(BD40,T_Equipos[NombreEquipo],0)))</f>
        <v>1</v>
      </c>
      <c r="CY40" s="743" t="str">
        <f ca="1">IF(COUNTIFS($CX$6:$CX$53,CX40,$BC$6:$BC$53,INDEX(T_Equipos[Grupo],MATCH(BD40,T_Equipos[NombreEquipo],0)))=1,"-","P."&amp;CX40&amp;" ("&amp;COUNTIFS($CX$6:$CX$53,CX40,$BC$6:$BC$53,INDEX(T_Equipos[Grupo],MATCH(BD40,T_Equipos[NombreEquipo],0)))&amp;")")</f>
        <v>P.1 (4)</v>
      </c>
      <c r="CZ40" s="743">
        <f t="shared" ca="1" si="31"/>
        <v>0</v>
      </c>
      <c r="DA40" s="744">
        <f ca="1">CX40+COUNTIFS($CY$6:$CY$53,CY40,$CZ$6:CZ$53,"&gt;"&amp;CZ40,$BC$6:$BC$53,INDEX(T_Equipos[Grupo],MATCH(BD40,T_Equipos[NombreEquipo],0)))</f>
        <v>1</v>
      </c>
      <c r="DB40" s="743" t="str">
        <f ca="1">IF(COUNTIFS($DA$6:$DA$53,DA40,$BC$6:$BC$53,INDEX(T_Equipos[Grupo],MATCH(BD40,T_Equipos[NombreEquipo],0)))=1,"-","P."&amp;DA40&amp;" ("&amp;COUNTIFS($DA$6:$DA$53,DA40,$BC$6:$BC$53,INDEX(T_Equipos[Grupo],MATCH(BD40,T_Equipos[NombreEquipo],0)))&amp;")")</f>
        <v>P.1 (4)</v>
      </c>
      <c r="DC40" s="742">
        <f ca="1">IF(DB40="-","-",COUNTIFS(T_Equipos[Rank],"&lt;"&amp;INDEX(T_Equipos[Rank],MATCH(BD40,T_Equipos[NombreEquipo],0)),$BC$6:$BC$53,INDEX(T_Equipos[Grupo],MATCH(BD40,T_Equipos[NombreEquipo],0)))+1)</f>
        <v>3</v>
      </c>
      <c r="DD40" s="742">
        <f ca="1">DA40+COUNTIFS($DB$6:$DB$53,DB40,$DC$6:DC$53,"&lt;"&amp;DC40,$BC$6:$BC$53,INDEX(T_Equipos[Grupo],MATCH(BD40,T_Equipos[NombreEquipo],0)))</f>
        <v>3</v>
      </c>
      <c r="DE40" s="742"/>
      <c r="DF40" s="742">
        <f t="shared" ca="1" si="52"/>
        <v>3</v>
      </c>
      <c r="DG40" s="742">
        <f ca="1">IF(DB40="-","-",COUNTIFS(DF$6:DF$53,"&lt;"&amp;DF40,$BC$6:$BC$53,INDEX(T_Equipos[Grupo],MATCH(BD40,T_Equipos[NombreEquipo],0))))</f>
        <v>2</v>
      </c>
      <c r="DH40" s="742">
        <f ca="1">DA40+COUNTIFS(DB$6:DB$53,DB40,DG$6:DG$53,"&lt;"&amp;DG40,$BC$6:$BC$53,INDEX(T_Equipos[Grupo],MATCH(BD40,T_Equipos[NombreEquipo],0)))</f>
        <v>3</v>
      </c>
      <c r="DI40" s="730"/>
      <c r="DJ40" s="730">
        <f t="shared" ca="1" si="53"/>
        <v>1</v>
      </c>
      <c r="DK40" s="730">
        <f t="shared" ca="1" si="24"/>
        <v>0</v>
      </c>
      <c r="DL40" s="730">
        <f t="shared" ca="1" si="33"/>
        <v>1</v>
      </c>
      <c r="DM40" s="724" t="str">
        <f t="shared" ca="1" si="34"/>
        <v>1.1</v>
      </c>
      <c r="DN40" s="730" cm="1">
        <f t="array" aca="1" ref="DN40" ca="1">OFFSET(Horarios!$P$3,DJ40-1,0,DL40,1)</f>
        <v>1</v>
      </c>
      <c r="DO40" s="730"/>
      <c r="DP40" s="730" t="s">
        <v>440</v>
      </c>
      <c r="DQ40" s="730" t="str">
        <f t="shared" ca="1" si="35"/>
        <v>Irak</v>
      </c>
      <c r="DR40" s="730"/>
      <c r="DS40" s="730"/>
      <c r="DT40" s="730" t="str">
        <f t="shared" ca="1" si="15"/>
        <v>Curazao-Costa de Marfil</v>
      </c>
      <c r="DU40" s="730"/>
      <c r="DV40" s="730"/>
      <c r="DW40" s="8"/>
    </row>
    <row r="41" spans="1:127" ht="16.95" customHeight="1" thickBot="1">
      <c r="A41" s="725"/>
      <c r="B41" s="725"/>
      <c r="C41" s="725"/>
      <c r="D41" s="730" t="str">
        <f t="shared" si="115"/>
        <v>Pendiente</v>
      </c>
      <c r="E41" s="730" t="str">
        <f t="shared" si="116"/>
        <v>-</v>
      </c>
      <c r="F41" s="730" t="str">
        <f t="shared" si="117"/>
        <v>-</v>
      </c>
      <c r="G41" s="730"/>
      <c r="H41" s="730" t="str">
        <f t="shared" si="118"/>
        <v>-</v>
      </c>
      <c r="I41" s="730" t="str">
        <f t="shared" si="119"/>
        <v>-</v>
      </c>
      <c r="J41" s="730"/>
      <c r="K41" s="730" t="str">
        <f t="shared" si="120"/>
        <v>-</v>
      </c>
      <c r="L41" s="730" t="str">
        <f t="shared" si="121"/>
        <v>-</v>
      </c>
      <c r="M41" s="730"/>
      <c r="N41" s="730" t="str">
        <f t="shared" si="122"/>
        <v>-</v>
      </c>
      <c r="O41" s="730" t="str">
        <f t="shared" si="123"/>
        <v>-</v>
      </c>
      <c r="P41" s="730"/>
      <c r="Q41" s="730" t="str">
        <f t="shared" si="124"/>
        <v>-</v>
      </c>
      <c r="R41" s="730" t="str">
        <f t="shared" si="125"/>
        <v>-</v>
      </c>
      <c r="S41" s="730"/>
      <c r="T41" s="730" t="str">
        <f t="shared" si="126"/>
        <v>-</v>
      </c>
      <c r="U41" s="730" t="str">
        <f t="shared" si="127"/>
        <v>-</v>
      </c>
      <c r="V41" s="170"/>
      <c r="W41" s="863"/>
      <c r="X41" s="226">
        <f ca="1">Horarios!C41</f>
        <v>46198.666666666664</v>
      </c>
      <c r="Y41" s="227">
        <f ca="1">Horarios!C41</f>
        <v>46198.666666666664</v>
      </c>
      <c r="Z41" s="228" t="str">
        <f>$Z$8</f>
        <v>J3</v>
      </c>
      <c r="AA41" s="229" t="str">
        <f ca="1">A40</f>
        <v>Ecuador</v>
      </c>
      <c r="AB41" s="476" t="e" cm="1" vm="20">
        <f t="array" aca="1" ref="AB41" ca="1">Ver_flag_local</f>
        <v>#VALUE!</v>
      </c>
      <c r="AC41" s="230"/>
      <c r="AD41" s="231"/>
      <c r="AE41" s="481" t="e" cm="1" vm="17">
        <f t="array" aca="1" ref="AE41" ca="1">Ver_flag_visit</f>
        <v>#VALUE!</v>
      </c>
      <c r="AF41" s="232" t="str">
        <f ca="1">A37</f>
        <v>Alemania</v>
      </c>
      <c r="AG41" s="411">
        <f t="shared" si="128"/>
        <v>0</v>
      </c>
      <c r="AH41" s="194">
        <v>56</v>
      </c>
      <c r="AI41" s="19" t="str">
        <f t="shared" si="133"/>
        <v>4E</v>
      </c>
      <c r="AJ41" s="233">
        <v>4</v>
      </c>
      <c r="AK41" s="484" t="e" cm="1" vm="20">
        <f t="array" aca="1" ref="AK41" ca="1">Ver_flag_visit</f>
        <v>#VALUE!</v>
      </c>
      <c r="AL41" s="234" t="str">
        <f ca="1">IFERROR(INDEX($BD$6:$BD$53,MATCH(AI41,$BN$6:$BN$53,0)),"")</f>
        <v>Ecuador</v>
      </c>
      <c r="AM41" s="235">
        <f t="shared" ca="1" si="132"/>
        <v>0</v>
      </c>
      <c r="AN41" s="236">
        <f t="shared" ca="1" si="132"/>
        <v>0</v>
      </c>
      <c r="AO41" s="236">
        <f t="shared" ca="1" si="132"/>
        <v>0</v>
      </c>
      <c r="AP41" s="236">
        <f t="shared" ca="1" si="132"/>
        <v>0</v>
      </c>
      <c r="AQ41" s="236">
        <f t="shared" ca="1" si="132"/>
        <v>0</v>
      </c>
      <c r="AR41" s="236">
        <f t="shared" ca="1" si="132"/>
        <v>0</v>
      </c>
      <c r="AS41" s="236">
        <f t="shared" ca="1" si="132"/>
        <v>0</v>
      </c>
      <c r="AT41" s="237">
        <f t="shared" ca="1" si="132"/>
        <v>0</v>
      </c>
      <c r="AU41" s="418">
        <f ca="1">INDEX($DL$6:$DL$53,MATCH(AI41,$DP$6:$DP$53,0))</f>
        <v>1</v>
      </c>
      <c r="AV41" s="215" t="str">
        <f ca="1">INDEX($BD$6:$BD$53,MATCH(AI41,$BM$6:$BM$53,0))</f>
        <v>Ecuador</v>
      </c>
      <c r="AW41" s="425"/>
      <c r="AX41" s="216"/>
      <c r="AY41" s="238" t="str">
        <f ca="1">+A40</f>
        <v>Ecuador</v>
      </c>
      <c r="AZ41" s="239"/>
      <c r="BA41" s="173"/>
      <c r="BB41" s="730"/>
      <c r="BC41" s="742" t="str">
        <f ca="1">+INDEX(T_Equipos[Grupo],MATCH(WORLDCUP!BD41,T_Equipos[NombreEquipo],0))</f>
        <v>I</v>
      </c>
      <c r="BD41" s="730" t="str">
        <f ca="1">+Equipos!B37</f>
        <v>Noruega</v>
      </c>
      <c r="BE41" s="734">
        <f t="shared" ca="1" si="25"/>
        <v>0</v>
      </c>
      <c r="BF41" s="734">
        <f t="shared" ca="1" si="26"/>
        <v>0</v>
      </c>
      <c r="BG41" s="734">
        <f t="shared" ca="1" si="17"/>
        <v>0</v>
      </c>
      <c r="BH41" s="734">
        <f t="shared" ca="1" si="18"/>
        <v>0</v>
      </c>
      <c r="BI41" s="734">
        <f t="shared" ca="1" si="19"/>
        <v>0</v>
      </c>
      <c r="BJ41" s="734">
        <f t="shared" ca="1" si="20"/>
        <v>0</v>
      </c>
      <c r="BK41" s="734">
        <f t="shared" ca="1" si="21"/>
        <v>0</v>
      </c>
      <c r="BL41" s="734">
        <f t="shared" ca="1" si="27"/>
        <v>0</v>
      </c>
      <c r="BM41" s="734" t="str">
        <f t="shared" ca="1" si="22"/>
        <v>4I</v>
      </c>
      <c r="BN41" s="734" t="str">
        <f t="shared" ca="1" si="23"/>
        <v>4I</v>
      </c>
      <c r="BO41" s="743">
        <f t="shared" ca="1" si="28"/>
        <v>0</v>
      </c>
      <c r="BP41" s="743">
        <f ca="1">COUNTIFS($BO$6:$BO$53,"&gt;"&amp;BO41,$BC$6:$BC$53,INDEX(T_Equipos[Grupo],MATCH(BD41,T_Equipos[NombreEquipo],0)))+1</f>
        <v>1</v>
      </c>
      <c r="BQ41" s="743" t="str">
        <f ca="1">IF(COUNTIFS($BP$6:$BP$53,BP41,$BC$6:$BC$53,INDEX(T_Equipos[Grupo],MATCH(BD41,T_Equipos[NombreEquipo],0)))=1,"-","P."&amp;BP41&amp;" ("&amp;COUNTIFS($BP$6:$BP$53,BP41,$BC$6:$BC$53,INDEX(T_Equipos[Grupo],MATCH(BD41,T_Equipos[NombreEquipo],0)))&amp;")")</f>
        <v>P.1 (4)</v>
      </c>
      <c r="BR41" s="743">
        <f t="shared" ca="1" si="29"/>
        <v>0</v>
      </c>
      <c r="BS41" s="743">
        <f ca="1">BP41+COUNTIFS($BQ$6:$BQ$53,BQ41,$BR$6:BR$53,"&gt;"&amp;BR41,$BC$6:$BC$53,INDEX(T_Equipos[Grupo],MATCH(BD41,T_Equipos[NombreEquipo],0)))</f>
        <v>1</v>
      </c>
      <c r="BT41" s="743" t="str">
        <f ca="1">IF(COUNTIFS($BS$6:$BS$53,BS41,$BC$6:$BC$53,INDEX(T_Equipos[Grupo],MATCH(BD41,T_Equipos[NombreEquipo],0)))=1,"-","P."&amp;BS41&amp;" ("&amp;COUNTIFS($BS$6:$BS$53,BS41,$BC$6:$BC$53,INDEX(T_Equipos[Grupo],MATCH(BD41,T_Equipos[NombreEquipo],0)))&amp;")")</f>
        <v>P.1 (4)</v>
      </c>
      <c r="BU41" s="744">
        <f t="shared" ca="1" si="36"/>
        <v>0</v>
      </c>
      <c r="BV41" s="744">
        <f t="shared" ca="1" si="37"/>
        <v>0</v>
      </c>
      <c r="BW41" s="744">
        <f t="shared" ca="1" si="38"/>
        <v>0</v>
      </c>
      <c r="BX41" s="744">
        <f t="shared" ca="1" si="39"/>
        <v>0</v>
      </c>
      <c r="BY41" s="744">
        <f ca="1">BS41+COUNTIFS($BT$6:$BT$53,BT41,$BX$6:BX$53,"&gt;"&amp;BX41,$BC$6:$BC$53,INDEX(T_Equipos[Grupo],MATCH(BD41,T_Equipos[NombreEquipo],0)))</f>
        <v>1</v>
      </c>
      <c r="BZ41" s="743" t="str">
        <f ca="1">IF(COUNTIFS($BY$6:$BY$53,BY41,$BC$6:$BC$53,INDEX(T_Equipos[Grupo],MATCH(BD41,T_Equipos[NombreEquipo],0)))=1,"-","P."&amp;BY41&amp;" ("&amp;COUNTIFS($BY$6:$BY$53,BY41,$BC$6:$BC$53,INDEX(T_Equipos[Grupo],MATCH(BD41,T_Equipos[NombreEquipo],0)))&amp;")")</f>
        <v>P.1 (4)</v>
      </c>
      <c r="CA41" s="744">
        <f t="shared" ca="1" si="40"/>
        <v>0</v>
      </c>
      <c r="CB41" s="744">
        <f t="shared" ca="1" si="41"/>
        <v>0</v>
      </c>
      <c r="CC41" s="744">
        <f t="shared" ca="1" si="42"/>
        <v>0</v>
      </c>
      <c r="CD41" s="744">
        <f ca="1">BY41+COUNTIFS($BZ$6:$BZ$53,BZ41,$CC$6:CC$53,"&gt;"&amp;CC41,$BC$6:$BC$53,INDEX(T_Equipos[Grupo],MATCH(BD41,T_Equipos[NombreEquipo],0)))</f>
        <v>1</v>
      </c>
      <c r="CE41" s="743" t="str">
        <f ca="1">IF(COUNTIFS($CD$6:$CD$53,CD41,$BC$6:$BC$53,INDEX(T_Equipos[Grupo],MATCH(BD41,T_Equipos[NombreEquipo],0)))=1,"-","P."&amp;CD41&amp;" ("&amp;COUNTIFS($CD$6:$CD$53,CD41,$BC$6:$BC$53,INDEX(T_Equipos[Grupo],MATCH(BD41,T_Equipos[NombreEquipo],0)))&amp;")")</f>
        <v>P.1 (4)</v>
      </c>
      <c r="CF41" s="744">
        <f t="shared" ca="1" si="43"/>
        <v>0</v>
      </c>
      <c r="CG41" s="744">
        <f ca="1">CD41+COUNTIFS($CE$6:$CE$53,CE41,$CF$6:CF$53,"&gt;"&amp;CF41,$BC$6:$BC$53,INDEX(T_Equipos[Grupo],MATCH(BD41,T_Equipos[NombreEquipo],0)))</f>
        <v>1</v>
      </c>
      <c r="CH41" s="743" t="str">
        <f ca="1">IF(COUNTIFS($CG$6:$CG$53,CG41,$BC$6:$BC$53,INDEX(T_Equipos[Grupo],MATCH(BD41,T_Equipos[NombreEquipo],0)))=1,"-","P."&amp;CG41&amp;" ("&amp;COUNTIFS($CG$6:$CG$53,CG41,$BC$6:$BC$53,INDEX(T_Equipos[Grupo],MATCH(BD41,T_Equipos[NombreEquipo],0)))&amp;")")</f>
        <v>P.1 (4)</v>
      </c>
      <c r="CI41" s="744">
        <f t="shared" ca="1" si="44"/>
        <v>0</v>
      </c>
      <c r="CJ41" s="744">
        <f t="shared" ca="1" si="45"/>
        <v>0</v>
      </c>
      <c r="CK41" s="744">
        <f t="shared" ca="1" si="46"/>
        <v>0</v>
      </c>
      <c r="CL41" s="744">
        <f t="shared" ca="1" si="47"/>
        <v>0</v>
      </c>
      <c r="CM41" s="744">
        <f ca="1">CG41+COUNTIFS($CH$6:$CH$53,CH41,$CL$6:CL$53,"&gt;"&amp;CL41,$BC$6:$BC$53,INDEX(T_Equipos[Grupo],MATCH(BD41,T_Equipos[NombreEquipo],0)))</f>
        <v>1</v>
      </c>
      <c r="CN41" s="743" t="str">
        <f ca="1">IF(COUNTIFS($CM$6:$CM$53,CM41,$BC$6:$BC$53,INDEX(T_Equipos[Grupo],MATCH(BD41,T_Equipos[NombreEquipo],0)))=1,"-","P."&amp;CM41&amp;" ("&amp;COUNTIFS($CM$6:$CM$53,CM41,$BC$6:$BC$53,INDEX(T_Equipos[Grupo],MATCH(BD41,T_Equipos[NombreEquipo],0)))&amp;")")</f>
        <v>P.1 (4)</v>
      </c>
      <c r="CO41" s="744">
        <f t="shared" ca="1" si="48"/>
        <v>0</v>
      </c>
      <c r="CP41" s="744">
        <f t="shared" ca="1" si="49"/>
        <v>0</v>
      </c>
      <c r="CQ41" s="744">
        <f t="shared" ca="1" si="50"/>
        <v>0</v>
      </c>
      <c r="CR41" s="744">
        <f ca="1">CM41+COUNTIFS($CN$6:$CN$53,CN41,$CQ$6:CQ$53,"&gt;"&amp;CQ41,$BC$6:$BC$53,INDEX(T_Equipos[Grupo],MATCH(BD41,T_Equipos[NombreEquipo],0)))</f>
        <v>1</v>
      </c>
      <c r="CS41" s="743" t="str">
        <f ca="1">IF(COUNTIFS($CR$6:$CR$53,CR41,$BC$6:$BC$53,INDEX(T_Equipos[Grupo],MATCH(BD41,T_Equipos[NombreEquipo],0)))=1,"-","P."&amp;CR41&amp;" ("&amp;COUNTIFS($CR$6:$CR$53,CR41,$BC$6:$BC$53,INDEX(T_Equipos[Grupo],MATCH(BD41,T_Equipos[NombreEquipo],0)))&amp;")")</f>
        <v>P.1 (4)</v>
      </c>
      <c r="CT41" s="744">
        <f t="shared" ca="1" si="51"/>
        <v>0</v>
      </c>
      <c r="CU41" s="744">
        <f ca="1">CR41+COUNTIFS($CS$6:$CS$53,CS41,$CT$6:CT$53,"&gt;"&amp;CT41,$BC$6:$BC$53,INDEX(T_Equipos[Grupo],MATCH(BD41,T_Equipos[NombreEquipo],0)))</f>
        <v>1</v>
      </c>
      <c r="CV41" s="743" t="str">
        <f ca="1">IF(COUNTIFS($CU$6:$CU$53,CU41,$BC$6:$BC$53,INDEX(T_Equipos[Grupo],MATCH(BD41,T_Equipos[NombreEquipo],0)))=1,"-","P."&amp;CU41&amp;" ("&amp;COUNTIFS($CU$6:$CU$53,CU41,$BC$6:$BC$53,INDEX(T_Equipos[Grupo],MATCH(BD41,T_Equipos[NombreEquipo],0)))&amp;")")</f>
        <v>P.1 (4)</v>
      </c>
      <c r="CW41" s="743">
        <f t="shared" ca="1" si="30"/>
        <v>0</v>
      </c>
      <c r="CX41" s="743">
        <f ca="1">CU41+COUNTIFS($CV$6:$CV$53,CV41,$CW$6:CW$53,"&gt;"&amp;CW41,$BC$6:$BC$53,INDEX(T_Equipos[Grupo],MATCH(BD41,T_Equipos[NombreEquipo],0)))</f>
        <v>1</v>
      </c>
      <c r="CY41" s="743" t="str">
        <f ca="1">IF(COUNTIFS($CX$6:$CX$53,CX41,$BC$6:$BC$53,INDEX(T_Equipos[Grupo],MATCH(BD41,T_Equipos[NombreEquipo],0)))=1,"-","P."&amp;CX41&amp;" ("&amp;COUNTIFS($CX$6:$CX$53,CX41,$BC$6:$BC$53,INDEX(T_Equipos[Grupo],MATCH(BD41,T_Equipos[NombreEquipo],0)))&amp;")")</f>
        <v>P.1 (4)</v>
      </c>
      <c r="CZ41" s="743">
        <f t="shared" ca="1" si="31"/>
        <v>0</v>
      </c>
      <c r="DA41" s="744">
        <f ca="1">CX41+COUNTIFS($CY$6:$CY$53,CY41,$CZ$6:CZ$53,"&gt;"&amp;CZ41,$BC$6:$BC$53,INDEX(T_Equipos[Grupo],MATCH(BD41,T_Equipos[NombreEquipo],0)))</f>
        <v>1</v>
      </c>
      <c r="DB41" s="743" t="str">
        <f ca="1">IF(COUNTIFS($DA$6:$DA$53,DA41,$BC$6:$BC$53,INDEX(T_Equipos[Grupo],MATCH(BD41,T_Equipos[NombreEquipo],0)))=1,"-","P."&amp;DA41&amp;" ("&amp;COUNTIFS($DA$6:$DA$53,DA41,$BC$6:$BC$53,INDEX(T_Equipos[Grupo],MATCH(BD41,T_Equipos[NombreEquipo],0)))&amp;")")</f>
        <v>P.1 (4)</v>
      </c>
      <c r="DC41" s="742">
        <f ca="1">IF(DB41="-","-",COUNTIFS(T_Equipos[Rank],"&lt;"&amp;INDEX(T_Equipos[Rank],MATCH(BD41,T_Equipos[NombreEquipo],0)),$BC$6:$BC$53,INDEX(T_Equipos[Grupo],MATCH(BD41,T_Equipos[NombreEquipo],0)))+1)</f>
        <v>4</v>
      </c>
      <c r="DD41" s="742">
        <f ca="1">DA41+COUNTIFS($DB$6:$DB$53,DB41,$DC$6:DC$53,"&lt;"&amp;DC41,$BC$6:$BC$53,INDEX(T_Equipos[Grupo],MATCH(BD41,T_Equipos[NombreEquipo],0)))</f>
        <v>4</v>
      </c>
      <c r="DE41" s="742"/>
      <c r="DF41" s="742">
        <f t="shared" ca="1" si="52"/>
        <v>4</v>
      </c>
      <c r="DG41" s="742">
        <f ca="1">IF(DB41="-","-",COUNTIFS(DF$6:DF$53,"&lt;"&amp;DF41,$BC$6:$BC$53,INDEX(T_Equipos[Grupo],MATCH(BD41,T_Equipos[NombreEquipo],0))))</f>
        <v>3</v>
      </c>
      <c r="DH41" s="742">
        <f ca="1">DA41+COUNTIFS(DB$6:DB$53,DB41,DG$6:DG$53,"&lt;"&amp;DG41,$BC$6:$BC$53,INDEX(T_Equipos[Grupo],MATCH(BD41,T_Equipos[NombreEquipo],0)))</f>
        <v>4</v>
      </c>
      <c r="DI41" s="730"/>
      <c r="DJ41" s="730">
        <f t="shared" ca="1" si="53"/>
        <v>1</v>
      </c>
      <c r="DK41" s="730">
        <f t="shared" ca="1" si="24"/>
        <v>0</v>
      </c>
      <c r="DL41" s="730">
        <f t="shared" ca="1" si="33"/>
        <v>1</v>
      </c>
      <c r="DM41" s="724" t="str">
        <f t="shared" ca="1" si="34"/>
        <v>1.1</v>
      </c>
      <c r="DN41" s="730" cm="1">
        <f t="array" aca="1" ref="DN41" ca="1">OFFSET(Horarios!$P$3,DJ41-1,0,DL41,1)</f>
        <v>1</v>
      </c>
      <c r="DO41" s="730"/>
      <c r="DP41" s="730" t="s">
        <v>675</v>
      </c>
      <c r="DQ41" s="730" t="str">
        <f t="shared" ca="1" si="35"/>
        <v>Noruega</v>
      </c>
      <c r="DR41" s="730"/>
      <c r="DS41" s="730"/>
      <c r="DT41" s="730" t="str">
        <f t="shared" ca="1" si="15"/>
        <v>Ecuador-Alemania</v>
      </c>
      <c r="DU41" s="730"/>
      <c r="DV41" s="730"/>
      <c r="DW41" s="8"/>
    </row>
    <row r="42" spans="1:127" ht="15" thickBot="1">
      <c r="A42" s="725"/>
      <c r="B42" s="725"/>
      <c r="C42" s="725"/>
      <c r="D42" s="730"/>
      <c r="E42" s="730"/>
      <c r="F42" s="730"/>
      <c r="G42" s="730"/>
      <c r="H42" s="730"/>
      <c r="I42" s="730"/>
      <c r="J42" s="730"/>
      <c r="K42" s="730"/>
      <c r="L42" s="730"/>
      <c r="M42" s="730"/>
      <c r="N42" s="730"/>
      <c r="O42" s="730"/>
      <c r="P42" s="730"/>
      <c r="Q42" s="730"/>
      <c r="R42" s="730"/>
      <c r="S42" s="730"/>
      <c r="T42" s="730"/>
      <c r="U42" s="730"/>
      <c r="V42" s="170"/>
      <c r="W42" s="240"/>
      <c r="X42" s="241"/>
      <c r="Y42" s="240"/>
      <c r="Z42" s="242"/>
      <c r="AA42" s="243"/>
      <c r="AB42" s="479"/>
      <c r="AC42" s="245"/>
      <c r="AD42" s="245"/>
      <c r="AE42" s="479"/>
      <c r="AF42" s="246"/>
      <c r="AG42" s="413"/>
      <c r="AH42" s="194"/>
      <c r="AI42" s="169"/>
      <c r="AJ42" s="247"/>
      <c r="AK42" s="248"/>
      <c r="AL42" s="184"/>
      <c r="AM42" s="249"/>
      <c r="AN42" s="247"/>
      <c r="AO42" s="247"/>
      <c r="AP42" s="247"/>
      <c r="AQ42" s="247"/>
      <c r="AR42" s="247"/>
      <c r="AS42" s="247"/>
      <c r="AT42" s="247"/>
      <c r="AU42" s="418"/>
      <c r="AV42" s="214"/>
      <c r="AW42" s="426"/>
      <c r="AX42" s="216"/>
      <c r="AY42" s="240"/>
      <c r="AZ42" s="241"/>
      <c r="BA42" s="173"/>
      <c r="BB42" s="730"/>
      <c r="BC42" s="742" t="str">
        <f ca="1">+INDEX(T_Equipos[Grupo],MATCH(WORLDCUP!BD42,T_Equipos[NombreEquipo],0))</f>
        <v>J</v>
      </c>
      <c r="BD42" s="730" t="str">
        <f ca="1">+Equipos!B38</f>
        <v>Argentina</v>
      </c>
      <c r="BE42" s="734">
        <f t="shared" ca="1" si="25"/>
        <v>0</v>
      </c>
      <c r="BF42" s="734">
        <f t="shared" ca="1" si="26"/>
        <v>0</v>
      </c>
      <c r="BG42" s="734">
        <f t="shared" ca="1" si="17"/>
        <v>0</v>
      </c>
      <c r="BH42" s="734">
        <f t="shared" ca="1" si="18"/>
        <v>0</v>
      </c>
      <c r="BI42" s="734">
        <f t="shared" ca="1" si="19"/>
        <v>0</v>
      </c>
      <c r="BJ42" s="734">
        <f t="shared" ca="1" si="20"/>
        <v>0</v>
      </c>
      <c r="BK42" s="734">
        <f t="shared" ca="1" si="21"/>
        <v>0</v>
      </c>
      <c r="BL42" s="734">
        <f t="shared" ca="1" si="27"/>
        <v>0</v>
      </c>
      <c r="BM42" s="734" t="str">
        <f t="shared" ca="1" si="22"/>
        <v>1J</v>
      </c>
      <c r="BN42" s="734" t="str">
        <f t="shared" ca="1" si="23"/>
        <v>1J</v>
      </c>
      <c r="BO42" s="744">
        <f t="shared" ca="1" si="28"/>
        <v>0</v>
      </c>
      <c r="BP42" s="743">
        <f ca="1">COUNTIFS($BO$6:$BO$53,"&gt;"&amp;BO42,$BC$6:$BC$53,INDEX(T_Equipos[Grupo],MATCH(BD42,T_Equipos[NombreEquipo],0)))+1</f>
        <v>1</v>
      </c>
      <c r="BQ42" s="743" t="str">
        <f ca="1">IF(COUNTIFS($BP$6:$BP$53,BP42,$BC$6:$BC$53,INDEX(T_Equipos[Grupo],MATCH(BD42,T_Equipos[NombreEquipo],0)))=1,"-","P."&amp;BP42&amp;" ("&amp;COUNTIFS($BP$6:$BP$53,BP42,$BC$6:$BC$53,INDEX(T_Equipos[Grupo],MATCH(BD42,T_Equipos[NombreEquipo],0)))&amp;")")</f>
        <v>P.1 (4)</v>
      </c>
      <c r="BR42" s="744">
        <f t="shared" ca="1" si="29"/>
        <v>0</v>
      </c>
      <c r="BS42" s="743">
        <f ca="1">BP42+COUNTIFS($BQ$6:$BQ$53,BQ42,$BR$6:BR$53,"&gt;"&amp;BR42,$BC$6:$BC$53,INDEX(T_Equipos[Grupo],MATCH(BD42,T_Equipos[NombreEquipo],0)))</f>
        <v>1</v>
      </c>
      <c r="BT42" s="743" t="str">
        <f ca="1">IF(COUNTIFS($BS$6:$BS$53,BS42,$BC$6:$BC$53,INDEX(T_Equipos[Grupo],MATCH(BD42,T_Equipos[NombreEquipo],0)))=1,"-","P."&amp;BS42&amp;" ("&amp;COUNTIFS($BS$6:$BS$53,BS42,$BC$6:$BC$53,INDEX(T_Equipos[Grupo],MATCH(BD42,T_Equipos[NombreEquipo],0)))&amp;")")</f>
        <v>P.1 (4)</v>
      </c>
      <c r="BU42" s="744">
        <f t="shared" ca="1" si="36"/>
        <v>0</v>
      </c>
      <c r="BV42" s="744">
        <f t="shared" ca="1" si="37"/>
        <v>0</v>
      </c>
      <c r="BW42" s="744">
        <f t="shared" ca="1" si="38"/>
        <v>0</v>
      </c>
      <c r="BX42" s="744">
        <f t="shared" ca="1" si="39"/>
        <v>0</v>
      </c>
      <c r="BY42" s="744">
        <f ca="1">BS42+COUNTIFS($BT$6:$BT$53,BT42,$BX$6:BX$53,"&gt;"&amp;BX42,$BC$6:$BC$53,INDEX(T_Equipos[Grupo],MATCH(BD42,T_Equipos[NombreEquipo],0)))</f>
        <v>1</v>
      </c>
      <c r="BZ42" s="743" t="str">
        <f ca="1">IF(COUNTIFS($BY$6:$BY$53,BY42,$BC$6:$BC$53,INDEX(T_Equipos[Grupo],MATCH(BD42,T_Equipos[NombreEquipo],0)))=1,"-","P."&amp;BY42&amp;" ("&amp;COUNTIFS($BY$6:$BY$53,BY42,$BC$6:$BC$53,INDEX(T_Equipos[Grupo],MATCH(BD42,T_Equipos[NombreEquipo],0)))&amp;")")</f>
        <v>P.1 (4)</v>
      </c>
      <c r="CA42" s="744">
        <f t="shared" ca="1" si="40"/>
        <v>0</v>
      </c>
      <c r="CB42" s="744">
        <f t="shared" ca="1" si="41"/>
        <v>0</v>
      </c>
      <c r="CC42" s="744">
        <f t="shared" ca="1" si="42"/>
        <v>0</v>
      </c>
      <c r="CD42" s="744">
        <f ca="1">BY42+COUNTIFS($BZ$6:$BZ$53,BZ42,$CC$6:CC$53,"&gt;"&amp;CC42,$BC$6:$BC$53,INDEX(T_Equipos[Grupo],MATCH(BD42,T_Equipos[NombreEquipo],0)))</f>
        <v>1</v>
      </c>
      <c r="CE42" s="743" t="str">
        <f ca="1">IF(COUNTIFS($CD$6:$CD$53,CD42,$BC$6:$BC$53,INDEX(T_Equipos[Grupo],MATCH(BD42,T_Equipos[NombreEquipo],0)))=1,"-","P."&amp;CD42&amp;" ("&amp;COUNTIFS($CD$6:$CD$53,CD42,$BC$6:$BC$53,INDEX(T_Equipos[Grupo],MATCH(BD42,T_Equipos[NombreEquipo],0)))&amp;")")</f>
        <v>P.1 (4)</v>
      </c>
      <c r="CF42" s="744">
        <f t="shared" ca="1" si="43"/>
        <v>0</v>
      </c>
      <c r="CG42" s="744">
        <f ca="1">CD42+COUNTIFS($CE$6:$CE$53,CE42,$CF$6:CF$53,"&gt;"&amp;CF42,$BC$6:$BC$53,INDEX(T_Equipos[Grupo],MATCH(BD42,T_Equipos[NombreEquipo],0)))</f>
        <v>1</v>
      </c>
      <c r="CH42" s="743" t="str">
        <f ca="1">IF(COUNTIFS($CG$6:$CG$53,CG42,$BC$6:$BC$53,INDEX(T_Equipos[Grupo],MATCH(BD42,T_Equipos[NombreEquipo],0)))=1,"-","P."&amp;CG42&amp;" ("&amp;COUNTIFS($CG$6:$CG$53,CG42,$BC$6:$BC$53,INDEX(T_Equipos[Grupo],MATCH(BD42,T_Equipos[NombreEquipo],0)))&amp;")")</f>
        <v>P.1 (4)</v>
      </c>
      <c r="CI42" s="744">
        <f t="shared" ca="1" si="44"/>
        <v>0</v>
      </c>
      <c r="CJ42" s="744">
        <f t="shared" ca="1" si="45"/>
        <v>0</v>
      </c>
      <c r="CK42" s="744">
        <f t="shared" ca="1" si="46"/>
        <v>0</v>
      </c>
      <c r="CL42" s="744">
        <f t="shared" ca="1" si="47"/>
        <v>0</v>
      </c>
      <c r="CM42" s="744">
        <f ca="1">CG42+COUNTIFS($CH$6:$CH$53,CH42,$CL$6:CL$53,"&gt;"&amp;CL42,$BC$6:$BC$53,INDEX(T_Equipos[Grupo],MATCH(BD42,T_Equipos[NombreEquipo],0)))</f>
        <v>1</v>
      </c>
      <c r="CN42" s="743" t="str">
        <f ca="1">IF(COUNTIFS($CM$6:$CM$53,CM42,$BC$6:$BC$53,INDEX(T_Equipos[Grupo],MATCH(BD42,T_Equipos[NombreEquipo],0)))=1,"-","P."&amp;CM42&amp;" ("&amp;COUNTIFS($CM$6:$CM$53,CM42,$BC$6:$BC$53,INDEX(T_Equipos[Grupo],MATCH(BD42,T_Equipos[NombreEquipo],0)))&amp;")")</f>
        <v>P.1 (4)</v>
      </c>
      <c r="CO42" s="744">
        <f t="shared" ca="1" si="48"/>
        <v>0</v>
      </c>
      <c r="CP42" s="744">
        <f t="shared" ca="1" si="49"/>
        <v>0</v>
      </c>
      <c r="CQ42" s="744">
        <f t="shared" ca="1" si="50"/>
        <v>0</v>
      </c>
      <c r="CR42" s="744">
        <f ca="1">CM42+COUNTIFS($CN$6:$CN$53,CN42,$CQ$6:CQ$53,"&gt;"&amp;CQ42,$BC$6:$BC$53,INDEX(T_Equipos[Grupo],MATCH(BD42,T_Equipos[NombreEquipo],0)))</f>
        <v>1</v>
      </c>
      <c r="CS42" s="743" t="str">
        <f ca="1">IF(COUNTIFS($CR$6:$CR$53,CR42,$BC$6:$BC$53,INDEX(T_Equipos[Grupo],MATCH(BD42,T_Equipos[NombreEquipo],0)))=1,"-","P."&amp;CR42&amp;" ("&amp;COUNTIFS($CR$6:$CR$53,CR42,$BC$6:$BC$53,INDEX(T_Equipos[Grupo],MATCH(BD42,T_Equipos[NombreEquipo],0)))&amp;")")</f>
        <v>P.1 (4)</v>
      </c>
      <c r="CT42" s="744">
        <f t="shared" ca="1" si="51"/>
        <v>0</v>
      </c>
      <c r="CU42" s="744">
        <f ca="1">CR42+COUNTIFS($CS$6:$CS$53,CS42,$CT$6:CT$53,"&gt;"&amp;CT42,$BC$6:$BC$53,INDEX(T_Equipos[Grupo],MATCH(BD42,T_Equipos[NombreEquipo],0)))</f>
        <v>1</v>
      </c>
      <c r="CV42" s="743" t="str">
        <f ca="1">IF(COUNTIFS($CU$6:$CU$53,CU42,$BC$6:$BC$53,INDEX(T_Equipos[Grupo],MATCH(BD42,T_Equipos[NombreEquipo],0)))=1,"-","P."&amp;CU42&amp;" ("&amp;COUNTIFS($CU$6:$CU$53,CU42,$BC$6:$BC$53,INDEX(T_Equipos[Grupo],MATCH(BD42,T_Equipos[NombreEquipo],0)))&amp;")")</f>
        <v>P.1 (4)</v>
      </c>
      <c r="CW42" s="743">
        <f t="shared" ca="1" si="30"/>
        <v>0</v>
      </c>
      <c r="CX42" s="743">
        <f ca="1">CU42+COUNTIFS($CV$6:$CV$53,CV42,$CW$6:CW$53,"&gt;"&amp;CW42,$BC$6:$BC$53,INDEX(T_Equipos[Grupo],MATCH(BD42,T_Equipos[NombreEquipo],0)))</f>
        <v>1</v>
      </c>
      <c r="CY42" s="743" t="str">
        <f ca="1">IF(COUNTIFS($CX$6:$CX$53,CX42,$BC$6:$BC$53,INDEX(T_Equipos[Grupo],MATCH(BD42,T_Equipos[NombreEquipo],0)))=1,"-","P."&amp;CX42&amp;" ("&amp;COUNTIFS($CX$6:$CX$53,CX42,$BC$6:$BC$53,INDEX(T_Equipos[Grupo],MATCH(BD42,T_Equipos[NombreEquipo],0)))&amp;")")</f>
        <v>P.1 (4)</v>
      </c>
      <c r="CZ42" s="743">
        <f t="shared" ca="1" si="31"/>
        <v>0</v>
      </c>
      <c r="DA42" s="744">
        <f ca="1">CX42+COUNTIFS($CY$6:$CY$53,CY42,$CZ$6:CZ$53,"&gt;"&amp;CZ42,$BC$6:$BC$53,INDEX(T_Equipos[Grupo],MATCH(BD42,T_Equipos[NombreEquipo],0)))</f>
        <v>1</v>
      </c>
      <c r="DB42" s="743" t="str">
        <f ca="1">IF(COUNTIFS($DA$6:$DA$53,DA42,$BC$6:$BC$53,INDEX(T_Equipos[Grupo],MATCH(BD42,T_Equipos[NombreEquipo],0)))=1,"-","P."&amp;DA42&amp;" ("&amp;COUNTIFS($DA$6:$DA$53,DA42,$BC$6:$BC$53,INDEX(T_Equipos[Grupo],MATCH(BD42,T_Equipos[NombreEquipo],0)))&amp;")")</f>
        <v>P.1 (4)</v>
      </c>
      <c r="DC42" s="742">
        <f ca="1">IF(DB42="-","-",COUNTIFS(T_Equipos[Rank],"&lt;"&amp;INDEX(T_Equipos[Rank],MATCH(BD42,T_Equipos[NombreEquipo],0)),$BC$6:$BC$53,INDEX(T_Equipos[Grupo],MATCH(BD42,T_Equipos[NombreEquipo],0)))+1)</f>
        <v>1</v>
      </c>
      <c r="DD42" s="742">
        <f ca="1">DA42+COUNTIFS($DB$6:$DB$53,DB42,$DC$6:DC$53,"&lt;"&amp;DC42,$BC$6:$BC$53,INDEX(T_Equipos[Grupo],MATCH(BD42,T_Equipos[NombreEquipo],0)))</f>
        <v>1</v>
      </c>
      <c r="DE42" s="742"/>
      <c r="DF42" s="742">
        <f t="shared" ca="1" si="52"/>
        <v>1</v>
      </c>
      <c r="DG42" s="742">
        <f ca="1">IF(DB42="-","-",COUNTIFS(DF$6:DF$53,"&lt;"&amp;DF42,$BC$6:$BC$53,INDEX(T_Equipos[Grupo],MATCH(BD42,T_Equipos[NombreEquipo],0))))</f>
        <v>0</v>
      </c>
      <c r="DH42" s="742">
        <f ca="1">DA42+COUNTIFS(DB$6:DB$53,DB42,DG$6:DG$53,"&lt;"&amp;DG42,$BC$6:$BC$53,INDEX(T_Equipos[Grupo],MATCH(BD42,T_Equipos[NombreEquipo],0)))</f>
        <v>1</v>
      </c>
      <c r="DI42" s="730"/>
      <c r="DJ42" s="730">
        <f t="shared" ca="1" si="53"/>
        <v>1</v>
      </c>
      <c r="DK42" s="730">
        <f t="shared" ca="1" si="24"/>
        <v>0</v>
      </c>
      <c r="DL42" s="730">
        <f t="shared" ca="1" si="33"/>
        <v>1</v>
      </c>
      <c r="DM42" s="724" t="str">
        <f t="shared" ca="1" si="34"/>
        <v>1.1</v>
      </c>
      <c r="DN42" s="730" cm="1">
        <f t="array" aca="1" ref="DN42" ca="1">OFFSET(Horarios!$P$3,DJ42-1,0,DL42,1)</f>
        <v>1</v>
      </c>
      <c r="DO42" s="730"/>
      <c r="DP42" s="730" t="s">
        <v>676</v>
      </c>
      <c r="DQ42" s="730" t="str">
        <f t="shared" ca="1" si="35"/>
        <v>Argentina</v>
      </c>
      <c r="DR42" s="730"/>
      <c r="DS42" s="730"/>
      <c r="DT42" s="730" t="str">
        <f t="shared" si="15"/>
        <v>-</v>
      </c>
      <c r="DU42" s="730"/>
      <c r="DV42" s="730"/>
      <c r="DW42" s="8"/>
    </row>
    <row r="43" spans="1:127" ht="15" thickBot="1">
      <c r="A43" s="725"/>
      <c r="B43" s="728"/>
      <c r="C43" s="725"/>
      <c r="D43" s="725"/>
      <c r="E43" s="725"/>
      <c r="F43" s="725"/>
      <c r="G43" s="725"/>
      <c r="H43" s="725"/>
      <c r="I43" s="725"/>
      <c r="J43" s="725"/>
      <c r="K43" s="725"/>
      <c r="L43" s="725"/>
      <c r="M43" s="725"/>
      <c r="N43" s="730"/>
      <c r="O43" s="730"/>
      <c r="P43" s="730"/>
      <c r="Q43" s="730"/>
      <c r="R43" s="730"/>
      <c r="S43" s="730"/>
      <c r="T43" s="730"/>
      <c r="U43" s="730"/>
      <c r="V43" s="170"/>
      <c r="W43" s="177"/>
      <c r="X43" s="178" t="str">
        <f>X27</f>
        <v>Fecha</v>
      </c>
      <c r="Y43" s="178" t="str">
        <f>Y27</f>
        <v>Hora</v>
      </c>
      <c r="Z43" s="179" t="str">
        <f t="shared" ref="Z43:AA43" si="134">Z27</f>
        <v>Jor.</v>
      </c>
      <c r="AA43" s="180" t="str">
        <f t="shared" si="134"/>
        <v>Casa</v>
      </c>
      <c r="AB43" s="179"/>
      <c r="AC43" s="179" t="str">
        <f>AC3</f>
        <v>Gol</v>
      </c>
      <c r="AD43" s="179" t="str">
        <f>AD3</f>
        <v>Gol</v>
      </c>
      <c r="AE43" s="179"/>
      <c r="AF43" s="182" t="str">
        <f t="shared" ref="AF43" si="135">AF27</f>
        <v>Fuera</v>
      </c>
      <c r="AG43" s="412"/>
      <c r="AH43" s="194"/>
      <c r="AI43" s="18"/>
      <c r="AJ43" s="184"/>
      <c r="AK43" s="250"/>
      <c r="AL43" s="184"/>
      <c r="AM43" s="184"/>
      <c r="AN43" s="184"/>
      <c r="AO43" s="184"/>
      <c r="AP43" s="184"/>
      <c r="AQ43" s="184"/>
      <c r="AR43" s="184"/>
      <c r="AS43" s="184"/>
      <c r="AT43" s="184"/>
      <c r="AU43" s="419"/>
      <c r="AV43" s="22"/>
      <c r="AW43" s="427"/>
      <c r="AX43" s="251"/>
      <c r="AY43" s="240"/>
      <c r="AZ43" s="241"/>
      <c r="BA43" s="173"/>
      <c r="BB43" s="730"/>
      <c r="BC43" s="742" t="str">
        <f ca="1">+INDEX(T_Equipos[Grupo],MATCH(WORLDCUP!BD43,T_Equipos[NombreEquipo],0))</f>
        <v>J</v>
      </c>
      <c r="BD43" s="730" t="str">
        <f ca="1">+Equipos!B39</f>
        <v>Argelia</v>
      </c>
      <c r="BE43" s="734">
        <f t="shared" ca="1" si="25"/>
        <v>0</v>
      </c>
      <c r="BF43" s="734">
        <f t="shared" ca="1" si="26"/>
        <v>0</v>
      </c>
      <c r="BG43" s="734">
        <f t="shared" ca="1" si="17"/>
        <v>0</v>
      </c>
      <c r="BH43" s="734">
        <f t="shared" ca="1" si="18"/>
        <v>0</v>
      </c>
      <c r="BI43" s="734">
        <f t="shared" ca="1" si="19"/>
        <v>0</v>
      </c>
      <c r="BJ43" s="734">
        <f t="shared" ca="1" si="20"/>
        <v>0</v>
      </c>
      <c r="BK43" s="734">
        <f t="shared" ca="1" si="21"/>
        <v>0</v>
      </c>
      <c r="BL43" s="734">
        <f t="shared" ca="1" si="27"/>
        <v>0</v>
      </c>
      <c r="BM43" s="734" t="str">
        <f t="shared" ca="1" si="22"/>
        <v>2J</v>
      </c>
      <c r="BN43" s="734" t="str">
        <f t="shared" ca="1" si="23"/>
        <v>2J</v>
      </c>
      <c r="BO43" s="744">
        <f t="shared" ca="1" si="28"/>
        <v>0</v>
      </c>
      <c r="BP43" s="743">
        <f ca="1">COUNTIFS($BO$6:$BO$53,"&gt;"&amp;BO43,$BC$6:$BC$53,INDEX(T_Equipos[Grupo],MATCH(BD43,T_Equipos[NombreEquipo],0)))+1</f>
        <v>1</v>
      </c>
      <c r="BQ43" s="743" t="str">
        <f ca="1">IF(COUNTIFS($BP$6:$BP$53,BP43,$BC$6:$BC$53,INDEX(T_Equipos[Grupo],MATCH(BD43,T_Equipos[NombreEquipo],0)))=1,"-","P."&amp;BP43&amp;" ("&amp;COUNTIFS($BP$6:$BP$53,BP43,$BC$6:$BC$53,INDEX(T_Equipos[Grupo],MATCH(BD43,T_Equipos[NombreEquipo],0)))&amp;")")</f>
        <v>P.1 (4)</v>
      </c>
      <c r="BR43" s="744">
        <f t="shared" ca="1" si="29"/>
        <v>0</v>
      </c>
      <c r="BS43" s="743">
        <f ca="1">BP43+COUNTIFS($BQ$6:$BQ$53,BQ43,$BR$6:BR$53,"&gt;"&amp;BR43,$BC$6:$BC$53,INDEX(T_Equipos[Grupo],MATCH(BD43,T_Equipos[NombreEquipo],0)))</f>
        <v>1</v>
      </c>
      <c r="BT43" s="743" t="str">
        <f ca="1">IF(COUNTIFS($BS$6:$BS$53,BS43,$BC$6:$BC$53,INDEX(T_Equipos[Grupo],MATCH(BD43,T_Equipos[NombreEquipo],0)))=1,"-","P."&amp;BS43&amp;" ("&amp;COUNTIFS($BS$6:$BS$53,BS43,$BC$6:$BC$53,INDEX(T_Equipos[Grupo],MATCH(BD43,T_Equipos[NombreEquipo],0)))&amp;")")</f>
        <v>P.1 (4)</v>
      </c>
      <c r="BU43" s="744">
        <f t="shared" ca="1" si="36"/>
        <v>0</v>
      </c>
      <c r="BV43" s="744">
        <f t="shared" ca="1" si="37"/>
        <v>0</v>
      </c>
      <c r="BW43" s="744">
        <f t="shared" ca="1" si="38"/>
        <v>0</v>
      </c>
      <c r="BX43" s="744">
        <f t="shared" ca="1" si="39"/>
        <v>0</v>
      </c>
      <c r="BY43" s="744">
        <f ca="1">BS43+COUNTIFS($BT$6:$BT$53,BT43,$BX$6:BX$53,"&gt;"&amp;BX43,$BC$6:$BC$53,INDEX(T_Equipos[Grupo],MATCH(BD43,T_Equipos[NombreEquipo],0)))</f>
        <v>1</v>
      </c>
      <c r="BZ43" s="743" t="str">
        <f ca="1">IF(COUNTIFS($BY$6:$BY$53,BY43,$BC$6:$BC$53,INDEX(T_Equipos[Grupo],MATCH(BD43,T_Equipos[NombreEquipo],0)))=1,"-","P."&amp;BY43&amp;" ("&amp;COUNTIFS($BY$6:$BY$53,BY43,$BC$6:$BC$53,INDEX(T_Equipos[Grupo],MATCH(BD43,T_Equipos[NombreEquipo],0)))&amp;")")</f>
        <v>P.1 (4)</v>
      </c>
      <c r="CA43" s="744">
        <f t="shared" ca="1" si="40"/>
        <v>0</v>
      </c>
      <c r="CB43" s="744">
        <f t="shared" ca="1" si="41"/>
        <v>0</v>
      </c>
      <c r="CC43" s="744">
        <f t="shared" ca="1" si="42"/>
        <v>0</v>
      </c>
      <c r="CD43" s="744">
        <f ca="1">BY43+COUNTIFS($BZ$6:$BZ$53,BZ43,$CC$6:CC$53,"&gt;"&amp;CC43,$BC$6:$BC$53,INDEX(T_Equipos[Grupo],MATCH(BD43,T_Equipos[NombreEquipo],0)))</f>
        <v>1</v>
      </c>
      <c r="CE43" s="743" t="str">
        <f ca="1">IF(COUNTIFS($CD$6:$CD$53,CD43,$BC$6:$BC$53,INDEX(T_Equipos[Grupo],MATCH(BD43,T_Equipos[NombreEquipo],0)))=1,"-","P."&amp;CD43&amp;" ("&amp;COUNTIFS($CD$6:$CD$53,CD43,$BC$6:$BC$53,INDEX(T_Equipos[Grupo],MATCH(BD43,T_Equipos[NombreEquipo],0)))&amp;")")</f>
        <v>P.1 (4)</v>
      </c>
      <c r="CF43" s="744">
        <f t="shared" ca="1" si="43"/>
        <v>0</v>
      </c>
      <c r="CG43" s="744">
        <f ca="1">CD43+COUNTIFS($CE$6:$CE$53,CE43,$CF$6:CF$53,"&gt;"&amp;CF43,$BC$6:$BC$53,INDEX(T_Equipos[Grupo],MATCH(BD43,T_Equipos[NombreEquipo],0)))</f>
        <v>1</v>
      </c>
      <c r="CH43" s="743" t="str">
        <f ca="1">IF(COUNTIFS($CG$6:$CG$53,CG43,$BC$6:$BC$53,INDEX(T_Equipos[Grupo],MATCH(BD43,T_Equipos[NombreEquipo],0)))=1,"-","P."&amp;CG43&amp;" ("&amp;COUNTIFS($CG$6:$CG$53,CG43,$BC$6:$BC$53,INDEX(T_Equipos[Grupo],MATCH(BD43,T_Equipos[NombreEquipo],0)))&amp;")")</f>
        <v>P.1 (4)</v>
      </c>
      <c r="CI43" s="744">
        <f t="shared" ca="1" si="44"/>
        <v>0</v>
      </c>
      <c r="CJ43" s="744">
        <f t="shared" ca="1" si="45"/>
        <v>0</v>
      </c>
      <c r="CK43" s="744">
        <f t="shared" ca="1" si="46"/>
        <v>0</v>
      </c>
      <c r="CL43" s="744">
        <f t="shared" ca="1" si="47"/>
        <v>0</v>
      </c>
      <c r="CM43" s="744">
        <f ca="1">CG43+COUNTIFS($CH$6:$CH$53,CH43,$CL$6:CL$53,"&gt;"&amp;CL43,$BC$6:$BC$53,INDEX(T_Equipos[Grupo],MATCH(BD43,T_Equipos[NombreEquipo],0)))</f>
        <v>1</v>
      </c>
      <c r="CN43" s="743" t="str">
        <f ca="1">IF(COUNTIFS($CM$6:$CM$53,CM43,$BC$6:$BC$53,INDEX(T_Equipos[Grupo],MATCH(BD43,T_Equipos[NombreEquipo],0)))=1,"-","P."&amp;CM43&amp;" ("&amp;COUNTIFS($CM$6:$CM$53,CM43,$BC$6:$BC$53,INDEX(T_Equipos[Grupo],MATCH(BD43,T_Equipos[NombreEquipo],0)))&amp;")")</f>
        <v>P.1 (4)</v>
      </c>
      <c r="CO43" s="744">
        <f t="shared" ca="1" si="48"/>
        <v>0</v>
      </c>
      <c r="CP43" s="744">
        <f t="shared" ca="1" si="49"/>
        <v>0</v>
      </c>
      <c r="CQ43" s="744">
        <f t="shared" ca="1" si="50"/>
        <v>0</v>
      </c>
      <c r="CR43" s="744">
        <f ca="1">CM43+COUNTIFS($CN$6:$CN$53,CN43,$CQ$6:CQ$53,"&gt;"&amp;CQ43,$BC$6:$BC$53,INDEX(T_Equipos[Grupo],MATCH(BD43,T_Equipos[NombreEquipo],0)))</f>
        <v>1</v>
      </c>
      <c r="CS43" s="743" t="str">
        <f ca="1">IF(COUNTIFS($CR$6:$CR$53,CR43,$BC$6:$BC$53,INDEX(T_Equipos[Grupo],MATCH(BD43,T_Equipos[NombreEquipo],0)))=1,"-","P."&amp;CR43&amp;" ("&amp;COUNTIFS($CR$6:$CR$53,CR43,$BC$6:$BC$53,INDEX(T_Equipos[Grupo],MATCH(BD43,T_Equipos[NombreEquipo],0)))&amp;")")</f>
        <v>P.1 (4)</v>
      </c>
      <c r="CT43" s="744">
        <f t="shared" ca="1" si="51"/>
        <v>0</v>
      </c>
      <c r="CU43" s="744">
        <f ca="1">CR43+COUNTIFS($CS$6:$CS$53,CS43,$CT$6:CT$53,"&gt;"&amp;CT43,$BC$6:$BC$53,INDEX(T_Equipos[Grupo],MATCH(BD43,T_Equipos[NombreEquipo],0)))</f>
        <v>1</v>
      </c>
      <c r="CV43" s="743" t="str">
        <f ca="1">IF(COUNTIFS($CU$6:$CU$53,CU43,$BC$6:$BC$53,INDEX(T_Equipos[Grupo],MATCH(BD43,T_Equipos[NombreEquipo],0)))=1,"-","P."&amp;CU43&amp;" ("&amp;COUNTIFS($CU$6:$CU$53,CU43,$BC$6:$BC$53,INDEX(T_Equipos[Grupo],MATCH(BD43,T_Equipos[NombreEquipo],0)))&amp;")")</f>
        <v>P.1 (4)</v>
      </c>
      <c r="CW43" s="743">
        <f t="shared" ca="1" si="30"/>
        <v>0</v>
      </c>
      <c r="CX43" s="743">
        <f ca="1">CU43+COUNTIFS($CV$6:$CV$53,CV43,$CW$6:CW$53,"&gt;"&amp;CW43,$BC$6:$BC$53,INDEX(T_Equipos[Grupo],MATCH(BD43,T_Equipos[NombreEquipo],0)))</f>
        <v>1</v>
      </c>
      <c r="CY43" s="743" t="str">
        <f ca="1">IF(COUNTIFS($CX$6:$CX$53,CX43,$BC$6:$BC$53,INDEX(T_Equipos[Grupo],MATCH(BD43,T_Equipos[NombreEquipo],0)))=1,"-","P."&amp;CX43&amp;" ("&amp;COUNTIFS($CX$6:$CX$53,CX43,$BC$6:$BC$53,INDEX(T_Equipos[Grupo],MATCH(BD43,T_Equipos[NombreEquipo],0)))&amp;")")</f>
        <v>P.1 (4)</v>
      </c>
      <c r="CZ43" s="743">
        <f t="shared" ca="1" si="31"/>
        <v>0</v>
      </c>
      <c r="DA43" s="744">
        <f ca="1">CX43+COUNTIFS($CY$6:$CY$53,CY43,$CZ$6:CZ$53,"&gt;"&amp;CZ43,$BC$6:$BC$53,INDEX(T_Equipos[Grupo],MATCH(BD43,T_Equipos[NombreEquipo],0)))</f>
        <v>1</v>
      </c>
      <c r="DB43" s="743" t="str">
        <f ca="1">IF(COUNTIFS($DA$6:$DA$53,DA43,$BC$6:$BC$53,INDEX(T_Equipos[Grupo],MATCH(BD43,T_Equipos[NombreEquipo],0)))=1,"-","P."&amp;DA43&amp;" ("&amp;COUNTIFS($DA$6:$DA$53,DA43,$BC$6:$BC$53,INDEX(T_Equipos[Grupo],MATCH(BD43,T_Equipos[NombreEquipo],0)))&amp;")")</f>
        <v>P.1 (4)</v>
      </c>
      <c r="DC43" s="742">
        <f ca="1">IF(DB43="-","-",COUNTIFS(T_Equipos[Rank],"&lt;"&amp;INDEX(T_Equipos[Rank],MATCH(BD43,T_Equipos[NombreEquipo],0)),$BC$6:$BC$53,INDEX(T_Equipos[Grupo],MATCH(BD43,T_Equipos[NombreEquipo],0)))+1)</f>
        <v>2</v>
      </c>
      <c r="DD43" s="742">
        <f ca="1">DA43+COUNTIFS($DB$6:$DB$53,DB43,$DC$6:DC$53,"&lt;"&amp;DC43,$BC$6:$BC$53,INDEX(T_Equipos[Grupo],MATCH(BD43,T_Equipos[NombreEquipo],0)))</f>
        <v>2</v>
      </c>
      <c r="DE43" s="742"/>
      <c r="DF43" s="742">
        <f t="shared" ca="1" si="52"/>
        <v>2</v>
      </c>
      <c r="DG43" s="742">
        <f ca="1">IF(DB43="-","-",COUNTIFS(DF$6:DF$53,"&lt;"&amp;DF43,$BC$6:$BC$53,INDEX(T_Equipos[Grupo],MATCH(BD43,T_Equipos[NombreEquipo],0))))</f>
        <v>1</v>
      </c>
      <c r="DH43" s="742">
        <f ca="1">DA43+COUNTIFS(DB$6:DB$53,DB43,DG$6:DG$53,"&lt;"&amp;DG43,$BC$6:$BC$53,INDEX(T_Equipos[Grupo],MATCH(BD43,T_Equipos[NombreEquipo],0)))</f>
        <v>2</v>
      </c>
      <c r="DI43" s="730"/>
      <c r="DJ43" s="730">
        <f t="shared" ca="1" si="53"/>
        <v>1</v>
      </c>
      <c r="DK43" s="730">
        <f t="shared" ca="1" si="24"/>
        <v>0</v>
      </c>
      <c r="DL43" s="730">
        <f t="shared" ca="1" si="33"/>
        <v>1</v>
      </c>
      <c r="DM43" s="724" t="str">
        <f t="shared" ca="1" si="34"/>
        <v>1.1</v>
      </c>
      <c r="DN43" s="730" cm="1">
        <f t="array" aca="1" ref="DN43" ca="1">OFFSET(Horarios!$P$3,DJ43-1,0,DL43,1)</f>
        <v>1</v>
      </c>
      <c r="DO43" s="730"/>
      <c r="DP43" s="730" t="s">
        <v>677</v>
      </c>
      <c r="DQ43" s="730" t="str">
        <f t="shared" ca="1" si="35"/>
        <v>Argelia</v>
      </c>
      <c r="DR43" s="730"/>
      <c r="DS43" s="730"/>
      <c r="DT43" s="730" t="str">
        <f t="shared" si="15"/>
        <v>Casa-Fuera</v>
      </c>
      <c r="DU43" s="730"/>
      <c r="DV43" s="730"/>
      <c r="DW43" s="8"/>
    </row>
    <row r="44" spans="1:127" ht="16.05" customHeight="1" thickBot="1">
      <c r="A44" s="727" t="s">
        <v>30</v>
      </c>
      <c r="B44" s="728" t="s">
        <v>4</v>
      </c>
      <c r="C44" s="729">
        <f>COUNTIF(Equipos!$C$2:$C$49,WORLDCUP!B44)</f>
        <v>4</v>
      </c>
      <c r="D44" s="730" t="str">
        <f t="shared" ref="D44:D50" si="136">IF(OR(AC44="",AD44=""),"Pendiente",IF(AC44&gt;AD44,"Local",IF(AC44&lt;AD44,"Visitante","Empate")))</f>
        <v>Pendiente</v>
      </c>
      <c r="E44" s="730" t="str">
        <f t="shared" ref="E44:E49" si="137">IF(D44="Pendiente","-",INDEX($BT$6:$BT$53,MATCH($AA44,$BD$6:$BD$53,0)))</f>
        <v>-</v>
      </c>
      <c r="F44" s="730" t="str">
        <f t="shared" ref="F44:F49" si="138">IF(D44="Pendiente","-",INDEX($BT$6:$BT$53,MATCH($AF44,$BD$6:$BD$53,0)))</f>
        <v>-</v>
      </c>
      <c r="G44" s="730"/>
      <c r="H44" s="730" t="str">
        <f t="shared" ref="H44:H49" si="139">IF(D44="Pendiente","-",INDEX($BZ$6:$BZ$53,MATCH($AA44,$BD$6:$BD$53,0)))</f>
        <v>-</v>
      </c>
      <c r="I44" s="730" t="str">
        <f t="shared" ref="I44:I49" si="140">IF(D44="Pendiente","-",INDEX($BZ$6:$BZ$53,MATCH($AF44,$BD$6:$BD$53,0)))</f>
        <v>-</v>
      </c>
      <c r="J44" s="730"/>
      <c r="K44" s="730" t="str">
        <f t="shared" ref="K44:K49" si="141">IF(D44="Pendiente","-",INDEX($CE$6:$CE$53,MATCH($AA44,$BD$6:$BD$53,0)))</f>
        <v>-</v>
      </c>
      <c r="L44" s="730" t="str">
        <f t="shared" ref="L44:L49" si="142">IF(D44="Pendiente","-",INDEX($CE$6:$CE$53,MATCH($AF44,$BD$6:$BD$53,0)))</f>
        <v>-</v>
      </c>
      <c r="M44" s="730"/>
      <c r="N44" s="730" t="str">
        <f t="shared" ref="N44:N49" si="143">IF(D44="Pendiente","-",INDEX($CH$6:$CH$53,MATCH($AA44,$BD$6:$BD$53,0)))</f>
        <v>-</v>
      </c>
      <c r="O44" s="730" t="str">
        <f t="shared" ref="O44:O49" si="144">IF(D44="Pendiente","-",INDEX($CH$6:$CH$53,MATCH($AF44,$BD$6:$BD$53,0)))</f>
        <v>-</v>
      </c>
      <c r="P44" s="730"/>
      <c r="Q44" s="730" t="str">
        <f t="shared" ref="Q44:Q49" si="145">IF(D44="Pendiente","-",INDEX($CN$6:$CN$53,MATCH($AA44,$BD$6:$BD$53,0)))</f>
        <v>-</v>
      </c>
      <c r="R44" s="730" t="str">
        <f t="shared" ref="R44:R49" si="146">IF(D44="Pendiente","-",INDEX($CN$6:$CN$53,MATCH($AF44,$BD$6:$BD$53,0)))</f>
        <v>-</v>
      </c>
      <c r="S44" s="730"/>
      <c r="T44" s="730" t="str">
        <f t="shared" ref="T44:T49" si="147">IF(D44="Pendiente","-",INDEX($CS$6:$CS$53,MATCH($AA44,$BD$6:$BD$53,0)))</f>
        <v>-</v>
      </c>
      <c r="U44" s="730" t="str">
        <f t="shared" ref="U44:U49" si="148">IF(D44="Pendiente","-",INDEX($CS$6:$CS$53,MATCH($AF44,$BD$6:$BD$53,0)))</f>
        <v>-</v>
      </c>
      <c r="V44" s="170"/>
      <c r="W44" s="872" t="s">
        <v>4</v>
      </c>
      <c r="X44" s="187">
        <f ca="1">Horarios!C44</f>
        <v>46187.666666666664</v>
      </c>
      <c r="Y44" s="188">
        <f ca="1">Horarios!C44</f>
        <v>46187.666666666664</v>
      </c>
      <c r="Z44" s="189" t="str">
        <f>$Z$4</f>
        <v>J1</v>
      </c>
      <c r="AA44" s="190" t="str">
        <f ca="1">A45</f>
        <v>Países Bajos</v>
      </c>
      <c r="AB44" s="475" t="e" cm="1" vm="21">
        <f t="array" aca="1" ref="AB44" ca="1">Ver_flag_local</f>
        <v>#VALUE!</v>
      </c>
      <c r="AC44" s="191"/>
      <c r="AD44" s="192"/>
      <c r="AE44" s="480" t="e" cm="1" vm="22">
        <f t="array" aca="1" ref="AE44" ca="1">Ver_flag_visit</f>
        <v>#VALUE!</v>
      </c>
      <c r="AF44" s="193" t="str">
        <f ca="1">A46</f>
        <v>Japón</v>
      </c>
      <c r="AG44" s="411">
        <f t="shared" ref="AG44:AG49" si="149">IF(NOT(OR(ISBLANK(AC44),ISBLANK(AD44))),1,0)</f>
        <v>0</v>
      </c>
      <c r="AH44" s="194">
        <v>11</v>
      </c>
      <c r="AI44" s="19"/>
      <c r="AJ44" s="195" t="str">
        <f>CONCATENATE(AJ3," ",B44)</f>
        <v>Grupo F</v>
      </c>
      <c r="AK44" s="196"/>
      <c r="AL44" s="196"/>
      <c r="AM44" s="196"/>
      <c r="AN44" s="196"/>
      <c r="AO44" s="196"/>
      <c r="AP44" s="196"/>
      <c r="AQ44" s="196"/>
      <c r="AR44" s="196"/>
      <c r="AS44" s="196"/>
      <c r="AT44" s="197"/>
      <c r="AU44" s="419"/>
      <c r="AV44" s="198" t="str">
        <f t="shared" ref="AV44" ca="1" si="150">IF(AU45&gt;0,$AV$3,"")</f>
        <v/>
      </c>
      <c r="AW44" s="206"/>
      <c r="AX44" s="253"/>
      <c r="AY44" s="240"/>
      <c r="AZ44" s="241"/>
      <c r="BA44" s="173"/>
      <c r="BB44" s="730"/>
      <c r="BC44" s="742" t="str">
        <f ca="1">+INDEX(T_Equipos[Grupo],MATCH(WORLDCUP!BD44,T_Equipos[NombreEquipo],0))</f>
        <v>J</v>
      </c>
      <c r="BD44" s="730" t="str">
        <f ca="1">+Equipos!B40</f>
        <v>Austria</v>
      </c>
      <c r="BE44" s="734">
        <f t="shared" ca="1" si="25"/>
        <v>0</v>
      </c>
      <c r="BF44" s="734">
        <f t="shared" ca="1" si="26"/>
        <v>0</v>
      </c>
      <c r="BG44" s="734">
        <f t="shared" ca="1" si="17"/>
        <v>0</v>
      </c>
      <c r="BH44" s="734">
        <f t="shared" ca="1" si="18"/>
        <v>0</v>
      </c>
      <c r="BI44" s="734">
        <f t="shared" ca="1" si="19"/>
        <v>0</v>
      </c>
      <c r="BJ44" s="734">
        <f t="shared" ca="1" si="20"/>
        <v>0</v>
      </c>
      <c r="BK44" s="734">
        <f t="shared" ca="1" si="21"/>
        <v>0</v>
      </c>
      <c r="BL44" s="734">
        <f t="shared" ca="1" si="27"/>
        <v>0</v>
      </c>
      <c r="BM44" s="734" t="str">
        <f t="shared" ca="1" si="22"/>
        <v>3J</v>
      </c>
      <c r="BN44" s="734" t="str">
        <f t="shared" ca="1" si="23"/>
        <v>3J</v>
      </c>
      <c r="BO44" s="744">
        <f t="shared" ca="1" si="28"/>
        <v>0</v>
      </c>
      <c r="BP44" s="743">
        <f ca="1">COUNTIFS($BO$6:$BO$53,"&gt;"&amp;BO44,$BC$6:$BC$53,INDEX(T_Equipos[Grupo],MATCH(BD44,T_Equipos[NombreEquipo],0)))+1</f>
        <v>1</v>
      </c>
      <c r="BQ44" s="743" t="str">
        <f ca="1">IF(COUNTIFS($BP$6:$BP$53,BP44,$BC$6:$BC$53,INDEX(T_Equipos[Grupo],MATCH(BD44,T_Equipos[NombreEquipo],0)))=1,"-","P."&amp;BP44&amp;" ("&amp;COUNTIFS($BP$6:$BP$53,BP44,$BC$6:$BC$53,INDEX(T_Equipos[Grupo],MATCH(BD44,T_Equipos[NombreEquipo],0)))&amp;")")</f>
        <v>P.1 (4)</v>
      </c>
      <c r="BR44" s="744">
        <f t="shared" ca="1" si="29"/>
        <v>0</v>
      </c>
      <c r="BS44" s="743">
        <f ca="1">BP44+COUNTIFS($BQ$6:$BQ$53,BQ44,$BR$6:BR$53,"&gt;"&amp;BR44,$BC$6:$BC$53,INDEX(T_Equipos[Grupo],MATCH(BD44,T_Equipos[NombreEquipo],0)))</f>
        <v>1</v>
      </c>
      <c r="BT44" s="743" t="str">
        <f ca="1">IF(COUNTIFS($BS$6:$BS$53,BS44,$BC$6:$BC$53,INDEX(T_Equipos[Grupo],MATCH(BD44,T_Equipos[NombreEquipo],0)))=1,"-","P."&amp;BS44&amp;" ("&amp;COUNTIFS($BS$6:$BS$53,BS44,$BC$6:$BC$53,INDEX(T_Equipos[Grupo],MATCH(BD44,T_Equipos[NombreEquipo],0)))&amp;")")</f>
        <v>P.1 (4)</v>
      </c>
      <c r="BU44" s="744">
        <f t="shared" ca="1" si="36"/>
        <v>0</v>
      </c>
      <c r="BV44" s="744">
        <f t="shared" ca="1" si="37"/>
        <v>0</v>
      </c>
      <c r="BW44" s="744">
        <f t="shared" ca="1" si="38"/>
        <v>0</v>
      </c>
      <c r="BX44" s="744">
        <f t="shared" ca="1" si="39"/>
        <v>0</v>
      </c>
      <c r="BY44" s="744">
        <f ca="1">BS44+COUNTIFS($BT$6:$BT$53,BT44,$BX$6:BX$53,"&gt;"&amp;BX44,$BC$6:$BC$53,INDEX(T_Equipos[Grupo],MATCH(BD44,T_Equipos[NombreEquipo],0)))</f>
        <v>1</v>
      </c>
      <c r="BZ44" s="743" t="str">
        <f ca="1">IF(COUNTIFS($BY$6:$BY$53,BY44,$BC$6:$BC$53,INDEX(T_Equipos[Grupo],MATCH(BD44,T_Equipos[NombreEquipo],0)))=1,"-","P."&amp;BY44&amp;" ("&amp;COUNTIFS($BY$6:$BY$53,BY44,$BC$6:$BC$53,INDEX(T_Equipos[Grupo],MATCH(BD44,T_Equipos[NombreEquipo],0)))&amp;")")</f>
        <v>P.1 (4)</v>
      </c>
      <c r="CA44" s="744">
        <f t="shared" ca="1" si="40"/>
        <v>0</v>
      </c>
      <c r="CB44" s="744">
        <f t="shared" ca="1" si="41"/>
        <v>0</v>
      </c>
      <c r="CC44" s="744">
        <f t="shared" ca="1" si="42"/>
        <v>0</v>
      </c>
      <c r="CD44" s="744">
        <f ca="1">BY44+COUNTIFS($BZ$6:$BZ$53,BZ44,$CC$6:CC$53,"&gt;"&amp;CC44,$BC$6:$BC$53,INDEX(T_Equipos[Grupo],MATCH(BD44,T_Equipos[NombreEquipo],0)))</f>
        <v>1</v>
      </c>
      <c r="CE44" s="743" t="str">
        <f ca="1">IF(COUNTIFS($CD$6:$CD$53,CD44,$BC$6:$BC$53,INDEX(T_Equipos[Grupo],MATCH(BD44,T_Equipos[NombreEquipo],0)))=1,"-","P."&amp;CD44&amp;" ("&amp;COUNTIFS($CD$6:$CD$53,CD44,$BC$6:$BC$53,INDEX(T_Equipos[Grupo],MATCH(BD44,T_Equipos[NombreEquipo],0)))&amp;")")</f>
        <v>P.1 (4)</v>
      </c>
      <c r="CF44" s="744">
        <f t="shared" ca="1" si="43"/>
        <v>0</v>
      </c>
      <c r="CG44" s="744">
        <f ca="1">CD44+COUNTIFS($CE$6:$CE$53,CE44,$CF$6:CF$53,"&gt;"&amp;CF44,$BC$6:$BC$53,INDEX(T_Equipos[Grupo],MATCH(BD44,T_Equipos[NombreEquipo],0)))</f>
        <v>1</v>
      </c>
      <c r="CH44" s="743" t="str">
        <f ca="1">IF(COUNTIFS($CG$6:$CG$53,CG44,$BC$6:$BC$53,INDEX(T_Equipos[Grupo],MATCH(BD44,T_Equipos[NombreEquipo],0)))=1,"-","P."&amp;CG44&amp;" ("&amp;COUNTIFS($CG$6:$CG$53,CG44,$BC$6:$BC$53,INDEX(T_Equipos[Grupo],MATCH(BD44,T_Equipos[NombreEquipo],0)))&amp;")")</f>
        <v>P.1 (4)</v>
      </c>
      <c r="CI44" s="744">
        <f t="shared" ca="1" si="44"/>
        <v>0</v>
      </c>
      <c r="CJ44" s="744">
        <f t="shared" ca="1" si="45"/>
        <v>0</v>
      </c>
      <c r="CK44" s="744">
        <f t="shared" ca="1" si="46"/>
        <v>0</v>
      </c>
      <c r="CL44" s="744">
        <f t="shared" ca="1" si="47"/>
        <v>0</v>
      </c>
      <c r="CM44" s="744">
        <f ca="1">CG44+COUNTIFS($CH$6:$CH$53,CH44,$CL$6:CL$53,"&gt;"&amp;CL44,$BC$6:$BC$53,INDEX(T_Equipos[Grupo],MATCH(BD44,T_Equipos[NombreEquipo],0)))</f>
        <v>1</v>
      </c>
      <c r="CN44" s="743" t="str">
        <f ca="1">IF(COUNTIFS($CM$6:$CM$53,CM44,$BC$6:$BC$53,INDEX(T_Equipos[Grupo],MATCH(BD44,T_Equipos[NombreEquipo],0)))=1,"-","P."&amp;CM44&amp;" ("&amp;COUNTIFS($CM$6:$CM$53,CM44,$BC$6:$BC$53,INDEX(T_Equipos[Grupo],MATCH(BD44,T_Equipos[NombreEquipo],0)))&amp;")")</f>
        <v>P.1 (4)</v>
      </c>
      <c r="CO44" s="744">
        <f t="shared" ca="1" si="48"/>
        <v>0</v>
      </c>
      <c r="CP44" s="744">
        <f t="shared" ca="1" si="49"/>
        <v>0</v>
      </c>
      <c r="CQ44" s="744">
        <f t="shared" ca="1" si="50"/>
        <v>0</v>
      </c>
      <c r="CR44" s="744">
        <f ca="1">CM44+COUNTIFS($CN$6:$CN$53,CN44,$CQ$6:CQ$53,"&gt;"&amp;CQ44,$BC$6:$BC$53,INDEX(T_Equipos[Grupo],MATCH(BD44,T_Equipos[NombreEquipo],0)))</f>
        <v>1</v>
      </c>
      <c r="CS44" s="743" t="str">
        <f ca="1">IF(COUNTIFS($CR$6:$CR$53,CR44,$BC$6:$BC$53,INDEX(T_Equipos[Grupo],MATCH(BD44,T_Equipos[NombreEquipo],0)))=1,"-","P."&amp;CR44&amp;" ("&amp;COUNTIFS($CR$6:$CR$53,CR44,$BC$6:$BC$53,INDEX(T_Equipos[Grupo],MATCH(BD44,T_Equipos[NombreEquipo],0)))&amp;")")</f>
        <v>P.1 (4)</v>
      </c>
      <c r="CT44" s="744">
        <f t="shared" ca="1" si="51"/>
        <v>0</v>
      </c>
      <c r="CU44" s="744">
        <f ca="1">CR44+COUNTIFS($CS$6:$CS$53,CS44,$CT$6:CT$53,"&gt;"&amp;CT44,$BC$6:$BC$53,INDEX(T_Equipos[Grupo],MATCH(BD44,T_Equipos[NombreEquipo],0)))</f>
        <v>1</v>
      </c>
      <c r="CV44" s="743" t="str">
        <f ca="1">IF(COUNTIFS($CU$6:$CU$53,CU44,$BC$6:$BC$53,INDEX(T_Equipos[Grupo],MATCH(BD44,T_Equipos[NombreEquipo],0)))=1,"-","P."&amp;CU44&amp;" ("&amp;COUNTIFS($CU$6:$CU$53,CU44,$BC$6:$BC$53,INDEX(T_Equipos[Grupo],MATCH(BD44,T_Equipos[NombreEquipo],0)))&amp;")")</f>
        <v>P.1 (4)</v>
      </c>
      <c r="CW44" s="743">
        <f t="shared" ca="1" si="30"/>
        <v>0</v>
      </c>
      <c r="CX44" s="743">
        <f ca="1">CU44+COUNTIFS($CV$6:$CV$53,CV44,$CW$6:CW$53,"&gt;"&amp;CW44,$BC$6:$BC$53,INDEX(T_Equipos[Grupo],MATCH(BD44,T_Equipos[NombreEquipo],0)))</f>
        <v>1</v>
      </c>
      <c r="CY44" s="743" t="str">
        <f ca="1">IF(COUNTIFS($CX$6:$CX$53,CX44,$BC$6:$BC$53,INDEX(T_Equipos[Grupo],MATCH(BD44,T_Equipos[NombreEquipo],0)))=1,"-","P."&amp;CX44&amp;" ("&amp;COUNTIFS($CX$6:$CX$53,CX44,$BC$6:$BC$53,INDEX(T_Equipos[Grupo],MATCH(BD44,T_Equipos[NombreEquipo],0)))&amp;")")</f>
        <v>P.1 (4)</v>
      </c>
      <c r="CZ44" s="743">
        <f t="shared" ca="1" si="31"/>
        <v>0</v>
      </c>
      <c r="DA44" s="744">
        <f ca="1">CX44+COUNTIFS($CY$6:$CY$53,CY44,$CZ$6:CZ$53,"&gt;"&amp;CZ44,$BC$6:$BC$53,INDEX(T_Equipos[Grupo],MATCH(BD44,T_Equipos[NombreEquipo],0)))</f>
        <v>1</v>
      </c>
      <c r="DB44" s="743" t="str">
        <f ca="1">IF(COUNTIFS($DA$6:$DA$53,DA44,$BC$6:$BC$53,INDEX(T_Equipos[Grupo],MATCH(BD44,T_Equipos[NombreEquipo],0)))=1,"-","P."&amp;DA44&amp;" ("&amp;COUNTIFS($DA$6:$DA$53,DA44,$BC$6:$BC$53,INDEX(T_Equipos[Grupo],MATCH(BD44,T_Equipos[NombreEquipo],0)))&amp;")")</f>
        <v>P.1 (4)</v>
      </c>
      <c r="DC44" s="742">
        <f ca="1">IF(DB44="-","-",COUNTIFS(T_Equipos[Rank],"&lt;"&amp;INDEX(T_Equipos[Rank],MATCH(BD44,T_Equipos[NombreEquipo],0)),$BC$6:$BC$53,INDEX(T_Equipos[Grupo],MATCH(BD44,T_Equipos[NombreEquipo],0)))+1)</f>
        <v>3</v>
      </c>
      <c r="DD44" s="742">
        <f ca="1">DA44+COUNTIFS($DB$6:$DB$53,DB44,$DC$6:DC$53,"&lt;"&amp;DC44,$BC$6:$BC$53,INDEX(T_Equipos[Grupo],MATCH(BD44,T_Equipos[NombreEquipo],0)))</f>
        <v>3</v>
      </c>
      <c r="DE44" s="742"/>
      <c r="DF44" s="742">
        <f t="shared" ca="1" si="52"/>
        <v>3</v>
      </c>
      <c r="DG44" s="742">
        <f ca="1">IF(DB44="-","-",COUNTIFS(DF$6:DF$53,"&lt;"&amp;DF44,$BC$6:$BC$53,INDEX(T_Equipos[Grupo],MATCH(BD44,T_Equipos[NombreEquipo],0))))</f>
        <v>2</v>
      </c>
      <c r="DH44" s="742">
        <f ca="1">DA44+COUNTIFS(DB$6:DB$53,DB44,DG$6:DG$53,"&lt;"&amp;DG44,$BC$6:$BC$53,INDEX(T_Equipos[Grupo],MATCH(BD44,T_Equipos[NombreEquipo],0)))</f>
        <v>3</v>
      </c>
      <c r="DI44" s="730"/>
      <c r="DJ44" s="730">
        <f t="shared" ca="1" si="53"/>
        <v>1</v>
      </c>
      <c r="DK44" s="730">
        <f t="shared" ca="1" si="24"/>
        <v>0</v>
      </c>
      <c r="DL44" s="730">
        <f t="shared" ca="1" si="33"/>
        <v>1</v>
      </c>
      <c r="DM44" s="724" t="str">
        <f t="shared" ca="1" si="34"/>
        <v>1.1</v>
      </c>
      <c r="DN44" s="730" cm="1">
        <f t="array" aca="1" ref="DN44" ca="1">OFFSET(Horarios!$P$3,DJ44-1,0,DL44,1)</f>
        <v>1</v>
      </c>
      <c r="DO44" s="730"/>
      <c r="DP44" s="730" t="s">
        <v>441</v>
      </c>
      <c r="DQ44" s="730" t="str">
        <f t="shared" ca="1" si="35"/>
        <v>Austria</v>
      </c>
      <c r="DR44" s="730"/>
      <c r="DS44" s="730"/>
      <c r="DT44" s="730" t="str">
        <f t="shared" ca="1" si="15"/>
        <v>Países Bajos-Japón</v>
      </c>
      <c r="DU44" s="730"/>
      <c r="DV44" s="730"/>
      <c r="DW44" s="8"/>
    </row>
    <row r="45" spans="1:127" ht="16.05" customHeight="1">
      <c r="A45" s="731" t="str">
        <f ca="1">+Equipos!B22</f>
        <v>Países Bajos</v>
      </c>
      <c r="B45" s="728"/>
      <c r="C45" s="728"/>
      <c r="D45" s="730" t="str">
        <f t="shared" si="136"/>
        <v>Pendiente</v>
      </c>
      <c r="E45" s="730" t="str">
        <f t="shared" si="137"/>
        <v>-</v>
      </c>
      <c r="F45" s="730" t="str">
        <f t="shared" si="138"/>
        <v>-</v>
      </c>
      <c r="G45" s="730"/>
      <c r="H45" s="730" t="str">
        <f t="shared" si="139"/>
        <v>-</v>
      </c>
      <c r="I45" s="730" t="str">
        <f t="shared" si="140"/>
        <v>-</v>
      </c>
      <c r="J45" s="730"/>
      <c r="K45" s="730" t="str">
        <f t="shared" si="141"/>
        <v>-</v>
      </c>
      <c r="L45" s="730" t="str">
        <f t="shared" si="142"/>
        <v>-</v>
      </c>
      <c r="M45" s="730"/>
      <c r="N45" s="730" t="str">
        <f t="shared" si="143"/>
        <v>-</v>
      </c>
      <c r="O45" s="730" t="str">
        <f t="shared" si="144"/>
        <v>-</v>
      </c>
      <c r="P45" s="730"/>
      <c r="Q45" s="730" t="str">
        <f t="shared" si="145"/>
        <v>-</v>
      </c>
      <c r="R45" s="730" t="str">
        <f t="shared" si="146"/>
        <v>-</v>
      </c>
      <c r="S45" s="730"/>
      <c r="T45" s="730" t="str">
        <f t="shared" si="147"/>
        <v>-</v>
      </c>
      <c r="U45" s="730" t="str">
        <f t="shared" si="148"/>
        <v>-</v>
      </c>
      <c r="V45" s="170"/>
      <c r="W45" s="872"/>
      <c r="X45" s="187">
        <f ca="1">Horarios!C45</f>
        <v>46187.916666666664</v>
      </c>
      <c r="Y45" s="188">
        <f ca="1">Horarios!C45</f>
        <v>46187.916666666664</v>
      </c>
      <c r="Z45" s="189" t="str">
        <f>$Z$4</f>
        <v>J1</v>
      </c>
      <c r="AA45" s="190" t="str">
        <f ca="1">A47</f>
        <v>Suecia</v>
      </c>
      <c r="AB45" s="475" t="e" cm="1" vm="23">
        <f t="array" aca="1" ref="AB45" ca="1">Ver_flag_local</f>
        <v>#VALUE!</v>
      </c>
      <c r="AC45" s="191"/>
      <c r="AD45" s="192"/>
      <c r="AE45" s="480" t="e" cm="1" vm="24">
        <f t="array" aca="1" ref="AE45" ca="1">Ver_flag_visit</f>
        <v>#VALUE!</v>
      </c>
      <c r="AF45" s="193" t="str">
        <f ca="1">A48</f>
        <v>Túnez</v>
      </c>
      <c r="AG45" s="411">
        <f t="shared" si="149"/>
        <v>0</v>
      </c>
      <c r="AH45" s="194">
        <v>12</v>
      </c>
      <c r="AI45" s="19"/>
      <c r="AJ45" s="202" t="str">
        <f>AJ5</f>
        <v>Pos</v>
      </c>
      <c r="AK45" s="203"/>
      <c r="AL45" s="204" t="str">
        <f t="shared" ref="AL45:AT45" si="151">AL5</f>
        <v>Selección</v>
      </c>
      <c r="AM45" s="203" t="str">
        <f t="shared" si="151"/>
        <v>Pts</v>
      </c>
      <c r="AN45" s="203" t="str">
        <f t="shared" si="151"/>
        <v>J</v>
      </c>
      <c r="AO45" s="203" t="str">
        <f t="shared" si="151"/>
        <v>G</v>
      </c>
      <c r="AP45" s="203" t="str">
        <f t="shared" si="151"/>
        <v>E</v>
      </c>
      <c r="AQ45" s="203" t="str">
        <f t="shared" si="151"/>
        <v>P</v>
      </c>
      <c r="AR45" s="203" t="str">
        <f t="shared" si="151"/>
        <v>GF</v>
      </c>
      <c r="AS45" s="203" t="str">
        <f t="shared" si="151"/>
        <v>GC</v>
      </c>
      <c r="AT45" s="205" t="str">
        <f t="shared" si="151"/>
        <v>DG</v>
      </c>
      <c r="AU45" s="419">
        <f t="shared" ref="AU45" ca="1" si="152">COUNTIF(AU46:AU49,"&gt;1")</f>
        <v>0</v>
      </c>
      <c r="AV45" s="206"/>
      <c r="AW45" s="206"/>
      <c r="AX45" s="253"/>
      <c r="AY45" s="207" t="str">
        <f>AL45</f>
        <v>Selección</v>
      </c>
      <c r="AZ45" s="208" t="str">
        <f>+Idiomas!$D$69</f>
        <v>Puntos penalizados</v>
      </c>
      <c r="BA45" s="173"/>
      <c r="BB45" s="730"/>
      <c r="BC45" s="742" t="str">
        <f ca="1">+INDEX(T_Equipos[Grupo],MATCH(WORLDCUP!BD45,T_Equipos[NombreEquipo],0))</f>
        <v>J</v>
      </c>
      <c r="BD45" s="730" t="str">
        <f ca="1">+Equipos!B41</f>
        <v>Jordania</v>
      </c>
      <c r="BE45" s="734">
        <f t="shared" ca="1" si="25"/>
        <v>0</v>
      </c>
      <c r="BF45" s="734">
        <f t="shared" ca="1" si="26"/>
        <v>0</v>
      </c>
      <c r="BG45" s="734">
        <f t="shared" ca="1" si="17"/>
        <v>0</v>
      </c>
      <c r="BH45" s="734">
        <f t="shared" ca="1" si="18"/>
        <v>0</v>
      </c>
      <c r="BI45" s="734">
        <f t="shared" ca="1" si="19"/>
        <v>0</v>
      </c>
      <c r="BJ45" s="734">
        <f t="shared" ca="1" si="20"/>
        <v>0</v>
      </c>
      <c r="BK45" s="734">
        <f t="shared" ca="1" si="21"/>
        <v>0</v>
      </c>
      <c r="BL45" s="734">
        <f t="shared" ca="1" si="27"/>
        <v>0</v>
      </c>
      <c r="BM45" s="734" t="str">
        <f t="shared" ca="1" si="22"/>
        <v>4J</v>
      </c>
      <c r="BN45" s="734" t="str">
        <f t="shared" ca="1" si="23"/>
        <v>4J</v>
      </c>
      <c r="BO45" s="744">
        <f t="shared" ca="1" si="28"/>
        <v>0</v>
      </c>
      <c r="BP45" s="743">
        <f ca="1">COUNTIFS($BO$6:$BO$53,"&gt;"&amp;BO45,$BC$6:$BC$53,INDEX(T_Equipos[Grupo],MATCH(BD45,T_Equipos[NombreEquipo],0)))+1</f>
        <v>1</v>
      </c>
      <c r="BQ45" s="743" t="str">
        <f ca="1">IF(COUNTIFS($BP$6:$BP$53,BP45,$BC$6:$BC$53,INDEX(T_Equipos[Grupo],MATCH(BD45,T_Equipos[NombreEquipo],0)))=1,"-","P."&amp;BP45&amp;" ("&amp;COUNTIFS($BP$6:$BP$53,BP45,$BC$6:$BC$53,INDEX(T_Equipos[Grupo],MATCH(BD45,T_Equipos[NombreEquipo],0)))&amp;")")</f>
        <v>P.1 (4)</v>
      </c>
      <c r="BR45" s="744">
        <f t="shared" ca="1" si="29"/>
        <v>0</v>
      </c>
      <c r="BS45" s="743">
        <f ca="1">BP45+COUNTIFS($BQ$6:$BQ$53,BQ45,$BR$6:BR$53,"&gt;"&amp;BR45,$BC$6:$BC$53,INDEX(T_Equipos[Grupo],MATCH(BD45,T_Equipos[NombreEquipo],0)))</f>
        <v>1</v>
      </c>
      <c r="BT45" s="743" t="str">
        <f ca="1">IF(COUNTIFS($BS$6:$BS$53,BS45,$BC$6:$BC$53,INDEX(T_Equipos[Grupo],MATCH(BD45,T_Equipos[NombreEquipo],0)))=1,"-","P."&amp;BS45&amp;" ("&amp;COUNTIFS($BS$6:$BS$53,BS45,$BC$6:$BC$53,INDEX(T_Equipos[Grupo],MATCH(BD45,T_Equipos[NombreEquipo],0)))&amp;")")</f>
        <v>P.1 (4)</v>
      </c>
      <c r="BU45" s="744">
        <f t="shared" ca="1" si="36"/>
        <v>0</v>
      </c>
      <c r="BV45" s="744">
        <f t="shared" ca="1" si="37"/>
        <v>0</v>
      </c>
      <c r="BW45" s="744">
        <f t="shared" ca="1" si="38"/>
        <v>0</v>
      </c>
      <c r="BX45" s="744">
        <f t="shared" ca="1" si="39"/>
        <v>0</v>
      </c>
      <c r="BY45" s="744">
        <f ca="1">BS45+COUNTIFS($BT$6:$BT$53,BT45,$BX$6:BX$53,"&gt;"&amp;BX45,$BC$6:$BC$53,INDEX(T_Equipos[Grupo],MATCH(BD45,T_Equipos[NombreEquipo],0)))</f>
        <v>1</v>
      </c>
      <c r="BZ45" s="743" t="str">
        <f ca="1">IF(COUNTIFS($BY$6:$BY$53,BY45,$BC$6:$BC$53,INDEX(T_Equipos[Grupo],MATCH(BD45,T_Equipos[NombreEquipo],0)))=1,"-","P."&amp;BY45&amp;" ("&amp;COUNTIFS($BY$6:$BY$53,BY45,$BC$6:$BC$53,INDEX(T_Equipos[Grupo],MATCH(BD45,T_Equipos[NombreEquipo],0)))&amp;")")</f>
        <v>P.1 (4)</v>
      </c>
      <c r="CA45" s="744">
        <f t="shared" ca="1" si="40"/>
        <v>0</v>
      </c>
      <c r="CB45" s="744">
        <f t="shared" ca="1" si="41"/>
        <v>0</v>
      </c>
      <c r="CC45" s="744">
        <f t="shared" ca="1" si="42"/>
        <v>0</v>
      </c>
      <c r="CD45" s="744">
        <f ca="1">BY45+COUNTIFS($BZ$6:$BZ$53,BZ45,$CC$6:CC$53,"&gt;"&amp;CC45,$BC$6:$BC$53,INDEX(T_Equipos[Grupo],MATCH(BD45,T_Equipos[NombreEquipo],0)))</f>
        <v>1</v>
      </c>
      <c r="CE45" s="743" t="str">
        <f ca="1">IF(COUNTIFS($CD$6:$CD$53,CD45,$BC$6:$BC$53,INDEX(T_Equipos[Grupo],MATCH(BD45,T_Equipos[NombreEquipo],0)))=1,"-","P."&amp;CD45&amp;" ("&amp;COUNTIFS($CD$6:$CD$53,CD45,$BC$6:$BC$53,INDEX(T_Equipos[Grupo],MATCH(BD45,T_Equipos[NombreEquipo],0)))&amp;")")</f>
        <v>P.1 (4)</v>
      </c>
      <c r="CF45" s="744">
        <f t="shared" ca="1" si="43"/>
        <v>0</v>
      </c>
      <c r="CG45" s="744">
        <f ca="1">CD45+COUNTIFS($CE$6:$CE$53,CE45,$CF$6:CF$53,"&gt;"&amp;CF45,$BC$6:$BC$53,INDEX(T_Equipos[Grupo],MATCH(BD45,T_Equipos[NombreEquipo],0)))</f>
        <v>1</v>
      </c>
      <c r="CH45" s="743" t="str">
        <f ca="1">IF(COUNTIFS($CG$6:$CG$53,CG45,$BC$6:$BC$53,INDEX(T_Equipos[Grupo],MATCH(BD45,T_Equipos[NombreEquipo],0)))=1,"-","P."&amp;CG45&amp;" ("&amp;COUNTIFS($CG$6:$CG$53,CG45,$BC$6:$BC$53,INDEX(T_Equipos[Grupo],MATCH(BD45,T_Equipos[NombreEquipo],0)))&amp;")")</f>
        <v>P.1 (4)</v>
      </c>
      <c r="CI45" s="744">
        <f t="shared" ca="1" si="44"/>
        <v>0</v>
      </c>
      <c r="CJ45" s="744">
        <f t="shared" ca="1" si="45"/>
        <v>0</v>
      </c>
      <c r="CK45" s="744">
        <f t="shared" ca="1" si="46"/>
        <v>0</v>
      </c>
      <c r="CL45" s="744">
        <f t="shared" ca="1" si="47"/>
        <v>0</v>
      </c>
      <c r="CM45" s="744">
        <f ca="1">CG45+COUNTIFS($CH$6:$CH$53,CH45,$CL$6:CL$53,"&gt;"&amp;CL45,$BC$6:$BC$53,INDEX(T_Equipos[Grupo],MATCH(BD45,T_Equipos[NombreEquipo],0)))</f>
        <v>1</v>
      </c>
      <c r="CN45" s="743" t="str">
        <f ca="1">IF(COUNTIFS($CM$6:$CM$53,CM45,$BC$6:$BC$53,INDEX(T_Equipos[Grupo],MATCH(BD45,T_Equipos[NombreEquipo],0)))=1,"-","P."&amp;CM45&amp;" ("&amp;COUNTIFS($CM$6:$CM$53,CM45,$BC$6:$BC$53,INDEX(T_Equipos[Grupo],MATCH(BD45,T_Equipos[NombreEquipo],0)))&amp;")")</f>
        <v>P.1 (4)</v>
      </c>
      <c r="CO45" s="744">
        <f t="shared" ca="1" si="48"/>
        <v>0</v>
      </c>
      <c r="CP45" s="744">
        <f t="shared" ca="1" si="49"/>
        <v>0</v>
      </c>
      <c r="CQ45" s="744">
        <f t="shared" ca="1" si="50"/>
        <v>0</v>
      </c>
      <c r="CR45" s="744">
        <f ca="1">CM45+COUNTIFS($CN$6:$CN$53,CN45,$CQ$6:CQ$53,"&gt;"&amp;CQ45,$BC$6:$BC$53,INDEX(T_Equipos[Grupo],MATCH(BD45,T_Equipos[NombreEquipo],0)))</f>
        <v>1</v>
      </c>
      <c r="CS45" s="743" t="str">
        <f ca="1">IF(COUNTIFS($CR$6:$CR$53,CR45,$BC$6:$BC$53,INDEX(T_Equipos[Grupo],MATCH(BD45,T_Equipos[NombreEquipo],0)))=1,"-","P."&amp;CR45&amp;" ("&amp;COUNTIFS($CR$6:$CR$53,CR45,$BC$6:$BC$53,INDEX(T_Equipos[Grupo],MATCH(BD45,T_Equipos[NombreEquipo],0)))&amp;")")</f>
        <v>P.1 (4)</v>
      </c>
      <c r="CT45" s="744">
        <f t="shared" ca="1" si="51"/>
        <v>0</v>
      </c>
      <c r="CU45" s="744">
        <f ca="1">CR45+COUNTIFS($CS$6:$CS$53,CS45,$CT$6:CT$53,"&gt;"&amp;CT45,$BC$6:$BC$53,INDEX(T_Equipos[Grupo],MATCH(BD45,T_Equipos[NombreEquipo],0)))</f>
        <v>1</v>
      </c>
      <c r="CV45" s="743" t="str">
        <f ca="1">IF(COUNTIFS($CU$6:$CU$53,CU45,$BC$6:$BC$53,INDEX(T_Equipos[Grupo],MATCH(BD45,T_Equipos[NombreEquipo],0)))=1,"-","P."&amp;CU45&amp;" ("&amp;COUNTIFS($CU$6:$CU$53,CU45,$BC$6:$BC$53,INDEX(T_Equipos[Grupo],MATCH(BD45,T_Equipos[NombreEquipo],0)))&amp;")")</f>
        <v>P.1 (4)</v>
      </c>
      <c r="CW45" s="743">
        <f t="shared" ca="1" si="30"/>
        <v>0</v>
      </c>
      <c r="CX45" s="743">
        <f ca="1">CU45+COUNTIFS($CV$6:$CV$53,CV45,$CW$6:CW$53,"&gt;"&amp;CW45,$BC$6:$BC$53,INDEX(T_Equipos[Grupo],MATCH(BD45,T_Equipos[NombreEquipo],0)))</f>
        <v>1</v>
      </c>
      <c r="CY45" s="743" t="str">
        <f ca="1">IF(COUNTIFS($CX$6:$CX$53,CX45,$BC$6:$BC$53,INDEX(T_Equipos[Grupo],MATCH(BD45,T_Equipos[NombreEquipo],0)))=1,"-","P."&amp;CX45&amp;" ("&amp;COUNTIFS($CX$6:$CX$53,CX45,$BC$6:$BC$53,INDEX(T_Equipos[Grupo],MATCH(BD45,T_Equipos[NombreEquipo],0)))&amp;")")</f>
        <v>P.1 (4)</v>
      </c>
      <c r="CZ45" s="743">
        <f t="shared" ca="1" si="31"/>
        <v>0</v>
      </c>
      <c r="DA45" s="744">
        <f ca="1">CX45+COUNTIFS($CY$6:$CY$53,CY45,$CZ$6:CZ$53,"&gt;"&amp;CZ45,$BC$6:$BC$53,INDEX(T_Equipos[Grupo],MATCH(BD45,T_Equipos[NombreEquipo],0)))</f>
        <v>1</v>
      </c>
      <c r="DB45" s="743" t="str">
        <f ca="1">IF(COUNTIFS($DA$6:$DA$53,DA45,$BC$6:$BC$53,INDEX(T_Equipos[Grupo],MATCH(BD45,T_Equipos[NombreEquipo],0)))=1,"-","P."&amp;DA45&amp;" ("&amp;COUNTIFS($DA$6:$DA$53,DA45,$BC$6:$BC$53,INDEX(T_Equipos[Grupo],MATCH(BD45,T_Equipos[NombreEquipo],0)))&amp;")")</f>
        <v>P.1 (4)</v>
      </c>
      <c r="DC45" s="742">
        <f ca="1">IF(DB45="-","-",COUNTIFS(T_Equipos[Rank],"&lt;"&amp;INDEX(T_Equipos[Rank],MATCH(BD45,T_Equipos[NombreEquipo],0)),$BC$6:$BC$53,INDEX(T_Equipos[Grupo],MATCH(BD45,T_Equipos[NombreEquipo],0)))+1)</f>
        <v>4</v>
      </c>
      <c r="DD45" s="742">
        <f ca="1">DA45+COUNTIFS($DB$6:$DB$53,DB45,$DC$6:DC$53,"&lt;"&amp;DC45,$BC$6:$BC$53,INDEX(T_Equipos[Grupo],MATCH(BD45,T_Equipos[NombreEquipo],0)))</f>
        <v>4</v>
      </c>
      <c r="DE45" s="742"/>
      <c r="DF45" s="742">
        <f t="shared" ca="1" si="52"/>
        <v>4</v>
      </c>
      <c r="DG45" s="742">
        <f ca="1">IF(DB45="-","-",COUNTIFS(DF$6:DF$53,"&lt;"&amp;DF45,$BC$6:$BC$53,INDEX(T_Equipos[Grupo],MATCH(BD45,T_Equipos[NombreEquipo],0))))</f>
        <v>3</v>
      </c>
      <c r="DH45" s="742">
        <f ca="1">DA45+COUNTIFS(DB$6:DB$53,DB45,DG$6:DG$53,"&lt;"&amp;DG45,$BC$6:$BC$53,INDEX(T_Equipos[Grupo],MATCH(BD45,T_Equipos[NombreEquipo],0)))</f>
        <v>4</v>
      </c>
      <c r="DI45" s="730"/>
      <c r="DJ45" s="730">
        <f t="shared" ca="1" si="53"/>
        <v>1</v>
      </c>
      <c r="DK45" s="730">
        <f t="shared" ca="1" si="24"/>
        <v>0</v>
      </c>
      <c r="DL45" s="730">
        <f t="shared" ca="1" si="33"/>
        <v>1</v>
      </c>
      <c r="DM45" s="724" t="str">
        <f t="shared" ca="1" si="34"/>
        <v>1.1</v>
      </c>
      <c r="DN45" s="730" cm="1">
        <f t="array" aca="1" ref="DN45" ca="1">OFFSET(Horarios!$P$3,DJ45-1,0,DL45,1)</f>
        <v>1</v>
      </c>
      <c r="DO45" s="730"/>
      <c r="DP45" s="730" t="s">
        <v>678</v>
      </c>
      <c r="DQ45" s="730" t="str">
        <f t="shared" ca="1" si="35"/>
        <v>Jordania</v>
      </c>
      <c r="DR45" s="730"/>
      <c r="DS45" s="730"/>
      <c r="DT45" s="730" t="str">
        <f t="shared" ca="1" si="15"/>
        <v>Suecia-Túnez</v>
      </c>
      <c r="DU45" s="730"/>
      <c r="DV45" s="730"/>
      <c r="DW45" s="8"/>
    </row>
    <row r="46" spans="1:127" ht="16.05" customHeight="1">
      <c r="A46" s="731" t="str">
        <f ca="1">+Equipos!B23</f>
        <v>Japón</v>
      </c>
      <c r="B46" s="728"/>
      <c r="C46" s="732"/>
      <c r="D46" s="730" t="str">
        <f t="shared" si="136"/>
        <v>Pendiente</v>
      </c>
      <c r="E46" s="730" t="str">
        <f t="shared" si="137"/>
        <v>-</v>
      </c>
      <c r="F46" s="730" t="str">
        <f t="shared" si="138"/>
        <v>-</v>
      </c>
      <c r="G46" s="730"/>
      <c r="H46" s="730" t="str">
        <f t="shared" si="139"/>
        <v>-</v>
      </c>
      <c r="I46" s="730" t="str">
        <f t="shared" si="140"/>
        <v>-</v>
      </c>
      <c r="J46" s="730"/>
      <c r="K46" s="730" t="str">
        <f t="shared" si="141"/>
        <v>-</v>
      </c>
      <c r="L46" s="730" t="str">
        <f t="shared" si="142"/>
        <v>-</v>
      </c>
      <c r="M46" s="730"/>
      <c r="N46" s="730" t="str">
        <f t="shared" si="143"/>
        <v>-</v>
      </c>
      <c r="O46" s="730" t="str">
        <f t="shared" si="144"/>
        <v>-</v>
      </c>
      <c r="P46" s="730"/>
      <c r="Q46" s="730" t="str">
        <f t="shared" si="145"/>
        <v>-</v>
      </c>
      <c r="R46" s="730" t="str">
        <f t="shared" si="146"/>
        <v>-</v>
      </c>
      <c r="S46" s="730"/>
      <c r="T46" s="730" t="str">
        <f t="shared" si="147"/>
        <v>-</v>
      </c>
      <c r="U46" s="730" t="str">
        <f t="shared" si="148"/>
        <v>-</v>
      </c>
      <c r="V46" s="170"/>
      <c r="W46" s="872"/>
      <c r="X46" s="187">
        <f ca="1">Horarios!C46</f>
        <v>46193.541666666664</v>
      </c>
      <c r="Y46" s="188">
        <f ca="1">Horarios!C46</f>
        <v>46193.541666666664</v>
      </c>
      <c r="Z46" s="189" t="str">
        <f>$Z$6</f>
        <v>J2</v>
      </c>
      <c r="AA46" s="190" t="str">
        <f ca="1">A45</f>
        <v>Países Bajos</v>
      </c>
      <c r="AB46" s="475" t="e" cm="1" vm="21">
        <f t="array" aca="1" ref="AB46" ca="1">Ver_flag_local</f>
        <v>#VALUE!</v>
      </c>
      <c r="AC46" s="191"/>
      <c r="AD46" s="192"/>
      <c r="AE46" s="480" t="e" cm="1" vm="23">
        <f t="array" aca="1" ref="AE46" ca="1">Ver_flag_visit</f>
        <v>#VALUE!</v>
      </c>
      <c r="AF46" s="193" t="str">
        <f ca="1">A47</f>
        <v>Suecia</v>
      </c>
      <c r="AG46" s="411">
        <f t="shared" si="149"/>
        <v>0</v>
      </c>
      <c r="AH46" s="194">
        <v>35</v>
      </c>
      <c r="AI46" s="19" t="str">
        <f>AJ46&amp;$B$44</f>
        <v>1F</v>
      </c>
      <c r="AJ46" s="209">
        <v>1</v>
      </c>
      <c r="AK46" s="485" t="e" cm="1" vm="21">
        <f t="array" aca="1" ref="AK46" ca="1">Ver_flag_visit</f>
        <v>#VALUE!</v>
      </c>
      <c r="AL46" s="210" t="str">
        <f ca="1">IFERROR(INDEX($BD$6:$BD$53,MATCH(AI46,$BN$6:$BN$53,0)),"")</f>
        <v>Países Bajos</v>
      </c>
      <c r="AM46" s="211">
        <f t="shared" ref="AM46:AT49" ca="1" si="153">INDEX($BE$6:$BN$53,MATCH($AL46,$BD$6:$BD$53,0),MATCH(AM$5,$BE$5:$BN$5,0))</f>
        <v>0</v>
      </c>
      <c r="AN46" s="212">
        <f t="shared" ca="1" si="153"/>
        <v>0</v>
      </c>
      <c r="AO46" s="212">
        <f t="shared" ca="1" si="153"/>
        <v>0</v>
      </c>
      <c r="AP46" s="212">
        <f t="shared" ca="1" si="153"/>
        <v>0</v>
      </c>
      <c r="AQ46" s="212">
        <f t="shared" ca="1" si="153"/>
        <v>0</v>
      </c>
      <c r="AR46" s="212">
        <f t="shared" ca="1" si="153"/>
        <v>0</v>
      </c>
      <c r="AS46" s="212">
        <f t="shared" ca="1" si="153"/>
        <v>0</v>
      </c>
      <c r="AT46" s="213">
        <f t="shared" ca="1" si="153"/>
        <v>0</v>
      </c>
      <c r="AU46" s="418">
        <f ca="1">INDEX($DL$6:$DL$53,MATCH(AI46,$DP$6:$DP$53,0))</f>
        <v>1</v>
      </c>
      <c r="AV46" s="215" t="str">
        <f ca="1">INDEX($BD$6:$BD$53,MATCH(AI46,$BM$6:$BM$53,0))</f>
        <v>Países Bajos</v>
      </c>
      <c r="AW46" s="425"/>
      <c r="AX46" s="216"/>
      <c r="AY46" s="217" t="str">
        <f ca="1">+A45</f>
        <v>Países Bajos</v>
      </c>
      <c r="AZ46" s="218"/>
      <c r="BA46" s="173"/>
      <c r="BB46" s="730"/>
      <c r="BC46" s="742" t="str">
        <f ca="1">+INDEX(T_Equipos[Grupo],MATCH(WORLDCUP!BD46,T_Equipos[NombreEquipo],0))</f>
        <v>K</v>
      </c>
      <c r="BD46" s="730" t="str">
        <f ca="1">+Equipos!B42</f>
        <v>Portugal</v>
      </c>
      <c r="BE46" s="734">
        <f t="shared" ca="1" si="25"/>
        <v>0</v>
      </c>
      <c r="BF46" s="734">
        <f t="shared" ca="1" si="26"/>
        <v>0</v>
      </c>
      <c r="BG46" s="734">
        <f t="shared" ca="1" si="17"/>
        <v>0</v>
      </c>
      <c r="BH46" s="734">
        <f t="shared" ca="1" si="18"/>
        <v>0</v>
      </c>
      <c r="BI46" s="734">
        <f t="shared" ca="1" si="19"/>
        <v>0</v>
      </c>
      <c r="BJ46" s="734">
        <f t="shared" ca="1" si="20"/>
        <v>0</v>
      </c>
      <c r="BK46" s="734">
        <f t="shared" ca="1" si="21"/>
        <v>0</v>
      </c>
      <c r="BL46" s="734">
        <f t="shared" ca="1" si="27"/>
        <v>0</v>
      </c>
      <c r="BM46" s="734" t="str">
        <f t="shared" ca="1" si="22"/>
        <v>1K</v>
      </c>
      <c r="BN46" s="734" t="str">
        <f t="shared" ca="1" si="23"/>
        <v>1K</v>
      </c>
      <c r="BO46" s="743">
        <f t="shared" ca="1" si="28"/>
        <v>0</v>
      </c>
      <c r="BP46" s="743">
        <f ca="1">COUNTIFS($BO$6:$BO$53,"&gt;"&amp;BO46,$BC$6:$BC$53,INDEX(T_Equipos[Grupo],MATCH(BD46,T_Equipos[NombreEquipo],0)))+1</f>
        <v>1</v>
      </c>
      <c r="BQ46" s="743" t="str">
        <f ca="1">IF(COUNTIFS($BP$6:$BP$53,BP46,$BC$6:$BC$53,INDEX(T_Equipos[Grupo],MATCH(BD46,T_Equipos[NombreEquipo],0)))=1,"-","P."&amp;BP46&amp;" ("&amp;COUNTIFS($BP$6:$BP$53,BP46,$BC$6:$BC$53,INDEX(T_Equipos[Grupo],MATCH(BD46,T_Equipos[NombreEquipo],0)))&amp;")")</f>
        <v>P.1 (4)</v>
      </c>
      <c r="BR46" s="743">
        <f t="shared" ca="1" si="29"/>
        <v>0</v>
      </c>
      <c r="BS46" s="743">
        <f ca="1">BP46+COUNTIFS($BQ$6:$BQ$53,BQ46,$BR$6:BR$53,"&gt;"&amp;BR46,$BC$6:$BC$53,INDEX(T_Equipos[Grupo],MATCH(BD46,T_Equipos[NombreEquipo],0)))</f>
        <v>1</v>
      </c>
      <c r="BT46" s="743" t="str">
        <f ca="1">IF(COUNTIFS($BS$6:$BS$53,BS46,$BC$6:$BC$53,INDEX(T_Equipos[Grupo],MATCH(BD46,T_Equipos[NombreEquipo],0)))=1,"-","P."&amp;BS46&amp;" ("&amp;COUNTIFS($BS$6:$BS$53,BS46,$BC$6:$BC$53,INDEX(T_Equipos[Grupo],MATCH(BD46,T_Equipos[NombreEquipo],0)))&amp;")")</f>
        <v>P.1 (4)</v>
      </c>
      <c r="BU46" s="744">
        <f t="shared" ca="1" si="36"/>
        <v>0</v>
      </c>
      <c r="BV46" s="744">
        <f t="shared" ca="1" si="37"/>
        <v>0</v>
      </c>
      <c r="BW46" s="744">
        <f t="shared" ca="1" si="38"/>
        <v>0</v>
      </c>
      <c r="BX46" s="744">
        <f t="shared" ca="1" si="39"/>
        <v>0</v>
      </c>
      <c r="BY46" s="744">
        <f ca="1">BS46+COUNTIFS($BT$6:$BT$53,BT46,$BX$6:BX$53,"&gt;"&amp;BX46,$BC$6:$BC$53,INDEX(T_Equipos[Grupo],MATCH(BD46,T_Equipos[NombreEquipo],0)))</f>
        <v>1</v>
      </c>
      <c r="BZ46" s="743" t="str">
        <f ca="1">IF(COUNTIFS($BY$6:$BY$53,BY46,$BC$6:$BC$53,INDEX(T_Equipos[Grupo],MATCH(BD46,T_Equipos[NombreEquipo],0)))=1,"-","P."&amp;BY46&amp;" ("&amp;COUNTIFS($BY$6:$BY$53,BY46,$BC$6:$BC$53,INDEX(T_Equipos[Grupo],MATCH(BD46,T_Equipos[NombreEquipo],0)))&amp;")")</f>
        <v>P.1 (4)</v>
      </c>
      <c r="CA46" s="744">
        <f t="shared" ca="1" si="40"/>
        <v>0</v>
      </c>
      <c r="CB46" s="744">
        <f t="shared" ca="1" si="41"/>
        <v>0</v>
      </c>
      <c r="CC46" s="744">
        <f t="shared" ca="1" si="42"/>
        <v>0</v>
      </c>
      <c r="CD46" s="744">
        <f ca="1">BY46+COUNTIFS($BZ$6:$BZ$53,BZ46,$CC$6:CC$53,"&gt;"&amp;CC46,$BC$6:$BC$53,INDEX(T_Equipos[Grupo],MATCH(BD46,T_Equipos[NombreEquipo],0)))</f>
        <v>1</v>
      </c>
      <c r="CE46" s="743" t="str">
        <f ca="1">IF(COUNTIFS($CD$6:$CD$53,CD46,$BC$6:$BC$53,INDEX(T_Equipos[Grupo],MATCH(BD46,T_Equipos[NombreEquipo],0)))=1,"-","P."&amp;CD46&amp;" ("&amp;COUNTIFS($CD$6:$CD$53,CD46,$BC$6:$BC$53,INDEX(T_Equipos[Grupo],MATCH(BD46,T_Equipos[NombreEquipo],0)))&amp;")")</f>
        <v>P.1 (4)</v>
      </c>
      <c r="CF46" s="744">
        <f t="shared" ca="1" si="43"/>
        <v>0</v>
      </c>
      <c r="CG46" s="744">
        <f ca="1">CD46+COUNTIFS($CE$6:$CE$53,CE46,$CF$6:CF$53,"&gt;"&amp;CF46,$BC$6:$BC$53,INDEX(T_Equipos[Grupo],MATCH(BD46,T_Equipos[NombreEquipo],0)))</f>
        <v>1</v>
      </c>
      <c r="CH46" s="743" t="str">
        <f ca="1">IF(COUNTIFS($CG$6:$CG$53,CG46,$BC$6:$BC$53,INDEX(T_Equipos[Grupo],MATCH(BD46,T_Equipos[NombreEquipo],0)))=1,"-","P."&amp;CG46&amp;" ("&amp;COUNTIFS($CG$6:$CG$53,CG46,$BC$6:$BC$53,INDEX(T_Equipos[Grupo],MATCH(BD46,T_Equipos[NombreEquipo],0)))&amp;")")</f>
        <v>P.1 (4)</v>
      </c>
      <c r="CI46" s="744">
        <f t="shared" ca="1" si="44"/>
        <v>0</v>
      </c>
      <c r="CJ46" s="744">
        <f t="shared" ca="1" si="45"/>
        <v>0</v>
      </c>
      <c r="CK46" s="744">
        <f t="shared" ca="1" si="46"/>
        <v>0</v>
      </c>
      <c r="CL46" s="744">
        <f t="shared" ca="1" si="47"/>
        <v>0</v>
      </c>
      <c r="CM46" s="744">
        <f ca="1">CG46+COUNTIFS($CH$6:$CH$53,CH46,$CL$6:CL$53,"&gt;"&amp;CL46,$BC$6:$BC$53,INDEX(T_Equipos[Grupo],MATCH(BD46,T_Equipos[NombreEquipo],0)))</f>
        <v>1</v>
      </c>
      <c r="CN46" s="743" t="str">
        <f ca="1">IF(COUNTIFS($CM$6:$CM$53,CM46,$BC$6:$BC$53,INDEX(T_Equipos[Grupo],MATCH(BD46,T_Equipos[NombreEquipo],0)))=1,"-","P."&amp;CM46&amp;" ("&amp;COUNTIFS($CM$6:$CM$53,CM46,$BC$6:$BC$53,INDEX(T_Equipos[Grupo],MATCH(BD46,T_Equipos[NombreEquipo],0)))&amp;")")</f>
        <v>P.1 (4)</v>
      </c>
      <c r="CO46" s="744">
        <f t="shared" ca="1" si="48"/>
        <v>0</v>
      </c>
      <c r="CP46" s="744">
        <f t="shared" ca="1" si="49"/>
        <v>0</v>
      </c>
      <c r="CQ46" s="744">
        <f t="shared" ca="1" si="50"/>
        <v>0</v>
      </c>
      <c r="CR46" s="744">
        <f ca="1">CM46+COUNTIFS($CN$6:$CN$53,CN46,$CQ$6:CQ$53,"&gt;"&amp;CQ46,$BC$6:$BC$53,INDEX(T_Equipos[Grupo],MATCH(BD46,T_Equipos[NombreEquipo],0)))</f>
        <v>1</v>
      </c>
      <c r="CS46" s="743" t="str">
        <f ca="1">IF(COUNTIFS($CR$6:$CR$53,CR46,$BC$6:$BC$53,INDEX(T_Equipos[Grupo],MATCH(BD46,T_Equipos[NombreEquipo],0)))=1,"-","P."&amp;CR46&amp;" ("&amp;COUNTIFS($CR$6:$CR$53,CR46,$BC$6:$BC$53,INDEX(T_Equipos[Grupo],MATCH(BD46,T_Equipos[NombreEquipo],0)))&amp;")")</f>
        <v>P.1 (4)</v>
      </c>
      <c r="CT46" s="744">
        <f t="shared" ca="1" si="51"/>
        <v>0</v>
      </c>
      <c r="CU46" s="744">
        <f ca="1">CR46+COUNTIFS($CS$6:$CS$53,CS46,$CT$6:CT$53,"&gt;"&amp;CT46,$BC$6:$BC$53,INDEX(T_Equipos[Grupo],MATCH(BD46,T_Equipos[NombreEquipo],0)))</f>
        <v>1</v>
      </c>
      <c r="CV46" s="743" t="str">
        <f ca="1">IF(COUNTIFS($CU$6:$CU$53,CU46,$BC$6:$BC$53,INDEX(T_Equipos[Grupo],MATCH(BD46,T_Equipos[NombreEquipo],0)))=1,"-","P."&amp;CU46&amp;" ("&amp;COUNTIFS($CU$6:$CU$53,CU46,$BC$6:$BC$53,INDEX(T_Equipos[Grupo],MATCH(BD46,T_Equipos[NombreEquipo],0)))&amp;")")</f>
        <v>P.1 (4)</v>
      </c>
      <c r="CW46" s="743">
        <f t="shared" ca="1" si="30"/>
        <v>0</v>
      </c>
      <c r="CX46" s="743">
        <f ca="1">CU46+COUNTIFS($CV$6:$CV$53,CV46,$CW$6:CW$53,"&gt;"&amp;CW46,$BC$6:$BC$53,INDEX(T_Equipos[Grupo],MATCH(BD46,T_Equipos[NombreEquipo],0)))</f>
        <v>1</v>
      </c>
      <c r="CY46" s="743" t="str">
        <f ca="1">IF(COUNTIFS($CX$6:$CX$53,CX46,$BC$6:$BC$53,INDEX(T_Equipos[Grupo],MATCH(BD46,T_Equipos[NombreEquipo],0)))=1,"-","P."&amp;CX46&amp;" ("&amp;COUNTIFS($CX$6:$CX$53,CX46,$BC$6:$BC$53,INDEX(T_Equipos[Grupo],MATCH(BD46,T_Equipos[NombreEquipo],0)))&amp;")")</f>
        <v>P.1 (4)</v>
      </c>
      <c r="CZ46" s="743">
        <f t="shared" ca="1" si="31"/>
        <v>0</v>
      </c>
      <c r="DA46" s="744">
        <f ca="1">CX46+COUNTIFS($CY$6:$CY$53,CY46,$CZ$6:CZ$53,"&gt;"&amp;CZ46,$BC$6:$BC$53,INDEX(T_Equipos[Grupo],MATCH(BD46,T_Equipos[NombreEquipo],0)))</f>
        <v>1</v>
      </c>
      <c r="DB46" s="743" t="str">
        <f ca="1">IF(COUNTIFS($DA$6:$DA$53,DA46,$BC$6:$BC$53,INDEX(T_Equipos[Grupo],MATCH(BD46,T_Equipos[NombreEquipo],0)))=1,"-","P."&amp;DA46&amp;" ("&amp;COUNTIFS($DA$6:$DA$53,DA46,$BC$6:$BC$53,INDEX(T_Equipos[Grupo],MATCH(BD46,T_Equipos[NombreEquipo],0)))&amp;")")</f>
        <v>P.1 (4)</v>
      </c>
      <c r="DC46" s="742">
        <f ca="1">IF(DB46="-","-",COUNTIFS(T_Equipos[Rank],"&lt;"&amp;INDEX(T_Equipos[Rank],MATCH(BD46,T_Equipos[NombreEquipo],0)),$BC$6:$BC$53,INDEX(T_Equipos[Grupo],MATCH(BD46,T_Equipos[NombreEquipo],0)))+1)</f>
        <v>1</v>
      </c>
      <c r="DD46" s="742">
        <f ca="1">DA46+COUNTIFS($DB$6:$DB$53,DB46,$DC$6:DC$53,"&lt;"&amp;DC46,$BC$6:$BC$53,INDEX(T_Equipos[Grupo],MATCH(BD46,T_Equipos[NombreEquipo],0)))</f>
        <v>1</v>
      </c>
      <c r="DE46" s="742"/>
      <c r="DF46" s="742">
        <f t="shared" ca="1" si="52"/>
        <v>1</v>
      </c>
      <c r="DG46" s="742">
        <f ca="1">IF(DB46="-","-",COUNTIFS(DF$6:DF$53,"&lt;"&amp;DF46,$BC$6:$BC$53,INDEX(T_Equipos[Grupo],MATCH(BD46,T_Equipos[NombreEquipo],0))))</f>
        <v>0</v>
      </c>
      <c r="DH46" s="742">
        <f ca="1">DA46+COUNTIFS(DB$6:DB$53,DB46,DG$6:DG$53,"&lt;"&amp;DG46,$BC$6:$BC$53,INDEX(T_Equipos[Grupo],MATCH(BD46,T_Equipos[NombreEquipo],0)))</f>
        <v>1</v>
      </c>
      <c r="DI46" s="730"/>
      <c r="DJ46" s="730">
        <f t="shared" ca="1" si="53"/>
        <v>1</v>
      </c>
      <c r="DK46" s="730">
        <f t="shared" ca="1" si="24"/>
        <v>0</v>
      </c>
      <c r="DL46" s="730">
        <f t="shared" ca="1" si="33"/>
        <v>1</v>
      </c>
      <c r="DM46" s="724" t="str">
        <f t="shared" ca="1" si="34"/>
        <v>1.1</v>
      </c>
      <c r="DN46" s="730" cm="1">
        <f t="array" aca="1" ref="DN46" ca="1">OFFSET(Horarios!$P$3,DJ46-1,0,DL46,1)</f>
        <v>1</v>
      </c>
      <c r="DO46" s="730"/>
      <c r="DP46" s="730" t="s">
        <v>679</v>
      </c>
      <c r="DQ46" s="730" t="str">
        <f t="shared" ca="1" si="35"/>
        <v>Portugal</v>
      </c>
      <c r="DR46" s="730"/>
      <c r="DS46" s="730"/>
      <c r="DT46" s="730" t="str">
        <f t="shared" ca="1" si="15"/>
        <v>Países Bajos-Suecia</v>
      </c>
      <c r="DU46" s="730"/>
      <c r="DV46" s="730"/>
      <c r="DW46" s="8"/>
    </row>
    <row r="47" spans="1:127" ht="16.05" customHeight="1">
      <c r="A47" s="731" t="str">
        <f ca="1">+Equipos!B24</f>
        <v>Suecia</v>
      </c>
      <c r="B47" s="728"/>
      <c r="C47" s="730"/>
      <c r="D47" s="730" t="str">
        <f t="shared" si="136"/>
        <v>Pendiente</v>
      </c>
      <c r="E47" s="730" t="str">
        <f t="shared" si="137"/>
        <v>-</v>
      </c>
      <c r="F47" s="730" t="str">
        <f t="shared" si="138"/>
        <v>-</v>
      </c>
      <c r="G47" s="730"/>
      <c r="H47" s="730" t="str">
        <f t="shared" si="139"/>
        <v>-</v>
      </c>
      <c r="I47" s="730" t="str">
        <f t="shared" si="140"/>
        <v>-</v>
      </c>
      <c r="J47" s="730"/>
      <c r="K47" s="730" t="str">
        <f t="shared" si="141"/>
        <v>-</v>
      </c>
      <c r="L47" s="730" t="str">
        <f t="shared" si="142"/>
        <v>-</v>
      </c>
      <c r="M47" s="730"/>
      <c r="N47" s="730" t="str">
        <f t="shared" si="143"/>
        <v>-</v>
      </c>
      <c r="O47" s="730" t="str">
        <f t="shared" si="144"/>
        <v>-</v>
      </c>
      <c r="P47" s="730"/>
      <c r="Q47" s="730" t="str">
        <f t="shared" si="145"/>
        <v>-</v>
      </c>
      <c r="R47" s="730" t="str">
        <f t="shared" si="146"/>
        <v>-</v>
      </c>
      <c r="S47" s="730"/>
      <c r="T47" s="730" t="str">
        <f t="shared" si="147"/>
        <v>-</v>
      </c>
      <c r="U47" s="730" t="str">
        <f t="shared" si="148"/>
        <v>-</v>
      </c>
      <c r="V47" s="170"/>
      <c r="W47" s="872"/>
      <c r="X47" s="187">
        <f ca="1">Horarios!C47</f>
        <v>46194</v>
      </c>
      <c r="Y47" s="188">
        <f ca="1">Horarios!C47</f>
        <v>46194</v>
      </c>
      <c r="Z47" s="189" t="str">
        <f>$Z$6</f>
        <v>J2</v>
      </c>
      <c r="AA47" s="190" t="str">
        <f ca="1">A48</f>
        <v>Túnez</v>
      </c>
      <c r="AB47" s="475" t="e" cm="1" vm="24">
        <f t="array" aca="1" ref="AB47" ca="1">Ver_flag_local</f>
        <v>#VALUE!</v>
      </c>
      <c r="AC47" s="191"/>
      <c r="AD47" s="192"/>
      <c r="AE47" s="480" t="e" cm="1" vm="22">
        <f t="array" aca="1" ref="AE47" ca="1">Ver_flag_visit</f>
        <v>#VALUE!</v>
      </c>
      <c r="AF47" s="193" t="str">
        <f ca="1">A46</f>
        <v>Japón</v>
      </c>
      <c r="AG47" s="411">
        <f t="shared" si="149"/>
        <v>0</v>
      </c>
      <c r="AH47" s="194">
        <v>36</v>
      </c>
      <c r="AI47" s="19" t="str">
        <f t="shared" ref="AI47:AI49" si="154">AJ47&amp;$B$44</f>
        <v>2F</v>
      </c>
      <c r="AJ47" s="219">
        <v>2</v>
      </c>
      <c r="AK47" s="483" t="e" cm="1" vm="22">
        <f t="array" aca="1" ref="AK47" ca="1">Ver_flag_visit</f>
        <v>#VALUE!</v>
      </c>
      <c r="AL47" s="220" t="str">
        <f ca="1">IFERROR(INDEX($BD$6:$BD$53,MATCH(AI47,$BN$6:$BN$53,0)),"")</f>
        <v>Japón</v>
      </c>
      <c r="AM47" s="221">
        <f t="shared" ca="1" si="153"/>
        <v>0</v>
      </c>
      <c r="AN47" s="222">
        <f t="shared" ca="1" si="153"/>
        <v>0</v>
      </c>
      <c r="AO47" s="222">
        <f t="shared" ca="1" si="153"/>
        <v>0</v>
      </c>
      <c r="AP47" s="222">
        <f t="shared" ca="1" si="153"/>
        <v>0</v>
      </c>
      <c r="AQ47" s="222">
        <f t="shared" ca="1" si="153"/>
        <v>0</v>
      </c>
      <c r="AR47" s="222">
        <f t="shared" ca="1" si="153"/>
        <v>0</v>
      </c>
      <c r="AS47" s="222">
        <f t="shared" ca="1" si="153"/>
        <v>0</v>
      </c>
      <c r="AT47" s="223">
        <f t="shared" ca="1" si="153"/>
        <v>0</v>
      </c>
      <c r="AU47" s="418">
        <f ca="1">INDEX($DL$6:$DL$53,MATCH(AI47,$DP$6:$DP$53,0))</f>
        <v>1</v>
      </c>
      <c r="AV47" s="215" t="str">
        <f ca="1">INDEX($BD$6:$BD$53,MATCH(AI47,$BM$6:$BM$53,0))</f>
        <v>Japón</v>
      </c>
      <c r="AW47" s="425"/>
      <c r="AX47" s="216"/>
      <c r="AY47" s="224" t="str">
        <f ca="1">+A46</f>
        <v>Japón</v>
      </c>
      <c r="AZ47" s="225"/>
      <c r="BA47" s="173"/>
      <c r="BB47" s="730"/>
      <c r="BC47" s="742" t="str">
        <f ca="1">+INDEX(T_Equipos[Grupo],MATCH(WORLDCUP!BD47,T_Equipos[NombreEquipo],0))</f>
        <v>K</v>
      </c>
      <c r="BD47" s="730" t="str">
        <f ca="1">+Equipos!B43</f>
        <v>RD Congo</v>
      </c>
      <c r="BE47" s="734">
        <f t="shared" ca="1" si="25"/>
        <v>0</v>
      </c>
      <c r="BF47" s="734">
        <f t="shared" ca="1" si="26"/>
        <v>0</v>
      </c>
      <c r="BG47" s="734">
        <f t="shared" ca="1" si="17"/>
        <v>0</v>
      </c>
      <c r="BH47" s="734">
        <f t="shared" ca="1" si="18"/>
        <v>0</v>
      </c>
      <c r="BI47" s="734">
        <f t="shared" ca="1" si="19"/>
        <v>0</v>
      </c>
      <c r="BJ47" s="734">
        <f t="shared" ca="1" si="20"/>
        <v>0</v>
      </c>
      <c r="BK47" s="734">
        <f t="shared" ca="1" si="21"/>
        <v>0</v>
      </c>
      <c r="BL47" s="734">
        <f t="shared" ca="1" si="27"/>
        <v>0</v>
      </c>
      <c r="BM47" s="734" t="str">
        <f t="shared" ca="1" si="22"/>
        <v>2K</v>
      </c>
      <c r="BN47" s="734" t="str">
        <f t="shared" ca="1" si="23"/>
        <v>2K</v>
      </c>
      <c r="BO47" s="743">
        <f t="shared" ca="1" si="28"/>
        <v>0</v>
      </c>
      <c r="BP47" s="743">
        <f ca="1">COUNTIFS($BO$6:$BO$53,"&gt;"&amp;BO47,$BC$6:$BC$53,INDEX(T_Equipos[Grupo],MATCH(BD47,T_Equipos[NombreEquipo],0)))+1</f>
        <v>1</v>
      </c>
      <c r="BQ47" s="743" t="str">
        <f ca="1">IF(COUNTIFS($BP$6:$BP$53,BP47,$BC$6:$BC$53,INDEX(T_Equipos[Grupo],MATCH(BD47,T_Equipos[NombreEquipo],0)))=1,"-","P."&amp;BP47&amp;" ("&amp;COUNTIFS($BP$6:$BP$53,BP47,$BC$6:$BC$53,INDEX(T_Equipos[Grupo],MATCH(BD47,T_Equipos[NombreEquipo],0)))&amp;")")</f>
        <v>P.1 (4)</v>
      </c>
      <c r="BR47" s="743">
        <f t="shared" ca="1" si="29"/>
        <v>0</v>
      </c>
      <c r="BS47" s="743">
        <f ca="1">BP47+COUNTIFS($BQ$6:$BQ$53,BQ47,$BR$6:BR$53,"&gt;"&amp;BR47,$BC$6:$BC$53,INDEX(T_Equipos[Grupo],MATCH(BD47,T_Equipos[NombreEquipo],0)))</f>
        <v>1</v>
      </c>
      <c r="BT47" s="743" t="str">
        <f ca="1">IF(COUNTIFS($BS$6:$BS$53,BS47,$BC$6:$BC$53,INDEX(T_Equipos[Grupo],MATCH(BD47,T_Equipos[NombreEquipo],0)))=1,"-","P."&amp;BS47&amp;" ("&amp;COUNTIFS($BS$6:$BS$53,BS47,$BC$6:$BC$53,INDEX(T_Equipos[Grupo],MATCH(BD47,T_Equipos[NombreEquipo],0)))&amp;")")</f>
        <v>P.1 (4)</v>
      </c>
      <c r="BU47" s="744">
        <f t="shared" ca="1" si="36"/>
        <v>0</v>
      </c>
      <c r="BV47" s="744">
        <f t="shared" ca="1" si="37"/>
        <v>0</v>
      </c>
      <c r="BW47" s="744">
        <f t="shared" ca="1" si="38"/>
        <v>0</v>
      </c>
      <c r="BX47" s="744">
        <f t="shared" ca="1" si="39"/>
        <v>0</v>
      </c>
      <c r="BY47" s="744">
        <f ca="1">BS47+COUNTIFS($BT$6:$BT$53,BT47,$BX$6:BX$53,"&gt;"&amp;BX47,$BC$6:$BC$53,INDEX(T_Equipos[Grupo],MATCH(BD47,T_Equipos[NombreEquipo],0)))</f>
        <v>1</v>
      </c>
      <c r="BZ47" s="743" t="str">
        <f ca="1">IF(COUNTIFS($BY$6:$BY$53,BY47,$BC$6:$BC$53,INDEX(T_Equipos[Grupo],MATCH(BD47,T_Equipos[NombreEquipo],0)))=1,"-","P."&amp;BY47&amp;" ("&amp;COUNTIFS($BY$6:$BY$53,BY47,$BC$6:$BC$53,INDEX(T_Equipos[Grupo],MATCH(BD47,T_Equipos[NombreEquipo],0)))&amp;")")</f>
        <v>P.1 (4)</v>
      </c>
      <c r="CA47" s="744">
        <f t="shared" ca="1" si="40"/>
        <v>0</v>
      </c>
      <c r="CB47" s="744">
        <f t="shared" ca="1" si="41"/>
        <v>0</v>
      </c>
      <c r="CC47" s="744">
        <f t="shared" ca="1" si="42"/>
        <v>0</v>
      </c>
      <c r="CD47" s="744">
        <f ca="1">BY47+COUNTIFS($BZ$6:$BZ$53,BZ47,$CC$6:CC$53,"&gt;"&amp;CC47,$BC$6:$BC$53,INDEX(T_Equipos[Grupo],MATCH(BD47,T_Equipos[NombreEquipo],0)))</f>
        <v>1</v>
      </c>
      <c r="CE47" s="743" t="str">
        <f ca="1">IF(COUNTIFS($CD$6:$CD$53,CD47,$BC$6:$BC$53,INDEX(T_Equipos[Grupo],MATCH(BD47,T_Equipos[NombreEquipo],0)))=1,"-","P."&amp;CD47&amp;" ("&amp;COUNTIFS($CD$6:$CD$53,CD47,$BC$6:$BC$53,INDEX(T_Equipos[Grupo],MATCH(BD47,T_Equipos[NombreEquipo],0)))&amp;")")</f>
        <v>P.1 (4)</v>
      </c>
      <c r="CF47" s="744">
        <f t="shared" ca="1" si="43"/>
        <v>0</v>
      </c>
      <c r="CG47" s="744">
        <f ca="1">CD47+COUNTIFS($CE$6:$CE$53,CE47,$CF$6:CF$53,"&gt;"&amp;CF47,$BC$6:$BC$53,INDEX(T_Equipos[Grupo],MATCH(BD47,T_Equipos[NombreEquipo],0)))</f>
        <v>1</v>
      </c>
      <c r="CH47" s="743" t="str">
        <f ca="1">IF(COUNTIFS($CG$6:$CG$53,CG47,$BC$6:$BC$53,INDEX(T_Equipos[Grupo],MATCH(BD47,T_Equipos[NombreEquipo],0)))=1,"-","P."&amp;CG47&amp;" ("&amp;COUNTIFS($CG$6:$CG$53,CG47,$BC$6:$BC$53,INDEX(T_Equipos[Grupo],MATCH(BD47,T_Equipos[NombreEquipo],0)))&amp;")")</f>
        <v>P.1 (4)</v>
      </c>
      <c r="CI47" s="744">
        <f t="shared" ca="1" si="44"/>
        <v>0</v>
      </c>
      <c r="CJ47" s="744">
        <f t="shared" ca="1" si="45"/>
        <v>0</v>
      </c>
      <c r="CK47" s="744">
        <f t="shared" ca="1" si="46"/>
        <v>0</v>
      </c>
      <c r="CL47" s="744">
        <f t="shared" ca="1" si="47"/>
        <v>0</v>
      </c>
      <c r="CM47" s="744">
        <f ca="1">CG47+COUNTIFS($CH$6:$CH$53,CH47,$CL$6:CL$53,"&gt;"&amp;CL47,$BC$6:$BC$53,INDEX(T_Equipos[Grupo],MATCH(BD47,T_Equipos[NombreEquipo],0)))</f>
        <v>1</v>
      </c>
      <c r="CN47" s="743" t="str">
        <f ca="1">IF(COUNTIFS($CM$6:$CM$53,CM47,$BC$6:$BC$53,INDEX(T_Equipos[Grupo],MATCH(BD47,T_Equipos[NombreEquipo],0)))=1,"-","P."&amp;CM47&amp;" ("&amp;COUNTIFS($CM$6:$CM$53,CM47,$BC$6:$BC$53,INDEX(T_Equipos[Grupo],MATCH(BD47,T_Equipos[NombreEquipo],0)))&amp;")")</f>
        <v>P.1 (4)</v>
      </c>
      <c r="CO47" s="744">
        <f t="shared" ca="1" si="48"/>
        <v>0</v>
      </c>
      <c r="CP47" s="744">
        <f t="shared" ca="1" si="49"/>
        <v>0</v>
      </c>
      <c r="CQ47" s="744">
        <f t="shared" ca="1" si="50"/>
        <v>0</v>
      </c>
      <c r="CR47" s="744">
        <f ca="1">CM47+COUNTIFS($CN$6:$CN$53,CN47,$CQ$6:CQ$53,"&gt;"&amp;CQ47,$BC$6:$BC$53,INDEX(T_Equipos[Grupo],MATCH(BD47,T_Equipos[NombreEquipo],0)))</f>
        <v>1</v>
      </c>
      <c r="CS47" s="743" t="str">
        <f ca="1">IF(COUNTIFS($CR$6:$CR$53,CR47,$BC$6:$BC$53,INDEX(T_Equipos[Grupo],MATCH(BD47,T_Equipos[NombreEquipo],0)))=1,"-","P."&amp;CR47&amp;" ("&amp;COUNTIFS($CR$6:$CR$53,CR47,$BC$6:$BC$53,INDEX(T_Equipos[Grupo],MATCH(BD47,T_Equipos[NombreEquipo],0)))&amp;")")</f>
        <v>P.1 (4)</v>
      </c>
      <c r="CT47" s="744">
        <f t="shared" ca="1" si="51"/>
        <v>0</v>
      </c>
      <c r="CU47" s="744">
        <f ca="1">CR47+COUNTIFS($CS$6:$CS$53,CS47,$CT$6:CT$53,"&gt;"&amp;CT47,$BC$6:$BC$53,INDEX(T_Equipos[Grupo],MATCH(BD47,T_Equipos[NombreEquipo],0)))</f>
        <v>1</v>
      </c>
      <c r="CV47" s="743" t="str">
        <f ca="1">IF(COUNTIFS($CU$6:$CU$53,CU47,$BC$6:$BC$53,INDEX(T_Equipos[Grupo],MATCH(BD47,T_Equipos[NombreEquipo],0)))=1,"-","P."&amp;CU47&amp;" ("&amp;COUNTIFS($CU$6:$CU$53,CU47,$BC$6:$BC$53,INDEX(T_Equipos[Grupo],MATCH(BD47,T_Equipos[NombreEquipo],0)))&amp;")")</f>
        <v>P.1 (4)</v>
      </c>
      <c r="CW47" s="743">
        <f t="shared" ca="1" si="30"/>
        <v>0</v>
      </c>
      <c r="CX47" s="743">
        <f ca="1">CU47+COUNTIFS($CV$6:$CV$53,CV47,$CW$6:CW$53,"&gt;"&amp;CW47,$BC$6:$BC$53,INDEX(T_Equipos[Grupo],MATCH(BD47,T_Equipos[NombreEquipo],0)))</f>
        <v>1</v>
      </c>
      <c r="CY47" s="743" t="str">
        <f ca="1">IF(COUNTIFS($CX$6:$CX$53,CX47,$BC$6:$BC$53,INDEX(T_Equipos[Grupo],MATCH(BD47,T_Equipos[NombreEquipo],0)))=1,"-","P."&amp;CX47&amp;" ("&amp;COUNTIFS($CX$6:$CX$53,CX47,$BC$6:$BC$53,INDEX(T_Equipos[Grupo],MATCH(BD47,T_Equipos[NombreEquipo],0)))&amp;")")</f>
        <v>P.1 (4)</v>
      </c>
      <c r="CZ47" s="743">
        <f t="shared" ca="1" si="31"/>
        <v>0</v>
      </c>
      <c r="DA47" s="744">
        <f ca="1">CX47+COUNTIFS($CY$6:$CY$53,CY47,$CZ$6:CZ$53,"&gt;"&amp;CZ47,$BC$6:$BC$53,INDEX(T_Equipos[Grupo],MATCH(BD47,T_Equipos[NombreEquipo],0)))</f>
        <v>1</v>
      </c>
      <c r="DB47" s="743" t="str">
        <f ca="1">IF(COUNTIFS($DA$6:$DA$53,DA47,$BC$6:$BC$53,INDEX(T_Equipos[Grupo],MATCH(BD47,T_Equipos[NombreEquipo],0)))=1,"-","P."&amp;DA47&amp;" ("&amp;COUNTIFS($DA$6:$DA$53,DA47,$BC$6:$BC$53,INDEX(T_Equipos[Grupo],MATCH(BD47,T_Equipos[NombreEquipo],0)))&amp;")")</f>
        <v>P.1 (4)</v>
      </c>
      <c r="DC47" s="742">
        <f ca="1">IF(DB47="-","-",COUNTIFS(T_Equipos[Rank],"&lt;"&amp;INDEX(T_Equipos[Rank],MATCH(BD47,T_Equipos[NombreEquipo],0)),$BC$6:$BC$53,INDEX(T_Equipos[Grupo],MATCH(BD47,T_Equipos[NombreEquipo],0)))+1)</f>
        <v>2</v>
      </c>
      <c r="DD47" s="742">
        <f ca="1">DA47+COUNTIFS($DB$6:$DB$53,DB47,$DC$6:DC$53,"&lt;"&amp;DC47,$BC$6:$BC$53,INDEX(T_Equipos[Grupo],MATCH(BD47,T_Equipos[NombreEquipo],0)))</f>
        <v>2</v>
      </c>
      <c r="DE47" s="742"/>
      <c r="DF47" s="742">
        <f t="shared" ca="1" si="52"/>
        <v>2</v>
      </c>
      <c r="DG47" s="742">
        <f ca="1">IF(DB47="-","-",COUNTIFS(DF$6:DF$53,"&lt;"&amp;DF47,$BC$6:$BC$53,INDEX(T_Equipos[Grupo],MATCH(BD47,T_Equipos[NombreEquipo],0))))</f>
        <v>1</v>
      </c>
      <c r="DH47" s="742">
        <f ca="1">DA47+COUNTIFS(DB$6:DB$53,DB47,DG$6:DG$53,"&lt;"&amp;DG47,$BC$6:$BC$53,INDEX(T_Equipos[Grupo],MATCH(BD47,T_Equipos[NombreEquipo],0)))</f>
        <v>2</v>
      </c>
      <c r="DI47" s="730"/>
      <c r="DJ47" s="730">
        <f t="shared" ca="1" si="53"/>
        <v>1</v>
      </c>
      <c r="DK47" s="730">
        <f t="shared" ca="1" si="24"/>
        <v>0</v>
      </c>
      <c r="DL47" s="730">
        <f t="shared" ca="1" si="33"/>
        <v>1</v>
      </c>
      <c r="DM47" s="724" t="str">
        <f t="shared" ca="1" si="34"/>
        <v>1.1</v>
      </c>
      <c r="DN47" s="730" cm="1">
        <f t="array" aca="1" ref="DN47" ca="1">OFFSET(Horarios!$P$3,DJ47-1,0,DL47,1)</f>
        <v>1</v>
      </c>
      <c r="DO47" s="730"/>
      <c r="DP47" s="730" t="s">
        <v>680</v>
      </c>
      <c r="DQ47" s="730" t="str">
        <f t="shared" ca="1" si="35"/>
        <v>RD Congo</v>
      </c>
      <c r="DR47" s="730"/>
      <c r="DS47" s="730"/>
      <c r="DT47" s="730" t="str">
        <f t="shared" ca="1" si="15"/>
        <v>Túnez-Japón</v>
      </c>
      <c r="DU47" s="730"/>
      <c r="DV47" s="730"/>
      <c r="DW47" s="8"/>
    </row>
    <row r="48" spans="1:127" ht="16.05" customHeight="1">
      <c r="A48" s="731" t="str">
        <f ca="1">+Equipos!B25</f>
        <v>Túnez</v>
      </c>
      <c r="B48" s="728"/>
      <c r="C48" s="730"/>
      <c r="D48" s="730" t="str">
        <f t="shared" si="136"/>
        <v>Pendiente</v>
      </c>
      <c r="E48" s="730" t="str">
        <f t="shared" si="137"/>
        <v>-</v>
      </c>
      <c r="F48" s="730" t="str">
        <f t="shared" si="138"/>
        <v>-</v>
      </c>
      <c r="G48" s="730"/>
      <c r="H48" s="730" t="str">
        <f t="shared" si="139"/>
        <v>-</v>
      </c>
      <c r="I48" s="730" t="str">
        <f t="shared" si="140"/>
        <v>-</v>
      </c>
      <c r="J48" s="730"/>
      <c r="K48" s="730" t="str">
        <f t="shared" si="141"/>
        <v>-</v>
      </c>
      <c r="L48" s="730" t="str">
        <f t="shared" si="142"/>
        <v>-</v>
      </c>
      <c r="M48" s="730"/>
      <c r="N48" s="730" t="str">
        <f t="shared" si="143"/>
        <v>-</v>
      </c>
      <c r="O48" s="730" t="str">
        <f t="shared" si="144"/>
        <v>-</v>
      </c>
      <c r="P48" s="730"/>
      <c r="Q48" s="730" t="str">
        <f t="shared" si="145"/>
        <v>-</v>
      </c>
      <c r="R48" s="730" t="str">
        <f t="shared" si="146"/>
        <v>-</v>
      </c>
      <c r="S48" s="730"/>
      <c r="T48" s="730" t="str">
        <f t="shared" si="147"/>
        <v>-</v>
      </c>
      <c r="U48" s="730" t="str">
        <f t="shared" si="148"/>
        <v>-</v>
      </c>
      <c r="V48" s="170"/>
      <c r="W48" s="872"/>
      <c r="X48" s="187">
        <f ca="1">Horarios!C48</f>
        <v>46198.791666666664</v>
      </c>
      <c r="Y48" s="188">
        <f ca="1">Horarios!C48</f>
        <v>46198.791666666664</v>
      </c>
      <c r="Z48" s="189" t="str">
        <f>$Z$8</f>
        <v>J3</v>
      </c>
      <c r="AA48" s="190" t="str">
        <f ca="1">A46</f>
        <v>Japón</v>
      </c>
      <c r="AB48" s="475" t="e" cm="1" vm="22">
        <f t="array" aca="1" ref="AB48" ca="1">Ver_flag_local</f>
        <v>#VALUE!</v>
      </c>
      <c r="AC48" s="191"/>
      <c r="AD48" s="192"/>
      <c r="AE48" s="480" t="e" cm="1" vm="23">
        <f t="array" aca="1" ref="AE48" ca="1">Ver_flag_visit</f>
        <v>#VALUE!</v>
      </c>
      <c r="AF48" s="193" t="str">
        <f ca="1">A47</f>
        <v>Suecia</v>
      </c>
      <c r="AG48" s="411">
        <f t="shared" si="149"/>
        <v>0</v>
      </c>
      <c r="AH48" s="194">
        <v>57</v>
      </c>
      <c r="AI48" s="19" t="str">
        <f t="shared" si="154"/>
        <v>3F</v>
      </c>
      <c r="AJ48" s="219">
        <v>3</v>
      </c>
      <c r="AK48" s="483" t="e" cm="1" vm="23">
        <f t="array" aca="1" ref="AK48" ca="1">Ver_flag_visit</f>
        <v>#VALUE!</v>
      </c>
      <c r="AL48" s="220" t="str">
        <f ca="1">IFERROR(INDEX($BD$6:$BD$53,MATCH(AI48,$BN$6:$BN$53,0)),"")</f>
        <v>Suecia</v>
      </c>
      <c r="AM48" s="221">
        <f t="shared" ca="1" si="153"/>
        <v>0</v>
      </c>
      <c r="AN48" s="222">
        <f t="shared" ca="1" si="153"/>
        <v>0</v>
      </c>
      <c r="AO48" s="222">
        <f t="shared" ca="1" si="153"/>
        <v>0</v>
      </c>
      <c r="AP48" s="222">
        <f t="shared" ca="1" si="153"/>
        <v>0</v>
      </c>
      <c r="AQ48" s="222">
        <f t="shared" ca="1" si="153"/>
        <v>0</v>
      </c>
      <c r="AR48" s="222">
        <f t="shared" ca="1" si="153"/>
        <v>0</v>
      </c>
      <c r="AS48" s="222">
        <f t="shared" ca="1" si="153"/>
        <v>0</v>
      </c>
      <c r="AT48" s="223">
        <f t="shared" ca="1" si="153"/>
        <v>0</v>
      </c>
      <c r="AU48" s="418">
        <f ca="1">INDEX($DL$6:$DL$53,MATCH(AI48,$DP$6:$DP$53,0))</f>
        <v>1</v>
      </c>
      <c r="AV48" s="215" t="str">
        <f ca="1">INDEX($BD$6:$BD$53,MATCH(AI48,$BM$6:$BM$53,0))</f>
        <v>Suecia</v>
      </c>
      <c r="AW48" s="425"/>
      <c r="AX48" s="216"/>
      <c r="AY48" s="217" t="str">
        <f ca="1">+A47</f>
        <v>Suecia</v>
      </c>
      <c r="AZ48" s="218"/>
      <c r="BA48" s="173"/>
      <c r="BB48" s="730"/>
      <c r="BC48" s="742" t="str">
        <f ca="1">+INDEX(T_Equipos[Grupo],MATCH(WORLDCUP!BD48,T_Equipos[NombreEquipo],0))</f>
        <v>K</v>
      </c>
      <c r="BD48" s="730" t="str">
        <f ca="1">+Equipos!B44</f>
        <v>Uzbekistán</v>
      </c>
      <c r="BE48" s="734">
        <f t="shared" ca="1" si="25"/>
        <v>0</v>
      </c>
      <c r="BF48" s="734">
        <f t="shared" ca="1" si="26"/>
        <v>0</v>
      </c>
      <c r="BG48" s="734">
        <f t="shared" ca="1" si="17"/>
        <v>0</v>
      </c>
      <c r="BH48" s="734">
        <f t="shared" ca="1" si="18"/>
        <v>0</v>
      </c>
      <c r="BI48" s="734">
        <f t="shared" ca="1" si="19"/>
        <v>0</v>
      </c>
      <c r="BJ48" s="734">
        <f t="shared" ca="1" si="20"/>
        <v>0</v>
      </c>
      <c r="BK48" s="734">
        <f t="shared" ca="1" si="21"/>
        <v>0</v>
      </c>
      <c r="BL48" s="734">
        <f t="shared" ca="1" si="27"/>
        <v>0</v>
      </c>
      <c r="BM48" s="734" t="str">
        <f t="shared" ca="1" si="22"/>
        <v>3K</v>
      </c>
      <c r="BN48" s="734" t="str">
        <f t="shared" ca="1" si="23"/>
        <v>3K</v>
      </c>
      <c r="BO48" s="743">
        <f t="shared" ca="1" si="28"/>
        <v>0</v>
      </c>
      <c r="BP48" s="743">
        <f ca="1">COUNTIFS($BO$6:$BO$53,"&gt;"&amp;BO48,$BC$6:$BC$53,INDEX(T_Equipos[Grupo],MATCH(BD48,T_Equipos[NombreEquipo],0)))+1</f>
        <v>1</v>
      </c>
      <c r="BQ48" s="743" t="str">
        <f ca="1">IF(COUNTIFS($BP$6:$BP$53,BP48,$BC$6:$BC$53,INDEX(T_Equipos[Grupo],MATCH(BD48,T_Equipos[NombreEquipo],0)))=1,"-","P."&amp;BP48&amp;" ("&amp;COUNTIFS($BP$6:$BP$53,BP48,$BC$6:$BC$53,INDEX(T_Equipos[Grupo],MATCH(BD48,T_Equipos[NombreEquipo],0)))&amp;")")</f>
        <v>P.1 (4)</v>
      </c>
      <c r="BR48" s="743">
        <f t="shared" ca="1" si="29"/>
        <v>0</v>
      </c>
      <c r="BS48" s="743">
        <f ca="1">BP48+COUNTIFS($BQ$6:$BQ$53,BQ48,$BR$6:BR$53,"&gt;"&amp;BR48,$BC$6:$BC$53,INDEX(T_Equipos[Grupo],MATCH(BD48,T_Equipos[NombreEquipo],0)))</f>
        <v>1</v>
      </c>
      <c r="BT48" s="743" t="str">
        <f ca="1">IF(COUNTIFS($BS$6:$BS$53,BS48,$BC$6:$BC$53,INDEX(T_Equipos[Grupo],MATCH(BD48,T_Equipos[NombreEquipo],0)))=1,"-","P."&amp;BS48&amp;" ("&amp;COUNTIFS($BS$6:$BS$53,BS48,$BC$6:$BC$53,INDEX(T_Equipos[Grupo],MATCH(BD48,T_Equipos[NombreEquipo],0)))&amp;")")</f>
        <v>P.1 (4)</v>
      </c>
      <c r="BU48" s="744">
        <f t="shared" ca="1" si="36"/>
        <v>0</v>
      </c>
      <c r="BV48" s="744">
        <f t="shared" ca="1" si="37"/>
        <v>0</v>
      </c>
      <c r="BW48" s="744">
        <f t="shared" ca="1" si="38"/>
        <v>0</v>
      </c>
      <c r="BX48" s="744">
        <f t="shared" ca="1" si="39"/>
        <v>0</v>
      </c>
      <c r="BY48" s="744">
        <f ca="1">BS48+COUNTIFS($BT$6:$BT$53,BT48,$BX$6:BX$53,"&gt;"&amp;BX48,$BC$6:$BC$53,INDEX(T_Equipos[Grupo],MATCH(BD48,T_Equipos[NombreEquipo],0)))</f>
        <v>1</v>
      </c>
      <c r="BZ48" s="743" t="str">
        <f ca="1">IF(COUNTIFS($BY$6:$BY$53,BY48,$BC$6:$BC$53,INDEX(T_Equipos[Grupo],MATCH(BD48,T_Equipos[NombreEquipo],0)))=1,"-","P."&amp;BY48&amp;" ("&amp;COUNTIFS($BY$6:$BY$53,BY48,$BC$6:$BC$53,INDEX(T_Equipos[Grupo],MATCH(BD48,T_Equipos[NombreEquipo],0)))&amp;")")</f>
        <v>P.1 (4)</v>
      </c>
      <c r="CA48" s="744">
        <f t="shared" ca="1" si="40"/>
        <v>0</v>
      </c>
      <c r="CB48" s="744">
        <f t="shared" ca="1" si="41"/>
        <v>0</v>
      </c>
      <c r="CC48" s="744">
        <f t="shared" ca="1" si="42"/>
        <v>0</v>
      </c>
      <c r="CD48" s="744">
        <f ca="1">BY48+COUNTIFS($BZ$6:$BZ$53,BZ48,$CC$6:CC$53,"&gt;"&amp;CC48,$BC$6:$BC$53,INDEX(T_Equipos[Grupo],MATCH(BD48,T_Equipos[NombreEquipo],0)))</f>
        <v>1</v>
      </c>
      <c r="CE48" s="743" t="str">
        <f ca="1">IF(COUNTIFS($CD$6:$CD$53,CD48,$BC$6:$BC$53,INDEX(T_Equipos[Grupo],MATCH(BD48,T_Equipos[NombreEquipo],0)))=1,"-","P."&amp;CD48&amp;" ("&amp;COUNTIFS($CD$6:$CD$53,CD48,$BC$6:$BC$53,INDEX(T_Equipos[Grupo],MATCH(BD48,T_Equipos[NombreEquipo],0)))&amp;")")</f>
        <v>P.1 (4)</v>
      </c>
      <c r="CF48" s="744">
        <f t="shared" ca="1" si="43"/>
        <v>0</v>
      </c>
      <c r="CG48" s="744">
        <f ca="1">CD48+COUNTIFS($CE$6:$CE$53,CE48,$CF$6:CF$53,"&gt;"&amp;CF48,$BC$6:$BC$53,INDEX(T_Equipos[Grupo],MATCH(BD48,T_Equipos[NombreEquipo],0)))</f>
        <v>1</v>
      </c>
      <c r="CH48" s="743" t="str">
        <f ca="1">IF(COUNTIFS($CG$6:$CG$53,CG48,$BC$6:$BC$53,INDEX(T_Equipos[Grupo],MATCH(BD48,T_Equipos[NombreEquipo],0)))=1,"-","P."&amp;CG48&amp;" ("&amp;COUNTIFS($CG$6:$CG$53,CG48,$BC$6:$BC$53,INDEX(T_Equipos[Grupo],MATCH(BD48,T_Equipos[NombreEquipo],0)))&amp;")")</f>
        <v>P.1 (4)</v>
      </c>
      <c r="CI48" s="744">
        <f t="shared" ca="1" si="44"/>
        <v>0</v>
      </c>
      <c r="CJ48" s="744">
        <f t="shared" ca="1" si="45"/>
        <v>0</v>
      </c>
      <c r="CK48" s="744">
        <f t="shared" ca="1" si="46"/>
        <v>0</v>
      </c>
      <c r="CL48" s="744">
        <f t="shared" ca="1" si="47"/>
        <v>0</v>
      </c>
      <c r="CM48" s="744">
        <f ca="1">CG48+COUNTIFS($CH$6:$CH$53,CH48,$CL$6:CL$53,"&gt;"&amp;CL48,$BC$6:$BC$53,INDEX(T_Equipos[Grupo],MATCH(BD48,T_Equipos[NombreEquipo],0)))</f>
        <v>1</v>
      </c>
      <c r="CN48" s="743" t="str">
        <f ca="1">IF(COUNTIFS($CM$6:$CM$53,CM48,$BC$6:$BC$53,INDEX(T_Equipos[Grupo],MATCH(BD48,T_Equipos[NombreEquipo],0)))=1,"-","P."&amp;CM48&amp;" ("&amp;COUNTIFS($CM$6:$CM$53,CM48,$BC$6:$BC$53,INDEX(T_Equipos[Grupo],MATCH(BD48,T_Equipos[NombreEquipo],0)))&amp;")")</f>
        <v>P.1 (4)</v>
      </c>
      <c r="CO48" s="744">
        <f t="shared" ca="1" si="48"/>
        <v>0</v>
      </c>
      <c r="CP48" s="744">
        <f t="shared" ca="1" si="49"/>
        <v>0</v>
      </c>
      <c r="CQ48" s="744">
        <f t="shared" ca="1" si="50"/>
        <v>0</v>
      </c>
      <c r="CR48" s="744">
        <f ca="1">CM48+COUNTIFS($CN$6:$CN$53,CN48,$CQ$6:CQ$53,"&gt;"&amp;CQ48,$BC$6:$BC$53,INDEX(T_Equipos[Grupo],MATCH(BD48,T_Equipos[NombreEquipo],0)))</f>
        <v>1</v>
      </c>
      <c r="CS48" s="743" t="str">
        <f ca="1">IF(COUNTIFS($CR$6:$CR$53,CR48,$BC$6:$BC$53,INDEX(T_Equipos[Grupo],MATCH(BD48,T_Equipos[NombreEquipo],0)))=1,"-","P."&amp;CR48&amp;" ("&amp;COUNTIFS($CR$6:$CR$53,CR48,$BC$6:$BC$53,INDEX(T_Equipos[Grupo],MATCH(BD48,T_Equipos[NombreEquipo],0)))&amp;")")</f>
        <v>P.1 (4)</v>
      </c>
      <c r="CT48" s="744">
        <f t="shared" ca="1" si="51"/>
        <v>0</v>
      </c>
      <c r="CU48" s="744">
        <f ca="1">CR48+COUNTIFS($CS$6:$CS$53,CS48,$CT$6:CT$53,"&gt;"&amp;CT48,$BC$6:$BC$53,INDEX(T_Equipos[Grupo],MATCH(BD48,T_Equipos[NombreEquipo],0)))</f>
        <v>1</v>
      </c>
      <c r="CV48" s="743" t="str">
        <f ca="1">IF(COUNTIFS($CU$6:$CU$53,CU48,$BC$6:$BC$53,INDEX(T_Equipos[Grupo],MATCH(BD48,T_Equipos[NombreEquipo],0)))=1,"-","P."&amp;CU48&amp;" ("&amp;COUNTIFS($CU$6:$CU$53,CU48,$BC$6:$BC$53,INDEX(T_Equipos[Grupo],MATCH(BD48,T_Equipos[NombreEquipo],0)))&amp;")")</f>
        <v>P.1 (4)</v>
      </c>
      <c r="CW48" s="743">
        <f t="shared" ca="1" si="30"/>
        <v>0</v>
      </c>
      <c r="CX48" s="743">
        <f ca="1">CU48+COUNTIFS($CV$6:$CV$53,CV48,$CW$6:CW$53,"&gt;"&amp;CW48,$BC$6:$BC$53,INDEX(T_Equipos[Grupo],MATCH(BD48,T_Equipos[NombreEquipo],0)))</f>
        <v>1</v>
      </c>
      <c r="CY48" s="743" t="str">
        <f ca="1">IF(COUNTIFS($CX$6:$CX$53,CX48,$BC$6:$BC$53,INDEX(T_Equipos[Grupo],MATCH(BD48,T_Equipos[NombreEquipo],0)))=1,"-","P."&amp;CX48&amp;" ("&amp;COUNTIFS($CX$6:$CX$53,CX48,$BC$6:$BC$53,INDEX(T_Equipos[Grupo],MATCH(BD48,T_Equipos[NombreEquipo],0)))&amp;")")</f>
        <v>P.1 (4)</v>
      </c>
      <c r="CZ48" s="743">
        <f t="shared" ca="1" si="31"/>
        <v>0</v>
      </c>
      <c r="DA48" s="744">
        <f ca="1">CX48+COUNTIFS($CY$6:$CY$53,CY48,$CZ$6:CZ$53,"&gt;"&amp;CZ48,$BC$6:$BC$53,INDEX(T_Equipos[Grupo],MATCH(BD48,T_Equipos[NombreEquipo],0)))</f>
        <v>1</v>
      </c>
      <c r="DB48" s="743" t="str">
        <f ca="1">IF(COUNTIFS($DA$6:$DA$53,DA48,$BC$6:$BC$53,INDEX(T_Equipos[Grupo],MATCH(BD48,T_Equipos[NombreEquipo],0)))=1,"-","P."&amp;DA48&amp;" ("&amp;COUNTIFS($DA$6:$DA$53,DA48,$BC$6:$BC$53,INDEX(T_Equipos[Grupo],MATCH(BD48,T_Equipos[NombreEquipo],0)))&amp;")")</f>
        <v>P.1 (4)</v>
      </c>
      <c r="DC48" s="742">
        <f ca="1">IF(DB48="-","-",COUNTIFS(T_Equipos[Rank],"&lt;"&amp;INDEX(T_Equipos[Rank],MATCH(BD48,T_Equipos[NombreEquipo],0)),$BC$6:$BC$53,INDEX(T_Equipos[Grupo],MATCH(BD48,T_Equipos[NombreEquipo],0)))+1)</f>
        <v>3</v>
      </c>
      <c r="DD48" s="742">
        <f ca="1">DA48+COUNTIFS($DB$6:$DB$53,DB48,$DC$6:DC$53,"&lt;"&amp;DC48,$BC$6:$BC$53,INDEX(T_Equipos[Grupo],MATCH(BD48,T_Equipos[NombreEquipo],0)))</f>
        <v>3</v>
      </c>
      <c r="DE48" s="742"/>
      <c r="DF48" s="742">
        <f t="shared" ca="1" si="52"/>
        <v>3</v>
      </c>
      <c r="DG48" s="742">
        <f ca="1">IF(DB48="-","-",COUNTIFS(DF$6:DF$53,"&lt;"&amp;DF48,$BC$6:$BC$53,INDEX(T_Equipos[Grupo],MATCH(BD48,T_Equipos[NombreEquipo],0))))</f>
        <v>2</v>
      </c>
      <c r="DH48" s="742">
        <f ca="1">DA48+COUNTIFS(DB$6:DB$53,DB48,DG$6:DG$53,"&lt;"&amp;DG48,$BC$6:$BC$53,INDEX(T_Equipos[Grupo],MATCH(BD48,T_Equipos[NombreEquipo],0)))</f>
        <v>3</v>
      </c>
      <c r="DI48" s="730"/>
      <c r="DJ48" s="730">
        <f t="shared" ca="1" si="53"/>
        <v>1</v>
      </c>
      <c r="DK48" s="730">
        <f t="shared" ca="1" si="24"/>
        <v>0</v>
      </c>
      <c r="DL48" s="730">
        <f t="shared" ca="1" si="33"/>
        <v>1</v>
      </c>
      <c r="DM48" s="724" t="str">
        <f t="shared" ca="1" si="34"/>
        <v>1.1</v>
      </c>
      <c r="DN48" s="730" cm="1">
        <f t="array" aca="1" ref="DN48" ca="1">OFFSET(Horarios!$P$3,DJ48-1,0,DL48,1)</f>
        <v>1</v>
      </c>
      <c r="DO48" s="730"/>
      <c r="DP48" s="730" t="s">
        <v>442</v>
      </c>
      <c r="DQ48" s="730" t="str">
        <f t="shared" ca="1" si="35"/>
        <v>Uzbekistán</v>
      </c>
      <c r="DR48" s="730"/>
      <c r="DS48" s="730"/>
      <c r="DT48" s="730" t="str">
        <f t="shared" ca="1" si="15"/>
        <v>Japón-Suecia</v>
      </c>
      <c r="DU48" s="730"/>
      <c r="DV48" s="730"/>
      <c r="DW48" s="8"/>
    </row>
    <row r="49" spans="1:127" ht="16.95" customHeight="1" thickBot="1">
      <c r="A49" s="725"/>
      <c r="B49" s="725"/>
      <c r="C49" s="725"/>
      <c r="D49" s="730" t="str">
        <f t="shared" si="136"/>
        <v>Pendiente</v>
      </c>
      <c r="E49" s="730" t="str">
        <f t="shared" si="137"/>
        <v>-</v>
      </c>
      <c r="F49" s="730" t="str">
        <f t="shared" si="138"/>
        <v>-</v>
      </c>
      <c r="G49" s="730"/>
      <c r="H49" s="730" t="str">
        <f t="shared" si="139"/>
        <v>-</v>
      </c>
      <c r="I49" s="730" t="str">
        <f t="shared" si="140"/>
        <v>-</v>
      </c>
      <c r="J49" s="730"/>
      <c r="K49" s="730" t="str">
        <f t="shared" si="141"/>
        <v>-</v>
      </c>
      <c r="L49" s="730" t="str">
        <f t="shared" si="142"/>
        <v>-</v>
      </c>
      <c r="M49" s="730"/>
      <c r="N49" s="730" t="str">
        <f t="shared" si="143"/>
        <v>-</v>
      </c>
      <c r="O49" s="730" t="str">
        <f t="shared" si="144"/>
        <v>-</v>
      </c>
      <c r="P49" s="730"/>
      <c r="Q49" s="730" t="str">
        <f t="shared" si="145"/>
        <v>-</v>
      </c>
      <c r="R49" s="730" t="str">
        <f t="shared" si="146"/>
        <v>-</v>
      </c>
      <c r="S49" s="730"/>
      <c r="T49" s="730" t="str">
        <f t="shared" si="147"/>
        <v>-</v>
      </c>
      <c r="U49" s="730" t="str">
        <f t="shared" si="148"/>
        <v>-</v>
      </c>
      <c r="V49" s="170"/>
      <c r="W49" s="873"/>
      <c r="X49" s="226">
        <f ca="1">Horarios!C49</f>
        <v>46198.791666666664</v>
      </c>
      <c r="Y49" s="227">
        <f ca="1">Horarios!C49</f>
        <v>46198.791666666664</v>
      </c>
      <c r="Z49" s="228" t="str">
        <f>$Z$8</f>
        <v>J3</v>
      </c>
      <c r="AA49" s="229" t="str">
        <f ca="1">A48</f>
        <v>Túnez</v>
      </c>
      <c r="AB49" s="476" t="e" cm="1" vm="24">
        <f t="array" aca="1" ref="AB49" ca="1">Ver_flag_local</f>
        <v>#VALUE!</v>
      </c>
      <c r="AC49" s="230"/>
      <c r="AD49" s="231"/>
      <c r="AE49" s="481" t="e" cm="1" vm="21">
        <f t="array" aca="1" ref="AE49" ca="1">Ver_flag_visit</f>
        <v>#VALUE!</v>
      </c>
      <c r="AF49" s="232" t="str">
        <f ca="1">A45</f>
        <v>Países Bajos</v>
      </c>
      <c r="AG49" s="411">
        <f t="shared" si="149"/>
        <v>0</v>
      </c>
      <c r="AH49" s="194">
        <v>58</v>
      </c>
      <c r="AI49" s="19" t="str">
        <f t="shared" si="154"/>
        <v>4F</v>
      </c>
      <c r="AJ49" s="233">
        <v>4</v>
      </c>
      <c r="AK49" s="484" t="e" cm="1" vm="24">
        <f t="array" aca="1" ref="AK49" ca="1">Ver_flag_visit</f>
        <v>#VALUE!</v>
      </c>
      <c r="AL49" s="234" t="str">
        <f ca="1">IFERROR(INDEX($BD$6:$BD$53,MATCH(AI49,$BN$6:$BN$53,0)),"")</f>
        <v>Túnez</v>
      </c>
      <c r="AM49" s="235">
        <f t="shared" ca="1" si="153"/>
        <v>0</v>
      </c>
      <c r="AN49" s="236">
        <f t="shared" ca="1" si="153"/>
        <v>0</v>
      </c>
      <c r="AO49" s="236">
        <f t="shared" ca="1" si="153"/>
        <v>0</v>
      </c>
      <c r="AP49" s="236">
        <f t="shared" ca="1" si="153"/>
        <v>0</v>
      </c>
      <c r="AQ49" s="236">
        <f t="shared" ca="1" si="153"/>
        <v>0</v>
      </c>
      <c r="AR49" s="236">
        <f t="shared" ca="1" si="153"/>
        <v>0</v>
      </c>
      <c r="AS49" s="236">
        <f t="shared" ca="1" si="153"/>
        <v>0</v>
      </c>
      <c r="AT49" s="237">
        <f t="shared" ca="1" si="153"/>
        <v>0</v>
      </c>
      <c r="AU49" s="418">
        <f ca="1">INDEX($DL$6:$DL$53,MATCH(AI49,$DP$6:$DP$53,0))</f>
        <v>1</v>
      </c>
      <c r="AV49" s="215" t="str">
        <f ca="1">INDEX($BD$6:$BD$53,MATCH(AI49,$BM$6:$BM$53,0))</f>
        <v>Túnez</v>
      </c>
      <c r="AW49" s="425"/>
      <c r="AX49" s="216"/>
      <c r="AY49" s="238" t="str">
        <f ca="1">+A48</f>
        <v>Túnez</v>
      </c>
      <c r="AZ49" s="239"/>
      <c r="BA49" s="173"/>
      <c r="BB49" s="730"/>
      <c r="BC49" s="742" t="str">
        <f ca="1">+INDEX(T_Equipos[Grupo],MATCH(WORLDCUP!BD49,T_Equipos[NombreEquipo],0))</f>
        <v>K</v>
      </c>
      <c r="BD49" s="730" t="str">
        <f ca="1">+Equipos!B45</f>
        <v>Colombia</v>
      </c>
      <c r="BE49" s="734">
        <f t="shared" ca="1" si="25"/>
        <v>0</v>
      </c>
      <c r="BF49" s="734">
        <f t="shared" ca="1" si="26"/>
        <v>0</v>
      </c>
      <c r="BG49" s="734">
        <f t="shared" ca="1" si="17"/>
        <v>0</v>
      </c>
      <c r="BH49" s="734">
        <f t="shared" ca="1" si="18"/>
        <v>0</v>
      </c>
      <c r="BI49" s="734">
        <f t="shared" ca="1" si="19"/>
        <v>0</v>
      </c>
      <c r="BJ49" s="734">
        <f t="shared" ca="1" si="20"/>
        <v>0</v>
      </c>
      <c r="BK49" s="734">
        <f t="shared" ca="1" si="21"/>
        <v>0</v>
      </c>
      <c r="BL49" s="734">
        <f t="shared" ca="1" si="27"/>
        <v>0</v>
      </c>
      <c r="BM49" s="734" t="str">
        <f t="shared" ca="1" si="22"/>
        <v>4K</v>
      </c>
      <c r="BN49" s="734" t="str">
        <f t="shared" ca="1" si="23"/>
        <v>4K</v>
      </c>
      <c r="BO49" s="743">
        <f t="shared" ca="1" si="28"/>
        <v>0</v>
      </c>
      <c r="BP49" s="743">
        <f ca="1">COUNTIFS($BO$6:$BO$53,"&gt;"&amp;BO49,$BC$6:$BC$53,INDEX(T_Equipos[Grupo],MATCH(BD49,T_Equipos[NombreEquipo],0)))+1</f>
        <v>1</v>
      </c>
      <c r="BQ49" s="743" t="str">
        <f ca="1">IF(COUNTIFS($BP$6:$BP$53,BP49,$BC$6:$BC$53,INDEX(T_Equipos[Grupo],MATCH(BD49,T_Equipos[NombreEquipo],0)))=1,"-","P."&amp;BP49&amp;" ("&amp;COUNTIFS($BP$6:$BP$53,BP49,$BC$6:$BC$53,INDEX(T_Equipos[Grupo],MATCH(BD49,T_Equipos[NombreEquipo],0)))&amp;")")</f>
        <v>P.1 (4)</v>
      </c>
      <c r="BR49" s="743">
        <f t="shared" ca="1" si="29"/>
        <v>0</v>
      </c>
      <c r="BS49" s="743">
        <f ca="1">BP49+COUNTIFS($BQ$6:$BQ$53,BQ49,$BR$6:BR$53,"&gt;"&amp;BR49,$BC$6:$BC$53,INDEX(T_Equipos[Grupo],MATCH(BD49,T_Equipos[NombreEquipo],0)))</f>
        <v>1</v>
      </c>
      <c r="BT49" s="743" t="str">
        <f ca="1">IF(COUNTIFS($BS$6:$BS$53,BS49,$BC$6:$BC$53,INDEX(T_Equipos[Grupo],MATCH(BD49,T_Equipos[NombreEquipo],0)))=1,"-","P."&amp;BS49&amp;" ("&amp;COUNTIFS($BS$6:$BS$53,BS49,$BC$6:$BC$53,INDEX(T_Equipos[Grupo],MATCH(BD49,T_Equipos[NombreEquipo],0)))&amp;")")</f>
        <v>P.1 (4)</v>
      </c>
      <c r="BU49" s="744">
        <f t="shared" ca="1" si="36"/>
        <v>0</v>
      </c>
      <c r="BV49" s="744">
        <f t="shared" ca="1" si="37"/>
        <v>0</v>
      </c>
      <c r="BW49" s="744">
        <f t="shared" ca="1" si="38"/>
        <v>0</v>
      </c>
      <c r="BX49" s="744">
        <f t="shared" ca="1" si="39"/>
        <v>0</v>
      </c>
      <c r="BY49" s="744">
        <f ca="1">BS49+COUNTIFS($BT$6:$BT$53,BT49,$BX$6:BX$53,"&gt;"&amp;BX49,$BC$6:$BC$53,INDEX(T_Equipos[Grupo],MATCH(BD49,T_Equipos[NombreEquipo],0)))</f>
        <v>1</v>
      </c>
      <c r="BZ49" s="743" t="str">
        <f ca="1">IF(COUNTIFS($BY$6:$BY$53,BY49,$BC$6:$BC$53,INDEX(T_Equipos[Grupo],MATCH(BD49,T_Equipos[NombreEquipo],0)))=1,"-","P."&amp;BY49&amp;" ("&amp;COUNTIFS($BY$6:$BY$53,BY49,$BC$6:$BC$53,INDEX(T_Equipos[Grupo],MATCH(BD49,T_Equipos[NombreEquipo],0)))&amp;")")</f>
        <v>P.1 (4)</v>
      </c>
      <c r="CA49" s="744">
        <f t="shared" ca="1" si="40"/>
        <v>0</v>
      </c>
      <c r="CB49" s="744">
        <f t="shared" ca="1" si="41"/>
        <v>0</v>
      </c>
      <c r="CC49" s="744">
        <f t="shared" ca="1" si="42"/>
        <v>0</v>
      </c>
      <c r="CD49" s="744">
        <f ca="1">BY49+COUNTIFS($BZ$6:$BZ$53,BZ49,$CC$6:CC$53,"&gt;"&amp;CC49,$BC$6:$BC$53,INDEX(T_Equipos[Grupo],MATCH(BD49,T_Equipos[NombreEquipo],0)))</f>
        <v>1</v>
      </c>
      <c r="CE49" s="743" t="str">
        <f ca="1">IF(COUNTIFS($CD$6:$CD$53,CD49,$BC$6:$BC$53,INDEX(T_Equipos[Grupo],MATCH(BD49,T_Equipos[NombreEquipo],0)))=1,"-","P."&amp;CD49&amp;" ("&amp;COUNTIFS($CD$6:$CD$53,CD49,$BC$6:$BC$53,INDEX(T_Equipos[Grupo],MATCH(BD49,T_Equipos[NombreEquipo],0)))&amp;")")</f>
        <v>P.1 (4)</v>
      </c>
      <c r="CF49" s="744">
        <f t="shared" ca="1" si="43"/>
        <v>0</v>
      </c>
      <c r="CG49" s="744">
        <f ca="1">CD49+COUNTIFS($CE$6:$CE$53,CE49,$CF$6:CF$53,"&gt;"&amp;CF49,$BC$6:$BC$53,INDEX(T_Equipos[Grupo],MATCH(BD49,T_Equipos[NombreEquipo],0)))</f>
        <v>1</v>
      </c>
      <c r="CH49" s="743" t="str">
        <f ca="1">IF(COUNTIFS($CG$6:$CG$53,CG49,$BC$6:$BC$53,INDEX(T_Equipos[Grupo],MATCH(BD49,T_Equipos[NombreEquipo],0)))=1,"-","P."&amp;CG49&amp;" ("&amp;COUNTIFS($CG$6:$CG$53,CG49,$BC$6:$BC$53,INDEX(T_Equipos[Grupo],MATCH(BD49,T_Equipos[NombreEquipo],0)))&amp;")")</f>
        <v>P.1 (4)</v>
      </c>
      <c r="CI49" s="744">
        <f t="shared" ca="1" si="44"/>
        <v>0</v>
      </c>
      <c r="CJ49" s="744">
        <f t="shared" ca="1" si="45"/>
        <v>0</v>
      </c>
      <c r="CK49" s="744">
        <f t="shared" ca="1" si="46"/>
        <v>0</v>
      </c>
      <c r="CL49" s="744">
        <f t="shared" ca="1" si="47"/>
        <v>0</v>
      </c>
      <c r="CM49" s="744">
        <f ca="1">CG49+COUNTIFS($CH$6:$CH$53,CH49,$CL$6:CL$53,"&gt;"&amp;CL49,$BC$6:$BC$53,INDEX(T_Equipos[Grupo],MATCH(BD49,T_Equipos[NombreEquipo],0)))</f>
        <v>1</v>
      </c>
      <c r="CN49" s="743" t="str">
        <f ca="1">IF(COUNTIFS($CM$6:$CM$53,CM49,$BC$6:$BC$53,INDEX(T_Equipos[Grupo],MATCH(BD49,T_Equipos[NombreEquipo],0)))=1,"-","P."&amp;CM49&amp;" ("&amp;COUNTIFS($CM$6:$CM$53,CM49,$BC$6:$BC$53,INDEX(T_Equipos[Grupo],MATCH(BD49,T_Equipos[NombreEquipo],0)))&amp;")")</f>
        <v>P.1 (4)</v>
      </c>
      <c r="CO49" s="744">
        <f t="shared" ca="1" si="48"/>
        <v>0</v>
      </c>
      <c r="CP49" s="744">
        <f t="shared" ca="1" si="49"/>
        <v>0</v>
      </c>
      <c r="CQ49" s="744">
        <f t="shared" ca="1" si="50"/>
        <v>0</v>
      </c>
      <c r="CR49" s="744">
        <f ca="1">CM49+COUNTIFS($CN$6:$CN$53,CN49,$CQ$6:CQ$53,"&gt;"&amp;CQ49,$BC$6:$BC$53,INDEX(T_Equipos[Grupo],MATCH(BD49,T_Equipos[NombreEquipo],0)))</f>
        <v>1</v>
      </c>
      <c r="CS49" s="743" t="str">
        <f ca="1">IF(COUNTIFS($CR$6:$CR$53,CR49,$BC$6:$BC$53,INDEX(T_Equipos[Grupo],MATCH(BD49,T_Equipos[NombreEquipo],0)))=1,"-","P."&amp;CR49&amp;" ("&amp;COUNTIFS($CR$6:$CR$53,CR49,$BC$6:$BC$53,INDEX(T_Equipos[Grupo],MATCH(BD49,T_Equipos[NombreEquipo],0)))&amp;")")</f>
        <v>P.1 (4)</v>
      </c>
      <c r="CT49" s="744">
        <f t="shared" ca="1" si="51"/>
        <v>0</v>
      </c>
      <c r="CU49" s="744">
        <f ca="1">CR49+COUNTIFS($CS$6:$CS$53,CS49,$CT$6:CT$53,"&gt;"&amp;CT49,$BC$6:$BC$53,INDEX(T_Equipos[Grupo],MATCH(BD49,T_Equipos[NombreEquipo],0)))</f>
        <v>1</v>
      </c>
      <c r="CV49" s="743" t="str">
        <f ca="1">IF(COUNTIFS($CU$6:$CU$53,CU49,$BC$6:$BC$53,INDEX(T_Equipos[Grupo],MATCH(BD49,T_Equipos[NombreEquipo],0)))=1,"-","P."&amp;CU49&amp;" ("&amp;COUNTIFS($CU$6:$CU$53,CU49,$BC$6:$BC$53,INDEX(T_Equipos[Grupo],MATCH(BD49,T_Equipos[NombreEquipo],0)))&amp;")")</f>
        <v>P.1 (4)</v>
      </c>
      <c r="CW49" s="743">
        <f t="shared" ca="1" si="30"/>
        <v>0</v>
      </c>
      <c r="CX49" s="743">
        <f ca="1">CU49+COUNTIFS($CV$6:$CV$53,CV49,$CW$6:CW$53,"&gt;"&amp;CW49,$BC$6:$BC$53,INDEX(T_Equipos[Grupo],MATCH(BD49,T_Equipos[NombreEquipo],0)))</f>
        <v>1</v>
      </c>
      <c r="CY49" s="743" t="str">
        <f ca="1">IF(COUNTIFS($CX$6:$CX$53,CX49,$BC$6:$BC$53,INDEX(T_Equipos[Grupo],MATCH(BD49,T_Equipos[NombreEquipo],0)))=1,"-","P."&amp;CX49&amp;" ("&amp;COUNTIFS($CX$6:$CX$53,CX49,$BC$6:$BC$53,INDEX(T_Equipos[Grupo],MATCH(BD49,T_Equipos[NombreEquipo],0)))&amp;")")</f>
        <v>P.1 (4)</v>
      </c>
      <c r="CZ49" s="743">
        <f t="shared" ca="1" si="31"/>
        <v>0</v>
      </c>
      <c r="DA49" s="744">
        <f ca="1">CX49+COUNTIFS($CY$6:$CY$53,CY49,$CZ$6:CZ$53,"&gt;"&amp;CZ49,$BC$6:$BC$53,INDEX(T_Equipos[Grupo],MATCH(BD49,T_Equipos[NombreEquipo],0)))</f>
        <v>1</v>
      </c>
      <c r="DB49" s="743" t="str">
        <f ca="1">IF(COUNTIFS($DA$6:$DA$53,DA49,$BC$6:$BC$53,INDEX(T_Equipos[Grupo],MATCH(BD49,T_Equipos[NombreEquipo],0)))=1,"-","P."&amp;DA49&amp;" ("&amp;COUNTIFS($DA$6:$DA$53,DA49,$BC$6:$BC$53,INDEX(T_Equipos[Grupo],MATCH(BD49,T_Equipos[NombreEquipo],0)))&amp;")")</f>
        <v>P.1 (4)</v>
      </c>
      <c r="DC49" s="742">
        <f ca="1">IF(DB49="-","-",COUNTIFS(T_Equipos[Rank],"&lt;"&amp;INDEX(T_Equipos[Rank],MATCH(BD49,T_Equipos[NombreEquipo],0)),$BC$6:$BC$53,INDEX(T_Equipos[Grupo],MATCH(BD49,T_Equipos[NombreEquipo],0)))+1)</f>
        <v>4</v>
      </c>
      <c r="DD49" s="742">
        <f ca="1">DA49+COUNTIFS($DB$6:$DB$53,DB49,$DC$6:DC$53,"&lt;"&amp;DC49,$BC$6:$BC$53,INDEX(T_Equipos[Grupo],MATCH(BD49,T_Equipos[NombreEquipo],0)))</f>
        <v>4</v>
      </c>
      <c r="DE49" s="742"/>
      <c r="DF49" s="742">
        <f t="shared" ca="1" si="52"/>
        <v>4</v>
      </c>
      <c r="DG49" s="742">
        <f ca="1">IF(DB49="-","-",COUNTIFS(DF$6:DF$53,"&lt;"&amp;DF49,$BC$6:$BC$53,INDEX(T_Equipos[Grupo],MATCH(BD49,T_Equipos[NombreEquipo],0))))</f>
        <v>3</v>
      </c>
      <c r="DH49" s="742">
        <f ca="1">DA49+COUNTIFS(DB$6:DB$53,DB49,DG$6:DG$53,"&lt;"&amp;DG49,$BC$6:$BC$53,INDEX(T_Equipos[Grupo],MATCH(BD49,T_Equipos[NombreEquipo],0)))</f>
        <v>4</v>
      </c>
      <c r="DI49" s="730"/>
      <c r="DJ49" s="730">
        <f t="shared" ca="1" si="53"/>
        <v>1</v>
      </c>
      <c r="DK49" s="730">
        <f t="shared" ca="1" si="24"/>
        <v>0</v>
      </c>
      <c r="DL49" s="730">
        <f t="shared" ca="1" si="33"/>
        <v>1</v>
      </c>
      <c r="DM49" s="724" t="str">
        <f t="shared" ca="1" si="34"/>
        <v>1.1</v>
      </c>
      <c r="DN49" s="730" cm="1">
        <f t="array" aca="1" ref="DN49" ca="1">OFFSET(Horarios!$P$3,DJ49-1,0,DL49,1)</f>
        <v>1</v>
      </c>
      <c r="DO49" s="730"/>
      <c r="DP49" s="730" t="s">
        <v>681</v>
      </c>
      <c r="DQ49" s="730" t="str">
        <f t="shared" ca="1" si="35"/>
        <v>Colombia</v>
      </c>
      <c r="DR49" s="730"/>
      <c r="DS49" s="730"/>
      <c r="DT49" s="730" t="str">
        <f t="shared" ca="1" si="15"/>
        <v>Túnez-Países Bajos</v>
      </c>
      <c r="DU49" s="730"/>
      <c r="DV49" s="730"/>
      <c r="DW49" s="8"/>
    </row>
    <row r="50" spans="1:127" ht="15" thickBot="1">
      <c r="A50" s="725"/>
      <c r="B50" s="725"/>
      <c r="C50" s="725"/>
      <c r="D50" s="730" t="str">
        <f t="shared" si="136"/>
        <v>Pendiente</v>
      </c>
      <c r="E50" s="730"/>
      <c r="F50" s="730"/>
      <c r="G50" s="730"/>
      <c r="H50" s="730"/>
      <c r="I50" s="730"/>
      <c r="J50" s="730"/>
      <c r="K50" s="730"/>
      <c r="L50" s="730"/>
      <c r="M50" s="730"/>
      <c r="N50" s="730"/>
      <c r="O50" s="730"/>
      <c r="P50" s="730"/>
      <c r="Q50" s="730"/>
      <c r="R50" s="730"/>
      <c r="S50" s="730"/>
      <c r="T50" s="730"/>
      <c r="U50" s="730"/>
      <c r="V50" s="170"/>
      <c r="W50" s="240"/>
      <c r="X50" s="241"/>
      <c r="Y50" s="240"/>
      <c r="Z50" s="242"/>
      <c r="AA50" s="243"/>
      <c r="AB50" s="479"/>
      <c r="AC50" s="245"/>
      <c r="AD50" s="245"/>
      <c r="AE50" s="479"/>
      <c r="AF50" s="246"/>
      <c r="AG50" s="413"/>
      <c r="AH50" s="194"/>
      <c r="AI50" s="169"/>
      <c r="AJ50" s="247"/>
      <c r="AK50" s="248"/>
      <c r="AL50" s="184"/>
      <c r="AM50" s="249"/>
      <c r="AN50" s="247"/>
      <c r="AO50" s="247"/>
      <c r="AP50" s="247"/>
      <c r="AQ50" s="247"/>
      <c r="AR50" s="247"/>
      <c r="AS50" s="247"/>
      <c r="AT50" s="247"/>
      <c r="AU50" s="418"/>
      <c r="AV50" s="214"/>
      <c r="AW50" s="426"/>
      <c r="AX50" s="216"/>
      <c r="AY50" s="240"/>
      <c r="AZ50" s="241"/>
      <c r="BA50" s="173"/>
      <c r="BB50" s="730"/>
      <c r="BC50" s="742" t="str">
        <f ca="1">+INDEX(T_Equipos[Grupo],MATCH(WORLDCUP!BD50,T_Equipos[NombreEquipo],0))</f>
        <v>L</v>
      </c>
      <c r="BD50" s="730" t="str">
        <f ca="1">+Equipos!B46</f>
        <v>Inglaterra</v>
      </c>
      <c r="BE50" s="734">
        <f t="shared" ca="1" si="25"/>
        <v>0</v>
      </c>
      <c r="BF50" s="734">
        <f t="shared" ca="1" si="26"/>
        <v>0</v>
      </c>
      <c r="BG50" s="734">
        <f t="shared" ca="1" si="17"/>
        <v>0</v>
      </c>
      <c r="BH50" s="734">
        <f t="shared" ca="1" si="18"/>
        <v>0</v>
      </c>
      <c r="BI50" s="734">
        <f t="shared" ca="1" si="19"/>
        <v>0</v>
      </c>
      <c r="BJ50" s="734">
        <f t="shared" ca="1" si="20"/>
        <v>0</v>
      </c>
      <c r="BK50" s="734">
        <f t="shared" ca="1" si="21"/>
        <v>0</v>
      </c>
      <c r="BL50" s="734">
        <f t="shared" ca="1" si="27"/>
        <v>0</v>
      </c>
      <c r="BM50" s="734" t="str">
        <f t="shared" ca="1" si="22"/>
        <v>1L</v>
      </c>
      <c r="BN50" s="734" t="str">
        <f t="shared" ca="1" si="23"/>
        <v>1L</v>
      </c>
      <c r="BO50" s="744">
        <f t="shared" ca="1" si="28"/>
        <v>0</v>
      </c>
      <c r="BP50" s="743">
        <f ca="1">COUNTIFS($BO$6:$BO$53,"&gt;"&amp;BO50,$BC$6:$BC$53,INDEX(T_Equipos[Grupo],MATCH(BD50,T_Equipos[NombreEquipo],0)))+1</f>
        <v>1</v>
      </c>
      <c r="BQ50" s="743" t="str">
        <f ca="1">IF(COUNTIFS($BP$6:$BP$53,BP50,$BC$6:$BC$53,INDEX(T_Equipos[Grupo],MATCH(BD50,T_Equipos[NombreEquipo],0)))=1,"-","P."&amp;BP50&amp;" ("&amp;COUNTIFS($BP$6:$BP$53,BP50,$BC$6:$BC$53,INDEX(T_Equipos[Grupo],MATCH(BD50,T_Equipos[NombreEquipo],0)))&amp;")")</f>
        <v>P.1 (4)</v>
      </c>
      <c r="BR50" s="744">
        <f t="shared" ca="1" si="29"/>
        <v>0</v>
      </c>
      <c r="BS50" s="743">
        <f ca="1">BP50+COUNTIFS($BQ$6:$BQ$53,BQ50,$BR$6:BR$53,"&gt;"&amp;BR50,$BC$6:$BC$53,INDEX(T_Equipos[Grupo],MATCH(BD50,T_Equipos[NombreEquipo],0)))</f>
        <v>1</v>
      </c>
      <c r="BT50" s="743" t="str">
        <f ca="1">IF(COUNTIFS($BS$6:$BS$53,BS50,$BC$6:$BC$53,INDEX(T_Equipos[Grupo],MATCH(BD50,T_Equipos[NombreEquipo],0)))=1,"-","P."&amp;BS50&amp;" ("&amp;COUNTIFS($BS$6:$BS$53,BS50,$BC$6:$BC$53,INDEX(T_Equipos[Grupo],MATCH(BD50,T_Equipos[NombreEquipo],0)))&amp;")")</f>
        <v>P.1 (4)</v>
      </c>
      <c r="BU50" s="744">
        <f t="shared" ca="1" si="36"/>
        <v>0</v>
      </c>
      <c r="BV50" s="744">
        <f t="shared" ca="1" si="37"/>
        <v>0</v>
      </c>
      <c r="BW50" s="744">
        <f t="shared" ca="1" si="38"/>
        <v>0</v>
      </c>
      <c r="BX50" s="744">
        <f t="shared" ca="1" si="39"/>
        <v>0</v>
      </c>
      <c r="BY50" s="744">
        <f ca="1">BS50+COUNTIFS($BT$6:$BT$53,BT50,$BX$6:BX$53,"&gt;"&amp;BX50,$BC$6:$BC$53,INDEX(T_Equipos[Grupo],MATCH(BD50,T_Equipos[NombreEquipo],0)))</f>
        <v>1</v>
      </c>
      <c r="BZ50" s="743" t="str">
        <f ca="1">IF(COUNTIFS($BY$6:$BY$53,BY50,$BC$6:$BC$53,INDEX(T_Equipos[Grupo],MATCH(BD50,T_Equipos[NombreEquipo],0)))=1,"-","P."&amp;BY50&amp;" ("&amp;COUNTIFS($BY$6:$BY$53,BY50,$BC$6:$BC$53,INDEX(T_Equipos[Grupo],MATCH(BD50,T_Equipos[NombreEquipo],0)))&amp;")")</f>
        <v>P.1 (4)</v>
      </c>
      <c r="CA50" s="744">
        <f t="shared" ca="1" si="40"/>
        <v>0</v>
      </c>
      <c r="CB50" s="744">
        <f t="shared" ca="1" si="41"/>
        <v>0</v>
      </c>
      <c r="CC50" s="744">
        <f t="shared" ca="1" si="42"/>
        <v>0</v>
      </c>
      <c r="CD50" s="744">
        <f ca="1">BY50+COUNTIFS($BZ$6:$BZ$53,BZ50,$CC$6:CC$53,"&gt;"&amp;CC50,$BC$6:$BC$53,INDEX(T_Equipos[Grupo],MATCH(BD50,T_Equipos[NombreEquipo],0)))</f>
        <v>1</v>
      </c>
      <c r="CE50" s="743" t="str">
        <f ca="1">IF(COUNTIFS($CD$6:$CD$53,CD50,$BC$6:$BC$53,INDEX(T_Equipos[Grupo],MATCH(BD50,T_Equipos[NombreEquipo],0)))=1,"-","P."&amp;CD50&amp;" ("&amp;COUNTIFS($CD$6:$CD$53,CD50,$BC$6:$BC$53,INDEX(T_Equipos[Grupo],MATCH(BD50,T_Equipos[NombreEquipo],0)))&amp;")")</f>
        <v>P.1 (4)</v>
      </c>
      <c r="CF50" s="744">
        <f t="shared" ca="1" si="43"/>
        <v>0</v>
      </c>
      <c r="CG50" s="744">
        <f ca="1">CD50+COUNTIFS($CE$6:$CE$53,CE50,$CF$6:CF$53,"&gt;"&amp;CF50,$BC$6:$BC$53,INDEX(T_Equipos[Grupo],MATCH(BD50,T_Equipos[NombreEquipo],0)))</f>
        <v>1</v>
      </c>
      <c r="CH50" s="743" t="str">
        <f ca="1">IF(COUNTIFS($CG$6:$CG$53,CG50,$BC$6:$BC$53,INDEX(T_Equipos[Grupo],MATCH(BD50,T_Equipos[NombreEquipo],0)))=1,"-","P."&amp;CG50&amp;" ("&amp;COUNTIFS($CG$6:$CG$53,CG50,$BC$6:$BC$53,INDEX(T_Equipos[Grupo],MATCH(BD50,T_Equipos[NombreEquipo],0)))&amp;")")</f>
        <v>P.1 (4)</v>
      </c>
      <c r="CI50" s="744">
        <f t="shared" ca="1" si="44"/>
        <v>0</v>
      </c>
      <c r="CJ50" s="744">
        <f t="shared" ca="1" si="45"/>
        <v>0</v>
      </c>
      <c r="CK50" s="744">
        <f t="shared" ca="1" si="46"/>
        <v>0</v>
      </c>
      <c r="CL50" s="744">
        <f t="shared" ca="1" si="47"/>
        <v>0</v>
      </c>
      <c r="CM50" s="744">
        <f ca="1">CG50+COUNTIFS($CH$6:$CH$53,CH50,$CL$6:CL$53,"&gt;"&amp;CL50,$BC$6:$BC$53,INDEX(T_Equipos[Grupo],MATCH(BD50,T_Equipos[NombreEquipo],0)))</f>
        <v>1</v>
      </c>
      <c r="CN50" s="743" t="str">
        <f ca="1">IF(COUNTIFS($CM$6:$CM$53,CM50,$BC$6:$BC$53,INDEX(T_Equipos[Grupo],MATCH(BD50,T_Equipos[NombreEquipo],0)))=1,"-","P."&amp;CM50&amp;" ("&amp;COUNTIFS($CM$6:$CM$53,CM50,$BC$6:$BC$53,INDEX(T_Equipos[Grupo],MATCH(BD50,T_Equipos[NombreEquipo],0)))&amp;")")</f>
        <v>P.1 (4)</v>
      </c>
      <c r="CO50" s="744">
        <f t="shared" ca="1" si="48"/>
        <v>0</v>
      </c>
      <c r="CP50" s="744">
        <f t="shared" ca="1" si="49"/>
        <v>0</v>
      </c>
      <c r="CQ50" s="744">
        <f t="shared" ca="1" si="50"/>
        <v>0</v>
      </c>
      <c r="CR50" s="744">
        <f ca="1">CM50+COUNTIFS($CN$6:$CN$53,CN50,$CQ$6:CQ$53,"&gt;"&amp;CQ50,$BC$6:$BC$53,INDEX(T_Equipos[Grupo],MATCH(BD50,T_Equipos[NombreEquipo],0)))</f>
        <v>1</v>
      </c>
      <c r="CS50" s="743" t="str">
        <f ca="1">IF(COUNTIFS($CR$6:$CR$53,CR50,$BC$6:$BC$53,INDEX(T_Equipos[Grupo],MATCH(BD50,T_Equipos[NombreEquipo],0)))=1,"-","P."&amp;CR50&amp;" ("&amp;COUNTIFS($CR$6:$CR$53,CR50,$BC$6:$BC$53,INDEX(T_Equipos[Grupo],MATCH(BD50,T_Equipos[NombreEquipo],0)))&amp;")")</f>
        <v>P.1 (4)</v>
      </c>
      <c r="CT50" s="744">
        <f t="shared" ca="1" si="51"/>
        <v>0</v>
      </c>
      <c r="CU50" s="744">
        <f ca="1">CR50+COUNTIFS($CS$6:$CS$53,CS50,$CT$6:CT$53,"&gt;"&amp;CT50,$BC$6:$BC$53,INDEX(T_Equipos[Grupo],MATCH(BD50,T_Equipos[NombreEquipo],0)))</f>
        <v>1</v>
      </c>
      <c r="CV50" s="743" t="str">
        <f ca="1">IF(COUNTIFS($CU$6:$CU$53,CU50,$BC$6:$BC$53,INDEX(T_Equipos[Grupo],MATCH(BD50,T_Equipos[NombreEquipo],0)))=1,"-","P."&amp;CU50&amp;" ("&amp;COUNTIFS($CU$6:$CU$53,CU50,$BC$6:$BC$53,INDEX(T_Equipos[Grupo],MATCH(BD50,T_Equipos[NombreEquipo],0)))&amp;")")</f>
        <v>P.1 (4)</v>
      </c>
      <c r="CW50" s="743">
        <f t="shared" ca="1" si="30"/>
        <v>0</v>
      </c>
      <c r="CX50" s="743">
        <f ca="1">CU50+COUNTIFS($CV$6:$CV$53,CV50,$CW$6:CW$53,"&gt;"&amp;CW50,$BC$6:$BC$53,INDEX(T_Equipos[Grupo],MATCH(BD50,T_Equipos[NombreEquipo],0)))</f>
        <v>1</v>
      </c>
      <c r="CY50" s="743" t="str">
        <f ca="1">IF(COUNTIFS($CX$6:$CX$53,CX50,$BC$6:$BC$53,INDEX(T_Equipos[Grupo],MATCH(BD50,T_Equipos[NombreEquipo],0)))=1,"-","P."&amp;CX50&amp;" ("&amp;COUNTIFS($CX$6:$CX$53,CX50,$BC$6:$BC$53,INDEX(T_Equipos[Grupo],MATCH(BD50,T_Equipos[NombreEquipo],0)))&amp;")")</f>
        <v>P.1 (4)</v>
      </c>
      <c r="CZ50" s="743">
        <f t="shared" ca="1" si="31"/>
        <v>0</v>
      </c>
      <c r="DA50" s="744">
        <f ca="1">CX50+COUNTIFS($CY$6:$CY$53,CY50,$CZ$6:CZ$53,"&gt;"&amp;CZ50,$BC$6:$BC$53,INDEX(T_Equipos[Grupo],MATCH(BD50,T_Equipos[NombreEquipo],0)))</f>
        <v>1</v>
      </c>
      <c r="DB50" s="743" t="str">
        <f ca="1">IF(COUNTIFS($DA$6:$DA$53,DA50,$BC$6:$BC$53,INDEX(T_Equipos[Grupo],MATCH(BD50,T_Equipos[NombreEquipo],0)))=1,"-","P."&amp;DA50&amp;" ("&amp;COUNTIFS($DA$6:$DA$53,DA50,$BC$6:$BC$53,INDEX(T_Equipos[Grupo],MATCH(BD50,T_Equipos[NombreEquipo],0)))&amp;")")</f>
        <v>P.1 (4)</v>
      </c>
      <c r="DC50" s="742">
        <f ca="1">IF(DB50="-","-",COUNTIFS(T_Equipos[Rank],"&lt;"&amp;INDEX(T_Equipos[Rank],MATCH(BD50,T_Equipos[NombreEquipo],0)),$BC$6:$BC$53,INDEX(T_Equipos[Grupo],MATCH(BD50,T_Equipos[NombreEquipo],0)))+1)</f>
        <v>1</v>
      </c>
      <c r="DD50" s="742">
        <f ca="1">DA50+COUNTIFS($DB$6:$DB$53,DB50,$DC$6:DC$53,"&lt;"&amp;DC50,$BC$6:$BC$53,INDEX(T_Equipos[Grupo],MATCH(BD50,T_Equipos[NombreEquipo],0)))</f>
        <v>1</v>
      </c>
      <c r="DE50" s="742"/>
      <c r="DF50" s="742">
        <f t="shared" ca="1" si="52"/>
        <v>1</v>
      </c>
      <c r="DG50" s="742">
        <f ca="1">IF(DB50="-","-",COUNTIFS(DF$6:DF$53,"&lt;"&amp;DF50,$BC$6:$BC$53,INDEX(T_Equipos[Grupo],MATCH(BD50,T_Equipos[NombreEquipo],0))))</f>
        <v>0</v>
      </c>
      <c r="DH50" s="742">
        <f ca="1">DA50+COUNTIFS(DB$6:DB$53,DB50,DG$6:DG$53,"&lt;"&amp;DG50,$BC$6:$BC$53,INDEX(T_Equipos[Grupo],MATCH(BD50,T_Equipos[NombreEquipo],0)))</f>
        <v>1</v>
      </c>
      <c r="DI50" s="730"/>
      <c r="DJ50" s="730">
        <f t="shared" ca="1" si="53"/>
        <v>1</v>
      </c>
      <c r="DK50" s="730">
        <f t="shared" ca="1" si="24"/>
        <v>0</v>
      </c>
      <c r="DL50" s="730">
        <f t="shared" ca="1" si="33"/>
        <v>1</v>
      </c>
      <c r="DM50" s="724" t="str">
        <f t="shared" ca="1" si="34"/>
        <v>1.1</v>
      </c>
      <c r="DN50" s="730" cm="1">
        <f t="array" aca="1" ref="DN50" ca="1">OFFSET(Horarios!$P$3,DJ50-1,0,DL50,1)</f>
        <v>1</v>
      </c>
      <c r="DO50" s="730"/>
      <c r="DP50" s="730" t="s">
        <v>682</v>
      </c>
      <c r="DQ50" s="730" t="str">
        <f t="shared" ca="1" si="35"/>
        <v>Inglaterra</v>
      </c>
      <c r="DR50" s="730"/>
      <c r="DS50" s="730"/>
      <c r="DT50" s="730" t="str">
        <f t="shared" si="15"/>
        <v>-</v>
      </c>
      <c r="DU50" s="730"/>
      <c r="DV50" s="730"/>
      <c r="DW50" s="8"/>
    </row>
    <row r="51" spans="1:127" ht="15" thickBot="1">
      <c r="A51" s="725"/>
      <c r="B51" s="725"/>
      <c r="C51" s="725"/>
      <c r="D51" s="725"/>
      <c r="E51" s="725"/>
      <c r="F51" s="725"/>
      <c r="G51" s="725"/>
      <c r="H51" s="725"/>
      <c r="I51" s="725"/>
      <c r="J51" s="725"/>
      <c r="K51" s="725"/>
      <c r="L51" s="725"/>
      <c r="M51" s="725"/>
      <c r="N51" s="730"/>
      <c r="O51" s="730"/>
      <c r="P51" s="730"/>
      <c r="Q51" s="730"/>
      <c r="R51" s="730"/>
      <c r="S51" s="730"/>
      <c r="T51" s="730"/>
      <c r="U51" s="730"/>
      <c r="V51" s="170"/>
      <c r="W51" s="177"/>
      <c r="X51" s="178" t="str">
        <f>X3</f>
        <v>Fecha</v>
      </c>
      <c r="Y51" s="178" t="str">
        <f>Y3</f>
        <v>Hora</v>
      </c>
      <c r="Z51" s="179" t="str">
        <f>Z3</f>
        <v>Jor.</v>
      </c>
      <c r="AA51" s="180" t="str">
        <f>AA3</f>
        <v>Casa</v>
      </c>
      <c r="AB51" s="179"/>
      <c r="AC51" s="179" t="str">
        <f>AC3</f>
        <v>Gol</v>
      </c>
      <c r="AD51" s="179" t="str">
        <f>AD3</f>
        <v>Gol</v>
      </c>
      <c r="AE51" s="179"/>
      <c r="AF51" s="182" t="str">
        <f>AF3</f>
        <v>Fuera</v>
      </c>
      <c r="AG51" s="412"/>
      <c r="AH51" s="194"/>
      <c r="AI51" s="18"/>
      <c r="AJ51" s="184"/>
      <c r="AK51" s="250"/>
      <c r="AL51" s="184"/>
      <c r="AM51" s="184"/>
      <c r="AN51" s="184"/>
      <c r="AO51" s="184"/>
      <c r="AP51" s="184"/>
      <c r="AQ51" s="184"/>
      <c r="AR51" s="184"/>
      <c r="AS51" s="184"/>
      <c r="AT51" s="184"/>
      <c r="AU51" s="419"/>
      <c r="AV51" s="22"/>
      <c r="AW51" s="427"/>
      <c r="AX51" s="251"/>
      <c r="AY51" s="240"/>
      <c r="AZ51" s="241"/>
      <c r="BA51" s="173"/>
      <c r="BB51" s="730"/>
      <c r="BC51" s="742" t="str">
        <f ca="1">+INDEX(T_Equipos[Grupo],MATCH(WORLDCUP!BD51,T_Equipos[NombreEquipo],0))</f>
        <v>L</v>
      </c>
      <c r="BD51" s="730" t="str">
        <f ca="1">+Equipos!B47</f>
        <v>Croacia</v>
      </c>
      <c r="BE51" s="734">
        <f t="shared" ca="1" si="25"/>
        <v>0</v>
      </c>
      <c r="BF51" s="734">
        <f t="shared" ca="1" si="26"/>
        <v>0</v>
      </c>
      <c r="BG51" s="734">
        <f t="shared" ca="1" si="17"/>
        <v>0</v>
      </c>
      <c r="BH51" s="734">
        <f t="shared" ca="1" si="18"/>
        <v>0</v>
      </c>
      <c r="BI51" s="734">
        <f t="shared" ca="1" si="19"/>
        <v>0</v>
      </c>
      <c r="BJ51" s="734">
        <f t="shared" ca="1" si="20"/>
        <v>0</v>
      </c>
      <c r="BK51" s="734">
        <f t="shared" ca="1" si="21"/>
        <v>0</v>
      </c>
      <c r="BL51" s="734">
        <f t="shared" ca="1" si="27"/>
        <v>0</v>
      </c>
      <c r="BM51" s="734" t="str">
        <f t="shared" ca="1" si="22"/>
        <v>2L</v>
      </c>
      <c r="BN51" s="734" t="str">
        <f t="shared" ca="1" si="23"/>
        <v>2L</v>
      </c>
      <c r="BO51" s="744">
        <f t="shared" ca="1" si="28"/>
        <v>0</v>
      </c>
      <c r="BP51" s="743">
        <f ca="1">COUNTIFS($BO$6:$BO$53,"&gt;"&amp;BO51,$BC$6:$BC$53,INDEX(T_Equipos[Grupo],MATCH(BD51,T_Equipos[NombreEquipo],0)))+1</f>
        <v>1</v>
      </c>
      <c r="BQ51" s="743" t="str">
        <f ca="1">IF(COUNTIFS($BP$6:$BP$53,BP51,$BC$6:$BC$53,INDEX(T_Equipos[Grupo],MATCH(BD51,T_Equipos[NombreEquipo],0)))=1,"-","P."&amp;BP51&amp;" ("&amp;COUNTIFS($BP$6:$BP$53,BP51,$BC$6:$BC$53,INDEX(T_Equipos[Grupo],MATCH(BD51,T_Equipos[NombreEquipo],0)))&amp;")")</f>
        <v>P.1 (4)</v>
      </c>
      <c r="BR51" s="744">
        <f t="shared" ca="1" si="29"/>
        <v>0</v>
      </c>
      <c r="BS51" s="743">
        <f ca="1">BP51+COUNTIFS($BQ$6:$BQ$53,BQ51,$BR$6:BR$53,"&gt;"&amp;BR51,$BC$6:$BC$53,INDEX(T_Equipos[Grupo],MATCH(BD51,T_Equipos[NombreEquipo],0)))</f>
        <v>1</v>
      </c>
      <c r="BT51" s="743" t="str">
        <f ca="1">IF(COUNTIFS($BS$6:$BS$53,BS51,$BC$6:$BC$53,INDEX(T_Equipos[Grupo],MATCH(BD51,T_Equipos[NombreEquipo],0)))=1,"-","P."&amp;BS51&amp;" ("&amp;COUNTIFS($BS$6:$BS$53,BS51,$BC$6:$BC$53,INDEX(T_Equipos[Grupo],MATCH(BD51,T_Equipos[NombreEquipo],0)))&amp;")")</f>
        <v>P.1 (4)</v>
      </c>
      <c r="BU51" s="744">
        <f t="shared" ca="1" si="36"/>
        <v>0</v>
      </c>
      <c r="BV51" s="744">
        <f t="shared" ca="1" si="37"/>
        <v>0</v>
      </c>
      <c r="BW51" s="744">
        <f t="shared" ca="1" si="38"/>
        <v>0</v>
      </c>
      <c r="BX51" s="744">
        <f t="shared" ca="1" si="39"/>
        <v>0</v>
      </c>
      <c r="BY51" s="744">
        <f ca="1">BS51+COUNTIFS($BT$6:$BT$53,BT51,$BX$6:BX$53,"&gt;"&amp;BX51,$BC$6:$BC$53,INDEX(T_Equipos[Grupo],MATCH(BD51,T_Equipos[NombreEquipo],0)))</f>
        <v>1</v>
      </c>
      <c r="BZ51" s="743" t="str">
        <f ca="1">IF(COUNTIFS($BY$6:$BY$53,BY51,$BC$6:$BC$53,INDEX(T_Equipos[Grupo],MATCH(BD51,T_Equipos[NombreEquipo],0)))=1,"-","P."&amp;BY51&amp;" ("&amp;COUNTIFS($BY$6:$BY$53,BY51,$BC$6:$BC$53,INDEX(T_Equipos[Grupo],MATCH(BD51,T_Equipos[NombreEquipo],0)))&amp;")")</f>
        <v>P.1 (4)</v>
      </c>
      <c r="CA51" s="744">
        <f t="shared" ca="1" si="40"/>
        <v>0</v>
      </c>
      <c r="CB51" s="744">
        <f t="shared" ca="1" si="41"/>
        <v>0</v>
      </c>
      <c r="CC51" s="744">
        <f t="shared" ca="1" si="42"/>
        <v>0</v>
      </c>
      <c r="CD51" s="744">
        <f ca="1">BY51+COUNTIFS($BZ$6:$BZ$53,BZ51,$CC$6:CC$53,"&gt;"&amp;CC51,$BC$6:$BC$53,INDEX(T_Equipos[Grupo],MATCH(BD51,T_Equipos[NombreEquipo],0)))</f>
        <v>1</v>
      </c>
      <c r="CE51" s="743" t="str">
        <f ca="1">IF(COUNTIFS($CD$6:$CD$53,CD51,$BC$6:$BC$53,INDEX(T_Equipos[Grupo],MATCH(BD51,T_Equipos[NombreEquipo],0)))=1,"-","P."&amp;CD51&amp;" ("&amp;COUNTIFS($CD$6:$CD$53,CD51,$BC$6:$BC$53,INDEX(T_Equipos[Grupo],MATCH(BD51,T_Equipos[NombreEquipo],0)))&amp;")")</f>
        <v>P.1 (4)</v>
      </c>
      <c r="CF51" s="744">
        <f t="shared" ca="1" si="43"/>
        <v>0</v>
      </c>
      <c r="CG51" s="744">
        <f ca="1">CD51+COUNTIFS($CE$6:$CE$53,CE51,$CF$6:CF$53,"&gt;"&amp;CF51,$BC$6:$BC$53,INDEX(T_Equipos[Grupo],MATCH(BD51,T_Equipos[NombreEquipo],0)))</f>
        <v>1</v>
      </c>
      <c r="CH51" s="743" t="str">
        <f ca="1">IF(COUNTIFS($CG$6:$CG$53,CG51,$BC$6:$BC$53,INDEX(T_Equipos[Grupo],MATCH(BD51,T_Equipos[NombreEquipo],0)))=1,"-","P."&amp;CG51&amp;" ("&amp;COUNTIFS($CG$6:$CG$53,CG51,$BC$6:$BC$53,INDEX(T_Equipos[Grupo],MATCH(BD51,T_Equipos[NombreEquipo],0)))&amp;")")</f>
        <v>P.1 (4)</v>
      </c>
      <c r="CI51" s="744">
        <f t="shared" ca="1" si="44"/>
        <v>0</v>
      </c>
      <c r="CJ51" s="744">
        <f t="shared" ca="1" si="45"/>
        <v>0</v>
      </c>
      <c r="CK51" s="744">
        <f t="shared" ca="1" si="46"/>
        <v>0</v>
      </c>
      <c r="CL51" s="744">
        <f t="shared" ca="1" si="47"/>
        <v>0</v>
      </c>
      <c r="CM51" s="744">
        <f ca="1">CG51+COUNTIFS($CH$6:$CH$53,CH51,$CL$6:CL$53,"&gt;"&amp;CL51,$BC$6:$BC$53,INDEX(T_Equipos[Grupo],MATCH(BD51,T_Equipos[NombreEquipo],0)))</f>
        <v>1</v>
      </c>
      <c r="CN51" s="743" t="str">
        <f ca="1">IF(COUNTIFS($CM$6:$CM$53,CM51,$BC$6:$BC$53,INDEX(T_Equipos[Grupo],MATCH(BD51,T_Equipos[NombreEquipo],0)))=1,"-","P."&amp;CM51&amp;" ("&amp;COUNTIFS($CM$6:$CM$53,CM51,$BC$6:$BC$53,INDEX(T_Equipos[Grupo],MATCH(BD51,T_Equipos[NombreEquipo],0)))&amp;")")</f>
        <v>P.1 (4)</v>
      </c>
      <c r="CO51" s="744">
        <f t="shared" ca="1" si="48"/>
        <v>0</v>
      </c>
      <c r="CP51" s="744">
        <f t="shared" ca="1" si="49"/>
        <v>0</v>
      </c>
      <c r="CQ51" s="744">
        <f t="shared" ca="1" si="50"/>
        <v>0</v>
      </c>
      <c r="CR51" s="744">
        <f ca="1">CM51+COUNTIFS($CN$6:$CN$53,CN51,$CQ$6:CQ$53,"&gt;"&amp;CQ51,$BC$6:$BC$53,INDEX(T_Equipos[Grupo],MATCH(BD51,T_Equipos[NombreEquipo],0)))</f>
        <v>1</v>
      </c>
      <c r="CS51" s="743" t="str">
        <f ca="1">IF(COUNTIFS($CR$6:$CR$53,CR51,$BC$6:$BC$53,INDEX(T_Equipos[Grupo],MATCH(BD51,T_Equipos[NombreEquipo],0)))=1,"-","P."&amp;CR51&amp;" ("&amp;COUNTIFS($CR$6:$CR$53,CR51,$BC$6:$BC$53,INDEX(T_Equipos[Grupo],MATCH(BD51,T_Equipos[NombreEquipo],0)))&amp;")")</f>
        <v>P.1 (4)</v>
      </c>
      <c r="CT51" s="744">
        <f t="shared" ca="1" si="51"/>
        <v>0</v>
      </c>
      <c r="CU51" s="744">
        <f ca="1">CR51+COUNTIFS($CS$6:$CS$53,CS51,$CT$6:CT$53,"&gt;"&amp;CT51,$BC$6:$BC$53,INDEX(T_Equipos[Grupo],MATCH(BD51,T_Equipos[NombreEquipo],0)))</f>
        <v>1</v>
      </c>
      <c r="CV51" s="743" t="str">
        <f ca="1">IF(COUNTIFS($CU$6:$CU$53,CU51,$BC$6:$BC$53,INDEX(T_Equipos[Grupo],MATCH(BD51,T_Equipos[NombreEquipo],0)))=1,"-","P."&amp;CU51&amp;" ("&amp;COUNTIFS($CU$6:$CU$53,CU51,$BC$6:$BC$53,INDEX(T_Equipos[Grupo],MATCH(BD51,T_Equipos[NombreEquipo],0)))&amp;")")</f>
        <v>P.1 (4)</v>
      </c>
      <c r="CW51" s="743">
        <f t="shared" ca="1" si="30"/>
        <v>0</v>
      </c>
      <c r="CX51" s="743">
        <f ca="1">CU51+COUNTIFS($CV$6:$CV$53,CV51,$CW$6:CW$53,"&gt;"&amp;CW51,$BC$6:$BC$53,INDEX(T_Equipos[Grupo],MATCH(BD51,T_Equipos[NombreEquipo],0)))</f>
        <v>1</v>
      </c>
      <c r="CY51" s="743" t="str">
        <f ca="1">IF(COUNTIFS($CX$6:$CX$53,CX51,$BC$6:$BC$53,INDEX(T_Equipos[Grupo],MATCH(BD51,T_Equipos[NombreEquipo],0)))=1,"-","P."&amp;CX51&amp;" ("&amp;COUNTIFS($CX$6:$CX$53,CX51,$BC$6:$BC$53,INDEX(T_Equipos[Grupo],MATCH(BD51,T_Equipos[NombreEquipo],0)))&amp;")")</f>
        <v>P.1 (4)</v>
      </c>
      <c r="CZ51" s="743">
        <f t="shared" ca="1" si="31"/>
        <v>0</v>
      </c>
      <c r="DA51" s="744">
        <f ca="1">CX51+COUNTIFS($CY$6:$CY$53,CY51,$CZ$6:CZ$53,"&gt;"&amp;CZ51,$BC$6:$BC$53,INDEX(T_Equipos[Grupo],MATCH(BD51,T_Equipos[NombreEquipo],0)))</f>
        <v>1</v>
      </c>
      <c r="DB51" s="743" t="str">
        <f ca="1">IF(COUNTIFS($DA$6:$DA$53,DA51,$BC$6:$BC$53,INDEX(T_Equipos[Grupo],MATCH(BD51,T_Equipos[NombreEquipo],0)))=1,"-","P."&amp;DA51&amp;" ("&amp;COUNTIFS($DA$6:$DA$53,DA51,$BC$6:$BC$53,INDEX(T_Equipos[Grupo],MATCH(BD51,T_Equipos[NombreEquipo],0)))&amp;")")</f>
        <v>P.1 (4)</v>
      </c>
      <c r="DC51" s="742">
        <f ca="1">IF(DB51="-","-",COUNTIFS(T_Equipos[Rank],"&lt;"&amp;INDEX(T_Equipos[Rank],MATCH(BD51,T_Equipos[NombreEquipo],0)),$BC$6:$BC$53,INDEX(T_Equipos[Grupo],MATCH(BD51,T_Equipos[NombreEquipo],0)))+1)</f>
        <v>2</v>
      </c>
      <c r="DD51" s="742">
        <f ca="1">DA51+COUNTIFS($DB$6:$DB$53,DB51,$DC$6:DC$53,"&lt;"&amp;DC51,$BC$6:$BC$53,INDEX(T_Equipos[Grupo],MATCH(BD51,T_Equipos[NombreEquipo],0)))</f>
        <v>2</v>
      </c>
      <c r="DE51" s="742"/>
      <c r="DF51" s="742">
        <f t="shared" ca="1" si="52"/>
        <v>2</v>
      </c>
      <c r="DG51" s="742">
        <f ca="1">IF(DB51="-","-",COUNTIFS(DF$6:DF$53,"&lt;"&amp;DF51,$BC$6:$BC$53,INDEX(T_Equipos[Grupo],MATCH(BD51,T_Equipos[NombreEquipo],0))))</f>
        <v>1</v>
      </c>
      <c r="DH51" s="742">
        <f ca="1">DA51+COUNTIFS(DB$6:DB$53,DB51,DG$6:DG$53,"&lt;"&amp;DG51,$BC$6:$BC$53,INDEX(T_Equipos[Grupo],MATCH(BD51,T_Equipos[NombreEquipo],0)))</f>
        <v>2</v>
      </c>
      <c r="DI51" s="730"/>
      <c r="DJ51" s="730">
        <f t="shared" ca="1" si="53"/>
        <v>1</v>
      </c>
      <c r="DK51" s="730">
        <f t="shared" ca="1" si="24"/>
        <v>0</v>
      </c>
      <c r="DL51" s="730">
        <f t="shared" ca="1" si="33"/>
        <v>1</v>
      </c>
      <c r="DM51" s="724" t="str">
        <f t="shared" ca="1" si="34"/>
        <v>1.1</v>
      </c>
      <c r="DN51" s="730" cm="1">
        <f t="array" aca="1" ref="DN51" ca="1">OFFSET(Horarios!$P$3,DJ51-1,0,DL51,1)</f>
        <v>1</v>
      </c>
      <c r="DO51" s="730"/>
      <c r="DP51" s="730" t="s">
        <v>683</v>
      </c>
      <c r="DQ51" s="730" t="str">
        <f t="shared" ca="1" si="35"/>
        <v>Croacia</v>
      </c>
      <c r="DR51" s="730"/>
      <c r="DS51" s="730"/>
      <c r="DT51" s="730" t="str">
        <f t="shared" si="15"/>
        <v>Casa-Fuera</v>
      </c>
      <c r="DU51" s="730"/>
      <c r="DV51" s="730"/>
      <c r="DW51" s="8"/>
    </row>
    <row r="52" spans="1:127" ht="15" customHeight="1" thickBot="1">
      <c r="A52" s="727" t="s">
        <v>30</v>
      </c>
      <c r="B52" s="728" t="s">
        <v>6</v>
      </c>
      <c r="C52" s="729">
        <f>COUNTIF(Equipos!$C$2:$C$49,WORLDCUP!B52)</f>
        <v>4</v>
      </c>
      <c r="D52" s="730" t="str">
        <f t="shared" ref="D52:D57" si="155">IF(OR(AC52="",AD52=""),"Pendiente",IF(AC52&gt;AD52,"Local",IF(AC52&lt;AD52,"Visitante","Empate")))</f>
        <v>Pendiente</v>
      </c>
      <c r="E52" s="730" t="str">
        <f t="shared" ref="E52:E57" si="156">IF(D52="Pendiente","-",INDEX($BT$6:$BT$53,MATCH($AA52,$BD$6:$BD$53,0)))</f>
        <v>-</v>
      </c>
      <c r="F52" s="730" t="str">
        <f t="shared" ref="F52:F57" si="157">IF(D52="Pendiente","-",INDEX($BT$6:$BT$53,MATCH($AF52,$BD$6:$BD$53,0)))</f>
        <v>-</v>
      </c>
      <c r="G52" s="730"/>
      <c r="H52" s="730" t="str">
        <f t="shared" ref="H52:H57" si="158">IF(D52="Pendiente","-",INDEX($BZ$6:$BZ$53,MATCH($AA52,$BD$6:$BD$53,0)))</f>
        <v>-</v>
      </c>
      <c r="I52" s="730" t="str">
        <f t="shared" ref="I52:I57" si="159">IF(D52="Pendiente","-",INDEX($BZ$6:$BZ$53,MATCH($AF52,$BD$6:$BD$53,0)))</f>
        <v>-</v>
      </c>
      <c r="J52" s="730"/>
      <c r="K52" s="730" t="str">
        <f t="shared" ref="K52:K57" si="160">IF(D52="Pendiente","-",INDEX($CE$6:$CE$53,MATCH($AA52,$BD$6:$BD$53,0)))</f>
        <v>-</v>
      </c>
      <c r="L52" s="730" t="str">
        <f t="shared" ref="L52:L57" si="161">IF(D52="Pendiente","-",INDEX($CE$6:$CE$53,MATCH($AF52,$BD$6:$BD$53,0)))</f>
        <v>-</v>
      </c>
      <c r="M52" s="730"/>
      <c r="N52" s="730" t="str">
        <f t="shared" ref="N52:N57" si="162">IF(D52="Pendiente","-",INDEX($CH$6:$CH$53,MATCH($AA52,$BD$6:$BD$53,0)))</f>
        <v>-</v>
      </c>
      <c r="O52" s="730" t="str">
        <f t="shared" ref="O52:O57" si="163">IF(D52="Pendiente","-",INDEX($CH$6:$CH$53,MATCH($AF52,$BD$6:$BD$53,0)))</f>
        <v>-</v>
      </c>
      <c r="P52" s="730"/>
      <c r="Q52" s="730" t="str">
        <f t="shared" ref="Q52:Q57" si="164">IF(D52="Pendiente","-",INDEX($CN$6:$CN$53,MATCH($AA52,$BD$6:$BD$53,0)))</f>
        <v>-</v>
      </c>
      <c r="R52" s="730" t="str">
        <f t="shared" ref="R52:R57" si="165">IF(D52="Pendiente","-",INDEX($CN$6:$CN$53,MATCH($AF52,$BD$6:$BD$53,0)))</f>
        <v>-</v>
      </c>
      <c r="S52" s="730"/>
      <c r="T52" s="730" t="str">
        <f t="shared" ref="T52:T57" si="166">IF(D52="Pendiente","-",INDEX($CS$6:$CS$53,MATCH($AA52,$BD$6:$BD$53,0)))</f>
        <v>-</v>
      </c>
      <c r="U52" s="730" t="str">
        <f t="shared" ref="U52:U57" si="167">IF(D52="Pendiente","-",INDEX($CS$6:$CS$53,MATCH($AF52,$BD$6:$BD$53,0)))</f>
        <v>-</v>
      </c>
      <c r="V52" s="170"/>
      <c r="W52" s="892" t="s">
        <v>6</v>
      </c>
      <c r="X52" s="187">
        <f ca="1">Horarios!C52</f>
        <v>46188.625</v>
      </c>
      <c r="Y52" s="188">
        <f ca="1">Horarios!C52</f>
        <v>46188.625</v>
      </c>
      <c r="Z52" s="189" t="str">
        <f>$Z$4</f>
        <v>J1</v>
      </c>
      <c r="AA52" s="190" t="str">
        <f ca="1">A53</f>
        <v>Bélgica</v>
      </c>
      <c r="AB52" s="475" t="e" cm="1" vm="25">
        <f t="array" aca="1" ref="AB52" ca="1">Ver_flag_local</f>
        <v>#VALUE!</v>
      </c>
      <c r="AC52" s="191"/>
      <c r="AD52" s="192"/>
      <c r="AE52" s="480" t="e" cm="1" vm="26">
        <f t="array" aca="1" ref="AE52" ca="1">Ver_flag_visit</f>
        <v>#VALUE!</v>
      </c>
      <c r="AF52" s="193" t="str">
        <f ca="1">A54</f>
        <v>Egipto</v>
      </c>
      <c r="AG52" s="411">
        <f t="shared" ref="AG52:AG57" si="168">IF(NOT(OR(ISBLANK(AC52),ISBLANK(AD52))),1,0)</f>
        <v>0</v>
      </c>
      <c r="AH52" s="194">
        <v>16</v>
      </c>
      <c r="AI52" s="19"/>
      <c r="AJ52" s="195" t="str">
        <f>CONCATENATE($AJ$3," ",B52)</f>
        <v>Grupo G</v>
      </c>
      <c r="AK52" s="196"/>
      <c r="AL52" s="196"/>
      <c r="AM52" s="196"/>
      <c r="AN52" s="196"/>
      <c r="AO52" s="196"/>
      <c r="AP52" s="196"/>
      <c r="AQ52" s="196"/>
      <c r="AR52" s="196"/>
      <c r="AS52" s="196"/>
      <c r="AT52" s="197"/>
      <c r="AU52" s="419"/>
      <c r="AV52" s="198" t="str">
        <f t="shared" ref="AV52" ca="1" si="169">IF(AU53&gt;0,$AV$3,"")</f>
        <v/>
      </c>
      <c r="AW52" s="206"/>
      <c r="AX52" s="253"/>
      <c r="AY52" s="240"/>
      <c r="AZ52" s="241"/>
      <c r="BA52" s="173"/>
      <c r="BB52" s="730"/>
      <c r="BC52" s="742" t="str">
        <f ca="1">+INDEX(T_Equipos[Grupo],MATCH(WORLDCUP!BD52,T_Equipos[NombreEquipo],0))</f>
        <v>L</v>
      </c>
      <c r="BD52" s="730" t="str">
        <f ca="1">+Equipos!B48</f>
        <v>Ghana</v>
      </c>
      <c r="BE52" s="734">
        <f t="shared" ca="1" si="25"/>
        <v>0</v>
      </c>
      <c r="BF52" s="734">
        <f t="shared" ca="1" si="26"/>
        <v>0</v>
      </c>
      <c r="BG52" s="734">
        <f t="shared" ca="1" si="17"/>
        <v>0</v>
      </c>
      <c r="BH52" s="734">
        <f t="shared" ca="1" si="18"/>
        <v>0</v>
      </c>
      <c r="BI52" s="734">
        <f t="shared" ca="1" si="19"/>
        <v>0</v>
      </c>
      <c r="BJ52" s="734">
        <f t="shared" ca="1" si="20"/>
        <v>0</v>
      </c>
      <c r="BK52" s="734">
        <f t="shared" ca="1" si="21"/>
        <v>0</v>
      </c>
      <c r="BL52" s="734">
        <f t="shared" ca="1" si="27"/>
        <v>0</v>
      </c>
      <c r="BM52" s="734" t="str">
        <f t="shared" ca="1" si="22"/>
        <v>3L</v>
      </c>
      <c r="BN52" s="734" t="str">
        <f t="shared" ca="1" si="23"/>
        <v>3L</v>
      </c>
      <c r="BO52" s="744">
        <f t="shared" ca="1" si="28"/>
        <v>0</v>
      </c>
      <c r="BP52" s="743">
        <f ca="1">COUNTIFS($BO$6:$BO$53,"&gt;"&amp;BO52,$BC$6:$BC$53,INDEX(T_Equipos[Grupo],MATCH(BD52,T_Equipos[NombreEquipo],0)))+1</f>
        <v>1</v>
      </c>
      <c r="BQ52" s="743" t="str">
        <f ca="1">IF(COUNTIFS($BP$6:$BP$53,BP52,$BC$6:$BC$53,INDEX(T_Equipos[Grupo],MATCH(BD52,T_Equipos[NombreEquipo],0)))=1,"-","P."&amp;BP52&amp;" ("&amp;COUNTIFS($BP$6:$BP$53,BP52,$BC$6:$BC$53,INDEX(T_Equipos[Grupo],MATCH(BD52,T_Equipos[NombreEquipo],0)))&amp;")")</f>
        <v>P.1 (4)</v>
      </c>
      <c r="BR52" s="744">
        <f t="shared" ca="1" si="29"/>
        <v>0</v>
      </c>
      <c r="BS52" s="743">
        <f ca="1">BP52+COUNTIFS($BQ$6:$BQ$53,BQ52,$BR$6:BR$53,"&gt;"&amp;BR52,$BC$6:$BC$53,INDEX(T_Equipos[Grupo],MATCH(BD52,T_Equipos[NombreEquipo],0)))</f>
        <v>1</v>
      </c>
      <c r="BT52" s="743" t="str">
        <f ca="1">IF(COUNTIFS($BS$6:$BS$53,BS52,$BC$6:$BC$53,INDEX(T_Equipos[Grupo],MATCH(BD52,T_Equipos[NombreEquipo],0)))=1,"-","P."&amp;BS52&amp;" ("&amp;COUNTIFS($BS$6:$BS$53,BS52,$BC$6:$BC$53,INDEX(T_Equipos[Grupo],MATCH(BD52,T_Equipos[NombreEquipo],0)))&amp;")")</f>
        <v>P.1 (4)</v>
      </c>
      <c r="BU52" s="744">
        <f t="shared" ca="1" si="36"/>
        <v>0</v>
      </c>
      <c r="BV52" s="744">
        <f t="shared" ca="1" si="37"/>
        <v>0</v>
      </c>
      <c r="BW52" s="744">
        <f t="shared" ca="1" si="38"/>
        <v>0</v>
      </c>
      <c r="BX52" s="744">
        <f t="shared" ca="1" si="39"/>
        <v>0</v>
      </c>
      <c r="BY52" s="744">
        <f ca="1">BS52+COUNTIFS($BT$6:$BT$53,BT52,$BX$6:BX$53,"&gt;"&amp;BX52,$BC$6:$BC$53,INDEX(T_Equipos[Grupo],MATCH(BD52,T_Equipos[NombreEquipo],0)))</f>
        <v>1</v>
      </c>
      <c r="BZ52" s="743" t="str">
        <f ca="1">IF(COUNTIFS($BY$6:$BY$53,BY52,$BC$6:$BC$53,INDEX(T_Equipos[Grupo],MATCH(BD52,T_Equipos[NombreEquipo],0)))=1,"-","P."&amp;BY52&amp;" ("&amp;COUNTIFS($BY$6:$BY$53,BY52,$BC$6:$BC$53,INDEX(T_Equipos[Grupo],MATCH(BD52,T_Equipos[NombreEquipo],0)))&amp;")")</f>
        <v>P.1 (4)</v>
      </c>
      <c r="CA52" s="744">
        <f t="shared" ca="1" si="40"/>
        <v>0</v>
      </c>
      <c r="CB52" s="744">
        <f t="shared" ca="1" si="41"/>
        <v>0</v>
      </c>
      <c r="CC52" s="744">
        <f t="shared" ca="1" si="42"/>
        <v>0</v>
      </c>
      <c r="CD52" s="744">
        <f ca="1">BY52+COUNTIFS($BZ$6:$BZ$53,BZ52,$CC$6:CC$53,"&gt;"&amp;CC52,$BC$6:$BC$53,INDEX(T_Equipos[Grupo],MATCH(BD52,T_Equipos[NombreEquipo],0)))</f>
        <v>1</v>
      </c>
      <c r="CE52" s="743" t="str">
        <f ca="1">IF(COUNTIFS($CD$6:$CD$53,CD52,$BC$6:$BC$53,INDEX(T_Equipos[Grupo],MATCH(BD52,T_Equipos[NombreEquipo],0)))=1,"-","P."&amp;CD52&amp;" ("&amp;COUNTIFS($CD$6:$CD$53,CD52,$BC$6:$BC$53,INDEX(T_Equipos[Grupo],MATCH(BD52,T_Equipos[NombreEquipo],0)))&amp;")")</f>
        <v>P.1 (4)</v>
      </c>
      <c r="CF52" s="744">
        <f t="shared" ca="1" si="43"/>
        <v>0</v>
      </c>
      <c r="CG52" s="744">
        <f ca="1">CD52+COUNTIFS($CE$6:$CE$53,CE52,$CF$6:CF$53,"&gt;"&amp;CF52,$BC$6:$BC$53,INDEX(T_Equipos[Grupo],MATCH(BD52,T_Equipos[NombreEquipo],0)))</f>
        <v>1</v>
      </c>
      <c r="CH52" s="743" t="str">
        <f ca="1">IF(COUNTIFS($CG$6:$CG$53,CG52,$BC$6:$BC$53,INDEX(T_Equipos[Grupo],MATCH(BD52,T_Equipos[NombreEquipo],0)))=1,"-","P."&amp;CG52&amp;" ("&amp;COUNTIFS($CG$6:$CG$53,CG52,$BC$6:$BC$53,INDEX(T_Equipos[Grupo],MATCH(BD52,T_Equipos[NombreEquipo],0)))&amp;")")</f>
        <v>P.1 (4)</v>
      </c>
      <c r="CI52" s="744">
        <f t="shared" ca="1" si="44"/>
        <v>0</v>
      </c>
      <c r="CJ52" s="744">
        <f t="shared" ca="1" si="45"/>
        <v>0</v>
      </c>
      <c r="CK52" s="744">
        <f t="shared" ca="1" si="46"/>
        <v>0</v>
      </c>
      <c r="CL52" s="744">
        <f t="shared" ca="1" si="47"/>
        <v>0</v>
      </c>
      <c r="CM52" s="744">
        <f ca="1">CG52+COUNTIFS($CH$6:$CH$53,CH52,$CL$6:CL$53,"&gt;"&amp;CL52,$BC$6:$BC$53,INDEX(T_Equipos[Grupo],MATCH(BD52,T_Equipos[NombreEquipo],0)))</f>
        <v>1</v>
      </c>
      <c r="CN52" s="743" t="str">
        <f ca="1">IF(COUNTIFS($CM$6:$CM$53,CM52,$BC$6:$BC$53,INDEX(T_Equipos[Grupo],MATCH(BD52,T_Equipos[NombreEquipo],0)))=1,"-","P."&amp;CM52&amp;" ("&amp;COUNTIFS($CM$6:$CM$53,CM52,$BC$6:$BC$53,INDEX(T_Equipos[Grupo],MATCH(BD52,T_Equipos[NombreEquipo],0)))&amp;")")</f>
        <v>P.1 (4)</v>
      </c>
      <c r="CO52" s="744">
        <f t="shared" ca="1" si="48"/>
        <v>0</v>
      </c>
      <c r="CP52" s="744">
        <f t="shared" ca="1" si="49"/>
        <v>0</v>
      </c>
      <c r="CQ52" s="744">
        <f t="shared" ca="1" si="50"/>
        <v>0</v>
      </c>
      <c r="CR52" s="744">
        <f ca="1">CM52+COUNTIFS($CN$6:$CN$53,CN52,$CQ$6:CQ$53,"&gt;"&amp;CQ52,$BC$6:$BC$53,INDEX(T_Equipos[Grupo],MATCH(BD52,T_Equipos[NombreEquipo],0)))</f>
        <v>1</v>
      </c>
      <c r="CS52" s="743" t="str">
        <f ca="1">IF(COUNTIFS($CR$6:$CR$53,CR52,$BC$6:$BC$53,INDEX(T_Equipos[Grupo],MATCH(BD52,T_Equipos[NombreEquipo],0)))=1,"-","P."&amp;CR52&amp;" ("&amp;COUNTIFS($CR$6:$CR$53,CR52,$BC$6:$BC$53,INDEX(T_Equipos[Grupo],MATCH(BD52,T_Equipos[NombreEquipo],0)))&amp;")")</f>
        <v>P.1 (4)</v>
      </c>
      <c r="CT52" s="744">
        <f t="shared" ca="1" si="51"/>
        <v>0</v>
      </c>
      <c r="CU52" s="744">
        <f ca="1">CR52+COUNTIFS($CS$6:$CS$53,CS52,$CT$6:CT$53,"&gt;"&amp;CT52,$BC$6:$BC$53,INDEX(T_Equipos[Grupo],MATCH(BD52,T_Equipos[NombreEquipo],0)))</f>
        <v>1</v>
      </c>
      <c r="CV52" s="743" t="str">
        <f ca="1">IF(COUNTIFS($CU$6:$CU$53,CU52,$BC$6:$BC$53,INDEX(T_Equipos[Grupo],MATCH(BD52,T_Equipos[NombreEquipo],0)))=1,"-","P."&amp;CU52&amp;" ("&amp;COUNTIFS($CU$6:$CU$53,CU52,$BC$6:$BC$53,INDEX(T_Equipos[Grupo],MATCH(BD52,T_Equipos[NombreEquipo],0)))&amp;")")</f>
        <v>P.1 (4)</v>
      </c>
      <c r="CW52" s="743">
        <f t="shared" ca="1" si="30"/>
        <v>0</v>
      </c>
      <c r="CX52" s="743">
        <f ca="1">CU52+COUNTIFS($CV$6:$CV$53,CV52,$CW$6:CW$53,"&gt;"&amp;CW52,$BC$6:$BC$53,INDEX(T_Equipos[Grupo],MATCH(BD52,T_Equipos[NombreEquipo],0)))</f>
        <v>1</v>
      </c>
      <c r="CY52" s="743" t="str">
        <f ca="1">IF(COUNTIFS($CX$6:$CX$53,CX52,$BC$6:$BC$53,INDEX(T_Equipos[Grupo],MATCH(BD52,T_Equipos[NombreEquipo],0)))=1,"-","P."&amp;CX52&amp;" ("&amp;COUNTIFS($CX$6:$CX$53,CX52,$BC$6:$BC$53,INDEX(T_Equipos[Grupo],MATCH(BD52,T_Equipos[NombreEquipo],0)))&amp;")")</f>
        <v>P.1 (4)</v>
      </c>
      <c r="CZ52" s="743">
        <f t="shared" ca="1" si="31"/>
        <v>0</v>
      </c>
      <c r="DA52" s="744">
        <f ca="1">CX52+COUNTIFS($CY$6:$CY$53,CY52,$CZ$6:CZ$53,"&gt;"&amp;CZ52,$BC$6:$BC$53,INDEX(T_Equipos[Grupo],MATCH(BD52,T_Equipos[NombreEquipo],0)))</f>
        <v>1</v>
      </c>
      <c r="DB52" s="743" t="str">
        <f ca="1">IF(COUNTIFS($DA$6:$DA$53,DA52,$BC$6:$BC$53,INDEX(T_Equipos[Grupo],MATCH(BD52,T_Equipos[NombreEquipo],0)))=1,"-","P."&amp;DA52&amp;" ("&amp;COUNTIFS($DA$6:$DA$53,DA52,$BC$6:$BC$53,INDEX(T_Equipos[Grupo],MATCH(BD52,T_Equipos[NombreEquipo],0)))&amp;")")</f>
        <v>P.1 (4)</v>
      </c>
      <c r="DC52" s="742">
        <f ca="1">IF(DB52="-","-",COUNTIFS(T_Equipos[Rank],"&lt;"&amp;INDEX(T_Equipos[Rank],MATCH(BD52,T_Equipos[NombreEquipo],0)),$BC$6:$BC$53,INDEX(T_Equipos[Grupo],MATCH(BD52,T_Equipos[NombreEquipo],0)))+1)</f>
        <v>3</v>
      </c>
      <c r="DD52" s="742">
        <f ca="1">DA52+COUNTIFS($DB$6:$DB$53,DB52,$DC$6:DC$53,"&lt;"&amp;DC52,$BC$6:$BC$53,INDEX(T_Equipos[Grupo],MATCH(BD52,T_Equipos[NombreEquipo],0)))</f>
        <v>3</v>
      </c>
      <c r="DE52" s="742"/>
      <c r="DF52" s="742">
        <f t="shared" ca="1" si="52"/>
        <v>3</v>
      </c>
      <c r="DG52" s="742">
        <f ca="1">IF(DB52="-","-",COUNTIFS(DF$6:DF$53,"&lt;"&amp;DF52,$BC$6:$BC$53,INDEX(T_Equipos[Grupo],MATCH(BD52,T_Equipos[NombreEquipo],0))))</f>
        <v>2</v>
      </c>
      <c r="DH52" s="742">
        <f ca="1">DA52+COUNTIFS(DB$6:DB$53,DB52,DG$6:DG$53,"&lt;"&amp;DG52,$BC$6:$BC$53,INDEX(T_Equipos[Grupo],MATCH(BD52,T_Equipos[NombreEquipo],0)))</f>
        <v>3</v>
      </c>
      <c r="DI52" s="730"/>
      <c r="DJ52" s="730">
        <f t="shared" ca="1" si="53"/>
        <v>1</v>
      </c>
      <c r="DK52" s="730">
        <f t="shared" ca="1" si="24"/>
        <v>0</v>
      </c>
      <c r="DL52" s="730">
        <f t="shared" ca="1" si="33"/>
        <v>1</v>
      </c>
      <c r="DM52" s="724" t="str">
        <f t="shared" ca="1" si="34"/>
        <v>1.1</v>
      </c>
      <c r="DN52" s="730" cm="1">
        <f t="array" aca="1" ref="DN52" ca="1">OFFSET(Horarios!$P$3,DJ52-1,0,DL52,1)</f>
        <v>1</v>
      </c>
      <c r="DO52" s="730"/>
      <c r="DP52" s="730" t="s">
        <v>443</v>
      </c>
      <c r="DQ52" s="730" t="str">
        <f t="shared" ca="1" si="35"/>
        <v>Ghana</v>
      </c>
      <c r="DR52" s="730"/>
      <c r="DS52" s="730"/>
      <c r="DT52" s="730" t="str">
        <f t="shared" ca="1" si="15"/>
        <v>Bélgica-Egipto</v>
      </c>
      <c r="DU52" s="730"/>
      <c r="DV52" s="730"/>
      <c r="DW52" s="8"/>
    </row>
    <row r="53" spans="1:127">
      <c r="A53" s="731" t="str">
        <f ca="1">+Equipos!B26</f>
        <v>Bélgica</v>
      </c>
      <c r="B53" s="728"/>
      <c r="C53" s="728"/>
      <c r="D53" s="730" t="str">
        <f t="shared" si="155"/>
        <v>Pendiente</v>
      </c>
      <c r="E53" s="730" t="str">
        <f t="shared" si="156"/>
        <v>-</v>
      </c>
      <c r="F53" s="730" t="str">
        <f t="shared" si="157"/>
        <v>-</v>
      </c>
      <c r="G53" s="730"/>
      <c r="H53" s="730" t="str">
        <f t="shared" si="158"/>
        <v>-</v>
      </c>
      <c r="I53" s="730" t="str">
        <f t="shared" si="159"/>
        <v>-</v>
      </c>
      <c r="J53" s="730"/>
      <c r="K53" s="730" t="str">
        <f t="shared" si="160"/>
        <v>-</v>
      </c>
      <c r="L53" s="730" t="str">
        <f t="shared" si="161"/>
        <v>-</v>
      </c>
      <c r="M53" s="730"/>
      <c r="N53" s="730" t="str">
        <f t="shared" si="162"/>
        <v>-</v>
      </c>
      <c r="O53" s="730" t="str">
        <f t="shared" si="163"/>
        <v>-</v>
      </c>
      <c r="P53" s="730"/>
      <c r="Q53" s="730" t="str">
        <f t="shared" si="164"/>
        <v>-</v>
      </c>
      <c r="R53" s="730" t="str">
        <f t="shared" si="165"/>
        <v>-</v>
      </c>
      <c r="S53" s="730"/>
      <c r="T53" s="730" t="str">
        <f t="shared" si="166"/>
        <v>-</v>
      </c>
      <c r="U53" s="730" t="str">
        <f t="shared" si="167"/>
        <v>-</v>
      </c>
      <c r="V53" s="170"/>
      <c r="W53" s="892"/>
      <c r="X53" s="187">
        <f ca="1">Horarios!C53</f>
        <v>46188.875</v>
      </c>
      <c r="Y53" s="188">
        <f ca="1">Horarios!C53</f>
        <v>46188.875</v>
      </c>
      <c r="Z53" s="189" t="str">
        <f>$Z$4</f>
        <v>J1</v>
      </c>
      <c r="AA53" s="190" t="str">
        <f ca="1">A55</f>
        <v>Irán</v>
      </c>
      <c r="AB53" s="475" t="e" cm="1" vm="27">
        <f t="array" aca="1" ref="AB53" ca="1">Ver_flag_local</f>
        <v>#VALUE!</v>
      </c>
      <c r="AC53" s="191"/>
      <c r="AD53" s="192"/>
      <c r="AE53" s="480" t="e" cm="1" vm="28">
        <f t="array" aca="1" ref="AE53" ca="1">Ver_flag_visit</f>
        <v>#VALUE!</v>
      </c>
      <c r="AF53" s="193" t="str">
        <f ca="1">A56</f>
        <v>Nueva Zelanda</v>
      </c>
      <c r="AG53" s="411">
        <f t="shared" si="168"/>
        <v>0</v>
      </c>
      <c r="AH53" s="194">
        <v>15</v>
      </c>
      <c r="AI53" s="19"/>
      <c r="AJ53" s="202" t="str">
        <f>AJ5</f>
        <v>Pos</v>
      </c>
      <c r="AK53" s="203"/>
      <c r="AL53" s="204" t="str">
        <f t="shared" ref="AL53:AT53" si="170">AL5</f>
        <v>Selección</v>
      </c>
      <c r="AM53" s="203" t="str">
        <f t="shared" si="170"/>
        <v>Pts</v>
      </c>
      <c r="AN53" s="203" t="str">
        <f t="shared" si="170"/>
        <v>J</v>
      </c>
      <c r="AO53" s="203" t="str">
        <f t="shared" si="170"/>
        <v>G</v>
      </c>
      <c r="AP53" s="203" t="str">
        <f t="shared" si="170"/>
        <v>E</v>
      </c>
      <c r="AQ53" s="203" t="str">
        <f t="shared" si="170"/>
        <v>P</v>
      </c>
      <c r="AR53" s="203" t="str">
        <f t="shared" si="170"/>
        <v>GF</v>
      </c>
      <c r="AS53" s="203" t="str">
        <f t="shared" si="170"/>
        <v>GC</v>
      </c>
      <c r="AT53" s="205" t="str">
        <f t="shared" si="170"/>
        <v>DG</v>
      </c>
      <c r="AU53" s="419">
        <f t="shared" ref="AU53" ca="1" si="171">COUNTIF(AU54:AU57,"&gt;1")</f>
        <v>0</v>
      </c>
      <c r="AV53" s="206"/>
      <c r="AW53" s="206"/>
      <c r="AX53" s="253"/>
      <c r="AY53" s="207" t="str">
        <f>AL53</f>
        <v>Selección</v>
      </c>
      <c r="AZ53" s="208" t="str">
        <f>+Idiomas!$D$69</f>
        <v>Puntos penalizados</v>
      </c>
      <c r="BA53" s="173"/>
      <c r="BB53" s="730"/>
      <c r="BC53" s="742" t="str">
        <f ca="1">+INDEX(T_Equipos[Grupo],MATCH(WORLDCUP!BD53,T_Equipos[NombreEquipo],0))</f>
        <v>L</v>
      </c>
      <c r="BD53" s="730" t="str">
        <f ca="1">+Equipos!B49</f>
        <v>Panamá</v>
      </c>
      <c r="BE53" s="734">
        <f t="shared" ca="1" si="25"/>
        <v>0</v>
      </c>
      <c r="BF53" s="734">
        <f t="shared" ca="1" si="26"/>
        <v>0</v>
      </c>
      <c r="BG53" s="734">
        <f t="shared" ca="1" si="17"/>
        <v>0</v>
      </c>
      <c r="BH53" s="734">
        <f t="shared" ca="1" si="18"/>
        <v>0</v>
      </c>
      <c r="BI53" s="734">
        <f t="shared" ca="1" si="19"/>
        <v>0</v>
      </c>
      <c r="BJ53" s="734">
        <f t="shared" ca="1" si="20"/>
        <v>0</v>
      </c>
      <c r="BK53" s="734">
        <f t="shared" ca="1" si="21"/>
        <v>0</v>
      </c>
      <c r="BL53" s="734">
        <f t="shared" ca="1" si="27"/>
        <v>0</v>
      </c>
      <c r="BM53" s="734" t="str">
        <f t="shared" ca="1" si="22"/>
        <v>4L</v>
      </c>
      <c r="BN53" s="734" t="str">
        <f t="shared" ca="1" si="23"/>
        <v>4L</v>
      </c>
      <c r="BO53" s="744">
        <f t="shared" ca="1" si="28"/>
        <v>0</v>
      </c>
      <c r="BP53" s="743">
        <f ca="1">COUNTIFS($BO$6:$BO$53,"&gt;"&amp;BO53,$BC$6:$BC$53,INDEX(T_Equipos[Grupo],MATCH(BD53,T_Equipos[NombreEquipo],0)))+1</f>
        <v>1</v>
      </c>
      <c r="BQ53" s="743" t="str">
        <f ca="1">IF(COUNTIFS($BP$6:$BP$53,BP53,$BC$6:$BC$53,INDEX(T_Equipos[Grupo],MATCH(BD53,T_Equipos[NombreEquipo],0)))=1,"-","P."&amp;BP53&amp;" ("&amp;COUNTIFS($BP$6:$BP$53,BP53,$BC$6:$BC$53,INDEX(T_Equipos[Grupo],MATCH(BD53,T_Equipos[NombreEquipo],0)))&amp;")")</f>
        <v>P.1 (4)</v>
      </c>
      <c r="BR53" s="744">
        <f t="shared" ca="1" si="29"/>
        <v>0</v>
      </c>
      <c r="BS53" s="743">
        <f ca="1">BP53+COUNTIFS($BQ$6:$BQ$53,BQ53,$BR$6:BR$53,"&gt;"&amp;BR53,$BC$6:$BC$53,INDEX(T_Equipos[Grupo],MATCH(BD53,T_Equipos[NombreEquipo],0)))</f>
        <v>1</v>
      </c>
      <c r="BT53" s="743" t="str">
        <f ca="1">IF(COUNTIFS($BS$6:$BS$53,BS53,$BC$6:$BC$53,INDEX(T_Equipos[Grupo],MATCH(BD53,T_Equipos[NombreEquipo],0)))=1,"-","P."&amp;BS53&amp;" ("&amp;COUNTIFS($BS$6:$BS$53,BS53,$BC$6:$BC$53,INDEX(T_Equipos[Grupo],MATCH(BD53,T_Equipos[NombreEquipo],0)))&amp;")")</f>
        <v>P.1 (4)</v>
      </c>
      <c r="BU53" s="744">
        <f t="shared" ca="1" si="36"/>
        <v>0</v>
      </c>
      <c r="BV53" s="744">
        <f t="shared" ca="1" si="37"/>
        <v>0</v>
      </c>
      <c r="BW53" s="744">
        <f t="shared" ca="1" si="38"/>
        <v>0</v>
      </c>
      <c r="BX53" s="744">
        <f t="shared" ca="1" si="39"/>
        <v>0</v>
      </c>
      <c r="BY53" s="744">
        <f ca="1">BS53+COUNTIFS($BT$6:$BT$53,BT53,$BX$6:BX$53,"&gt;"&amp;BX53,$BC$6:$BC$53,INDEX(T_Equipos[Grupo],MATCH(BD53,T_Equipos[NombreEquipo],0)))</f>
        <v>1</v>
      </c>
      <c r="BZ53" s="743" t="str">
        <f ca="1">IF(COUNTIFS($BY$6:$BY$53,BY53,$BC$6:$BC$53,INDEX(T_Equipos[Grupo],MATCH(BD53,T_Equipos[NombreEquipo],0)))=1,"-","P."&amp;BY53&amp;" ("&amp;COUNTIFS($BY$6:$BY$53,BY53,$BC$6:$BC$53,INDEX(T_Equipos[Grupo],MATCH(BD53,T_Equipos[NombreEquipo],0)))&amp;")")</f>
        <v>P.1 (4)</v>
      </c>
      <c r="CA53" s="744">
        <f t="shared" ca="1" si="40"/>
        <v>0</v>
      </c>
      <c r="CB53" s="744">
        <f t="shared" ca="1" si="41"/>
        <v>0</v>
      </c>
      <c r="CC53" s="744">
        <f t="shared" ca="1" si="42"/>
        <v>0</v>
      </c>
      <c r="CD53" s="744">
        <f ca="1">BY53+COUNTIFS($BZ$6:$BZ$53,BZ53,$CC$6:CC$53,"&gt;"&amp;CC53,$BC$6:$BC$53,INDEX(T_Equipos[Grupo],MATCH(BD53,T_Equipos[NombreEquipo],0)))</f>
        <v>1</v>
      </c>
      <c r="CE53" s="743" t="str">
        <f ca="1">IF(COUNTIFS($CD$6:$CD$53,CD53,$BC$6:$BC$53,INDEX(T_Equipos[Grupo],MATCH(BD53,T_Equipos[NombreEquipo],0)))=1,"-","P."&amp;CD53&amp;" ("&amp;COUNTIFS($CD$6:$CD$53,CD53,$BC$6:$BC$53,INDEX(T_Equipos[Grupo],MATCH(BD53,T_Equipos[NombreEquipo],0)))&amp;")")</f>
        <v>P.1 (4)</v>
      </c>
      <c r="CF53" s="744">
        <f t="shared" ca="1" si="43"/>
        <v>0</v>
      </c>
      <c r="CG53" s="744">
        <f ca="1">CD53+COUNTIFS($CE$6:$CE$53,CE53,$CF$6:CF$53,"&gt;"&amp;CF53,$BC$6:$BC$53,INDEX(T_Equipos[Grupo],MATCH(BD53,T_Equipos[NombreEquipo],0)))</f>
        <v>1</v>
      </c>
      <c r="CH53" s="743" t="str">
        <f ca="1">IF(COUNTIFS($CG$6:$CG$53,CG53,$BC$6:$BC$53,INDEX(T_Equipos[Grupo],MATCH(BD53,T_Equipos[NombreEquipo],0)))=1,"-","P."&amp;CG53&amp;" ("&amp;COUNTIFS($CG$6:$CG$53,CG53,$BC$6:$BC$53,INDEX(T_Equipos[Grupo],MATCH(BD53,T_Equipos[NombreEquipo],0)))&amp;")")</f>
        <v>P.1 (4)</v>
      </c>
      <c r="CI53" s="744">
        <f t="shared" ca="1" si="44"/>
        <v>0</v>
      </c>
      <c r="CJ53" s="744">
        <f t="shared" ca="1" si="45"/>
        <v>0</v>
      </c>
      <c r="CK53" s="744">
        <f t="shared" ca="1" si="46"/>
        <v>0</v>
      </c>
      <c r="CL53" s="744">
        <f t="shared" ca="1" si="47"/>
        <v>0</v>
      </c>
      <c r="CM53" s="744">
        <f ca="1">CG53+COUNTIFS($CH$6:$CH$53,CH53,$CL$6:CL$53,"&gt;"&amp;CL53,$BC$6:$BC$53,INDEX(T_Equipos[Grupo],MATCH(BD53,T_Equipos[NombreEquipo],0)))</f>
        <v>1</v>
      </c>
      <c r="CN53" s="743" t="str">
        <f ca="1">IF(COUNTIFS($CM$6:$CM$53,CM53,$BC$6:$BC$53,INDEX(T_Equipos[Grupo],MATCH(BD53,T_Equipos[NombreEquipo],0)))=1,"-","P."&amp;CM53&amp;" ("&amp;COUNTIFS($CM$6:$CM$53,CM53,$BC$6:$BC$53,INDEX(T_Equipos[Grupo],MATCH(BD53,T_Equipos[NombreEquipo],0)))&amp;")")</f>
        <v>P.1 (4)</v>
      </c>
      <c r="CO53" s="744">
        <f t="shared" ca="1" si="48"/>
        <v>0</v>
      </c>
      <c r="CP53" s="744">
        <f t="shared" ca="1" si="49"/>
        <v>0</v>
      </c>
      <c r="CQ53" s="744">
        <f t="shared" ca="1" si="50"/>
        <v>0</v>
      </c>
      <c r="CR53" s="744">
        <f ca="1">CM53+COUNTIFS($CN$6:$CN$53,CN53,$CQ$6:CQ$53,"&gt;"&amp;CQ53,$BC$6:$BC$53,INDEX(T_Equipos[Grupo],MATCH(BD53,T_Equipos[NombreEquipo],0)))</f>
        <v>1</v>
      </c>
      <c r="CS53" s="743" t="str">
        <f ca="1">IF(COUNTIFS($CR$6:$CR$53,CR53,$BC$6:$BC$53,INDEX(T_Equipos[Grupo],MATCH(BD53,T_Equipos[NombreEquipo],0)))=1,"-","P."&amp;CR53&amp;" ("&amp;COUNTIFS($CR$6:$CR$53,CR53,$BC$6:$BC$53,INDEX(T_Equipos[Grupo],MATCH(BD53,T_Equipos[NombreEquipo],0)))&amp;")")</f>
        <v>P.1 (4)</v>
      </c>
      <c r="CT53" s="744">
        <f t="shared" ca="1" si="51"/>
        <v>0</v>
      </c>
      <c r="CU53" s="744">
        <f ca="1">CR53+COUNTIFS($CS$6:$CS$53,CS53,$CT$6:CT$53,"&gt;"&amp;CT53,$BC$6:$BC$53,INDEX(T_Equipos[Grupo],MATCH(BD53,T_Equipos[NombreEquipo],0)))</f>
        <v>1</v>
      </c>
      <c r="CV53" s="743" t="str">
        <f ca="1">IF(COUNTIFS($CU$6:$CU$53,CU53,$BC$6:$BC$53,INDEX(T_Equipos[Grupo],MATCH(BD53,T_Equipos[NombreEquipo],0)))=1,"-","P."&amp;CU53&amp;" ("&amp;COUNTIFS($CU$6:$CU$53,CU53,$BC$6:$BC$53,INDEX(T_Equipos[Grupo],MATCH(BD53,T_Equipos[NombreEquipo],0)))&amp;")")</f>
        <v>P.1 (4)</v>
      </c>
      <c r="CW53" s="743">
        <f t="shared" ca="1" si="30"/>
        <v>0</v>
      </c>
      <c r="CX53" s="743">
        <f ca="1">CU53+COUNTIFS($CV$6:$CV$53,CV53,$CW$6:CW$53,"&gt;"&amp;CW53,$BC$6:$BC$53,INDEX(T_Equipos[Grupo],MATCH(BD53,T_Equipos[NombreEquipo],0)))</f>
        <v>1</v>
      </c>
      <c r="CY53" s="743" t="str">
        <f ca="1">IF(COUNTIFS($CX$6:$CX$53,CX53,$BC$6:$BC$53,INDEX(T_Equipos[Grupo],MATCH(BD53,T_Equipos[NombreEquipo],0)))=1,"-","P."&amp;CX53&amp;" ("&amp;COUNTIFS($CX$6:$CX$53,CX53,$BC$6:$BC$53,INDEX(T_Equipos[Grupo],MATCH(BD53,T_Equipos[NombreEquipo],0)))&amp;")")</f>
        <v>P.1 (4)</v>
      </c>
      <c r="CZ53" s="743">
        <f t="shared" ca="1" si="31"/>
        <v>0</v>
      </c>
      <c r="DA53" s="744">
        <f ca="1">CX53+COUNTIFS($CY$6:$CY$53,CY53,$CZ$6:CZ$53,"&gt;"&amp;CZ53,$BC$6:$BC$53,INDEX(T_Equipos[Grupo],MATCH(BD53,T_Equipos[NombreEquipo],0)))</f>
        <v>1</v>
      </c>
      <c r="DB53" s="743" t="str">
        <f ca="1">IF(COUNTIFS($DA$6:$DA$53,DA53,$BC$6:$BC$53,INDEX(T_Equipos[Grupo],MATCH(BD53,T_Equipos[NombreEquipo],0)))=1,"-","P."&amp;DA53&amp;" ("&amp;COUNTIFS($DA$6:$DA$53,DA53,$BC$6:$BC$53,INDEX(T_Equipos[Grupo],MATCH(BD53,T_Equipos[NombreEquipo],0)))&amp;")")</f>
        <v>P.1 (4)</v>
      </c>
      <c r="DC53" s="742">
        <f ca="1">IF(DB53="-","-",COUNTIFS(T_Equipos[Rank],"&lt;"&amp;INDEX(T_Equipos[Rank],MATCH(BD53,T_Equipos[NombreEquipo],0)),$BC$6:$BC$53,INDEX(T_Equipos[Grupo],MATCH(BD53,T_Equipos[NombreEquipo],0)))+1)</f>
        <v>4</v>
      </c>
      <c r="DD53" s="742">
        <f ca="1">DA53+COUNTIFS($DB$6:$DB$53,DB53,$DC$6:DC$53,"&lt;"&amp;DC53,$BC$6:$BC$53,INDEX(T_Equipos[Grupo],MATCH(BD53,T_Equipos[NombreEquipo],0)))</f>
        <v>4</v>
      </c>
      <c r="DE53" s="742"/>
      <c r="DF53" s="742">
        <f t="shared" ca="1" si="52"/>
        <v>4</v>
      </c>
      <c r="DG53" s="742">
        <f ca="1">IF(DB53="-","-",COUNTIFS(DF$6:DF$53,"&lt;"&amp;DF53,$BC$6:$BC$53,INDEX(T_Equipos[Grupo],MATCH(BD53,T_Equipos[NombreEquipo],0))))</f>
        <v>3</v>
      </c>
      <c r="DH53" s="742">
        <f ca="1">DA53+COUNTIFS(DB$6:DB$53,DB53,DG$6:DG$53,"&lt;"&amp;DG53,$BC$6:$BC$53,INDEX(T_Equipos[Grupo],MATCH(BD53,T_Equipos[NombreEquipo],0)))</f>
        <v>4</v>
      </c>
      <c r="DI53" s="730"/>
      <c r="DJ53" s="730">
        <f t="shared" ca="1" si="53"/>
        <v>1</v>
      </c>
      <c r="DK53" s="730">
        <f t="shared" ca="1" si="24"/>
        <v>0</v>
      </c>
      <c r="DL53" s="730">
        <f t="shared" ca="1" si="33"/>
        <v>1</v>
      </c>
      <c r="DM53" s="724" t="str">
        <f t="shared" ca="1" si="34"/>
        <v>1.1</v>
      </c>
      <c r="DN53" s="730" cm="1">
        <f t="array" aca="1" ref="DN53" ca="1">OFFSET(Horarios!$P$3,DJ53-1,0,DL53,1)</f>
        <v>1</v>
      </c>
      <c r="DO53" s="730"/>
      <c r="DP53" s="730" t="s">
        <v>684</v>
      </c>
      <c r="DQ53" s="730" t="str">
        <f t="shared" ca="1" si="35"/>
        <v>Panamá</v>
      </c>
      <c r="DR53" s="730"/>
      <c r="DS53" s="730"/>
      <c r="DT53" s="730" t="str">
        <f t="shared" ca="1" si="15"/>
        <v>Irán-Nueva Zelanda</v>
      </c>
      <c r="DU53" s="730"/>
      <c r="DV53" s="730"/>
      <c r="DW53" s="8"/>
    </row>
    <row r="54" spans="1:127">
      <c r="A54" s="731" t="str">
        <f ca="1">+Equipos!B27</f>
        <v>Egipto</v>
      </c>
      <c r="B54" s="728"/>
      <c r="C54" s="732"/>
      <c r="D54" s="730" t="str">
        <f t="shared" si="155"/>
        <v>Pendiente</v>
      </c>
      <c r="E54" s="730" t="str">
        <f t="shared" si="156"/>
        <v>-</v>
      </c>
      <c r="F54" s="730" t="str">
        <f t="shared" si="157"/>
        <v>-</v>
      </c>
      <c r="G54" s="730"/>
      <c r="H54" s="730" t="str">
        <f t="shared" si="158"/>
        <v>-</v>
      </c>
      <c r="I54" s="730" t="str">
        <f t="shared" si="159"/>
        <v>-</v>
      </c>
      <c r="J54" s="730"/>
      <c r="K54" s="730" t="str">
        <f t="shared" si="160"/>
        <v>-</v>
      </c>
      <c r="L54" s="730" t="str">
        <f t="shared" si="161"/>
        <v>-</v>
      </c>
      <c r="M54" s="730"/>
      <c r="N54" s="730" t="str">
        <f t="shared" si="162"/>
        <v>-</v>
      </c>
      <c r="O54" s="730" t="str">
        <f t="shared" si="163"/>
        <v>-</v>
      </c>
      <c r="P54" s="730"/>
      <c r="Q54" s="730" t="str">
        <f t="shared" si="164"/>
        <v>-</v>
      </c>
      <c r="R54" s="730" t="str">
        <f t="shared" si="165"/>
        <v>-</v>
      </c>
      <c r="S54" s="730"/>
      <c r="T54" s="730" t="str">
        <f t="shared" si="166"/>
        <v>-</v>
      </c>
      <c r="U54" s="730" t="str">
        <f t="shared" si="167"/>
        <v>-</v>
      </c>
      <c r="V54" s="170"/>
      <c r="W54" s="892"/>
      <c r="X54" s="187">
        <f ca="1">Horarios!C54</f>
        <v>46194.625</v>
      </c>
      <c r="Y54" s="188">
        <f ca="1">Horarios!C54</f>
        <v>46194.625</v>
      </c>
      <c r="Z54" s="189" t="str">
        <f>$Z$6</f>
        <v>J2</v>
      </c>
      <c r="AA54" s="190" t="str">
        <f ca="1">A53</f>
        <v>Bélgica</v>
      </c>
      <c r="AB54" s="475" t="e" cm="1" vm="25">
        <f t="array" aca="1" ref="AB54" ca="1">Ver_flag_local</f>
        <v>#VALUE!</v>
      </c>
      <c r="AC54" s="191"/>
      <c r="AD54" s="192"/>
      <c r="AE54" s="480" t="e" cm="1" vm="27">
        <f t="array" aca="1" ref="AE54" ca="1">Ver_flag_visit</f>
        <v>#VALUE!</v>
      </c>
      <c r="AF54" s="193" t="str">
        <f ca="1">A55</f>
        <v>Irán</v>
      </c>
      <c r="AG54" s="411">
        <f t="shared" si="168"/>
        <v>0</v>
      </c>
      <c r="AH54" s="194">
        <v>39</v>
      </c>
      <c r="AI54" s="19" t="str">
        <f>AJ54&amp;$B$52</f>
        <v>1G</v>
      </c>
      <c r="AJ54" s="209">
        <v>1</v>
      </c>
      <c r="AK54" s="485" t="e" cm="1" vm="25">
        <f t="array" aca="1" ref="AK54" ca="1">Ver_flag_visit</f>
        <v>#VALUE!</v>
      </c>
      <c r="AL54" s="210" t="str">
        <f ca="1">IFERROR(INDEX($BD$6:$BD$53,MATCH(AI54,$BN$6:$BN$53,0)),"")</f>
        <v>Bélgica</v>
      </c>
      <c r="AM54" s="211">
        <f t="shared" ref="AM54:AT57" ca="1" si="172">INDEX($BE$6:$BN$53,MATCH($AL54,$BD$6:$BD$53,0),MATCH(AM$5,$BE$5:$BN$5,0))</f>
        <v>0</v>
      </c>
      <c r="AN54" s="212">
        <f t="shared" ca="1" si="172"/>
        <v>0</v>
      </c>
      <c r="AO54" s="212">
        <f t="shared" ca="1" si="172"/>
        <v>0</v>
      </c>
      <c r="AP54" s="212">
        <f t="shared" ca="1" si="172"/>
        <v>0</v>
      </c>
      <c r="AQ54" s="212">
        <f t="shared" ca="1" si="172"/>
        <v>0</v>
      </c>
      <c r="AR54" s="212">
        <f t="shared" ca="1" si="172"/>
        <v>0</v>
      </c>
      <c r="AS54" s="212">
        <f t="shared" ca="1" si="172"/>
        <v>0</v>
      </c>
      <c r="AT54" s="213">
        <f t="shared" ca="1" si="172"/>
        <v>0</v>
      </c>
      <c r="AU54" s="418">
        <f ca="1">INDEX($DL$6:$DL$53,MATCH(AI54,$DP$6:$DP$53,0))</f>
        <v>1</v>
      </c>
      <c r="AV54" s="215" t="str">
        <f ca="1">INDEX($BD$6:$BD$53,MATCH(AI54,$BM$6:$BM$53,0))</f>
        <v>Bélgica</v>
      </c>
      <c r="AW54" s="425"/>
      <c r="AX54" s="216"/>
      <c r="AY54" s="217" t="str">
        <f ca="1">+A53</f>
        <v>Bélgica</v>
      </c>
      <c r="AZ54" s="218"/>
      <c r="BA54" s="173"/>
      <c r="BB54" s="730"/>
      <c r="BC54" s="730"/>
      <c r="BD54" s="730"/>
      <c r="BE54" s="730"/>
      <c r="BF54" s="730"/>
      <c r="BG54" s="730"/>
      <c r="BH54" s="730"/>
      <c r="BI54" s="730"/>
      <c r="BJ54" s="730"/>
      <c r="BK54" s="730"/>
      <c r="BL54" s="730"/>
      <c r="BM54" s="730"/>
      <c r="BN54" s="735"/>
      <c r="BO54" s="735"/>
      <c r="BP54" s="735"/>
      <c r="BQ54" s="735"/>
      <c r="BR54" s="730"/>
      <c r="BS54" s="730"/>
      <c r="BT54" s="735"/>
      <c r="BU54" s="735"/>
      <c r="BV54" s="735"/>
      <c r="BW54" s="735"/>
      <c r="BX54" s="735"/>
      <c r="BY54" s="735"/>
      <c r="BZ54" s="735"/>
      <c r="CA54" s="735"/>
      <c r="CB54" s="735"/>
      <c r="CC54" s="735"/>
      <c r="CD54" s="735"/>
      <c r="CE54" s="735"/>
      <c r="CF54" s="735"/>
      <c r="CG54" s="735"/>
      <c r="CH54" s="735"/>
      <c r="CI54" s="735"/>
      <c r="CJ54" s="735"/>
      <c r="CK54" s="735"/>
      <c r="CL54" s="735"/>
      <c r="CM54" s="735"/>
      <c r="CN54" s="735"/>
      <c r="CO54" s="735"/>
      <c r="CP54" s="735"/>
      <c r="CQ54" s="735"/>
      <c r="CR54" s="735"/>
      <c r="CS54" s="735"/>
      <c r="CT54" s="735"/>
      <c r="CU54" s="735"/>
      <c r="CV54" s="735"/>
      <c r="CW54" s="730"/>
      <c r="CX54" s="735"/>
      <c r="CY54" s="730"/>
      <c r="CZ54" s="730"/>
      <c r="DA54" s="730"/>
      <c r="DB54" s="730"/>
      <c r="DC54" s="730"/>
      <c r="DD54" s="730"/>
      <c r="DE54" s="730"/>
      <c r="DF54" s="730"/>
      <c r="DG54" s="730"/>
      <c r="DH54" s="730"/>
      <c r="DI54" s="730"/>
      <c r="DJ54" s="730"/>
      <c r="DK54" s="730"/>
      <c r="DL54" s="730"/>
      <c r="DM54" s="730"/>
      <c r="DN54" s="730"/>
      <c r="DO54" s="730"/>
      <c r="DP54" s="730"/>
      <c r="DQ54" s="730"/>
      <c r="DR54" s="730"/>
      <c r="DS54" s="730"/>
      <c r="DT54" s="730" t="str">
        <f t="shared" ca="1" si="15"/>
        <v>Bélgica-Irán</v>
      </c>
      <c r="DU54" s="730"/>
      <c r="DV54" s="730"/>
      <c r="DW54" s="8"/>
    </row>
    <row r="55" spans="1:127">
      <c r="A55" s="731" t="str">
        <f ca="1">+Equipos!B28</f>
        <v>Irán</v>
      </c>
      <c r="B55" s="728"/>
      <c r="C55" s="730"/>
      <c r="D55" s="730" t="str">
        <f t="shared" si="155"/>
        <v>Pendiente</v>
      </c>
      <c r="E55" s="730" t="str">
        <f t="shared" si="156"/>
        <v>-</v>
      </c>
      <c r="F55" s="730" t="str">
        <f t="shared" si="157"/>
        <v>-</v>
      </c>
      <c r="G55" s="730"/>
      <c r="H55" s="730" t="str">
        <f t="shared" si="158"/>
        <v>-</v>
      </c>
      <c r="I55" s="730" t="str">
        <f t="shared" si="159"/>
        <v>-</v>
      </c>
      <c r="J55" s="730"/>
      <c r="K55" s="730" t="str">
        <f t="shared" si="160"/>
        <v>-</v>
      </c>
      <c r="L55" s="730" t="str">
        <f t="shared" si="161"/>
        <v>-</v>
      </c>
      <c r="M55" s="730"/>
      <c r="N55" s="730" t="str">
        <f t="shared" si="162"/>
        <v>-</v>
      </c>
      <c r="O55" s="730" t="str">
        <f t="shared" si="163"/>
        <v>-</v>
      </c>
      <c r="P55" s="730"/>
      <c r="Q55" s="730" t="str">
        <f t="shared" si="164"/>
        <v>-</v>
      </c>
      <c r="R55" s="730" t="str">
        <f t="shared" si="165"/>
        <v>-</v>
      </c>
      <c r="S55" s="730"/>
      <c r="T55" s="730" t="str">
        <f t="shared" si="166"/>
        <v>-</v>
      </c>
      <c r="U55" s="730" t="str">
        <f t="shared" si="167"/>
        <v>-</v>
      </c>
      <c r="V55" s="170"/>
      <c r="W55" s="892"/>
      <c r="X55" s="187">
        <f ca="1">Horarios!C55</f>
        <v>46194.875</v>
      </c>
      <c r="Y55" s="188">
        <f ca="1">Horarios!C55</f>
        <v>46194.875</v>
      </c>
      <c r="Z55" s="189" t="str">
        <f>$Z$6</f>
        <v>J2</v>
      </c>
      <c r="AA55" s="190" t="str">
        <f ca="1">A56</f>
        <v>Nueva Zelanda</v>
      </c>
      <c r="AB55" s="475" t="e" cm="1" vm="28">
        <f t="array" aca="1" ref="AB55" ca="1">Ver_flag_local</f>
        <v>#VALUE!</v>
      </c>
      <c r="AC55" s="191"/>
      <c r="AD55" s="192"/>
      <c r="AE55" s="480" t="e" cm="1" vm="26">
        <f t="array" aca="1" ref="AE55" ca="1">Ver_flag_visit</f>
        <v>#VALUE!</v>
      </c>
      <c r="AF55" s="193" t="str">
        <f ca="1">A54</f>
        <v>Egipto</v>
      </c>
      <c r="AG55" s="411">
        <f t="shared" si="168"/>
        <v>0</v>
      </c>
      <c r="AH55" s="194">
        <v>40</v>
      </c>
      <c r="AI55" s="19" t="str">
        <f t="shared" ref="AI55:AI57" si="173">AJ55&amp;$B$52</f>
        <v>2G</v>
      </c>
      <c r="AJ55" s="219">
        <v>2</v>
      </c>
      <c r="AK55" s="483" t="e" cm="1" vm="26">
        <f t="array" aca="1" ref="AK55" ca="1">Ver_flag_visit</f>
        <v>#VALUE!</v>
      </c>
      <c r="AL55" s="220" t="str">
        <f ca="1">IFERROR(INDEX($BD$6:$BD$53,MATCH(AI55,$BN$6:$BN$53,0)),"")</f>
        <v>Egipto</v>
      </c>
      <c r="AM55" s="221">
        <f t="shared" ca="1" si="172"/>
        <v>0</v>
      </c>
      <c r="AN55" s="222">
        <f t="shared" ca="1" si="172"/>
        <v>0</v>
      </c>
      <c r="AO55" s="222">
        <f t="shared" ca="1" si="172"/>
        <v>0</v>
      </c>
      <c r="AP55" s="222">
        <f t="shared" ca="1" si="172"/>
        <v>0</v>
      </c>
      <c r="AQ55" s="222">
        <f t="shared" ca="1" si="172"/>
        <v>0</v>
      </c>
      <c r="AR55" s="222">
        <f t="shared" ca="1" si="172"/>
        <v>0</v>
      </c>
      <c r="AS55" s="222">
        <f t="shared" ca="1" si="172"/>
        <v>0</v>
      </c>
      <c r="AT55" s="223">
        <f t="shared" ca="1" si="172"/>
        <v>0</v>
      </c>
      <c r="AU55" s="418">
        <f ca="1">INDEX($DL$6:$DL$53,MATCH(AI55,$DP$6:$DP$53,0))</f>
        <v>1</v>
      </c>
      <c r="AV55" s="215" t="str">
        <f ca="1">INDEX($BD$6:$BD$53,MATCH(AI55,$BM$6:$BM$53,0))</f>
        <v>Egipto</v>
      </c>
      <c r="AW55" s="425"/>
      <c r="AX55" s="216"/>
      <c r="AY55" s="224" t="str">
        <f ca="1">+A54</f>
        <v>Egipto</v>
      </c>
      <c r="AZ55" s="225"/>
      <c r="BA55" s="173"/>
      <c r="BB55" s="730"/>
      <c r="BC55" s="730"/>
      <c r="BD55" s="730"/>
      <c r="BE55" s="730"/>
      <c r="BF55" s="730"/>
      <c r="BG55" s="730"/>
      <c r="BH55" s="730"/>
      <c r="BI55" s="730"/>
      <c r="BJ55" s="730"/>
      <c r="BK55" s="730"/>
      <c r="BL55" s="730"/>
      <c r="BM55" s="730"/>
      <c r="BN55" s="735"/>
      <c r="BO55" s="735"/>
      <c r="BP55" s="735"/>
      <c r="BQ55" s="735"/>
      <c r="BR55" s="730"/>
      <c r="BS55" s="730"/>
      <c r="BT55" s="735"/>
      <c r="BU55" s="735"/>
      <c r="BV55" s="735"/>
      <c r="BW55" s="735"/>
      <c r="BX55" s="735"/>
      <c r="BY55" s="735"/>
      <c r="BZ55" s="735"/>
      <c r="CA55" s="735"/>
      <c r="CB55" s="735"/>
      <c r="CC55" s="735"/>
      <c r="CD55" s="735"/>
      <c r="CE55" s="735"/>
      <c r="CF55" s="735"/>
      <c r="CG55" s="735"/>
      <c r="CH55" s="735"/>
      <c r="CI55" s="735"/>
      <c r="CJ55" s="735"/>
      <c r="CK55" s="735"/>
      <c r="CL55" s="735"/>
      <c r="CM55" s="735"/>
      <c r="CN55" s="735"/>
      <c r="CO55" s="735"/>
      <c r="CP55" s="735"/>
      <c r="CQ55" s="735"/>
      <c r="CR55" s="735"/>
      <c r="CS55" s="735"/>
      <c r="CT55" s="735"/>
      <c r="CU55" s="735"/>
      <c r="CV55" s="735"/>
      <c r="CW55" s="730"/>
      <c r="CX55" s="735"/>
      <c r="CY55" s="730"/>
      <c r="CZ55" s="730"/>
      <c r="DA55" s="730"/>
      <c r="DB55" s="730"/>
      <c r="DC55" s="730"/>
      <c r="DD55" s="730"/>
      <c r="DE55" s="730"/>
      <c r="DF55" s="730"/>
      <c r="DG55" s="730"/>
      <c r="DH55" s="730"/>
      <c r="DI55" s="730"/>
      <c r="DJ55" s="730"/>
      <c r="DK55" s="730"/>
      <c r="DL55" s="730"/>
      <c r="DM55" s="730"/>
      <c r="DN55" s="730"/>
      <c r="DO55" s="730"/>
      <c r="DP55" s="730"/>
      <c r="DQ55" s="730"/>
      <c r="DR55" s="730"/>
      <c r="DS55" s="730"/>
      <c r="DT55" s="730" t="str">
        <f t="shared" ca="1" si="15"/>
        <v>Nueva Zelanda-Egipto</v>
      </c>
      <c r="DU55" s="730"/>
      <c r="DV55" s="730"/>
      <c r="DW55" s="8"/>
    </row>
    <row r="56" spans="1:127">
      <c r="A56" s="731" t="str">
        <f ca="1">+Equipos!B29</f>
        <v>Nueva Zelanda</v>
      </c>
      <c r="B56" s="728"/>
      <c r="C56" s="730"/>
      <c r="D56" s="730" t="str">
        <f t="shared" si="155"/>
        <v>Pendiente</v>
      </c>
      <c r="E56" s="730" t="str">
        <f t="shared" si="156"/>
        <v>-</v>
      </c>
      <c r="F56" s="730" t="str">
        <f t="shared" si="157"/>
        <v>-</v>
      </c>
      <c r="G56" s="730"/>
      <c r="H56" s="730" t="str">
        <f t="shared" si="158"/>
        <v>-</v>
      </c>
      <c r="I56" s="730" t="str">
        <f t="shared" si="159"/>
        <v>-</v>
      </c>
      <c r="J56" s="730"/>
      <c r="K56" s="730" t="str">
        <f t="shared" si="160"/>
        <v>-</v>
      </c>
      <c r="L56" s="730" t="str">
        <f t="shared" si="161"/>
        <v>-</v>
      </c>
      <c r="M56" s="730"/>
      <c r="N56" s="730" t="str">
        <f t="shared" si="162"/>
        <v>-</v>
      </c>
      <c r="O56" s="730" t="str">
        <f t="shared" si="163"/>
        <v>-</v>
      </c>
      <c r="P56" s="730"/>
      <c r="Q56" s="730" t="str">
        <f t="shared" si="164"/>
        <v>-</v>
      </c>
      <c r="R56" s="730" t="str">
        <f t="shared" si="165"/>
        <v>-</v>
      </c>
      <c r="S56" s="730"/>
      <c r="T56" s="730" t="str">
        <f t="shared" si="166"/>
        <v>-</v>
      </c>
      <c r="U56" s="730" t="str">
        <f t="shared" si="167"/>
        <v>-</v>
      </c>
      <c r="V56" s="170"/>
      <c r="W56" s="892"/>
      <c r="X56" s="187">
        <f ca="1">Horarios!C56</f>
        <v>46199.958333333336</v>
      </c>
      <c r="Y56" s="188">
        <f ca="1">Horarios!C56</f>
        <v>46199.958333333336</v>
      </c>
      <c r="Z56" s="189" t="str">
        <f>$Z$8</f>
        <v>J3</v>
      </c>
      <c r="AA56" s="190" t="str">
        <f ca="1">A54</f>
        <v>Egipto</v>
      </c>
      <c r="AB56" s="475" t="e" cm="1" vm="26">
        <f t="array" aca="1" ref="AB56" ca="1">Ver_flag_local</f>
        <v>#VALUE!</v>
      </c>
      <c r="AC56" s="191"/>
      <c r="AD56" s="192"/>
      <c r="AE56" s="480" t="e" cm="1" vm="27">
        <f t="array" aca="1" ref="AE56" ca="1">Ver_flag_visit</f>
        <v>#VALUE!</v>
      </c>
      <c r="AF56" s="193" t="str">
        <f ca="1">A55</f>
        <v>Irán</v>
      </c>
      <c r="AG56" s="411">
        <f t="shared" si="168"/>
        <v>0</v>
      </c>
      <c r="AH56" s="194">
        <v>63</v>
      </c>
      <c r="AI56" s="19" t="str">
        <f t="shared" si="173"/>
        <v>3G</v>
      </c>
      <c r="AJ56" s="219">
        <v>3</v>
      </c>
      <c r="AK56" s="483" t="e" cm="1" vm="27">
        <f t="array" aca="1" ref="AK56" ca="1">Ver_flag_visit</f>
        <v>#VALUE!</v>
      </c>
      <c r="AL56" s="220" t="str">
        <f ca="1">IFERROR(INDEX($BD$6:$BD$53,MATCH(AI56,$BN$6:$BN$53,0)),"")</f>
        <v>Irán</v>
      </c>
      <c r="AM56" s="221">
        <f t="shared" ca="1" si="172"/>
        <v>0</v>
      </c>
      <c r="AN56" s="222">
        <f t="shared" ca="1" si="172"/>
        <v>0</v>
      </c>
      <c r="AO56" s="222">
        <f t="shared" ca="1" si="172"/>
        <v>0</v>
      </c>
      <c r="AP56" s="222">
        <f t="shared" ca="1" si="172"/>
        <v>0</v>
      </c>
      <c r="AQ56" s="222">
        <f t="shared" ca="1" si="172"/>
        <v>0</v>
      </c>
      <c r="AR56" s="222">
        <f t="shared" ca="1" si="172"/>
        <v>0</v>
      </c>
      <c r="AS56" s="222">
        <f t="shared" ca="1" si="172"/>
        <v>0</v>
      </c>
      <c r="AT56" s="223">
        <f t="shared" ca="1" si="172"/>
        <v>0</v>
      </c>
      <c r="AU56" s="418">
        <f ca="1">INDEX($DL$6:$DL$53,MATCH(AI56,$DP$6:$DP$53,0))</f>
        <v>1</v>
      </c>
      <c r="AV56" s="215" t="str">
        <f ca="1">INDEX($BD$6:$BD$53,MATCH(AI56,$BM$6:$BM$53,0))</f>
        <v>Irán</v>
      </c>
      <c r="AW56" s="425"/>
      <c r="AX56" s="216"/>
      <c r="AY56" s="217" t="str">
        <f ca="1">+A55</f>
        <v>Irán</v>
      </c>
      <c r="AZ56" s="218"/>
      <c r="BA56" s="173"/>
      <c r="BB56" s="730"/>
      <c r="BC56" s="730"/>
      <c r="BD56" s="730"/>
      <c r="BE56" s="730"/>
      <c r="BF56" s="730"/>
      <c r="BG56" s="730"/>
      <c r="BH56" s="730"/>
      <c r="BI56" s="730"/>
      <c r="BJ56" s="730"/>
      <c r="BK56" s="730"/>
      <c r="BL56" s="730"/>
      <c r="BM56" s="730"/>
      <c r="BN56" s="735"/>
      <c r="BO56" s="735"/>
      <c r="BP56" s="735"/>
      <c r="BQ56" s="735"/>
      <c r="BR56" s="730"/>
      <c r="BS56" s="730"/>
      <c r="BT56" s="735"/>
      <c r="BU56" s="735"/>
      <c r="BV56" s="735"/>
      <c r="BW56" s="735"/>
      <c r="BX56" s="735"/>
      <c r="BY56" s="735"/>
      <c r="BZ56" s="735"/>
      <c r="CA56" s="735"/>
      <c r="CB56" s="735"/>
      <c r="CC56" s="735"/>
      <c r="CD56" s="735"/>
      <c r="CE56" s="735"/>
      <c r="CF56" s="735"/>
      <c r="CG56" s="735"/>
      <c r="CH56" s="735"/>
      <c r="CI56" s="735"/>
      <c r="CJ56" s="735"/>
      <c r="CK56" s="735"/>
      <c r="CL56" s="735"/>
      <c r="CM56" s="735"/>
      <c r="CN56" s="735"/>
      <c r="CO56" s="735"/>
      <c r="CP56" s="735"/>
      <c r="CQ56" s="735"/>
      <c r="CR56" s="735"/>
      <c r="CS56" s="735"/>
      <c r="CT56" s="735"/>
      <c r="CU56" s="735"/>
      <c r="CV56" s="735"/>
      <c r="CW56" s="730"/>
      <c r="CX56" s="735"/>
      <c r="CY56" s="730"/>
      <c r="CZ56" s="730"/>
      <c r="DA56" s="730"/>
      <c r="DB56" s="730"/>
      <c r="DC56" s="730"/>
      <c r="DD56" s="730"/>
      <c r="DE56" s="730"/>
      <c r="DF56" s="730"/>
      <c r="DG56" s="730"/>
      <c r="DH56" s="730"/>
      <c r="DI56" s="730"/>
      <c r="DJ56" s="730"/>
      <c r="DK56" s="730"/>
      <c r="DL56" s="730"/>
      <c r="DM56" s="730"/>
      <c r="DN56" s="730"/>
      <c r="DO56" s="730"/>
      <c r="DP56" s="730"/>
      <c r="DQ56" s="730"/>
      <c r="DR56" s="730"/>
      <c r="DS56" s="730"/>
      <c r="DT56" s="730" t="str">
        <f t="shared" ca="1" si="15"/>
        <v>Egipto-Irán</v>
      </c>
      <c r="DU56" s="730"/>
      <c r="DV56" s="730"/>
      <c r="DW56" s="8"/>
    </row>
    <row r="57" spans="1:127" ht="15" thickBot="1">
      <c r="A57" s="725"/>
      <c r="B57" s="728"/>
      <c r="C57" s="725"/>
      <c r="D57" s="730" t="str">
        <f t="shared" si="155"/>
        <v>Pendiente</v>
      </c>
      <c r="E57" s="730" t="str">
        <f t="shared" si="156"/>
        <v>-</v>
      </c>
      <c r="F57" s="730" t="str">
        <f t="shared" si="157"/>
        <v>-</v>
      </c>
      <c r="G57" s="730"/>
      <c r="H57" s="730" t="str">
        <f t="shared" si="158"/>
        <v>-</v>
      </c>
      <c r="I57" s="730" t="str">
        <f t="shared" si="159"/>
        <v>-</v>
      </c>
      <c r="J57" s="730"/>
      <c r="K57" s="730" t="str">
        <f t="shared" si="160"/>
        <v>-</v>
      </c>
      <c r="L57" s="730" t="str">
        <f t="shared" si="161"/>
        <v>-</v>
      </c>
      <c r="M57" s="730"/>
      <c r="N57" s="730" t="str">
        <f t="shared" si="162"/>
        <v>-</v>
      </c>
      <c r="O57" s="730" t="str">
        <f t="shared" si="163"/>
        <v>-</v>
      </c>
      <c r="P57" s="730"/>
      <c r="Q57" s="730" t="str">
        <f t="shared" si="164"/>
        <v>-</v>
      </c>
      <c r="R57" s="730" t="str">
        <f t="shared" si="165"/>
        <v>-</v>
      </c>
      <c r="S57" s="730"/>
      <c r="T57" s="730" t="str">
        <f t="shared" si="166"/>
        <v>-</v>
      </c>
      <c r="U57" s="730" t="str">
        <f t="shared" si="167"/>
        <v>-</v>
      </c>
      <c r="V57" s="170"/>
      <c r="W57" s="893"/>
      <c r="X57" s="226">
        <f ca="1">Horarios!C57</f>
        <v>46199.958333333336</v>
      </c>
      <c r="Y57" s="227">
        <f ca="1">Horarios!C57</f>
        <v>46199.958333333336</v>
      </c>
      <c r="Z57" s="228" t="str">
        <f>$Z$8</f>
        <v>J3</v>
      </c>
      <c r="AA57" s="229" t="str">
        <f ca="1">A56</f>
        <v>Nueva Zelanda</v>
      </c>
      <c r="AB57" s="476" t="e" cm="1" vm="28">
        <f t="array" aca="1" ref="AB57" ca="1">Ver_flag_local</f>
        <v>#VALUE!</v>
      </c>
      <c r="AC57" s="230"/>
      <c r="AD57" s="231"/>
      <c r="AE57" s="481" t="e" cm="1" vm="25">
        <f t="array" aca="1" ref="AE57" ca="1">Ver_flag_visit</f>
        <v>#VALUE!</v>
      </c>
      <c r="AF57" s="232" t="str">
        <f ca="1">A53</f>
        <v>Bélgica</v>
      </c>
      <c r="AG57" s="411">
        <f t="shared" si="168"/>
        <v>0</v>
      </c>
      <c r="AH57" s="194">
        <v>64</v>
      </c>
      <c r="AI57" s="19" t="str">
        <f t="shared" si="173"/>
        <v>4G</v>
      </c>
      <c r="AJ57" s="233">
        <v>4</v>
      </c>
      <c r="AK57" s="484" t="e" cm="1" vm="28">
        <f t="array" aca="1" ref="AK57" ca="1">Ver_flag_visit</f>
        <v>#VALUE!</v>
      </c>
      <c r="AL57" s="234" t="str">
        <f ca="1">IFERROR(INDEX($BD$6:$BD$53,MATCH(AI57,$BN$6:$BN$53,0)),"")</f>
        <v>Nueva Zelanda</v>
      </c>
      <c r="AM57" s="235">
        <f t="shared" ca="1" si="172"/>
        <v>0</v>
      </c>
      <c r="AN57" s="236">
        <f t="shared" ca="1" si="172"/>
        <v>0</v>
      </c>
      <c r="AO57" s="236">
        <f t="shared" ca="1" si="172"/>
        <v>0</v>
      </c>
      <c r="AP57" s="236">
        <f t="shared" ca="1" si="172"/>
        <v>0</v>
      </c>
      <c r="AQ57" s="236">
        <f t="shared" ca="1" si="172"/>
        <v>0</v>
      </c>
      <c r="AR57" s="236">
        <f t="shared" ca="1" si="172"/>
        <v>0</v>
      </c>
      <c r="AS57" s="236">
        <f t="shared" ca="1" si="172"/>
        <v>0</v>
      </c>
      <c r="AT57" s="237">
        <f t="shared" ca="1" si="172"/>
        <v>0</v>
      </c>
      <c r="AU57" s="418">
        <f ca="1">INDEX($DL$6:$DL$53,MATCH(AI57,$DP$6:$DP$53,0))</f>
        <v>1</v>
      </c>
      <c r="AV57" s="215" t="str">
        <f ca="1">INDEX($BD$6:$BD$53,MATCH(AI57,$BM$6:$BM$53,0))</f>
        <v>Nueva Zelanda</v>
      </c>
      <c r="AW57" s="425"/>
      <c r="AX57" s="216"/>
      <c r="AY57" s="238" t="str">
        <f ca="1">+A56</f>
        <v>Nueva Zelanda</v>
      </c>
      <c r="AZ57" s="239"/>
      <c r="BA57" s="173"/>
      <c r="BB57" s="730">
        <f>IFERROR(IF($AJ$99=144,INDEX(Idiomas!$C$75:$C$77,MATCH(WORLDCUP!$AL$116,Idiomas!$D$75:$D$77,0)),1),1)</f>
        <v>1</v>
      </c>
      <c r="BC57" s="738" t="str">
        <f t="shared" ref="BC57:BN57" si="174">+BC5</f>
        <v>Grupo</v>
      </c>
      <c r="BD57" s="738" t="str">
        <f t="shared" si="174"/>
        <v>Selección</v>
      </c>
      <c r="BE57" s="738" t="str">
        <f t="shared" si="174"/>
        <v>Pts</v>
      </c>
      <c r="BF57" s="738" t="str">
        <f t="shared" si="174"/>
        <v>J</v>
      </c>
      <c r="BG57" s="738" t="str">
        <f t="shared" si="174"/>
        <v>G</v>
      </c>
      <c r="BH57" s="738" t="str">
        <f t="shared" si="174"/>
        <v>E</v>
      </c>
      <c r="BI57" s="738" t="str">
        <f t="shared" si="174"/>
        <v>P</v>
      </c>
      <c r="BJ57" s="738" t="str">
        <f t="shared" si="174"/>
        <v>GF</v>
      </c>
      <c r="BK57" s="738" t="str">
        <f t="shared" si="174"/>
        <v>GC</v>
      </c>
      <c r="BL57" s="738" t="str">
        <f t="shared" si="174"/>
        <v>DG</v>
      </c>
      <c r="BM57" s="738" t="str">
        <f t="shared" si="174"/>
        <v>PosF1</v>
      </c>
      <c r="BN57" s="738" t="str">
        <f t="shared" si="174"/>
        <v>PosF3</v>
      </c>
      <c r="BO57" s="735"/>
      <c r="BP57" s="735"/>
      <c r="BQ57" s="735"/>
      <c r="BR57" s="739" t="s">
        <v>614</v>
      </c>
      <c r="BS57" s="739" t="s">
        <v>617</v>
      </c>
      <c r="BT57" s="739" t="s">
        <v>615</v>
      </c>
      <c r="BU57" s="739" t="s">
        <v>66</v>
      </c>
      <c r="BV57" s="739" t="s">
        <v>618</v>
      </c>
      <c r="BW57" s="739" t="s">
        <v>616</v>
      </c>
      <c r="BX57" s="739" t="s">
        <v>8</v>
      </c>
      <c r="BY57" s="739" t="s">
        <v>619</v>
      </c>
      <c r="BZ57" s="739" t="s">
        <v>620</v>
      </c>
      <c r="CA57" s="740" t="s">
        <v>627</v>
      </c>
      <c r="CB57" s="740" t="s">
        <v>628</v>
      </c>
      <c r="CC57" s="741"/>
      <c r="CD57" s="740" t="s">
        <v>629</v>
      </c>
      <c r="CE57" s="740" t="s">
        <v>630</v>
      </c>
      <c r="CF57" s="740" t="s">
        <v>631</v>
      </c>
      <c r="CG57" s="730"/>
      <c r="CH57" s="730"/>
      <c r="CI57" s="730"/>
      <c r="CJ57" s="730"/>
      <c r="CK57" s="730"/>
      <c r="CL57" s="730"/>
      <c r="CM57" s="730"/>
      <c r="CN57" s="730"/>
      <c r="CO57" s="730"/>
      <c r="CP57" s="730"/>
      <c r="CQ57" s="730"/>
      <c r="CR57" s="730"/>
      <c r="CS57" s="730"/>
      <c r="CT57" s="730"/>
      <c r="CU57" s="730"/>
      <c r="CV57" s="730"/>
      <c r="CW57" s="730"/>
      <c r="CX57" s="730"/>
      <c r="CY57" s="730"/>
      <c r="CZ57" s="730"/>
      <c r="DA57" s="730"/>
      <c r="DB57" s="730"/>
      <c r="DC57" s="730"/>
      <c r="DD57" s="730"/>
      <c r="DE57" s="730"/>
      <c r="DF57" s="730"/>
      <c r="DG57" s="730"/>
      <c r="DH57" s="730"/>
      <c r="DI57" s="730"/>
      <c r="DJ57" s="732" t="s">
        <v>652</v>
      </c>
      <c r="DK57" s="732"/>
      <c r="DL57" s="732" t="s">
        <v>653</v>
      </c>
      <c r="DM57" s="732" t="s">
        <v>654</v>
      </c>
      <c r="DN57" s="732" t="s">
        <v>655</v>
      </c>
      <c r="DO57" s="732"/>
      <c r="DP57" s="732" t="s">
        <v>762</v>
      </c>
      <c r="DQ57" s="732" t="s">
        <v>763</v>
      </c>
      <c r="DR57" s="730"/>
      <c r="DS57" s="730"/>
      <c r="DT57" s="730" t="str">
        <f t="shared" ca="1" si="15"/>
        <v>Nueva Zelanda-Bélgica</v>
      </c>
      <c r="DU57" s="730"/>
      <c r="DV57" s="730"/>
      <c r="DW57" s="8"/>
    </row>
    <row r="58" spans="1:127" ht="15.75" customHeight="1" thickBot="1">
      <c r="A58" s="725"/>
      <c r="B58" s="728"/>
      <c r="C58" s="725"/>
      <c r="D58" s="730"/>
      <c r="E58" s="730"/>
      <c r="F58" s="730"/>
      <c r="G58" s="730"/>
      <c r="H58" s="730"/>
      <c r="I58" s="730"/>
      <c r="J58" s="730"/>
      <c r="K58" s="730"/>
      <c r="L58" s="730"/>
      <c r="M58" s="730"/>
      <c r="N58" s="730"/>
      <c r="O58" s="730"/>
      <c r="P58" s="730"/>
      <c r="Q58" s="730"/>
      <c r="R58" s="730"/>
      <c r="S58" s="730"/>
      <c r="T58" s="730"/>
      <c r="U58" s="730"/>
      <c r="V58" s="170"/>
      <c r="W58" s="240"/>
      <c r="X58" s="241"/>
      <c r="Y58" s="240"/>
      <c r="Z58" s="242"/>
      <c r="AA58" s="243"/>
      <c r="AB58" s="479"/>
      <c r="AC58" s="245"/>
      <c r="AD58" s="245"/>
      <c r="AE58" s="479"/>
      <c r="AF58" s="246"/>
      <c r="AG58" s="413"/>
      <c r="AH58" s="194"/>
      <c r="AI58" s="19"/>
      <c r="AJ58" s="247"/>
      <c r="AK58" s="248"/>
      <c r="AL58" s="184"/>
      <c r="AM58" s="249"/>
      <c r="AN58" s="247"/>
      <c r="AO58" s="247"/>
      <c r="AP58" s="247"/>
      <c r="AQ58" s="247"/>
      <c r="AR58" s="247"/>
      <c r="AS58" s="247"/>
      <c r="AT58" s="247"/>
      <c r="AU58" s="418"/>
      <c r="AV58" s="214"/>
      <c r="AW58" s="426"/>
      <c r="AX58" s="216"/>
      <c r="AY58" s="240"/>
      <c r="AZ58" s="241"/>
      <c r="BA58" s="173"/>
      <c r="BB58" s="745" t="str">
        <f>3&amp;BC58</f>
        <v>3A</v>
      </c>
      <c r="BC58" s="742" t="s">
        <v>0</v>
      </c>
      <c r="BD58" s="730" t="str">
        <f t="shared" ref="BD58:BD69" ca="1" si="175">+INDEX($BD$6:$BN$53,MATCH($BB58,$BN$6:$BN$53,0),MATCH(BD$57,$BD$5:$BN$5,0))</f>
        <v>República Checa</v>
      </c>
      <c r="BE58" s="734">
        <f ca="1">CHOOSE($BB$57,
  (BG58*3 + BH58)+IF($AZ$3="No",0,INDEX($AZ$6:$AZ$97,MATCH(BD58,$AY$6:$AY$97,0))),
  (BG58*3 + BH58)+IF($AZ$3="No",0,INDEX($AZ$6:$AZ$97,MATCH(BD58,$AY$6:$AY$97,0))),
  IFERROR((BG58*3 + BH58+IF($AZ$3="No",0,INDEX($AZ$6:$AZ$97,MATCH(BD58,$AY$6:$AY$97,0)))) / BF58, 0)
)</f>
        <v>0</v>
      </c>
      <c r="BF58" s="734">
        <f ca="1">+BG58+BH58+BI58</f>
        <v>1</v>
      </c>
      <c r="BG58" s="734">
        <f ca="1">CHOOSE(IF($BB$57=2, 2, 1),INDEX($BG$6:$BG$53,MATCH($BB58,$BN$6:$BN$53,0)),
  INDEX($BG$6:$BG$53,MATCH($BB58,$BN$6:$BN$53,0))-(COUNTIFS(FGLocal,$BD58,FGVisitante,INDEX($BD$6:$BD$53,MATCH(BO58,$BN$6:$BN$53,0)),Ganador,"Local")+COUNTIFS(FGVisitante,$BD58,FGLocal,INDEX($BD$6:$BD$53,MATCH(BO58,$BN$6:$BN$53,0)),Ganador,"Visitante"))
)</f>
        <v>0</v>
      </c>
      <c r="BH58" s="734">
        <f ca="1">CHOOSE(IF($BB$57=2, 2, 1),  INDEX($BH$6:$BH$53,MATCH($BB58,$BN$6:$BN$53,0)),
  INDEX($BH$6:$BH$53,MATCH($BB58,$BN$6:$BN$53,0))-(COUNTIFS(FGLocal,$BD58,FGVisitante,INDEX($BD$6:$BD$53,MATCH(BO58,$BN$6:$BN$53,0)),Ganador,"Empate")+COUNTIFS(FGVisitante,$BD58,FGLocal,INDEX($BD$6:$BD$53,MATCH(BO58,$BN$6:$BN$53,0)),Ganador,"Empate"))
)</f>
        <v>0</v>
      </c>
      <c r="BI58" s="734">
        <f t="shared" ref="BI58:BI69" ca="1" si="176">CHOOSE(IF($BB$57=2, 2, 1),
  INDEX($BI$6:$BI$53,MATCH($BB58,$BN$6:$BN$53,0)),
  INDEX($BI$6:$BI$53,MATCH($BB58,$BN$6:$BN$53,0))-(COUNTIFS(FGLocal,$BD58,FGVisitante,INDEX($BD$6:$BD$53,MATCH(BO58,$BN$6:$BN$53,0)),Ganador,"Visitante")+COUNTIFS(FGVisitante,$BD58,FGLocal,INDEX($BD$6:$BD$53,MATCH(BO58,$BN$6:$BN$53,0)),Ganador,"Local"))
)</f>
        <v>1</v>
      </c>
      <c r="BJ58" s="734">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34">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34">
        <f ca="1">BJ58-BK58</f>
        <v>-1</v>
      </c>
      <c r="BM58" s="734">
        <f ca="1">CB58</f>
        <v>12</v>
      </c>
      <c r="BN58" s="734">
        <f ca="1">CF58</f>
        <v>12</v>
      </c>
      <c r="BO58" s="724" t="str">
        <f>"4"&amp;BC58</f>
        <v>4A</v>
      </c>
      <c r="BP58" s="724"/>
      <c r="BQ58" s="724"/>
      <c r="BR58" s="734">
        <f t="shared" ref="BR58:BR69" ca="1" si="179">+BE58</f>
        <v>0</v>
      </c>
      <c r="BS58" s="734">
        <f ca="1">COUNTIFS(BR$58:BR$69,"&gt;"&amp;BR58)+1</f>
        <v>1</v>
      </c>
      <c r="BT58" s="734" t="str">
        <f ca="1">IF(COUNTIF(BS$58:BS$69,BS58)=1,"-","Pos. "&amp;BS58&amp;" ("&amp;COUNTIF(BS$58:BS$69,BS58)&amp;")")</f>
        <v>Pos. 1 (12)</v>
      </c>
      <c r="BU58" s="734">
        <f t="shared" ref="BU58:BU69" ca="1" si="180">IF(BT58="-","-",BL58)</f>
        <v>-1</v>
      </c>
      <c r="BV58" s="734">
        <f t="shared" ref="BV58:BV69" ca="1" si="181">BS58+COUNTIFS(BT$58:BT$69,BT58,BU$58:BU$69,"&gt;"&amp;BU58)</f>
        <v>12</v>
      </c>
      <c r="BW58" s="734" t="str">
        <f t="shared" ref="BW58:BW69" ca="1" si="182">IF(COUNTIF(BV$58:BV$69,BV58)=1,"-","Pos. "&amp;BV58&amp;" ("&amp;COUNTIF(BV$58:BV$69,BV58)&amp;")")</f>
        <v>-</v>
      </c>
      <c r="BX58" s="734" t="str">
        <f t="shared" ref="BX58:BX69" ca="1" si="183">IF(BW58="-","-",BJ58)</f>
        <v>-</v>
      </c>
      <c r="BY58" s="734">
        <f t="shared" ref="BY58:BY69" ca="1" si="184">BV58+COUNTIFS(BW$58:BW$69,BW58,BX$58:BX$69,"&gt;"&amp;BX58)</f>
        <v>12</v>
      </c>
      <c r="BZ58" s="734" t="str">
        <f t="shared" ref="BZ58:BZ69" ca="1" si="185">IF(COUNTIF(BY$58:BY$69,BY58)=1,"-","Pos. "&amp;BY58&amp;" ("&amp;COUNTIF(BY$58:BY$69,BY58)&amp;")")</f>
        <v>-</v>
      </c>
      <c r="CA58" s="734" t="str">
        <f ca="1">IF(BZ58="-","-",COUNTIF($BD$58:$BD$69,"&gt;"&amp;BD58))</f>
        <v>-</v>
      </c>
      <c r="CB58" s="734">
        <f ca="1">BY58+COUNTIFS(BZ$58:BZ$69,BZ58,CA$58:CA$69,"&gt;"&amp;CA58)</f>
        <v>12</v>
      </c>
      <c r="CC58" s="734"/>
      <c r="CD58" s="734">
        <f ca="1">IF(OR(INDEX($AW$102:$AW$113,MATCH($BD58,$AV$102:$AV$113,0))="",BZ58="-"),CB58,INDEX($AW$102:$AW$113,MATCH($BD58,$AV$102:$AV$113,0))+CB58/1000)</f>
        <v>12</v>
      </c>
      <c r="CE58" s="734" t="str">
        <f ca="1">IF(BZ58="-","-",COUNTIF(CD$58:CD$69,"&lt;"&amp;CD58))</f>
        <v>-</v>
      </c>
      <c r="CF58" s="734">
        <f ca="1">BY58+COUNTIFS(BZ$58:BZ$69,BZ58,CE$58:CE$69,"&lt;"&amp;CE58)</f>
        <v>12</v>
      </c>
      <c r="CG58" s="734"/>
      <c r="CH58" s="734"/>
      <c r="CI58" s="734"/>
      <c r="CJ58" s="734"/>
      <c r="CK58" s="734"/>
      <c r="CL58" s="734"/>
      <c r="CM58" s="734"/>
      <c r="CN58" s="734"/>
      <c r="CO58" s="734"/>
      <c r="CP58" s="734"/>
      <c r="CQ58" s="734"/>
      <c r="CR58" s="734"/>
      <c r="CS58" s="734"/>
      <c r="CT58" s="734"/>
      <c r="CU58" s="734"/>
      <c r="CV58" s="734"/>
      <c r="CW58" s="730"/>
      <c r="CX58" s="730"/>
      <c r="CY58" s="730"/>
      <c r="CZ58" s="730"/>
      <c r="DA58" s="730"/>
      <c r="DB58" s="730"/>
      <c r="DC58" s="730"/>
      <c r="DD58" s="730"/>
      <c r="DE58" s="730"/>
      <c r="DF58" s="730"/>
      <c r="DG58" s="730"/>
      <c r="DH58" s="730"/>
      <c r="DI58" s="730"/>
      <c r="DJ58" s="730">
        <f t="shared" ref="DJ58:DJ69" ca="1" si="186">INDEX($BY$58:$BY$69,MATCH($DQ58,$BD$58:$BD$69,0))</f>
        <v>1</v>
      </c>
      <c r="DK58" s="730"/>
      <c r="DL58" s="730">
        <f ca="1">IF(OR($H$113=144,$AJ$99=144),COUNTIF($DJ$58:$DJ$69,DJ58),1)</f>
        <v>1</v>
      </c>
      <c r="DM58" s="724" t="str">
        <f t="shared" ref="DM58:DM69" ca="1" si="187">DJ58&amp;"."&amp;DL58</f>
        <v>1.1</v>
      </c>
      <c r="DN58" s="730" cm="1">
        <f t="array" aca="1" ref="DN58" ca="1">OFFSET(Horarios!$P$3,DJ58-1,0,DL58,1)</f>
        <v>1</v>
      </c>
      <c r="DO58" s="730"/>
      <c r="DP58" s="730">
        <v>1</v>
      </c>
      <c r="DQ58" s="730" t="str">
        <f ca="1">INDEX($BD$58:$BD$69,MATCH(DP58,$BM$58:$BM$69,0))</f>
        <v>Arabia Saudita</v>
      </c>
      <c r="DR58" s="730"/>
      <c r="DS58" s="730"/>
      <c r="DT58" s="730" t="str">
        <f t="shared" si="15"/>
        <v>-</v>
      </c>
      <c r="DU58" s="730"/>
      <c r="DV58" s="730"/>
      <c r="DW58" s="8"/>
    </row>
    <row r="59" spans="1:127" ht="15" thickBot="1">
      <c r="A59" s="725"/>
      <c r="B59" s="728"/>
      <c r="C59" s="725"/>
      <c r="D59" s="725"/>
      <c r="E59" s="725"/>
      <c r="F59" s="725"/>
      <c r="G59" s="725"/>
      <c r="H59" s="725"/>
      <c r="I59" s="725"/>
      <c r="J59" s="725"/>
      <c r="K59" s="725"/>
      <c r="L59" s="725"/>
      <c r="M59" s="725"/>
      <c r="N59" s="730"/>
      <c r="O59" s="730"/>
      <c r="P59" s="730"/>
      <c r="Q59" s="730"/>
      <c r="R59" s="730"/>
      <c r="S59" s="730"/>
      <c r="T59" s="730"/>
      <c r="U59" s="730"/>
      <c r="V59" s="170"/>
      <c r="W59" s="177"/>
      <c r="X59" s="178" t="str">
        <f>X3</f>
        <v>Fecha</v>
      </c>
      <c r="Y59" s="178" t="str">
        <f>Y3</f>
        <v>Hora</v>
      </c>
      <c r="Z59" s="179" t="str">
        <f>Z3</f>
        <v>Jor.</v>
      </c>
      <c r="AA59" s="180" t="str">
        <f>AA3</f>
        <v>Casa</v>
      </c>
      <c r="AB59" s="179"/>
      <c r="AC59" s="179" t="str">
        <f>AC3</f>
        <v>Gol</v>
      </c>
      <c r="AD59" s="179" t="str">
        <f>AD3</f>
        <v>Gol</v>
      </c>
      <c r="AE59" s="179"/>
      <c r="AF59" s="182" t="str">
        <f>AF3</f>
        <v>Fuera</v>
      </c>
      <c r="AG59" s="412"/>
      <c r="AH59" s="194"/>
      <c r="AI59" s="18"/>
      <c r="AJ59" s="184"/>
      <c r="AK59" s="250"/>
      <c r="AL59" s="184"/>
      <c r="AM59" s="184"/>
      <c r="AN59" s="184"/>
      <c r="AO59" s="184"/>
      <c r="AP59" s="184"/>
      <c r="AQ59" s="184"/>
      <c r="AR59" s="184"/>
      <c r="AS59" s="184"/>
      <c r="AT59" s="184"/>
      <c r="AU59" s="419"/>
      <c r="AV59" s="22"/>
      <c r="AW59" s="427"/>
      <c r="AX59" s="251"/>
      <c r="AY59" s="240"/>
      <c r="AZ59" s="241"/>
      <c r="BA59" s="173"/>
      <c r="BB59" s="745" t="str">
        <f t="shared" ref="BB59:BB69" si="188">"3"&amp;BC59</f>
        <v>3B</v>
      </c>
      <c r="BC59" s="742" t="s">
        <v>1</v>
      </c>
      <c r="BD59" s="730" t="str">
        <f t="shared" ca="1" si="175"/>
        <v>Catar</v>
      </c>
      <c r="BE59" s="734">
        <f t="shared" ref="BE59:BE69" ca="1" si="189">CHOOSE($BB$57,
  (BG59*3 + BH59)+IF($AZ$3="No",0,INDEX($AZ$6:$AZ$97,MATCH(BD59,$AY$6:$AY$97,0))),
  (BG59*3 + BH59)+IF($AZ$3="No",0,INDEX($AZ$6:$AZ$97,MATCH(BD59,$AY$6:$AY$97,0))),
  IFERROR((BG59*3 + BH59+IF($AZ$3="No",0,INDEX($AZ$6:$AZ$97,MATCH(BD59,$AY$6:$AY$97,0)))) / BF59, 0)
)</f>
        <v>0</v>
      </c>
      <c r="BF59" s="734">
        <f t="shared" ref="BF59:BF69" ca="1" si="190">+BG59+BH59+BI59</f>
        <v>0</v>
      </c>
      <c r="BG59" s="734">
        <f t="shared" ref="BG59:BG69" ca="1" si="191">CHOOSE(IF($BB$57=2, 2, 1),
  INDEX($BG$6:$BG$53,MATCH($BB59,$BN$6:$BN$53,0)),
  INDEX($BG$6:$BG$53,MATCH($BB59,$BN$6:$BN$53,0))-(COUNTIFS(FGLocal,$BD59,FGVisitante,INDEX($BD$6:$BD$53,MATCH(BO59,$BN$6:$BN$53,0)),Ganador,"Local")+COUNTIFS(FGVisitante,$BD59,FGLocal,INDEX($BD$6:$BD$53,MATCH(BO59,$BN$6:$BN$53,0)),Ganador,"Visitante"))
)</f>
        <v>0</v>
      </c>
      <c r="BH59" s="734">
        <f t="shared" ref="BH59:BH69" ca="1" si="192">CHOOSE(IF($BB$57=2, 2, 1),
  INDEX($BH$6:$BH$53,MATCH($BB59,$BN$6:$BN$53,0)),
  INDEX($BH$6:$BH$53,MATCH($BB59,$BN$6:$BN$53,0))-(COUNTIFS(FGLocal,$BD59,FGVisitante,INDEX($BD$6:$BD$53,MATCH(BO59,$BN$6:$BN$53,0)),Ganador,"Empate")+COUNTIFS(FGVisitante,$BD59,FGLocal,INDEX($BD$6:$BD$53,MATCH(BO59,$BN$6:$BN$53,0)),Ganador,"Empate"))
)</f>
        <v>0</v>
      </c>
      <c r="BI59" s="734">
        <f t="shared" ca="1" si="176"/>
        <v>0</v>
      </c>
      <c r="BJ59" s="734">
        <f t="shared" ca="1" si="177"/>
        <v>0</v>
      </c>
      <c r="BK59" s="734">
        <f t="shared" ca="1" si="178"/>
        <v>0</v>
      </c>
      <c r="BL59" s="734">
        <f t="shared" ref="BL59:BL69" ca="1" si="193">BJ59-BK59</f>
        <v>0</v>
      </c>
      <c r="BM59" s="734">
        <f t="shared" ref="BM59:BM69" ca="1" si="194">CB59</f>
        <v>3</v>
      </c>
      <c r="BN59" s="734">
        <f t="shared" ref="BN59:BN69" ca="1" si="195">CF59</f>
        <v>3</v>
      </c>
      <c r="BO59" s="724" t="str">
        <f t="shared" ref="BO59:BO69" si="196">"4"&amp;BC59</f>
        <v>4B</v>
      </c>
      <c r="BP59" s="724"/>
      <c r="BQ59" s="724"/>
      <c r="BR59" s="734">
        <f t="shared" ca="1" si="179"/>
        <v>0</v>
      </c>
      <c r="BS59" s="734">
        <f t="shared" ref="BS59:BS69" ca="1" si="197">COUNTIFS(BR$58:BR$69,"&gt;"&amp;BR59)+1</f>
        <v>1</v>
      </c>
      <c r="BT59" s="734" t="str">
        <f t="shared" ref="BT59:BT69" ca="1" si="198">IF(COUNTIF(BS$58:BS$69,BS59)=1,"-","Pos. "&amp;BS59&amp;" ("&amp;COUNTIF(BS$58:BS$69,BS59)&amp;")")</f>
        <v>Pos. 1 (12)</v>
      </c>
      <c r="BU59" s="734">
        <f t="shared" ca="1" si="180"/>
        <v>0</v>
      </c>
      <c r="BV59" s="734">
        <f t="shared" ca="1" si="181"/>
        <v>1</v>
      </c>
      <c r="BW59" s="734" t="str">
        <f t="shared" ca="1" si="182"/>
        <v>Pos. 1 (11)</v>
      </c>
      <c r="BX59" s="734">
        <f t="shared" ca="1" si="183"/>
        <v>0</v>
      </c>
      <c r="BY59" s="734">
        <f t="shared" ca="1" si="184"/>
        <v>1</v>
      </c>
      <c r="BZ59" s="734" t="str">
        <f t="shared" ca="1" si="185"/>
        <v>Pos. 1 (11)</v>
      </c>
      <c r="CA59" s="734">
        <f t="shared" ref="CA59:CA69" ca="1" si="199">IF(BZ59="-","-",COUNTIF($BD$58:$BD$69,"&gt;"&amp;BD59))</f>
        <v>9</v>
      </c>
      <c r="CB59" s="734">
        <f t="shared" ref="CB59:CB68" ca="1" si="200">BY59+COUNTIFS(BZ$58:BZ$69,BZ59,CA$58:CA$69,"&gt;"&amp;CA59)</f>
        <v>3</v>
      </c>
      <c r="CC59" s="734"/>
      <c r="CD59" s="734">
        <f t="shared" ref="CD59:CD69" ca="1" si="201">IF(OR(INDEX($AW$102:$AW$113,MATCH($BD59,$AV$102:$AV$113,0))="",BZ59="-"),CB59,INDEX($AW$102:$AW$113,MATCH($BD59,$AV$102:$AV$113,0))+CB59/1000)</f>
        <v>3</v>
      </c>
      <c r="CE59" s="734">
        <f t="shared" ref="CE59:CE69" ca="1" si="202">IF(BZ59="-","-",COUNTIF(CD$58:CD$69,"&lt;"&amp;CD59))</f>
        <v>2</v>
      </c>
      <c r="CF59" s="734">
        <f t="shared" ref="CF59:CF69" ca="1" si="203">BY59+COUNTIFS(BZ$58:BZ$69,BZ59,CE$58:CE$69,"&lt;"&amp;CE59)</f>
        <v>3</v>
      </c>
      <c r="CG59" s="734"/>
      <c r="CH59" s="734"/>
      <c r="CI59" s="734"/>
      <c r="CJ59" s="734"/>
      <c r="CK59" s="734"/>
      <c r="CL59" s="734"/>
      <c r="CM59" s="734"/>
      <c r="CN59" s="734"/>
      <c r="CO59" s="734"/>
      <c r="CP59" s="734"/>
      <c r="CQ59" s="734"/>
      <c r="CR59" s="734"/>
      <c r="CS59" s="734"/>
      <c r="CT59" s="734"/>
      <c r="CU59" s="734"/>
      <c r="CV59" s="734"/>
      <c r="CW59" s="730"/>
      <c r="CX59" s="730"/>
      <c r="CY59" s="730"/>
      <c r="CZ59" s="730"/>
      <c r="DA59" s="730"/>
      <c r="DB59" s="730"/>
      <c r="DC59" s="730"/>
      <c r="DD59" s="730"/>
      <c r="DE59" s="730"/>
      <c r="DF59" s="730"/>
      <c r="DG59" s="730"/>
      <c r="DH59" s="730"/>
      <c r="DI59" s="730"/>
      <c r="DJ59" s="730">
        <f t="shared" ca="1" si="186"/>
        <v>1</v>
      </c>
      <c r="DK59" s="730"/>
      <c r="DL59" s="730">
        <f t="shared" ref="DL59:DL69" ca="1" si="204">IF(OR($H$113=144,$AJ$99=144),COUNTIF($DJ$58:$DJ$69,DJ59),1)</f>
        <v>1</v>
      </c>
      <c r="DM59" s="724" t="str">
        <f t="shared" ca="1" si="187"/>
        <v>1.1</v>
      </c>
      <c r="DN59" s="730" cm="1">
        <f t="array" aca="1" ref="DN59" ca="1">OFFSET(Horarios!$P$3,DJ59-1,0,DL59,1)</f>
        <v>1</v>
      </c>
      <c r="DO59" s="730"/>
      <c r="DP59" s="730">
        <v>2</v>
      </c>
      <c r="DQ59" s="730" t="str">
        <f t="shared" ref="DQ59:DQ69" ca="1" si="205">INDEX($BD$58:$BD$69,MATCH(DP59,$BM$58:$BM$69,0))</f>
        <v>Austria</v>
      </c>
      <c r="DR59" s="730"/>
      <c r="DS59" s="730"/>
      <c r="DT59" s="730" t="str">
        <f t="shared" si="15"/>
        <v>Casa-Fuera</v>
      </c>
      <c r="DU59" s="730"/>
      <c r="DV59" s="730"/>
      <c r="DW59" s="8"/>
    </row>
    <row r="60" spans="1:127" ht="15" customHeight="1" thickBot="1">
      <c r="A60" s="727" t="s">
        <v>30</v>
      </c>
      <c r="B60" s="728" t="s">
        <v>437</v>
      </c>
      <c r="C60" s="729">
        <f>COUNTIF(Equipos!$C$2:$C$49,WORLDCUP!B60)</f>
        <v>4</v>
      </c>
      <c r="D60" s="730" t="str">
        <f t="shared" ref="D60:D65" si="206">IF(OR(AC60="",AD60=""),"Pendiente",IF(AC60&gt;AD60,"Local",IF(AC60&lt;AD60,"Visitante","Empate")))</f>
        <v>Pendiente</v>
      </c>
      <c r="E60" s="730" t="str">
        <f t="shared" ref="E60:E65" si="207">IF(D60="Pendiente","-",INDEX($BT$6:$BT$53,MATCH($AA60,$BD$6:$BD$53,0)))</f>
        <v>-</v>
      </c>
      <c r="F60" s="730" t="str">
        <f t="shared" ref="F60:F65" si="208">IF(D60="Pendiente","-",INDEX($BT$6:$BT$53,MATCH($AF60,$BD$6:$BD$53,0)))</f>
        <v>-</v>
      </c>
      <c r="G60" s="730"/>
      <c r="H60" s="730" t="str">
        <f t="shared" ref="H60:H65" si="209">IF(D60="Pendiente","-",INDEX($BZ$6:$BZ$53,MATCH($AA60,$BD$6:$BD$53,0)))</f>
        <v>-</v>
      </c>
      <c r="I60" s="730" t="str">
        <f t="shared" ref="I60:I65" si="210">IF(D60="Pendiente","-",INDEX($BZ$6:$BZ$53,MATCH($AF60,$BD$6:$BD$53,0)))</f>
        <v>-</v>
      </c>
      <c r="J60" s="730"/>
      <c r="K60" s="730" t="str">
        <f t="shared" ref="K60:K65" si="211">IF(D60="Pendiente","-",INDEX($CE$6:$CE$53,MATCH($AA60,$BD$6:$BD$53,0)))</f>
        <v>-</v>
      </c>
      <c r="L60" s="730" t="str">
        <f t="shared" ref="L60:L65" si="212">IF(D60="Pendiente","-",INDEX($CE$6:$CE$53,MATCH($AF60,$BD$6:$BD$53,0)))</f>
        <v>-</v>
      </c>
      <c r="M60" s="730"/>
      <c r="N60" s="730" t="str">
        <f t="shared" ref="N60:N65" si="213">IF(D60="Pendiente","-",INDEX($CH$6:$CH$53,MATCH($AA60,$BD$6:$BD$53,0)))</f>
        <v>-</v>
      </c>
      <c r="O60" s="730" t="str">
        <f t="shared" ref="O60:O65" si="214">IF(D60="Pendiente","-",INDEX($CH$6:$CH$53,MATCH($AF60,$BD$6:$BD$53,0)))</f>
        <v>-</v>
      </c>
      <c r="P60" s="730"/>
      <c r="Q60" s="730" t="str">
        <f t="shared" ref="Q60:Q65" si="215">IF(D60="Pendiente","-",INDEX($CN$6:$CN$53,MATCH($AA60,$BD$6:$BD$53,0)))</f>
        <v>-</v>
      </c>
      <c r="R60" s="730" t="str">
        <f t="shared" ref="R60:R65" si="216">IF(D60="Pendiente","-",INDEX($CN$6:$CN$53,MATCH($AF60,$BD$6:$BD$53,0)))</f>
        <v>-</v>
      </c>
      <c r="S60" s="730"/>
      <c r="T60" s="730" t="str">
        <f t="shared" ref="T60:T65" si="217">IF(D60="Pendiente","-",INDEX($CS$6:$CS$53,MATCH($AA60,$BD$6:$BD$53,0)))</f>
        <v>-</v>
      </c>
      <c r="U60" s="730" t="str">
        <f t="shared" ref="U60:U65" si="218">IF(D60="Pendiente","-",INDEX($CS$6:$CS$53,MATCH($AF60,$BD$6:$BD$53,0)))</f>
        <v>-</v>
      </c>
      <c r="V60" s="170"/>
      <c r="W60" s="874" t="s">
        <v>437</v>
      </c>
      <c r="X60" s="187">
        <f ca="1">Horarios!C60</f>
        <v>46188.5</v>
      </c>
      <c r="Y60" s="188">
        <f ca="1">Horarios!C60</f>
        <v>46188.5</v>
      </c>
      <c r="Z60" s="189" t="str">
        <f>$Z$4</f>
        <v>J1</v>
      </c>
      <c r="AA60" s="190" t="str">
        <f ca="1">A61</f>
        <v>España</v>
      </c>
      <c r="AB60" s="475" t="e" cm="1" vm="29">
        <f t="array" aca="1" ref="AB60" ca="1">Ver_flag_local</f>
        <v>#VALUE!</v>
      </c>
      <c r="AC60" s="191"/>
      <c r="AD60" s="192"/>
      <c r="AE60" s="480" t="e" cm="1" vm="30">
        <f t="array" aca="1" ref="AE60" ca="1">Ver_flag_visit</f>
        <v>#VALUE!</v>
      </c>
      <c r="AF60" s="193" t="str">
        <f ca="1">A62</f>
        <v>Cabo Verde</v>
      </c>
      <c r="AG60" s="411">
        <f t="shared" ref="AG60:AG65" si="219">IF(NOT(OR(ISBLANK(AC60),ISBLANK(AD60))),1,0)</f>
        <v>0</v>
      </c>
      <c r="AH60" s="194">
        <v>14</v>
      </c>
      <c r="AI60" s="19"/>
      <c r="AJ60" s="195" t="str">
        <f>CONCATENATE(AJ3," ",B60)</f>
        <v>Grupo H</v>
      </c>
      <c r="AK60" s="196"/>
      <c r="AL60" s="196"/>
      <c r="AM60" s="196"/>
      <c r="AN60" s="196"/>
      <c r="AO60" s="196"/>
      <c r="AP60" s="196"/>
      <c r="AQ60" s="196"/>
      <c r="AR60" s="196"/>
      <c r="AS60" s="196"/>
      <c r="AT60" s="197"/>
      <c r="AU60" s="419"/>
      <c r="AV60" s="198" t="str">
        <f t="shared" ref="AV60" ca="1" si="220">IF(AU61&gt;0,$AV$3,"")</f>
        <v/>
      </c>
      <c r="AW60" s="206"/>
      <c r="AX60" s="253"/>
      <c r="AY60" s="240"/>
      <c r="AZ60" s="241"/>
      <c r="BA60" s="173"/>
      <c r="BB60" s="745" t="str">
        <f t="shared" si="188"/>
        <v>3C</v>
      </c>
      <c r="BC60" s="742" t="s">
        <v>2</v>
      </c>
      <c r="BD60" s="730" t="str">
        <f t="shared" ca="1" si="175"/>
        <v>Haití</v>
      </c>
      <c r="BE60" s="734">
        <f t="shared" ca="1" si="189"/>
        <v>0</v>
      </c>
      <c r="BF60" s="734">
        <f t="shared" ca="1" si="190"/>
        <v>0</v>
      </c>
      <c r="BG60" s="734">
        <f t="shared" ca="1" si="191"/>
        <v>0</v>
      </c>
      <c r="BH60" s="734">
        <f t="shared" ca="1" si="192"/>
        <v>0</v>
      </c>
      <c r="BI60" s="734">
        <f t="shared" ca="1" si="176"/>
        <v>0</v>
      </c>
      <c r="BJ60" s="734">
        <f t="shared" ca="1" si="177"/>
        <v>0</v>
      </c>
      <c r="BK60" s="734">
        <f t="shared" ca="1" si="178"/>
        <v>0</v>
      </c>
      <c r="BL60" s="734">
        <f t="shared" ca="1" si="193"/>
        <v>0</v>
      </c>
      <c r="BM60" s="734">
        <f t="shared" ca="1" si="194"/>
        <v>6</v>
      </c>
      <c r="BN60" s="734">
        <f t="shared" ca="1" si="195"/>
        <v>6</v>
      </c>
      <c r="BO60" s="724" t="str">
        <f t="shared" si="196"/>
        <v>4C</v>
      </c>
      <c r="BP60" s="724"/>
      <c r="BQ60" s="724"/>
      <c r="BR60" s="734">
        <f t="shared" ca="1" si="179"/>
        <v>0</v>
      </c>
      <c r="BS60" s="734">
        <f t="shared" ca="1" si="197"/>
        <v>1</v>
      </c>
      <c r="BT60" s="734" t="str">
        <f t="shared" ca="1" si="198"/>
        <v>Pos. 1 (12)</v>
      </c>
      <c r="BU60" s="734">
        <f t="shared" ca="1" si="180"/>
        <v>0</v>
      </c>
      <c r="BV60" s="734">
        <f t="shared" ca="1" si="181"/>
        <v>1</v>
      </c>
      <c r="BW60" s="734" t="str">
        <f t="shared" ca="1" si="182"/>
        <v>Pos. 1 (11)</v>
      </c>
      <c r="BX60" s="734">
        <f t="shared" ca="1" si="183"/>
        <v>0</v>
      </c>
      <c r="BY60" s="734">
        <f t="shared" ca="1" si="184"/>
        <v>1</v>
      </c>
      <c r="BZ60" s="734" t="str">
        <f t="shared" ca="1" si="185"/>
        <v>Pos. 1 (11)</v>
      </c>
      <c r="CA60" s="734">
        <f t="shared" ca="1" si="199"/>
        <v>6</v>
      </c>
      <c r="CB60" s="734">
        <f t="shared" ca="1" si="200"/>
        <v>6</v>
      </c>
      <c r="CC60" s="734"/>
      <c r="CD60" s="734">
        <f t="shared" ca="1" si="201"/>
        <v>6</v>
      </c>
      <c r="CE60" s="734">
        <f t="shared" ca="1" si="202"/>
        <v>5</v>
      </c>
      <c r="CF60" s="734">
        <f t="shared" ca="1" si="203"/>
        <v>6</v>
      </c>
      <c r="CG60" s="734"/>
      <c r="CH60" s="734"/>
      <c r="CI60" s="734"/>
      <c r="CJ60" s="734"/>
      <c r="CK60" s="734"/>
      <c r="CL60" s="734"/>
      <c r="CM60" s="734"/>
      <c r="CN60" s="734"/>
      <c r="CO60" s="734"/>
      <c r="CP60" s="734"/>
      <c r="CQ60" s="734"/>
      <c r="CR60" s="734"/>
      <c r="CS60" s="734"/>
      <c r="CT60" s="734"/>
      <c r="CU60" s="734"/>
      <c r="CV60" s="734"/>
      <c r="CW60" s="730"/>
      <c r="CX60" s="730"/>
      <c r="CY60" s="730"/>
      <c r="CZ60" s="730"/>
      <c r="DA60" s="730"/>
      <c r="DB60" s="730"/>
      <c r="DC60" s="730"/>
      <c r="DD60" s="730"/>
      <c r="DE60" s="730"/>
      <c r="DF60" s="730"/>
      <c r="DG60" s="730"/>
      <c r="DH60" s="730"/>
      <c r="DI60" s="730"/>
      <c r="DJ60" s="730">
        <f t="shared" ca="1" si="186"/>
        <v>1</v>
      </c>
      <c r="DK60" s="730"/>
      <c r="DL60" s="730">
        <f t="shared" ca="1" si="204"/>
        <v>1</v>
      </c>
      <c r="DM60" s="724" t="str">
        <f t="shared" ca="1" si="187"/>
        <v>1.1</v>
      </c>
      <c r="DN60" s="730" cm="1">
        <f t="array" aca="1" ref="DN60" ca="1">OFFSET(Horarios!$P$3,DJ60-1,0,DL60,1)</f>
        <v>1</v>
      </c>
      <c r="DO60" s="730"/>
      <c r="DP60" s="730">
        <v>3</v>
      </c>
      <c r="DQ60" s="730" t="str">
        <f t="shared" ca="1" si="205"/>
        <v>Catar</v>
      </c>
      <c r="DR60" s="730"/>
      <c r="DS60" s="730"/>
      <c r="DT60" s="730" t="str">
        <f t="shared" ca="1" si="15"/>
        <v>España-Cabo Verde</v>
      </c>
      <c r="DU60" s="730"/>
      <c r="DV60" s="730"/>
      <c r="DW60" s="8"/>
    </row>
    <row r="61" spans="1:127">
      <c r="A61" s="731" t="str">
        <f ca="1">+Equipos!B30</f>
        <v>España</v>
      </c>
      <c r="B61" s="728"/>
      <c r="C61" s="728"/>
      <c r="D61" s="730" t="str">
        <f t="shared" si="206"/>
        <v>Pendiente</v>
      </c>
      <c r="E61" s="730" t="str">
        <f t="shared" si="207"/>
        <v>-</v>
      </c>
      <c r="F61" s="730" t="str">
        <f t="shared" si="208"/>
        <v>-</v>
      </c>
      <c r="G61" s="730"/>
      <c r="H61" s="730" t="str">
        <f t="shared" si="209"/>
        <v>-</v>
      </c>
      <c r="I61" s="730" t="str">
        <f t="shared" si="210"/>
        <v>-</v>
      </c>
      <c r="J61" s="730"/>
      <c r="K61" s="730" t="str">
        <f t="shared" si="211"/>
        <v>-</v>
      </c>
      <c r="L61" s="730" t="str">
        <f t="shared" si="212"/>
        <v>-</v>
      </c>
      <c r="M61" s="730"/>
      <c r="N61" s="730" t="str">
        <f t="shared" si="213"/>
        <v>-</v>
      </c>
      <c r="O61" s="730" t="str">
        <f t="shared" si="214"/>
        <v>-</v>
      </c>
      <c r="P61" s="730"/>
      <c r="Q61" s="730" t="str">
        <f t="shared" si="215"/>
        <v>-</v>
      </c>
      <c r="R61" s="730" t="str">
        <f t="shared" si="216"/>
        <v>-</v>
      </c>
      <c r="S61" s="730"/>
      <c r="T61" s="730" t="str">
        <f t="shared" si="217"/>
        <v>-</v>
      </c>
      <c r="U61" s="730" t="str">
        <f t="shared" si="218"/>
        <v>-</v>
      </c>
      <c r="V61" s="170"/>
      <c r="W61" s="874"/>
      <c r="X61" s="187">
        <f ca="1">Horarios!C61</f>
        <v>46188.75</v>
      </c>
      <c r="Y61" s="188">
        <f ca="1">Horarios!C61</f>
        <v>46188.75</v>
      </c>
      <c r="Z61" s="189" t="str">
        <f>$Z$4</f>
        <v>J1</v>
      </c>
      <c r="AA61" s="190" t="str">
        <f ca="1">A63</f>
        <v>Arabia Saudita</v>
      </c>
      <c r="AB61" s="475" t="e" cm="1" vm="31">
        <f t="array" aca="1" ref="AB61" ca="1">Ver_flag_local</f>
        <v>#VALUE!</v>
      </c>
      <c r="AC61" s="191"/>
      <c r="AD61" s="192"/>
      <c r="AE61" s="480" t="e" cm="1" vm="32">
        <f t="array" aca="1" ref="AE61" ca="1">Ver_flag_visit</f>
        <v>#VALUE!</v>
      </c>
      <c r="AF61" s="193" t="str">
        <f ca="1">A64</f>
        <v>Uruguay</v>
      </c>
      <c r="AG61" s="411">
        <f t="shared" si="219"/>
        <v>0</v>
      </c>
      <c r="AH61" s="194">
        <v>13</v>
      </c>
      <c r="AI61" s="19"/>
      <c r="AJ61" s="202" t="str">
        <f>AJ5</f>
        <v>Pos</v>
      </c>
      <c r="AK61" s="203"/>
      <c r="AL61" s="204" t="str">
        <f t="shared" ref="AL61:AT61" si="221">AL5</f>
        <v>Selección</v>
      </c>
      <c r="AM61" s="203" t="str">
        <f t="shared" si="221"/>
        <v>Pts</v>
      </c>
      <c r="AN61" s="203" t="str">
        <f t="shared" si="221"/>
        <v>J</v>
      </c>
      <c r="AO61" s="203" t="str">
        <f t="shared" si="221"/>
        <v>G</v>
      </c>
      <c r="AP61" s="203" t="str">
        <f t="shared" si="221"/>
        <v>E</v>
      </c>
      <c r="AQ61" s="203" t="str">
        <f t="shared" si="221"/>
        <v>P</v>
      </c>
      <c r="AR61" s="203" t="str">
        <f t="shared" si="221"/>
        <v>GF</v>
      </c>
      <c r="AS61" s="203" t="str">
        <f t="shared" si="221"/>
        <v>GC</v>
      </c>
      <c r="AT61" s="205" t="str">
        <f t="shared" si="221"/>
        <v>DG</v>
      </c>
      <c r="AU61" s="419">
        <f t="shared" ref="AU61" ca="1" si="222">COUNTIF(AU62:AU65,"&gt;1")</f>
        <v>0</v>
      </c>
      <c r="AV61" s="206"/>
      <c r="AW61" s="206"/>
      <c r="AX61" s="253"/>
      <c r="AY61" s="207" t="str">
        <f>AL61</f>
        <v>Selección</v>
      </c>
      <c r="AZ61" s="208" t="str">
        <f>+Idiomas!$D$69</f>
        <v>Puntos penalizados</v>
      </c>
      <c r="BA61" s="173"/>
      <c r="BB61" s="745" t="str">
        <f t="shared" si="188"/>
        <v>3D</v>
      </c>
      <c r="BC61" s="742" t="s">
        <v>73</v>
      </c>
      <c r="BD61" s="730" t="str">
        <f t="shared" ca="1" si="175"/>
        <v>Turquía</v>
      </c>
      <c r="BE61" s="734">
        <f t="shared" ca="1" si="189"/>
        <v>0</v>
      </c>
      <c r="BF61" s="734">
        <f t="shared" ca="1" si="190"/>
        <v>0</v>
      </c>
      <c r="BG61" s="734">
        <f t="shared" ca="1" si="191"/>
        <v>0</v>
      </c>
      <c r="BH61" s="734">
        <f t="shared" ca="1" si="192"/>
        <v>0</v>
      </c>
      <c r="BI61" s="734">
        <f t="shared" ca="1" si="176"/>
        <v>0</v>
      </c>
      <c r="BJ61" s="734">
        <f t="shared" ca="1" si="177"/>
        <v>0</v>
      </c>
      <c r="BK61" s="734">
        <f t="shared" ca="1" si="178"/>
        <v>0</v>
      </c>
      <c r="BL61" s="734">
        <f t="shared" ca="1" si="193"/>
        <v>0</v>
      </c>
      <c r="BM61" s="734">
        <f t="shared" ca="1" si="194"/>
        <v>10</v>
      </c>
      <c r="BN61" s="734">
        <f t="shared" ca="1" si="195"/>
        <v>10</v>
      </c>
      <c r="BO61" s="724" t="str">
        <f t="shared" si="196"/>
        <v>4D</v>
      </c>
      <c r="BP61" s="724"/>
      <c r="BQ61" s="724"/>
      <c r="BR61" s="734">
        <f t="shared" ca="1" si="179"/>
        <v>0</v>
      </c>
      <c r="BS61" s="734">
        <f t="shared" ca="1" si="197"/>
        <v>1</v>
      </c>
      <c r="BT61" s="734" t="str">
        <f t="shared" ca="1" si="198"/>
        <v>Pos. 1 (12)</v>
      </c>
      <c r="BU61" s="734">
        <f t="shared" ca="1" si="180"/>
        <v>0</v>
      </c>
      <c r="BV61" s="734">
        <f t="shared" ca="1" si="181"/>
        <v>1</v>
      </c>
      <c r="BW61" s="734" t="str">
        <f t="shared" ca="1" si="182"/>
        <v>Pos. 1 (11)</v>
      </c>
      <c r="BX61" s="734">
        <f t="shared" ca="1" si="183"/>
        <v>0</v>
      </c>
      <c r="BY61" s="734">
        <f t="shared" ca="1" si="184"/>
        <v>1</v>
      </c>
      <c r="BZ61" s="734" t="str">
        <f t="shared" ca="1" si="185"/>
        <v>Pos. 1 (11)</v>
      </c>
      <c r="CA61" s="734">
        <f t="shared" ca="1" si="199"/>
        <v>1</v>
      </c>
      <c r="CB61" s="734">
        <f t="shared" ca="1" si="200"/>
        <v>10</v>
      </c>
      <c r="CC61" s="734"/>
      <c r="CD61" s="734">
        <f t="shared" ca="1" si="201"/>
        <v>10</v>
      </c>
      <c r="CE61" s="734">
        <f t="shared" ca="1" si="202"/>
        <v>9</v>
      </c>
      <c r="CF61" s="734">
        <f t="shared" ca="1" si="203"/>
        <v>10</v>
      </c>
      <c r="CG61" s="734"/>
      <c r="CH61" s="734"/>
      <c r="CI61" s="734"/>
      <c r="CJ61" s="734"/>
      <c r="CK61" s="734"/>
      <c r="CL61" s="734"/>
      <c r="CM61" s="734"/>
      <c r="CN61" s="734"/>
      <c r="CO61" s="734"/>
      <c r="CP61" s="734"/>
      <c r="CQ61" s="734"/>
      <c r="CR61" s="734"/>
      <c r="CS61" s="734"/>
      <c r="CT61" s="734"/>
      <c r="CU61" s="734"/>
      <c r="CV61" s="734"/>
      <c r="CW61" s="730"/>
      <c r="CX61" s="730"/>
      <c r="CY61" s="730"/>
      <c r="CZ61" s="730"/>
      <c r="DA61" s="730"/>
      <c r="DB61" s="730"/>
      <c r="DC61" s="730"/>
      <c r="DD61" s="730"/>
      <c r="DE61" s="730"/>
      <c r="DF61" s="730"/>
      <c r="DG61" s="730"/>
      <c r="DH61" s="730"/>
      <c r="DI61" s="730"/>
      <c r="DJ61" s="730">
        <f t="shared" ca="1" si="186"/>
        <v>1</v>
      </c>
      <c r="DK61" s="730"/>
      <c r="DL61" s="730">
        <f t="shared" ca="1" si="204"/>
        <v>1</v>
      </c>
      <c r="DM61" s="724" t="str">
        <f t="shared" ca="1" si="187"/>
        <v>1.1</v>
      </c>
      <c r="DN61" s="730" cm="1">
        <f t="array" aca="1" ref="DN61" ca="1">OFFSET(Horarios!$P$3,DJ61-1,0,DL61,1)</f>
        <v>1</v>
      </c>
      <c r="DO61" s="730"/>
      <c r="DP61" s="730">
        <v>4</v>
      </c>
      <c r="DQ61" s="730" t="str">
        <f t="shared" ca="1" si="205"/>
        <v>Costa de Marfil</v>
      </c>
      <c r="DR61" s="730"/>
      <c r="DS61" s="730"/>
      <c r="DT61" s="730" t="str">
        <f t="shared" ca="1" si="15"/>
        <v>Arabia Saudita-Uruguay</v>
      </c>
      <c r="DU61" s="730"/>
      <c r="DV61" s="730"/>
      <c r="DW61" s="8"/>
    </row>
    <row r="62" spans="1:127">
      <c r="A62" s="731" t="str">
        <f ca="1">+Equipos!B31</f>
        <v>Cabo Verde</v>
      </c>
      <c r="B62" s="728"/>
      <c r="C62" s="732"/>
      <c r="D62" s="730" t="str">
        <f t="shared" si="206"/>
        <v>Pendiente</v>
      </c>
      <c r="E62" s="730" t="str">
        <f t="shared" si="207"/>
        <v>-</v>
      </c>
      <c r="F62" s="730" t="str">
        <f t="shared" si="208"/>
        <v>-</v>
      </c>
      <c r="G62" s="730"/>
      <c r="H62" s="730" t="str">
        <f t="shared" si="209"/>
        <v>-</v>
      </c>
      <c r="I62" s="730" t="str">
        <f t="shared" si="210"/>
        <v>-</v>
      </c>
      <c r="J62" s="730"/>
      <c r="K62" s="730" t="str">
        <f t="shared" si="211"/>
        <v>-</v>
      </c>
      <c r="L62" s="730" t="str">
        <f t="shared" si="212"/>
        <v>-</v>
      </c>
      <c r="M62" s="730"/>
      <c r="N62" s="730" t="str">
        <f t="shared" si="213"/>
        <v>-</v>
      </c>
      <c r="O62" s="730" t="str">
        <f t="shared" si="214"/>
        <v>-</v>
      </c>
      <c r="P62" s="730"/>
      <c r="Q62" s="730" t="str">
        <f t="shared" si="215"/>
        <v>-</v>
      </c>
      <c r="R62" s="730" t="str">
        <f t="shared" si="216"/>
        <v>-</v>
      </c>
      <c r="S62" s="730"/>
      <c r="T62" s="730" t="str">
        <f t="shared" si="217"/>
        <v>-</v>
      </c>
      <c r="U62" s="730" t="str">
        <f t="shared" si="218"/>
        <v>-</v>
      </c>
      <c r="V62" s="170"/>
      <c r="W62" s="874"/>
      <c r="X62" s="187">
        <f ca="1">Horarios!C62</f>
        <v>46194.5</v>
      </c>
      <c r="Y62" s="188">
        <f ca="1">Horarios!C62</f>
        <v>46194.5</v>
      </c>
      <c r="Z62" s="189" t="str">
        <f>$Z$6</f>
        <v>J2</v>
      </c>
      <c r="AA62" s="190" t="str">
        <f ca="1">A61</f>
        <v>España</v>
      </c>
      <c r="AB62" s="475" t="e" cm="1" vm="29">
        <f t="array" aca="1" ref="AB62" ca="1">Ver_flag_local</f>
        <v>#VALUE!</v>
      </c>
      <c r="AC62" s="191"/>
      <c r="AD62" s="192"/>
      <c r="AE62" s="480" t="e" cm="1" vm="31">
        <f t="array" aca="1" ref="AE62" ca="1">Ver_flag_visit</f>
        <v>#VALUE!</v>
      </c>
      <c r="AF62" s="193" t="str">
        <f ca="1">A63</f>
        <v>Arabia Saudita</v>
      </c>
      <c r="AG62" s="411">
        <f t="shared" si="219"/>
        <v>0</v>
      </c>
      <c r="AH62" s="194">
        <v>38</v>
      </c>
      <c r="AI62" s="19" t="str">
        <f>AJ62&amp;$B$60</f>
        <v>1H</v>
      </c>
      <c r="AJ62" s="209">
        <v>1</v>
      </c>
      <c r="AK62" s="485" t="e" cm="1" vm="29">
        <f t="array" aca="1" ref="AK62" ca="1">Ver_flag_visit</f>
        <v>#VALUE!</v>
      </c>
      <c r="AL62" s="210" t="str">
        <f ca="1">IFERROR(INDEX($BD$6:$BD$53,MATCH(AI62,$BN$6:$BN$53,0)),"")</f>
        <v>España</v>
      </c>
      <c r="AM62" s="211">
        <f t="shared" ref="AM62:AT65" ca="1" si="223">INDEX($BE$6:$BN$53,MATCH($AL62,$BD$6:$BD$53,0),MATCH(AM$5,$BE$5:$BN$5,0))</f>
        <v>0</v>
      </c>
      <c r="AN62" s="212">
        <f t="shared" ca="1" si="223"/>
        <v>0</v>
      </c>
      <c r="AO62" s="212">
        <f t="shared" ca="1" si="223"/>
        <v>0</v>
      </c>
      <c r="AP62" s="212">
        <f t="shared" ca="1" si="223"/>
        <v>0</v>
      </c>
      <c r="AQ62" s="212">
        <f t="shared" ca="1" si="223"/>
        <v>0</v>
      </c>
      <c r="AR62" s="212">
        <f t="shared" ca="1" si="223"/>
        <v>0</v>
      </c>
      <c r="AS62" s="212">
        <f t="shared" ca="1" si="223"/>
        <v>0</v>
      </c>
      <c r="AT62" s="213">
        <f t="shared" ca="1" si="223"/>
        <v>0</v>
      </c>
      <c r="AU62" s="418">
        <f ca="1">INDEX($DL$6:$DL$53,MATCH(AI62,$DP$6:$DP$53,0))</f>
        <v>1</v>
      </c>
      <c r="AV62" s="215" t="str">
        <f ca="1">INDEX($BD$6:$BD$53,MATCH(AI62,$BM$6:$BM$53,0))</f>
        <v>España</v>
      </c>
      <c r="AW62" s="425"/>
      <c r="AX62" s="216"/>
      <c r="AY62" s="217" t="str">
        <f ca="1">+A61</f>
        <v>España</v>
      </c>
      <c r="AZ62" s="218"/>
      <c r="BA62" s="173"/>
      <c r="BB62" s="745" t="str">
        <f t="shared" si="188"/>
        <v>3E</v>
      </c>
      <c r="BC62" s="742" t="s">
        <v>3</v>
      </c>
      <c r="BD62" s="730" t="str">
        <f t="shared" ca="1" si="175"/>
        <v>Costa de Marfil</v>
      </c>
      <c r="BE62" s="734">
        <f t="shared" ca="1" si="189"/>
        <v>0</v>
      </c>
      <c r="BF62" s="734">
        <f t="shared" ca="1" si="190"/>
        <v>0</v>
      </c>
      <c r="BG62" s="734">
        <f t="shared" ca="1" si="191"/>
        <v>0</v>
      </c>
      <c r="BH62" s="734">
        <f t="shared" ca="1" si="192"/>
        <v>0</v>
      </c>
      <c r="BI62" s="734">
        <f t="shared" ca="1" si="176"/>
        <v>0</v>
      </c>
      <c r="BJ62" s="734">
        <f t="shared" ca="1" si="177"/>
        <v>0</v>
      </c>
      <c r="BK62" s="734">
        <f t="shared" ca="1" si="178"/>
        <v>0</v>
      </c>
      <c r="BL62" s="734">
        <f t="shared" ca="1" si="193"/>
        <v>0</v>
      </c>
      <c r="BM62" s="734">
        <f t="shared" ca="1" si="194"/>
        <v>4</v>
      </c>
      <c r="BN62" s="734">
        <f t="shared" ca="1" si="195"/>
        <v>4</v>
      </c>
      <c r="BO62" s="724" t="str">
        <f t="shared" si="196"/>
        <v>4E</v>
      </c>
      <c r="BP62" s="724"/>
      <c r="BQ62" s="724"/>
      <c r="BR62" s="734">
        <f t="shared" ca="1" si="179"/>
        <v>0</v>
      </c>
      <c r="BS62" s="734">
        <f t="shared" ca="1" si="197"/>
        <v>1</v>
      </c>
      <c r="BT62" s="734" t="str">
        <f t="shared" ca="1" si="198"/>
        <v>Pos. 1 (12)</v>
      </c>
      <c r="BU62" s="734">
        <f t="shared" ca="1" si="180"/>
        <v>0</v>
      </c>
      <c r="BV62" s="734">
        <f t="shared" ca="1" si="181"/>
        <v>1</v>
      </c>
      <c r="BW62" s="734" t="str">
        <f t="shared" ca="1" si="182"/>
        <v>Pos. 1 (11)</v>
      </c>
      <c r="BX62" s="734">
        <f t="shared" ca="1" si="183"/>
        <v>0</v>
      </c>
      <c r="BY62" s="734">
        <f t="shared" ca="1" si="184"/>
        <v>1</v>
      </c>
      <c r="BZ62" s="734" t="str">
        <f t="shared" ca="1" si="185"/>
        <v>Pos. 1 (11)</v>
      </c>
      <c r="CA62" s="734">
        <f t="shared" ca="1" si="199"/>
        <v>8</v>
      </c>
      <c r="CB62" s="734">
        <f t="shared" ca="1" si="200"/>
        <v>4</v>
      </c>
      <c r="CC62" s="734"/>
      <c r="CD62" s="734">
        <f t="shared" ca="1" si="201"/>
        <v>4</v>
      </c>
      <c r="CE62" s="734">
        <f t="shared" ca="1" si="202"/>
        <v>3</v>
      </c>
      <c r="CF62" s="734">
        <f t="shared" ca="1" si="203"/>
        <v>4</v>
      </c>
      <c r="CG62" s="734"/>
      <c r="CH62" s="734"/>
      <c r="CI62" s="734"/>
      <c r="CJ62" s="734"/>
      <c r="CK62" s="734"/>
      <c r="CL62" s="734"/>
      <c r="CM62" s="734"/>
      <c r="CN62" s="734"/>
      <c r="CO62" s="734"/>
      <c r="CP62" s="734"/>
      <c r="CQ62" s="734"/>
      <c r="CR62" s="734"/>
      <c r="CS62" s="734"/>
      <c r="CT62" s="734"/>
      <c r="CU62" s="734"/>
      <c r="CV62" s="734"/>
      <c r="CW62" s="730"/>
      <c r="CX62" s="730"/>
      <c r="CY62" s="730"/>
      <c r="CZ62" s="730"/>
      <c r="DA62" s="730"/>
      <c r="DB62" s="730"/>
      <c r="DC62" s="730"/>
      <c r="DD62" s="730"/>
      <c r="DE62" s="730"/>
      <c r="DF62" s="730"/>
      <c r="DG62" s="730"/>
      <c r="DH62" s="730"/>
      <c r="DI62" s="730"/>
      <c r="DJ62" s="730">
        <f t="shared" ca="1" si="186"/>
        <v>1</v>
      </c>
      <c r="DK62" s="730"/>
      <c r="DL62" s="730">
        <f t="shared" ca="1" si="204"/>
        <v>1</v>
      </c>
      <c r="DM62" s="724" t="str">
        <f t="shared" ca="1" si="187"/>
        <v>1.1</v>
      </c>
      <c r="DN62" s="730" cm="1">
        <f t="array" aca="1" ref="DN62" ca="1">OFFSET(Horarios!$P$3,DJ62-1,0,DL62,1)</f>
        <v>1</v>
      </c>
      <c r="DO62" s="730"/>
      <c r="DP62" s="730">
        <v>5</v>
      </c>
      <c r="DQ62" s="730" t="str">
        <f t="shared" ca="1" si="205"/>
        <v>Ghana</v>
      </c>
      <c r="DR62" s="730"/>
      <c r="DS62" s="730"/>
      <c r="DT62" s="730" t="str">
        <f t="shared" ca="1" si="15"/>
        <v>España-Arabia Saudita</v>
      </c>
      <c r="DU62" s="730"/>
      <c r="DV62" s="730"/>
      <c r="DW62" s="8"/>
    </row>
    <row r="63" spans="1:127">
      <c r="A63" s="731" t="str">
        <f ca="1">+Equipos!B32</f>
        <v>Arabia Saudita</v>
      </c>
      <c r="B63" s="728"/>
      <c r="C63" s="730"/>
      <c r="D63" s="730" t="str">
        <f t="shared" si="206"/>
        <v>Pendiente</v>
      </c>
      <c r="E63" s="730" t="str">
        <f t="shared" si="207"/>
        <v>-</v>
      </c>
      <c r="F63" s="730" t="str">
        <f t="shared" si="208"/>
        <v>-</v>
      </c>
      <c r="G63" s="730"/>
      <c r="H63" s="730" t="str">
        <f t="shared" si="209"/>
        <v>-</v>
      </c>
      <c r="I63" s="730" t="str">
        <f t="shared" si="210"/>
        <v>-</v>
      </c>
      <c r="J63" s="730"/>
      <c r="K63" s="730" t="str">
        <f t="shared" si="211"/>
        <v>-</v>
      </c>
      <c r="L63" s="730" t="str">
        <f t="shared" si="212"/>
        <v>-</v>
      </c>
      <c r="M63" s="730"/>
      <c r="N63" s="730" t="str">
        <f t="shared" si="213"/>
        <v>-</v>
      </c>
      <c r="O63" s="730" t="str">
        <f t="shared" si="214"/>
        <v>-</v>
      </c>
      <c r="P63" s="730"/>
      <c r="Q63" s="730" t="str">
        <f t="shared" si="215"/>
        <v>-</v>
      </c>
      <c r="R63" s="730" t="str">
        <f t="shared" si="216"/>
        <v>-</v>
      </c>
      <c r="S63" s="730"/>
      <c r="T63" s="730" t="str">
        <f t="shared" si="217"/>
        <v>-</v>
      </c>
      <c r="U63" s="730" t="str">
        <f t="shared" si="218"/>
        <v>-</v>
      </c>
      <c r="V63" s="170"/>
      <c r="W63" s="874"/>
      <c r="X63" s="187">
        <f ca="1">Horarios!C63</f>
        <v>46194.75</v>
      </c>
      <c r="Y63" s="188">
        <f ca="1">Horarios!C63</f>
        <v>46194.75</v>
      </c>
      <c r="Z63" s="189" t="str">
        <f>$Z$6</f>
        <v>J2</v>
      </c>
      <c r="AA63" s="190" t="str">
        <f ca="1">A64</f>
        <v>Uruguay</v>
      </c>
      <c r="AB63" s="475" t="e" cm="1" vm="32">
        <f t="array" aca="1" ref="AB63" ca="1">Ver_flag_local</f>
        <v>#VALUE!</v>
      </c>
      <c r="AC63" s="191"/>
      <c r="AD63" s="192"/>
      <c r="AE63" s="480" t="e" cm="1" vm="30">
        <f t="array" aca="1" ref="AE63" ca="1">Ver_flag_visit</f>
        <v>#VALUE!</v>
      </c>
      <c r="AF63" s="193" t="str">
        <f ca="1">A62</f>
        <v>Cabo Verde</v>
      </c>
      <c r="AG63" s="411">
        <f t="shared" si="219"/>
        <v>0</v>
      </c>
      <c r="AH63" s="194">
        <v>37</v>
      </c>
      <c r="AI63" s="19" t="str">
        <f t="shared" ref="AI63:AI65" si="224">AJ63&amp;$B$60</f>
        <v>2H</v>
      </c>
      <c r="AJ63" s="219">
        <v>2</v>
      </c>
      <c r="AK63" s="483" t="e" cm="1" vm="30">
        <f t="array" aca="1" ref="AK63" ca="1">Ver_flag_visit</f>
        <v>#VALUE!</v>
      </c>
      <c r="AL63" s="220" t="str">
        <f ca="1">IFERROR(INDEX($BD$6:$BD$53,MATCH(AI63,$BN$6:$BN$53,0)),"")</f>
        <v>Cabo Verde</v>
      </c>
      <c r="AM63" s="221">
        <f t="shared" ca="1" si="223"/>
        <v>0</v>
      </c>
      <c r="AN63" s="222">
        <f t="shared" ca="1" si="223"/>
        <v>0</v>
      </c>
      <c r="AO63" s="222">
        <f t="shared" ca="1" si="223"/>
        <v>0</v>
      </c>
      <c r="AP63" s="222">
        <f t="shared" ca="1" si="223"/>
        <v>0</v>
      </c>
      <c r="AQ63" s="222">
        <f t="shared" ca="1" si="223"/>
        <v>0</v>
      </c>
      <c r="AR63" s="222">
        <f t="shared" ca="1" si="223"/>
        <v>0</v>
      </c>
      <c r="AS63" s="222">
        <f t="shared" ca="1" si="223"/>
        <v>0</v>
      </c>
      <c r="AT63" s="223">
        <f t="shared" ca="1" si="223"/>
        <v>0</v>
      </c>
      <c r="AU63" s="418">
        <f ca="1">INDEX($DL$6:$DL$53,MATCH(AI63,$DP$6:$DP$53,0))</f>
        <v>1</v>
      </c>
      <c r="AV63" s="215" t="str">
        <f ca="1">INDEX($BD$6:$BD$53,MATCH(AI63,$BM$6:$BM$53,0))</f>
        <v>Cabo Verde</v>
      </c>
      <c r="AW63" s="425"/>
      <c r="AX63" s="216"/>
      <c r="AY63" s="224" t="str">
        <f ca="1">+A62</f>
        <v>Cabo Verde</v>
      </c>
      <c r="AZ63" s="225"/>
      <c r="BA63" s="173"/>
      <c r="BB63" s="745" t="str">
        <f t="shared" si="188"/>
        <v>3F</v>
      </c>
      <c r="BC63" s="742" t="s">
        <v>4</v>
      </c>
      <c r="BD63" s="730" t="str">
        <f t="shared" ca="1" si="175"/>
        <v>Suecia</v>
      </c>
      <c r="BE63" s="734">
        <f t="shared" ca="1" si="189"/>
        <v>0</v>
      </c>
      <c r="BF63" s="734">
        <f t="shared" ca="1" si="190"/>
        <v>0</v>
      </c>
      <c r="BG63" s="734">
        <f t="shared" ca="1" si="191"/>
        <v>0</v>
      </c>
      <c r="BH63" s="734">
        <f t="shared" ca="1" si="192"/>
        <v>0</v>
      </c>
      <c r="BI63" s="734">
        <f t="shared" ca="1" si="176"/>
        <v>0</v>
      </c>
      <c r="BJ63" s="734">
        <f t="shared" ca="1" si="177"/>
        <v>0</v>
      </c>
      <c r="BK63" s="734">
        <f t="shared" ca="1" si="178"/>
        <v>0</v>
      </c>
      <c r="BL63" s="734">
        <f t="shared" ca="1" si="193"/>
        <v>0</v>
      </c>
      <c r="BM63" s="734">
        <f t="shared" ca="1" si="194"/>
        <v>9</v>
      </c>
      <c r="BN63" s="734">
        <f t="shared" ca="1" si="195"/>
        <v>9</v>
      </c>
      <c r="BO63" s="724" t="str">
        <f t="shared" si="196"/>
        <v>4F</v>
      </c>
      <c r="BP63" s="724"/>
      <c r="BQ63" s="724"/>
      <c r="BR63" s="734">
        <f t="shared" ca="1" si="179"/>
        <v>0</v>
      </c>
      <c r="BS63" s="734">
        <f t="shared" ca="1" si="197"/>
        <v>1</v>
      </c>
      <c r="BT63" s="734" t="str">
        <f t="shared" ca="1" si="198"/>
        <v>Pos. 1 (12)</v>
      </c>
      <c r="BU63" s="734">
        <f t="shared" ca="1" si="180"/>
        <v>0</v>
      </c>
      <c r="BV63" s="734">
        <f t="shared" ca="1" si="181"/>
        <v>1</v>
      </c>
      <c r="BW63" s="734" t="str">
        <f t="shared" ca="1" si="182"/>
        <v>Pos. 1 (11)</v>
      </c>
      <c r="BX63" s="734">
        <f t="shared" ca="1" si="183"/>
        <v>0</v>
      </c>
      <c r="BY63" s="734">
        <f t="shared" ca="1" si="184"/>
        <v>1</v>
      </c>
      <c r="BZ63" s="734" t="str">
        <f t="shared" ca="1" si="185"/>
        <v>Pos. 1 (11)</v>
      </c>
      <c r="CA63" s="734">
        <f t="shared" ca="1" si="199"/>
        <v>2</v>
      </c>
      <c r="CB63" s="734">
        <f t="shared" ca="1" si="200"/>
        <v>9</v>
      </c>
      <c r="CC63" s="734"/>
      <c r="CD63" s="734">
        <f t="shared" ca="1" si="201"/>
        <v>9</v>
      </c>
      <c r="CE63" s="734">
        <f t="shared" ca="1" si="202"/>
        <v>8</v>
      </c>
      <c r="CF63" s="734">
        <f t="shared" ca="1" si="203"/>
        <v>9</v>
      </c>
      <c r="CG63" s="734"/>
      <c r="CH63" s="734"/>
      <c r="CI63" s="734"/>
      <c r="CJ63" s="734"/>
      <c r="CK63" s="734"/>
      <c r="CL63" s="734"/>
      <c r="CM63" s="734"/>
      <c r="CN63" s="734"/>
      <c r="CO63" s="734"/>
      <c r="CP63" s="734"/>
      <c r="CQ63" s="734"/>
      <c r="CR63" s="734"/>
      <c r="CS63" s="734"/>
      <c r="CT63" s="734"/>
      <c r="CU63" s="734"/>
      <c r="CV63" s="734"/>
      <c r="CW63" s="730"/>
      <c r="CX63" s="730"/>
      <c r="CY63" s="730"/>
      <c r="CZ63" s="730"/>
      <c r="DA63" s="730"/>
      <c r="DB63" s="730"/>
      <c r="DC63" s="730"/>
      <c r="DD63" s="730"/>
      <c r="DE63" s="730"/>
      <c r="DF63" s="730"/>
      <c r="DG63" s="730"/>
      <c r="DH63" s="730"/>
      <c r="DI63" s="730"/>
      <c r="DJ63" s="730">
        <f t="shared" ca="1" si="186"/>
        <v>1</v>
      </c>
      <c r="DK63" s="730"/>
      <c r="DL63" s="730">
        <f t="shared" ca="1" si="204"/>
        <v>1</v>
      </c>
      <c r="DM63" s="724" t="str">
        <f t="shared" ca="1" si="187"/>
        <v>1.1</v>
      </c>
      <c r="DN63" s="730" cm="1">
        <f t="array" aca="1" ref="DN63" ca="1">OFFSET(Horarios!$P$3,DJ63-1,0,DL63,1)</f>
        <v>1</v>
      </c>
      <c r="DO63" s="730"/>
      <c r="DP63" s="730">
        <v>6</v>
      </c>
      <c r="DQ63" s="730" t="str">
        <f t="shared" ca="1" si="205"/>
        <v>Haití</v>
      </c>
      <c r="DR63" s="730"/>
      <c r="DS63" s="730"/>
      <c r="DT63" s="730" t="str">
        <f t="shared" ca="1" si="15"/>
        <v>Uruguay-Cabo Verde</v>
      </c>
      <c r="DU63" s="730"/>
      <c r="DV63" s="730"/>
      <c r="DW63" s="8"/>
    </row>
    <row r="64" spans="1:127">
      <c r="A64" s="731" t="str">
        <f ca="1">+Equipos!B33</f>
        <v>Uruguay</v>
      </c>
      <c r="B64" s="728"/>
      <c r="C64" s="730"/>
      <c r="D64" s="730" t="str">
        <f t="shared" si="206"/>
        <v>Pendiente</v>
      </c>
      <c r="E64" s="730" t="str">
        <f t="shared" si="207"/>
        <v>-</v>
      </c>
      <c r="F64" s="730" t="str">
        <f t="shared" si="208"/>
        <v>-</v>
      </c>
      <c r="G64" s="730"/>
      <c r="H64" s="730" t="str">
        <f t="shared" si="209"/>
        <v>-</v>
      </c>
      <c r="I64" s="730" t="str">
        <f t="shared" si="210"/>
        <v>-</v>
      </c>
      <c r="J64" s="730"/>
      <c r="K64" s="730" t="str">
        <f t="shared" si="211"/>
        <v>-</v>
      </c>
      <c r="L64" s="730" t="str">
        <f t="shared" si="212"/>
        <v>-</v>
      </c>
      <c r="M64" s="730"/>
      <c r="N64" s="730" t="str">
        <f t="shared" si="213"/>
        <v>-</v>
      </c>
      <c r="O64" s="730" t="str">
        <f t="shared" si="214"/>
        <v>-</v>
      </c>
      <c r="P64" s="730"/>
      <c r="Q64" s="730" t="str">
        <f t="shared" si="215"/>
        <v>-</v>
      </c>
      <c r="R64" s="730" t="str">
        <f t="shared" si="216"/>
        <v>-</v>
      </c>
      <c r="S64" s="730"/>
      <c r="T64" s="730" t="str">
        <f t="shared" si="217"/>
        <v>-</v>
      </c>
      <c r="U64" s="730" t="str">
        <f t="shared" si="218"/>
        <v>-</v>
      </c>
      <c r="V64" s="170"/>
      <c r="W64" s="874"/>
      <c r="X64" s="187">
        <f ca="1">Horarios!C64</f>
        <v>46199.833333333336</v>
      </c>
      <c r="Y64" s="188">
        <f ca="1">Horarios!C64</f>
        <v>46199.833333333336</v>
      </c>
      <c r="Z64" s="189" t="str">
        <f>$Z$8</f>
        <v>J3</v>
      </c>
      <c r="AA64" s="190" t="str">
        <f ca="1">A62</f>
        <v>Cabo Verde</v>
      </c>
      <c r="AB64" s="475" t="e" cm="1" vm="30">
        <f t="array" aca="1" ref="AB64" ca="1">Ver_flag_local</f>
        <v>#VALUE!</v>
      </c>
      <c r="AC64" s="191"/>
      <c r="AD64" s="192"/>
      <c r="AE64" s="480" t="e" cm="1" vm="31">
        <f t="array" aca="1" ref="AE64" ca="1">Ver_flag_visit</f>
        <v>#VALUE!</v>
      </c>
      <c r="AF64" s="193" t="str">
        <f ca="1">A63</f>
        <v>Arabia Saudita</v>
      </c>
      <c r="AG64" s="411">
        <f t="shared" si="219"/>
        <v>0</v>
      </c>
      <c r="AH64" s="194">
        <v>65</v>
      </c>
      <c r="AI64" s="19" t="str">
        <f t="shared" si="224"/>
        <v>3H</v>
      </c>
      <c r="AJ64" s="219">
        <v>3</v>
      </c>
      <c r="AK64" s="483" t="e" cm="1" vm="31">
        <f t="array" aca="1" ref="AK64" ca="1">Ver_flag_visit</f>
        <v>#VALUE!</v>
      </c>
      <c r="AL64" s="220" t="str">
        <f ca="1">IFERROR(INDEX($BD$6:$BD$53,MATCH(AI64,$BN$6:$BN$53,0)),"")</f>
        <v>Arabia Saudita</v>
      </c>
      <c r="AM64" s="221">
        <f t="shared" ca="1" si="223"/>
        <v>0</v>
      </c>
      <c r="AN64" s="222">
        <f t="shared" ca="1" si="223"/>
        <v>0</v>
      </c>
      <c r="AO64" s="222">
        <f t="shared" ca="1" si="223"/>
        <v>0</v>
      </c>
      <c r="AP64" s="222">
        <f t="shared" ca="1" si="223"/>
        <v>0</v>
      </c>
      <c r="AQ64" s="222">
        <f t="shared" ca="1" si="223"/>
        <v>0</v>
      </c>
      <c r="AR64" s="222">
        <f t="shared" ca="1" si="223"/>
        <v>0</v>
      </c>
      <c r="AS64" s="222">
        <f t="shared" ca="1" si="223"/>
        <v>0</v>
      </c>
      <c r="AT64" s="223">
        <f t="shared" ca="1" si="223"/>
        <v>0</v>
      </c>
      <c r="AU64" s="418">
        <f ca="1">INDEX($DL$6:$DL$53,MATCH(AI64,$DP$6:$DP$53,0))</f>
        <v>1</v>
      </c>
      <c r="AV64" s="215" t="str">
        <f ca="1">INDEX($BD$6:$BD$53,MATCH(AI64,$BM$6:$BM$53,0))</f>
        <v>Arabia Saudita</v>
      </c>
      <c r="AW64" s="425"/>
      <c r="AX64" s="216"/>
      <c r="AY64" s="217" t="str">
        <f ca="1">+A63</f>
        <v>Arabia Saudita</v>
      </c>
      <c r="AZ64" s="218"/>
      <c r="BA64" s="173"/>
      <c r="BB64" s="745" t="str">
        <f t="shared" si="188"/>
        <v>3G</v>
      </c>
      <c r="BC64" s="742" t="s">
        <v>6</v>
      </c>
      <c r="BD64" s="730" t="str">
        <f t="shared" ca="1" si="175"/>
        <v>Irán</v>
      </c>
      <c r="BE64" s="734">
        <f t="shared" ca="1" si="189"/>
        <v>0</v>
      </c>
      <c r="BF64" s="734">
        <f t="shared" ca="1" si="190"/>
        <v>0</v>
      </c>
      <c r="BG64" s="734">
        <f t="shared" ca="1" si="191"/>
        <v>0</v>
      </c>
      <c r="BH64" s="734">
        <f t="shared" ca="1" si="192"/>
        <v>0</v>
      </c>
      <c r="BI64" s="734">
        <f t="shared" ca="1" si="176"/>
        <v>0</v>
      </c>
      <c r="BJ64" s="734">
        <f t="shared" ca="1" si="177"/>
        <v>0</v>
      </c>
      <c r="BK64" s="734">
        <f t="shared" ca="1" si="178"/>
        <v>0</v>
      </c>
      <c r="BL64" s="734">
        <f t="shared" ca="1" si="193"/>
        <v>0</v>
      </c>
      <c r="BM64" s="734">
        <f t="shared" ca="1" si="194"/>
        <v>8</v>
      </c>
      <c r="BN64" s="734">
        <f t="shared" ca="1" si="195"/>
        <v>8</v>
      </c>
      <c r="BO64" s="724" t="str">
        <f t="shared" si="196"/>
        <v>4G</v>
      </c>
      <c r="BP64" s="724"/>
      <c r="BQ64" s="724"/>
      <c r="BR64" s="734">
        <f t="shared" ca="1" si="179"/>
        <v>0</v>
      </c>
      <c r="BS64" s="734">
        <f t="shared" ca="1" si="197"/>
        <v>1</v>
      </c>
      <c r="BT64" s="734" t="str">
        <f t="shared" ca="1" si="198"/>
        <v>Pos. 1 (12)</v>
      </c>
      <c r="BU64" s="734">
        <f t="shared" ca="1" si="180"/>
        <v>0</v>
      </c>
      <c r="BV64" s="734">
        <f t="shared" ca="1" si="181"/>
        <v>1</v>
      </c>
      <c r="BW64" s="734" t="str">
        <f t="shared" ca="1" si="182"/>
        <v>Pos. 1 (11)</v>
      </c>
      <c r="BX64" s="734">
        <f t="shared" ca="1" si="183"/>
        <v>0</v>
      </c>
      <c r="BY64" s="734">
        <f t="shared" ca="1" si="184"/>
        <v>1</v>
      </c>
      <c r="BZ64" s="734" t="str">
        <f t="shared" ca="1" si="185"/>
        <v>Pos. 1 (11)</v>
      </c>
      <c r="CA64" s="734">
        <f t="shared" ca="1" si="199"/>
        <v>4</v>
      </c>
      <c r="CB64" s="734">
        <f t="shared" ca="1" si="200"/>
        <v>8</v>
      </c>
      <c r="CC64" s="734"/>
      <c r="CD64" s="734">
        <f t="shared" ca="1" si="201"/>
        <v>8</v>
      </c>
      <c r="CE64" s="734">
        <f t="shared" ca="1" si="202"/>
        <v>7</v>
      </c>
      <c r="CF64" s="734">
        <f t="shared" ca="1" si="203"/>
        <v>8</v>
      </c>
      <c r="CG64" s="734"/>
      <c r="CH64" s="734"/>
      <c r="CI64" s="734"/>
      <c r="CJ64" s="734"/>
      <c r="CK64" s="734"/>
      <c r="CL64" s="734"/>
      <c r="CM64" s="734"/>
      <c r="CN64" s="734"/>
      <c r="CO64" s="734"/>
      <c r="CP64" s="734"/>
      <c r="CQ64" s="734"/>
      <c r="CR64" s="734"/>
      <c r="CS64" s="734"/>
      <c r="CT64" s="734"/>
      <c r="CU64" s="734"/>
      <c r="CV64" s="734"/>
      <c r="CW64" s="730"/>
      <c r="CX64" s="730"/>
      <c r="CY64" s="730"/>
      <c r="CZ64" s="730"/>
      <c r="DA64" s="730"/>
      <c r="DB64" s="730"/>
      <c r="DC64" s="730"/>
      <c r="DD64" s="730"/>
      <c r="DE64" s="730"/>
      <c r="DF64" s="730"/>
      <c r="DG64" s="730"/>
      <c r="DH64" s="730"/>
      <c r="DI64" s="730"/>
      <c r="DJ64" s="730">
        <f t="shared" ca="1" si="186"/>
        <v>1</v>
      </c>
      <c r="DK64" s="730"/>
      <c r="DL64" s="730">
        <f t="shared" ca="1" si="204"/>
        <v>1</v>
      </c>
      <c r="DM64" s="724" t="str">
        <f t="shared" ca="1" si="187"/>
        <v>1.1</v>
      </c>
      <c r="DN64" s="730" cm="1">
        <f t="array" aca="1" ref="DN64" ca="1">OFFSET(Horarios!$P$3,DJ64-1,0,DL64,1)</f>
        <v>1</v>
      </c>
      <c r="DO64" s="730"/>
      <c r="DP64" s="730">
        <v>7</v>
      </c>
      <c r="DQ64" s="730" t="str">
        <f t="shared" ca="1" si="205"/>
        <v>Irak</v>
      </c>
      <c r="DR64" s="730"/>
      <c r="DS64" s="730"/>
      <c r="DT64" s="730" t="str">
        <f t="shared" ca="1" si="15"/>
        <v>Cabo Verde-Arabia Saudita</v>
      </c>
      <c r="DU64" s="730"/>
      <c r="DV64" s="730"/>
      <c r="DW64" s="8"/>
    </row>
    <row r="65" spans="1:127" ht="15" thickBot="1">
      <c r="A65" s="725"/>
      <c r="B65" s="728"/>
      <c r="C65" s="725"/>
      <c r="D65" s="730" t="str">
        <f t="shared" si="206"/>
        <v>Pendiente</v>
      </c>
      <c r="E65" s="730" t="str">
        <f t="shared" si="207"/>
        <v>-</v>
      </c>
      <c r="F65" s="730" t="str">
        <f t="shared" si="208"/>
        <v>-</v>
      </c>
      <c r="G65" s="730"/>
      <c r="H65" s="730" t="str">
        <f t="shared" si="209"/>
        <v>-</v>
      </c>
      <c r="I65" s="730" t="str">
        <f t="shared" si="210"/>
        <v>-</v>
      </c>
      <c r="J65" s="730"/>
      <c r="K65" s="730" t="str">
        <f t="shared" si="211"/>
        <v>-</v>
      </c>
      <c r="L65" s="730" t="str">
        <f t="shared" si="212"/>
        <v>-</v>
      </c>
      <c r="M65" s="730"/>
      <c r="N65" s="730" t="str">
        <f t="shared" si="213"/>
        <v>-</v>
      </c>
      <c r="O65" s="730" t="str">
        <f t="shared" si="214"/>
        <v>-</v>
      </c>
      <c r="P65" s="730"/>
      <c r="Q65" s="730" t="str">
        <f t="shared" si="215"/>
        <v>-</v>
      </c>
      <c r="R65" s="730" t="str">
        <f t="shared" si="216"/>
        <v>-</v>
      </c>
      <c r="S65" s="730"/>
      <c r="T65" s="730" t="str">
        <f t="shared" si="217"/>
        <v>-</v>
      </c>
      <c r="U65" s="730" t="str">
        <f t="shared" si="218"/>
        <v>-</v>
      </c>
      <c r="V65" s="170"/>
      <c r="W65" s="875"/>
      <c r="X65" s="226">
        <f ca="1">Horarios!C65</f>
        <v>46199.833333333336</v>
      </c>
      <c r="Y65" s="227">
        <f ca="1">Horarios!C65</f>
        <v>46199.833333333336</v>
      </c>
      <c r="Z65" s="228" t="str">
        <f>$Z$8</f>
        <v>J3</v>
      </c>
      <c r="AA65" s="229" t="str">
        <f ca="1">A64</f>
        <v>Uruguay</v>
      </c>
      <c r="AB65" s="476" t="e" cm="1" vm="32">
        <f t="array" aca="1" ref="AB65" ca="1">Ver_flag_local</f>
        <v>#VALUE!</v>
      </c>
      <c r="AC65" s="230"/>
      <c r="AD65" s="231"/>
      <c r="AE65" s="481" t="e" cm="1" vm="29">
        <f t="array" aca="1" ref="AE65" ca="1">Ver_flag_visit</f>
        <v>#VALUE!</v>
      </c>
      <c r="AF65" s="232" t="str">
        <f ca="1">A61</f>
        <v>España</v>
      </c>
      <c r="AG65" s="411">
        <f t="shared" si="219"/>
        <v>0</v>
      </c>
      <c r="AH65" s="194">
        <v>66</v>
      </c>
      <c r="AI65" s="19" t="str">
        <f t="shared" si="224"/>
        <v>4H</v>
      </c>
      <c r="AJ65" s="233">
        <v>4</v>
      </c>
      <c r="AK65" s="484" t="e" cm="1" vm="32">
        <f t="array" aca="1" ref="AK65" ca="1">Ver_flag_visit</f>
        <v>#VALUE!</v>
      </c>
      <c r="AL65" s="234" t="str">
        <f ca="1">IFERROR(INDEX($BD$6:$BD$53,MATCH(AI65,$BN$6:$BN$53,0)),"")</f>
        <v>Uruguay</v>
      </c>
      <c r="AM65" s="235">
        <f t="shared" ca="1" si="223"/>
        <v>0</v>
      </c>
      <c r="AN65" s="236">
        <f t="shared" ca="1" si="223"/>
        <v>0</v>
      </c>
      <c r="AO65" s="236">
        <f t="shared" ca="1" si="223"/>
        <v>0</v>
      </c>
      <c r="AP65" s="236">
        <f t="shared" ca="1" si="223"/>
        <v>0</v>
      </c>
      <c r="AQ65" s="236">
        <f t="shared" ca="1" si="223"/>
        <v>0</v>
      </c>
      <c r="AR65" s="236">
        <f t="shared" ca="1" si="223"/>
        <v>0</v>
      </c>
      <c r="AS65" s="236">
        <f t="shared" ca="1" si="223"/>
        <v>0</v>
      </c>
      <c r="AT65" s="237">
        <f t="shared" ca="1" si="223"/>
        <v>0</v>
      </c>
      <c r="AU65" s="418">
        <f ca="1">INDEX($DL$6:$DL$53,MATCH(AI65,$DP$6:$DP$53,0))</f>
        <v>1</v>
      </c>
      <c r="AV65" s="215" t="str">
        <f ca="1">INDEX($BD$6:$BD$53,MATCH(AI65,$BM$6:$BM$53,0))</f>
        <v>Uruguay</v>
      </c>
      <c r="AW65" s="425"/>
      <c r="AX65" s="216"/>
      <c r="AY65" s="238" t="str">
        <f ca="1">+A64</f>
        <v>Uruguay</v>
      </c>
      <c r="AZ65" s="239"/>
      <c r="BA65" s="173"/>
      <c r="BB65" s="745" t="str">
        <f t="shared" si="188"/>
        <v>3H</v>
      </c>
      <c r="BC65" s="742" t="s">
        <v>437</v>
      </c>
      <c r="BD65" s="730" t="str">
        <f t="shared" ca="1" si="175"/>
        <v>Arabia Saudita</v>
      </c>
      <c r="BE65" s="734">
        <f t="shared" ca="1" si="189"/>
        <v>0</v>
      </c>
      <c r="BF65" s="734">
        <f t="shared" ca="1" si="190"/>
        <v>0</v>
      </c>
      <c r="BG65" s="734">
        <f t="shared" ca="1" si="191"/>
        <v>0</v>
      </c>
      <c r="BH65" s="734">
        <f t="shared" ca="1" si="192"/>
        <v>0</v>
      </c>
      <c r="BI65" s="734">
        <f t="shared" ca="1" si="176"/>
        <v>0</v>
      </c>
      <c r="BJ65" s="734">
        <f t="shared" ca="1" si="177"/>
        <v>0</v>
      </c>
      <c r="BK65" s="734">
        <f t="shared" ca="1" si="178"/>
        <v>0</v>
      </c>
      <c r="BL65" s="734">
        <f t="shared" ca="1" si="193"/>
        <v>0</v>
      </c>
      <c r="BM65" s="734">
        <f t="shared" ca="1" si="194"/>
        <v>1</v>
      </c>
      <c r="BN65" s="734">
        <f t="shared" ca="1" si="195"/>
        <v>1</v>
      </c>
      <c r="BO65" s="724" t="str">
        <f t="shared" si="196"/>
        <v>4H</v>
      </c>
      <c r="BP65" s="724"/>
      <c r="BQ65" s="724"/>
      <c r="BR65" s="734">
        <f t="shared" ca="1" si="179"/>
        <v>0</v>
      </c>
      <c r="BS65" s="734">
        <f t="shared" ca="1" si="197"/>
        <v>1</v>
      </c>
      <c r="BT65" s="734" t="str">
        <f t="shared" ca="1" si="198"/>
        <v>Pos. 1 (12)</v>
      </c>
      <c r="BU65" s="734">
        <f t="shared" ca="1" si="180"/>
        <v>0</v>
      </c>
      <c r="BV65" s="734">
        <f t="shared" ca="1" si="181"/>
        <v>1</v>
      </c>
      <c r="BW65" s="734" t="str">
        <f t="shared" ca="1" si="182"/>
        <v>Pos. 1 (11)</v>
      </c>
      <c r="BX65" s="734">
        <f t="shared" ca="1" si="183"/>
        <v>0</v>
      </c>
      <c r="BY65" s="734">
        <f t="shared" ca="1" si="184"/>
        <v>1</v>
      </c>
      <c r="BZ65" s="734" t="str">
        <f t="shared" ca="1" si="185"/>
        <v>Pos. 1 (11)</v>
      </c>
      <c r="CA65" s="734">
        <f t="shared" ca="1" si="199"/>
        <v>11</v>
      </c>
      <c r="CB65" s="734">
        <f t="shared" ca="1" si="200"/>
        <v>1</v>
      </c>
      <c r="CC65" s="734"/>
      <c r="CD65" s="734">
        <f t="shared" ca="1" si="201"/>
        <v>1</v>
      </c>
      <c r="CE65" s="734">
        <f t="shared" ca="1" si="202"/>
        <v>0</v>
      </c>
      <c r="CF65" s="734">
        <f t="shared" ca="1" si="203"/>
        <v>1</v>
      </c>
      <c r="CG65" s="734"/>
      <c r="CH65" s="734"/>
      <c r="CI65" s="734"/>
      <c r="CJ65" s="734"/>
      <c r="CK65" s="734"/>
      <c r="CL65" s="734"/>
      <c r="CM65" s="734"/>
      <c r="CN65" s="734"/>
      <c r="CO65" s="734"/>
      <c r="CP65" s="734"/>
      <c r="CQ65" s="734"/>
      <c r="CR65" s="734"/>
      <c r="CS65" s="734"/>
      <c r="CT65" s="734"/>
      <c r="CU65" s="734"/>
      <c r="CV65" s="734"/>
      <c r="CW65" s="730"/>
      <c r="CX65" s="730"/>
      <c r="CY65" s="730"/>
      <c r="CZ65" s="730"/>
      <c r="DA65" s="730"/>
      <c r="DB65" s="730"/>
      <c r="DC65" s="730"/>
      <c r="DD65" s="730"/>
      <c r="DE65" s="730"/>
      <c r="DF65" s="730"/>
      <c r="DG65" s="730"/>
      <c r="DH65" s="730"/>
      <c r="DI65" s="730"/>
      <c r="DJ65" s="730">
        <f t="shared" ca="1" si="186"/>
        <v>1</v>
      </c>
      <c r="DK65" s="730"/>
      <c r="DL65" s="730">
        <f t="shared" ca="1" si="204"/>
        <v>1</v>
      </c>
      <c r="DM65" s="724" t="str">
        <f t="shared" ca="1" si="187"/>
        <v>1.1</v>
      </c>
      <c r="DN65" s="730" cm="1">
        <f t="array" aca="1" ref="DN65" ca="1">OFFSET(Horarios!$P$3,DJ65-1,0,DL65,1)</f>
        <v>1</v>
      </c>
      <c r="DO65" s="730"/>
      <c r="DP65" s="730">
        <v>8</v>
      </c>
      <c r="DQ65" s="730" t="str">
        <f t="shared" ca="1" si="205"/>
        <v>Irán</v>
      </c>
      <c r="DR65" s="730"/>
      <c r="DS65" s="730"/>
      <c r="DT65" s="730" t="str">
        <f t="shared" ca="1" si="15"/>
        <v>Uruguay-España</v>
      </c>
      <c r="DU65" s="730"/>
      <c r="DV65" s="730"/>
      <c r="DW65" s="8"/>
    </row>
    <row r="66" spans="1:127" ht="15" thickBot="1">
      <c r="A66" s="725"/>
      <c r="B66" s="728"/>
      <c r="C66" s="725"/>
      <c r="D66" s="730"/>
      <c r="E66" s="730"/>
      <c r="F66" s="730"/>
      <c r="G66" s="730"/>
      <c r="H66" s="730"/>
      <c r="I66" s="730"/>
      <c r="J66" s="730"/>
      <c r="K66" s="730"/>
      <c r="L66" s="730"/>
      <c r="M66" s="730"/>
      <c r="N66" s="730"/>
      <c r="O66" s="730"/>
      <c r="P66" s="730"/>
      <c r="Q66" s="730"/>
      <c r="R66" s="730"/>
      <c r="S66" s="730"/>
      <c r="T66" s="730"/>
      <c r="U66" s="730"/>
      <c r="V66" s="170"/>
      <c r="W66" s="240"/>
      <c r="X66" s="241"/>
      <c r="Y66" s="240"/>
      <c r="Z66" s="242"/>
      <c r="AA66" s="243"/>
      <c r="AB66" s="479"/>
      <c r="AC66" s="245"/>
      <c r="AD66" s="245"/>
      <c r="AE66" s="479"/>
      <c r="AF66" s="246"/>
      <c r="AG66" s="413"/>
      <c r="AH66" s="194"/>
      <c r="AI66" s="169"/>
      <c r="AJ66" s="247"/>
      <c r="AK66" s="248"/>
      <c r="AL66" s="184"/>
      <c r="AM66" s="249"/>
      <c r="AN66" s="247"/>
      <c r="AO66" s="247"/>
      <c r="AP66" s="247"/>
      <c r="AQ66" s="247"/>
      <c r="AR66" s="247"/>
      <c r="AS66" s="247"/>
      <c r="AT66" s="247"/>
      <c r="AU66" s="418"/>
      <c r="AV66" s="214"/>
      <c r="AW66" s="426"/>
      <c r="AX66" s="216"/>
      <c r="AY66" s="240"/>
      <c r="AZ66" s="241"/>
      <c r="BA66" s="173"/>
      <c r="BB66" s="745" t="str">
        <f t="shared" si="188"/>
        <v>3I</v>
      </c>
      <c r="BC66" s="742" t="s">
        <v>438</v>
      </c>
      <c r="BD66" s="730" t="str">
        <f t="shared" ca="1" si="175"/>
        <v>Irak</v>
      </c>
      <c r="BE66" s="734">
        <f t="shared" ca="1" si="189"/>
        <v>0</v>
      </c>
      <c r="BF66" s="734">
        <f t="shared" ca="1" si="190"/>
        <v>0</v>
      </c>
      <c r="BG66" s="734">
        <f t="shared" ca="1" si="191"/>
        <v>0</v>
      </c>
      <c r="BH66" s="734">
        <f t="shared" ca="1" si="192"/>
        <v>0</v>
      </c>
      <c r="BI66" s="734">
        <f t="shared" ca="1" si="176"/>
        <v>0</v>
      </c>
      <c r="BJ66" s="734">
        <f t="shared" ca="1" si="177"/>
        <v>0</v>
      </c>
      <c r="BK66" s="734">
        <f t="shared" ca="1" si="178"/>
        <v>0</v>
      </c>
      <c r="BL66" s="734">
        <f t="shared" ca="1" si="193"/>
        <v>0</v>
      </c>
      <c r="BM66" s="734">
        <f t="shared" ca="1" si="194"/>
        <v>7</v>
      </c>
      <c r="BN66" s="734">
        <f t="shared" ca="1" si="195"/>
        <v>7</v>
      </c>
      <c r="BO66" s="724" t="str">
        <f t="shared" si="196"/>
        <v>4I</v>
      </c>
      <c r="BP66" s="724"/>
      <c r="BQ66" s="724"/>
      <c r="BR66" s="734">
        <f t="shared" ca="1" si="179"/>
        <v>0</v>
      </c>
      <c r="BS66" s="734">
        <f t="shared" ca="1" si="197"/>
        <v>1</v>
      </c>
      <c r="BT66" s="734" t="str">
        <f t="shared" ca="1" si="198"/>
        <v>Pos. 1 (12)</v>
      </c>
      <c r="BU66" s="734">
        <f t="shared" ca="1" si="180"/>
        <v>0</v>
      </c>
      <c r="BV66" s="734">
        <f t="shared" ca="1" si="181"/>
        <v>1</v>
      </c>
      <c r="BW66" s="734" t="str">
        <f t="shared" ca="1" si="182"/>
        <v>Pos. 1 (11)</v>
      </c>
      <c r="BX66" s="734">
        <f t="shared" ca="1" si="183"/>
        <v>0</v>
      </c>
      <c r="BY66" s="734">
        <f t="shared" ca="1" si="184"/>
        <v>1</v>
      </c>
      <c r="BZ66" s="734" t="str">
        <f t="shared" ca="1" si="185"/>
        <v>Pos. 1 (11)</v>
      </c>
      <c r="CA66" s="734">
        <f t="shared" ca="1" si="199"/>
        <v>5</v>
      </c>
      <c r="CB66" s="734">
        <f t="shared" ca="1" si="200"/>
        <v>7</v>
      </c>
      <c r="CC66" s="734"/>
      <c r="CD66" s="734">
        <f t="shared" ca="1" si="201"/>
        <v>7</v>
      </c>
      <c r="CE66" s="734">
        <f t="shared" ca="1" si="202"/>
        <v>6</v>
      </c>
      <c r="CF66" s="734">
        <f t="shared" ca="1" si="203"/>
        <v>7</v>
      </c>
      <c r="CG66" s="734"/>
      <c r="CH66" s="734"/>
      <c r="CI66" s="734"/>
      <c r="CJ66" s="734"/>
      <c r="CK66" s="734"/>
      <c r="CL66" s="734"/>
      <c r="CM66" s="734"/>
      <c r="CN66" s="734"/>
      <c r="CO66" s="734"/>
      <c r="CP66" s="734"/>
      <c r="CQ66" s="734"/>
      <c r="CR66" s="734"/>
      <c r="CS66" s="734"/>
      <c r="CT66" s="734"/>
      <c r="CU66" s="734"/>
      <c r="CV66" s="734"/>
      <c r="CW66" s="730"/>
      <c r="CX66" s="730"/>
      <c r="CY66" s="730"/>
      <c r="CZ66" s="730"/>
      <c r="DA66" s="730"/>
      <c r="DB66" s="730"/>
      <c r="DC66" s="730"/>
      <c r="DD66" s="730"/>
      <c r="DE66" s="730"/>
      <c r="DF66" s="730"/>
      <c r="DG66" s="730"/>
      <c r="DH66" s="730"/>
      <c r="DI66" s="730"/>
      <c r="DJ66" s="730">
        <f t="shared" ca="1" si="186"/>
        <v>1</v>
      </c>
      <c r="DK66" s="730"/>
      <c r="DL66" s="730">
        <f t="shared" ca="1" si="204"/>
        <v>1</v>
      </c>
      <c r="DM66" s="724" t="str">
        <f t="shared" ca="1" si="187"/>
        <v>1.1</v>
      </c>
      <c r="DN66" s="730" cm="1">
        <f t="array" aca="1" ref="DN66" ca="1">OFFSET(Horarios!$P$3,DJ66-1,0,DL66,1)</f>
        <v>1</v>
      </c>
      <c r="DO66" s="730"/>
      <c r="DP66" s="730">
        <v>9</v>
      </c>
      <c r="DQ66" s="730" t="str">
        <f t="shared" ca="1" si="205"/>
        <v>Suecia</v>
      </c>
      <c r="DR66" s="730"/>
      <c r="DS66" s="730"/>
      <c r="DT66" s="730" t="str">
        <f t="shared" si="15"/>
        <v>-</v>
      </c>
      <c r="DU66" s="730"/>
      <c r="DV66" s="730"/>
      <c r="DW66" s="8"/>
    </row>
    <row r="67" spans="1:127" ht="15" thickBot="1">
      <c r="A67" s="725"/>
      <c r="B67" s="728"/>
      <c r="C67" s="725"/>
      <c r="D67" s="725"/>
      <c r="E67" s="725"/>
      <c r="F67" s="725"/>
      <c r="G67" s="725"/>
      <c r="H67" s="725"/>
      <c r="I67" s="725"/>
      <c r="J67" s="725"/>
      <c r="K67" s="725"/>
      <c r="L67" s="725"/>
      <c r="M67" s="725"/>
      <c r="N67" s="730"/>
      <c r="O67" s="730"/>
      <c r="P67" s="730"/>
      <c r="Q67" s="730"/>
      <c r="R67" s="730"/>
      <c r="S67" s="730"/>
      <c r="T67" s="730"/>
      <c r="U67" s="730"/>
      <c r="V67" s="170"/>
      <c r="W67" s="177"/>
      <c r="X67" s="178" t="str">
        <f>X3</f>
        <v>Fecha</v>
      </c>
      <c r="Y67" s="178" t="str">
        <f>Y3</f>
        <v>Hora</v>
      </c>
      <c r="Z67" s="179" t="str">
        <f>Z3</f>
        <v>Jor.</v>
      </c>
      <c r="AA67" s="180" t="str">
        <f>AA3</f>
        <v>Casa</v>
      </c>
      <c r="AB67" s="179"/>
      <c r="AC67" s="179" t="str">
        <f>AC3</f>
        <v>Gol</v>
      </c>
      <c r="AD67" s="179" t="str">
        <f>AD3</f>
        <v>Gol</v>
      </c>
      <c r="AE67" s="179"/>
      <c r="AF67" s="182" t="str">
        <f>AF3</f>
        <v>Fuera</v>
      </c>
      <c r="AG67" s="412"/>
      <c r="AH67" s="194"/>
      <c r="AI67" s="18"/>
      <c r="AJ67" s="184"/>
      <c r="AK67" s="250"/>
      <c r="AL67" s="184"/>
      <c r="AM67" s="184"/>
      <c r="AN67" s="184"/>
      <c r="AO67" s="184"/>
      <c r="AP67" s="184"/>
      <c r="AQ67" s="184"/>
      <c r="AR67" s="184"/>
      <c r="AS67" s="184"/>
      <c r="AT67" s="184"/>
      <c r="AU67" s="419"/>
      <c r="AV67" s="22"/>
      <c r="AW67" s="427"/>
      <c r="AX67" s="251"/>
      <c r="AY67" s="240"/>
      <c r="AZ67" s="241"/>
      <c r="BA67" s="173"/>
      <c r="BB67" s="745" t="str">
        <f t="shared" si="188"/>
        <v>3J</v>
      </c>
      <c r="BC67" s="742" t="s">
        <v>5</v>
      </c>
      <c r="BD67" s="730" t="str">
        <f t="shared" ca="1" si="175"/>
        <v>Austria</v>
      </c>
      <c r="BE67" s="734">
        <f t="shared" ca="1" si="189"/>
        <v>0</v>
      </c>
      <c r="BF67" s="734">
        <f t="shared" ca="1" si="190"/>
        <v>0</v>
      </c>
      <c r="BG67" s="734">
        <f t="shared" ca="1" si="191"/>
        <v>0</v>
      </c>
      <c r="BH67" s="734">
        <f t="shared" ca="1" si="192"/>
        <v>0</v>
      </c>
      <c r="BI67" s="734">
        <f t="shared" ca="1" si="176"/>
        <v>0</v>
      </c>
      <c r="BJ67" s="734">
        <f t="shared" ca="1" si="177"/>
        <v>0</v>
      </c>
      <c r="BK67" s="734">
        <f t="shared" ca="1" si="178"/>
        <v>0</v>
      </c>
      <c r="BL67" s="734">
        <f t="shared" ca="1" si="193"/>
        <v>0</v>
      </c>
      <c r="BM67" s="734">
        <f t="shared" ca="1" si="194"/>
        <v>2</v>
      </c>
      <c r="BN67" s="734">
        <f t="shared" ca="1" si="195"/>
        <v>2</v>
      </c>
      <c r="BO67" s="724" t="str">
        <f t="shared" si="196"/>
        <v>4J</v>
      </c>
      <c r="BP67" s="724"/>
      <c r="BQ67" s="724"/>
      <c r="BR67" s="734">
        <f t="shared" ca="1" si="179"/>
        <v>0</v>
      </c>
      <c r="BS67" s="734">
        <f t="shared" ca="1" si="197"/>
        <v>1</v>
      </c>
      <c r="BT67" s="734" t="str">
        <f t="shared" ca="1" si="198"/>
        <v>Pos. 1 (12)</v>
      </c>
      <c r="BU67" s="734">
        <f t="shared" ca="1" si="180"/>
        <v>0</v>
      </c>
      <c r="BV67" s="734">
        <f t="shared" ca="1" si="181"/>
        <v>1</v>
      </c>
      <c r="BW67" s="734" t="str">
        <f t="shared" ca="1" si="182"/>
        <v>Pos. 1 (11)</v>
      </c>
      <c r="BX67" s="734">
        <f t="shared" ca="1" si="183"/>
        <v>0</v>
      </c>
      <c r="BY67" s="734">
        <f t="shared" ca="1" si="184"/>
        <v>1</v>
      </c>
      <c r="BZ67" s="734" t="str">
        <f t="shared" ca="1" si="185"/>
        <v>Pos. 1 (11)</v>
      </c>
      <c r="CA67" s="734">
        <f t="shared" ca="1" si="199"/>
        <v>10</v>
      </c>
      <c r="CB67" s="734">
        <f t="shared" ca="1" si="200"/>
        <v>2</v>
      </c>
      <c r="CC67" s="734"/>
      <c r="CD67" s="734">
        <f t="shared" ca="1" si="201"/>
        <v>2</v>
      </c>
      <c r="CE67" s="734">
        <f t="shared" ca="1" si="202"/>
        <v>1</v>
      </c>
      <c r="CF67" s="734">
        <f t="shared" ca="1" si="203"/>
        <v>2</v>
      </c>
      <c r="CG67" s="734"/>
      <c r="CH67" s="734"/>
      <c r="CI67" s="734"/>
      <c r="CJ67" s="734"/>
      <c r="CK67" s="734"/>
      <c r="CL67" s="734"/>
      <c r="CM67" s="734"/>
      <c r="CN67" s="734"/>
      <c r="CO67" s="734"/>
      <c r="CP67" s="734"/>
      <c r="CQ67" s="734"/>
      <c r="CR67" s="734"/>
      <c r="CS67" s="734"/>
      <c r="CT67" s="734"/>
      <c r="CU67" s="734"/>
      <c r="CV67" s="734"/>
      <c r="CW67" s="730"/>
      <c r="CX67" s="730"/>
      <c r="CY67" s="730"/>
      <c r="CZ67" s="730"/>
      <c r="DA67" s="730"/>
      <c r="DB67" s="730"/>
      <c r="DC67" s="730"/>
      <c r="DD67" s="730"/>
      <c r="DE67" s="730"/>
      <c r="DF67" s="730"/>
      <c r="DG67" s="730"/>
      <c r="DH67" s="730"/>
      <c r="DI67" s="730"/>
      <c r="DJ67" s="730">
        <f t="shared" ca="1" si="186"/>
        <v>1</v>
      </c>
      <c r="DK67" s="730"/>
      <c r="DL67" s="730">
        <f t="shared" ca="1" si="204"/>
        <v>1</v>
      </c>
      <c r="DM67" s="724" t="str">
        <f t="shared" ca="1" si="187"/>
        <v>1.1</v>
      </c>
      <c r="DN67" s="730" cm="1">
        <f t="array" aca="1" ref="DN67" ca="1">OFFSET(Horarios!$P$3,DJ67-1,0,DL67,1)</f>
        <v>1</v>
      </c>
      <c r="DO67" s="730"/>
      <c r="DP67" s="730">
        <v>10</v>
      </c>
      <c r="DQ67" s="730" t="str">
        <f t="shared" ca="1" si="205"/>
        <v>Turquía</v>
      </c>
      <c r="DR67" s="730"/>
      <c r="DS67" s="730"/>
      <c r="DT67" s="730" t="str">
        <f t="shared" si="15"/>
        <v>Casa-Fuera</v>
      </c>
      <c r="DU67" s="730"/>
      <c r="DV67" s="730"/>
      <c r="DW67" s="8"/>
    </row>
    <row r="68" spans="1:127" ht="15" customHeight="1" thickBot="1">
      <c r="A68" s="727" t="s">
        <v>30</v>
      </c>
      <c r="B68" s="728" t="s">
        <v>438</v>
      </c>
      <c r="C68" s="729">
        <f>COUNTIF(Equipos!$C$2:$C$49,WORLDCUP!B68)</f>
        <v>4</v>
      </c>
      <c r="D68" s="730" t="str">
        <f t="shared" ref="D68:D73" si="225">IF(OR(AC68="",AD68=""),"Pendiente",IF(AC68&gt;AD68,"Local",IF(AC68&lt;AD68,"Visitante","Empate")))</f>
        <v>Pendiente</v>
      </c>
      <c r="E68" s="730" t="str">
        <f t="shared" ref="E68:E73" si="226">IF(D68="Pendiente","-",INDEX($BT$6:$BT$53,MATCH($AA68,$BD$6:$BD$53,0)))</f>
        <v>-</v>
      </c>
      <c r="F68" s="730" t="str">
        <f t="shared" ref="F68:F73" si="227">IF(D68="Pendiente","-",INDEX($BT$6:$BT$53,MATCH($AF68,$BD$6:$BD$53,0)))</f>
        <v>-</v>
      </c>
      <c r="G68" s="730"/>
      <c r="H68" s="730" t="str">
        <f t="shared" ref="H68:H73" si="228">IF(D68="Pendiente","-",INDEX($BZ$6:$BZ$53,MATCH($AA68,$BD$6:$BD$53,0)))</f>
        <v>-</v>
      </c>
      <c r="I68" s="730" t="str">
        <f t="shared" ref="I68:I73" si="229">IF(D68="Pendiente","-",INDEX($BZ$6:$BZ$53,MATCH($AF68,$BD$6:$BD$53,0)))</f>
        <v>-</v>
      </c>
      <c r="J68" s="730"/>
      <c r="K68" s="730" t="str">
        <f t="shared" ref="K68:K73" si="230">IF(D68="Pendiente","-",INDEX($CE$6:$CE$53,MATCH($AA68,$BD$6:$BD$53,0)))</f>
        <v>-</v>
      </c>
      <c r="L68" s="730" t="str">
        <f t="shared" ref="L68:L73" si="231">IF(D68="Pendiente","-",INDEX($CE$6:$CE$53,MATCH($AF68,$BD$6:$BD$53,0)))</f>
        <v>-</v>
      </c>
      <c r="M68" s="730"/>
      <c r="N68" s="730" t="str">
        <f t="shared" ref="N68:N73" si="232">IF(D68="Pendiente","-",INDEX($CH$6:$CH$53,MATCH($AA68,$BD$6:$BD$53,0)))</f>
        <v>-</v>
      </c>
      <c r="O68" s="730" t="str">
        <f t="shared" ref="O68:O73" si="233">IF(D68="Pendiente","-",INDEX($CH$6:$CH$53,MATCH($AF68,$BD$6:$BD$53,0)))</f>
        <v>-</v>
      </c>
      <c r="P68" s="730"/>
      <c r="Q68" s="730" t="str">
        <f t="shared" ref="Q68:Q73" si="234">IF(D68="Pendiente","-",INDEX($CN$6:$CN$53,MATCH($AA68,$BD$6:$BD$53,0)))</f>
        <v>-</v>
      </c>
      <c r="R68" s="730" t="str">
        <f t="shared" ref="R68:R73" si="235">IF(D68="Pendiente","-",INDEX($CN$6:$CN$53,MATCH($AF68,$BD$6:$BD$53,0)))</f>
        <v>-</v>
      </c>
      <c r="S68" s="730"/>
      <c r="T68" s="730" t="str">
        <f t="shared" ref="T68:T73" si="236">IF(D68="Pendiente","-",INDEX($CS$6:$CS$53,MATCH($AA68,$BD$6:$BD$53,0)))</f>
        <v>-</v>
      </c>
      <c r="U68" s="730" t="str">
        <f t="shared" ref="U68:U73" si="237">IF(D68="Pendiente","-",INDEX($CS$6:$CS$53,MATCH($AF68,$BD$6:$BD$53,0)))</f>
        <v>-</v>
      </c>
      <c r="V68" s="170"/>
      <c r="W68" s="880" t="s">
        <v>438</v>
      </c>
      <c r="X68" s="187">
        <f ca="1">Horarios!C68</f>
        <v>46189.625</v>
      </c>
      <c r="Y68" s="188">
        <f ca="1">Horarios!C68</f>
        <v>46189.625</v>
      </c>
      <c r="Z68" s="189" t="str">
        <f>$Z$4</f>
        <v>J1</v>
      </c>
      <c r="AA68" s="190" t="str">
        <f ca="1">A69</f>
        <v>Francia</v>
      </c>
      <c r="AB68" s="475" t="e" cm="1" vm="33">
        <f t="array" aca="1" ref="AB68" ca="1">Ver_flag_local</f>
        <v>#VALUE!</v>
      </c>
      <c r="AC68" s="191"/>
      <c r="AD68" s="192"/>
      <c r="AE68" s="480" t="e" cm="1" vm="34">
        <f t="array" aca="1" ref="AE68" ca="1">Ver_flag_visit</f>
        <v>#VALUE!</v>
      </c>
      <c r="AF68" s="193" t="str">
        <f ca="1">A70</f>
        <v>Senegal</v>
      </c>
      <c r="AG68" s="411">
        <f t="shared" ref="AG68:AG73" si="238">IF(NOT(OR(ISBLANK(AC68),ISBLANK(AD68))),1,0)</f>
        <v>0</v>
      </c>
      <c r="AH68" s="194">
        <v>17</v>
      </c>
      <c r="AI68" s="19"/>
      <c r="AJ68" s="195" t="str">
        <f>CONCATENATE(AJ3," ",B68)</f>
        <v>Grupo I</v>
      </c>
      <c r="AK68" s="196"/>
      <c r="AL68" s="196"/>
      <c r="AM68" s="196"/>
      <c r="AN68" s="196"/>
      <c r="AO68" s="196"/>
      <c r="AP68" s="196"/>
      <c r="AQ68" s="196"/>
      <c r="AR68" s="196"/>
      <c r="AS68" s="196"/>
      <c r="AT68" s="197"/>
      <c r="AU68" s="419"/>
      <c r="AV68" s="198" t="str">
        <f t="shared" ref="AV68" ca="1" si="239">IF(AU69&gt;0,$AV$3,"")</f>
        <v/>
      </c>
      <c r="AW68" s="206"/>
      <c r="AX68" s="253"/>
      <c r="AY68" s="240"/>
      <c r="AZ68" s="241"/>
      <c r="BA68" s="173"/>
      <c r="BB68" s="745" t="str">
        <f t="shared" si="188"/>
        <v>3K</v>
      </c>
      <c r="BC68" s="742" t="s">
        <v>439</v>
      </c>
      <c r="BD68" s="730" t="str">
        <f t="shared" ca="1" si="175"/>
        <v>Uzbekistán</v>
      </c>
      <c r="BE68" s="734">
        <f t="shared" ca="1" si="189"/>
        <v>0</v>
      </c>
      <c r="BF68" s="734">
        <f t="shared" ca="1" si="190"/>
        <v>0</v>
      </c>
      <c r="BG68" s="734">
        <f t="shared" ca="1" si="191"/>
        <v>0</v>
      </c>
      <c r="BH68" s="734">
        <f t="shared" ca="1" si="192"/>
        <v>0</v>
      </c>
      <c r="BI68" s="734">
        <f t="shared" ca="1" si="176"/>
        <v>0</v>
      </c>
      <c r="BJ68" s="734">
        <f t="shared" ca="1" si="177"/>
        <v>0</v>
      </c>
      <c r="BK68" s="734">
        <f t="shared" ca="1" si="178"/>
        <v>0</v>
      </c>
      <c r="BL68" s="734">
        <f t="shared" ca="1" si="193"/>
        <v>0</v>
      </c>
      <c r="BM68" s="734">
        <f t="shared" ca="1" si="194"/>
        <v>11</v>
      </c>
      <c r="BN68" s="734">
        <f t="shared" ca="1" si="195"/>
        <v>11</v>
      </c>
      <c r="BO68" s="724" t="str">
        <f t="shared" si="196"/>
        <v>4K</v>
      </c>
      <c r="BP68" s="724"/>
      <c r="BQ68" s="724"/>
      <c r="BR68" s="734">
        <f t="shared" ca="1" si="179"/>
        <v>0</v>
      </c>
      <c r="BS68" s="734">
        <f t="shared" ca="1" si="197"/>
        <v>1</v>
      </c>
      <c r="BT68" s="734" t="str">
        <f t="shared" ca="1" si="198"/>
        <v>Pos. 1 (12)</v>
      </c>
      <c r="BU68" s="734">
        <f t="shared" ca="1" si="180"/>
        <v>0</v>
      </c>
      <c r="BV68" s="734">
        <f t="shared" ca="1" si="181"/>
        <v>1</v>
      </c>
      <c r="BW68" s="734" t="str">
        <f t="shared" ca="1" si="182"/>
        <v>Pos. 1 (11)</v>
      </c>
      <c r="BX68" s="734">
        <f t="shared" ca="1" si="183"/>
        <v>0</v>
      </c>
      <c r="BY68" s="734">
        <f t="shared" ca="1" si="184"/>
        <v>1</v>
      </c>
      <c r="BZ68" s="734" t="str">
        <f t="shared" ca="1" si="185"/>
        <v>Pos. 1 (11)</v>
      </c>
      <c r="CA68" s="734">
        <f t="shared" ca="1" si="199"/>
        <v>0</v>
      </c>
      <c r="CB68" s="734">
        <f t="shared" ca="1" si="200"/>
        <v>11</v>
      </c>
      <c r="CC68" s="734"/>
      <c r="CD68" s="734">
        <f t="shared" ca="1" si="201"/>
        <v>11</v>
      </c>
      <c r="CE68" s="734">
        <f t="shared" ca="1" si="202"/>
        <v>10</v>
      </c>
      <c r="CF68" s="734">
        <f t="shared" ca="1" si="203"/>
        <v>11</v>
      </c>
      <c r="CG68" s="734"/>
      <c r="CH68" s="734"/>
      <c r="CI68" s="734"/>
      <c r="CJ68" s="734"/>
      <c r="CK68" s="734"/>
      <c r="CL68" s="734"/>
      <c r="CM68" s="734"/>
      <c r="CN68" s="734"/>
      <c r="CO68" s="734"/>
      <c r="CP68" s="734"/>
      <c r="CQ68" s="734"/>
      <c r="CR68" s="734"/>
      <c r="CS68" s="734"/>
      <c r="CT68" s="734"/>
      <c r="CU68" s="734"/>
      <c r="CV68" s="734"/>
      <c r="CW68" s="730"/>
      <c r="CX68" s="730"/>
      <c r="CY68" s="730"/>
      <c r="CZ68" s="730"/>
      <c r="DA68" s="730"/>
      <c r="DB68" s="730"/>
      <c r="DC68" s="730"/>
      <c r="DD68" s="730"/>
      <c r="DE68" s="730"/>
      <c r="DF68" s="730"/>
      <c r="DG68" s="730"/>
      <c r="DH68" s="730"/>
      <c r="DI68" s="730"/>
      <c r="DJ68" s="730">
        <f t="shared" ca="1" si="186"/>
        <v>1</v>
      </c>
      <c r="DK68" s="730"/>
      <c r="DL68" s="730">
        <f t="shared" ca="1" si="204"/>
        <v>1</v>
      </c>
      <c r="DM68" s="724" t="str">
        <f t="shared" ca="1" si="187"/>
        <v>1.1</v>
      </c>
      <c r="DN68" s="730" cm="1">
        <f t="array" aca="1" ref="DN68" ca="1">OFFSET(Horarios!$P$3,DJ68-1,0,DL68,1)</f>
        <v>1</v>
      </c>
      <c r="DO68" s="730"/>
      <c r="DP68" s="730">
        <v>11</v>
      </c>
      <c r="DQ68" s="730" t="str">
        <f t="shared" ca="1" si="205"/>
        <v>Uzbekistán</v>
      </c>
      <c r="DR68" s="730"/>
      <c r="DS68" s="730"/>
      <c r="DT68" s="730" t="str">
        <f t="shared" ca="1" si="15"/>
        <v>Francia-Senegal</v>
      </c>
      <c r="DU68" s="730"/>
      <c r="DV68" s="730"/>
      <c r="DW68" s="8"/>
    </row>
    <row r="69" spans="1:127" ht="16.05" customHeight="1">
      <c r="A69" s="731" t="str">
        <f ca="1">+Equipos!B34</f>
        <v>Francia</v>
      </c>
      <c r="B69" s="728"/>
      <c r="C69" s="728"/>
      <c r="D69" s="730" t="str">
        <f t="shared" si="225"/>
        <v>Pendiente</v>
      </c>
      <c r="E69" s="730" t="str">
        <f t="shared" si="226"/>
        <v>-</v>
      </c>
      <c r="F69" s="730" t="str">
        <f t="shared" si="227"/>
        <v>-</v>
      </c>
      <c r="G69" s="730"/>
      <c r="H69" s="730" t="str">
        <f t="shared" si="228"/>
        <v>-</v>
      </c>
      <c r="I69" s="730" t="str">
        <f t="shared" si="229"/>
        <v>-</v>
      </c>
      <c r="J69" s="730"/>
      <c r="K69" s="730" t="str">
        <f t="shared" si="230"/>
        <v>-</v>
      </c>
      <c r="L69" s="730" t="str">
        <f t="shared" si="231"/>
        <v>-</v>
      </c>
      <c r="M69" s="730"/>
      <c r="N69" s="730" t="str">
        <f t="shared" si="232"/>
        <v>-</v>
      </c>
      <c r="O69" s="730" t="str">
        <f t="shared" si="233"/>
        <v>-</v>
      </c>
      <c r="P69" s="730"/>
      <c r="Q69" s="730" t="str">
        <f t="shared" si="234"/>
        <v>-</v>
      </c>
      <c r="R69" s="730" t="str">
        <f t="shared" si="235"/>
        <v>-</v>
      </c>
      <c r="S69" s="730"/>
      <c r="T69" s="730" t="str">
        <f t="shared" si="236"/>
        <v>-</v>
      </c>
      <c r="U69" s="730" t="str">
        <f t="shared" si="237"/>
        <v>-</v>
      </c>
      <c r="V69" s="170"/>
      <c r="W69" s="880"/>
      <c r="X69" s="187">
        <f ca="1">Horarios!C69</f>
        <v>46189.75</v>
      </c>
      <c r="Y69" s="188">
        <f ca="1">Horarios!C69</f>
        <v>46189.75</v>
      </c>
      <c r="Z69" s="189" t="str">
        <f>$Z$4</f>
        <v>J1</v>
      </c>
      <c r="AA69" s="190" t="str">
        <f ca="1">A71</f>
        <v>Irak</v>
      </c>
      <c r="AB69" s="475" t="e" cm="1" vm="35">
        <f t="array" aca="1" ref="AB69" ca="1">Ver_flag_local</f>
        <v>#VALUE!</v>
      </c>
      <c r="AC69" s="191"/>
      <c r="AD69" s="192"/>
      <c r="AE69" s="480" t="e" cm="1" vm="36">
        <f t="array" aca="1" ref="AE69" ca="1">Ver_flag_visit</f>
        <v>#VALUE!</v>
      </c>
      <c r="AF69" s="193" t="str">
        <f ca="1">A72</f>
        <v>Noruega</v>
      </c>
      <c r="AG69" s="411">
        <f t="shared" si="238"/>
        <v>0</v>
      </c>
      <c r="AH69" s="194">
        <v>18</v>
      </c>
      <c r="AI69" s="19"/>
      <c r="AJ69" s="202" t="str">
        <f>AJ5</f>
        <v>Pos</v>
      </c>
      <c r="AK69" s="203"/>
      <c r="AL69" s="204" t="str">
        <f t="shared" ref="AL69:AT69" si="240">AL5</f>
        <v>Selección</v>
      </c>
      <c r="AM69" s="203" t="str">
        <f t="shared" si="240"/>
        <v>Pts</v>
      </c>
      <c r="AN69" s="203" t="str">
        <f t="shared" si="240"/>
        <v>J</v>
      </c>
      <c r="AO69" s="203" t="str">
        <f t="shared" si="240"/>
        <v>G</v>
      </c>
      <c r="AP69" s="203" t="str">
        <f t="shared" si="240"/>
        <v>E</v>
      </c>
      <c r="AQ69" s="203" t="str">
        <f t="shared" si="240"/>
        <v>P</v>
      </c>
      <c r="AR69" s="203" t="str">
        <f t="shared" si="240"/>
        <v>GF</v>
      </c>
      <c r="AS69" s="203" t="str">
        <f t="shared" si="240"/>
        <v>GC</v>
      </c>
      <c r="AT69" s="205" t="str">
        <f t="shared" si="240"/>
        <v>DG</v>
      </c>
      <c r="AU69" s="419">
        <f t="shared" ref="AU69" ca="1" si="241">COUNTIF(AU70:AU73,"&gt;1")</f>
        <v>0</v>
      </c>
      <c r="AV69" s="206"/>
      <c r="AW69" s="206"/>
      <c r="AX69" s="253"/>
      <c r="AY69" s="207" t="str">
        <f>AL69</f>
        <v>Selección</v>
      </c>
      <c r="AZ69" s="208" t="str">
        <f>+Idiomas!$D$69</f>
        <v>Puntos penalizados</v>
      </c>
      <c r="BA69" s="173"/>
      <c r="BB69" s="745" t="str">
        <f t="shared" si="188"/>
        <v>3L</v>
      </c>
      <c r="BC69" s="742" t="s">
        <v>238</v>
      </c>
      <c r="BD69" s="730" t="str">
        <f t="shared" ca="1" si="175"/>
        <v>Ghana</v>
      </c>
      <c r="BE69" s="734">
        <f t="shared" ca="1" si="189"/>
        <v>0</v>
      </c>
      <c r="BF69" s="734">
        <f t="shared" ca="1" si="190"/>
        <v>0</v>
      </c>
      <c r="BG69" s="734">
        <f t="shared" ca="1" si="191"/>
        <v>0</v>
      </c>
      <c r="BH69" s="734">
        <f t="shared" ca="1" si="192"/>
        <v>0</v>
      </c>
      <c r="BI69" s="734">
        <f t="shared" ca="1" si="176"/>
        <v>0</v>
      </c>
      <c r="BJ69" s="734">
        <f t="shared" ca="1" si="177"/>
        <v>0</v>
      </c>
      <c r="BK69" s="734">
        <f t="shared" ca="1" si="178"/>
        <v>0</v>
      </c>
      <c r="BL69" s="734">
        <f t="shared" ca="1" si="193"/>
        <v>0</v>
      </c>
      <c r="BM69" s="734">
        <f t="shared" ca="1" si="194"/>
        <v>5</v>
      </c>
      <c r="BN69" s="734">
        <f t="shared" ca="1" si="195"/>
        <v>5</v>
      </c>
      <c r="BO69" s="724" t="str">
        <f t="shared" si="196"/>
        <v>4L</v>
      </c>
      <c r="BP69" s="724"/>
      <c r="BQ69" s="724"/>
      <c r="BR69" s="734">
        <f t="shared" ca="1" si="179"/>
        <v>0</v>
      </c>
      <c r="BS69" s="734">
        <f t="shared" ca="1" si="197"/>
        <v>1</v>
      </c>
      <c r="BT69" s="734" t="str">
        <f t="shared" ca="1" si="198"/>
        <v>Pos. 1 (12)</v>
      </c>
      <c r="BU69" s="734">
        <f t="shared" ca="1" si="180"/>
        <v>0</v>
      </c>
      <c r="BV69" s="734">
        <f t="shared" ca="1" si="181"/>
        <v>1</v>
      </c>
      <c r="BW69" s="734" t="str">
        <f t="shared" ca="1" si="182"/>
        <v>Pos. 1 (11)</v>
      </c>
      <c r="BX69" s="734">
        <f t="shared" ca="1" si="183"/>
        <v>0</v>
      </c>
      <c r="BY69" s="734">
        <f t="shared" ca="1" si="184"/>
        <v>1</v>
      </c>
      <c r="BZ69" s="734" t="str">
        <f t="shared" ca="1" si="185"/>
        <v>Pos. 1 (11)</v>
      </c>
      <c r="CA69" s="734">
        <f t="shared" ca="1" si="199"/>
        <v>7</v>
      </c>
      <c r="CB69" s="734">
        <f ca="1">BY69+COUNTIFS(BZ$58:BZ$69,BZ69,CA$58:CA$69,"&gt;"&amp;CA69)</f>
        <v>5</v>
      </c>
      <c r="CC69" s="734"/>
      <c r="CD69" s="734">
        <f t="shared" ca="1" si="201"/>
        <v>5</v>
      </c>
      <c r="CE69" s="734">
        <f t="shared" ca="1" si="202"/>
        <v>4</v>
      </c>
      <c r="CF69" s="734">
        <f t="shared" ca="1" si="203"/>
        <v>5</v>
      </c>
      <c r="CG69" s="734"/>
      <c r="CH69" s="734"/>
      <c r="CI69" s="734"/>
      <c r="CJ69" s="734"/>
      <c r="CK69" s="734"/>
      <c r="CL69" s="734"/>
      <c r="CM69" s="734"/>
      <c r="CN69" s="734"/>
      <c r="CO69" s="734"/>
      <c r="CP69" s="734"/>
      <c r="CQ69" s="734"/>
      <c r="CR69" s="734"/>
      <c r="CS69" s="734"/>
      <c r="CT69" s="734"/>
      <c r="CU69" s="734"/>
      <c r="CV69" s="734"/>
      <c r="CW69" s="730"/>
      <c r="CX69" s="730"/>
      <c r="CY69" s="730"/>
      <c r="CZ69" s="730"/>
      <c r="DA69" s="730"/>
      <c r="DB69" s="730"/>
      <c r="DC69" s="730"/>
      <c r="DD69" s="730"/>
      <c r="DE69" s="730"/>
      <c r="DF69" s="730"/>
      <c r="DG69" s="730"/>
      <c r="DH69" s="730"/>
      <c r="DI69" s="730"/>
      <c r="DJ69" s="730">
        <f t="shared" ca="1" si="186"/>
        <v>12</v>
      </c>
      <c r="DK69" s="730"/>
      <c r="DL69" s="730">
        <f t="shared" ca="1" si="204"/>
        <v>1</v>
      </c>
      <c r="DM69" s="724" t="str">
        <f t="shared" ca="1" si="187"/>
        <v>12.1</v>
      </c>
      <c r="DN69" s="730" cm="1">
        <f t="array" aca="1" ref="DN69" ca="1">OFFSET(Horarios!$P$3,DJ69-1,0,DL69,1)</f>
        <v>12</v>
      </c>
      <c r="DO69" s="730"/>
      <c r="DP69" s="730">
        <v>12</v>
      </c>
      <c r="DQ69" s="730" t="str">
        <f t="shared" ca="1" si="205"/>
        <v>República Checa</v>
      </c>
      <c r="DR69" s="730"/>
      <c r="DS69" s="730"/>
      <c r="DT69" s="730" t="str">
        <f t="shared" ref="DT69:DT132" ca="1" si="242">AA69&amp;"-"&amp;AF69</f>
        <v>Irak-Noruega</v>
      </c>
      <c r="DU69" s="730"/>
      <c r="DV69" s="730"/>
      <c r="DW69" s="8"/>
    </row>
    <row r="70" spans="1:127" ht="16.05" customHeight="1">
      <c r="A70" s="731" t="str">
        <f ca="1">+Equipos!B35</f>
        <v>Senegal</v>
      </c>
      <c r="B70" s="728"/>
      <c r="C70" s="732"/>
      <c r="D70" s="730" t="str">
        <f t="shared" si="225"/>
        <v>Pendiente</v>
      </c>
      <c r="E70" s="730" t="str">
        <f t="shared" si="226"/>
        <v>-</v>
      </c>
      <c r="F70" s="730" t="str">
        <f t="shared" si="227"/>
        <v>-</v>
      </c>
      <c r="G70" s="730"/>
      <c r="H70" s="730" t="str">
        <f t="shared" si="228"/>
        <v>-</v>
      </c>
      <c r="I70" s="730" t="str">
        <f t="shared" si="229"/>
        <v>-</v>
      </c>
      <c r="J70" s="730"/>
      <c r="K70" s="730" t="str">
        <f t="shared" si="230"/>
        <v>-</v>
      </c>
      <c r="L70" s="730" t="str">
        <f t="shared" si="231"/>
        <v>-</v>
      </c>
      <c r="M70" s="730"/>
      <c r="N70" s="730" t="str">
        <f t="shared" si="232"/>
        <v>-</v>
      </c>
      <c r="O70" s="730" t="str">
        <f t="shared" si="233"/>
        <v>-</v>
      </c>
      <c r="P70" s="730"/>
      <c r="Q70" s="730" t="str">
        <f t="shared" si="234"/>
        <v>-</v>
      </c>
      <c r="R70" s="730" t="str">
        <f t="shared" si="235"/>
        <v>-</v>
      </c>
      <c r="S70" s="730"/>
      <c r="T70" s="730" t="str">
        <f t="shared" si="236"/>
        <v>-</v>
      </c>
      <c r="U70" s="730" t="str">
        <f t="shared" si="237"/>
        <v>-</v>
      </c>
      <c r="V70" s="170"/>
      <c r="W70" s="880"/>
      <c r="X70" s="187">
        <f ca="1">Horarios!C70</f>
        <v>46195.708333333336</v>
      </c>
      <c r="Y70" s="188">
        <f ca="1">Horarios!C70</f>
        <v>46195.708333333336</v>
      </c>
      <c r="Z70" s="189" t="str">
        <f>$Z$6</f>
        <v>J2</v>
      </c>
      <c r="AA70" s="190" t="str">
        <f ca="1">A69</f>
        <v>Francia</v>
      </c>
      <c r="AB70" s="475" t="e" cm="1" vm="33">
        <f t="array" aca="1" ref="AB70" ca="1">Ver_flag_local</f>
        <v>#VALUE!</v>
      </c>
      <c r="AC70" s="191"/>
      <c r="AD70" s="192"/>
      <c r="AE70" s="480" t="e" cm="1" vm="35">
        <f t="array" aca="1" ref="AE70" ca="1">Ver_flag_visit</f>
        <v>#VALUE!</v>
      </c>
      <c r="AF70" s="193" t="str">
        <f ca="1">A71</f>
        <v>Irak</v>
      </c>
      <c r="AG70" s="411">
        <f t="shared" si="238"/>
        <v>0</v>
      </c>
      <c r="AH70" s="194">
        <v>42</v>
      </c>
      <c r="AI70" s="19" t="str">
        <f>AJ70&amp;$B$68</f>
        <v>1I</v>
      </c>
      <c r="AJ70" s="209">
        <v>1</v>
      </c>
      <c r="AK70" s="485" t="e" cm="1" vm="33">
        <f t="array" aca="1" ref="AK70" ca="1">Ver_flag_visit</f>
        <v>#VALUE!</v>
      </c>
      <c r="AL70" s="210" t="str">
        <f ca="1">IFERROR(INDEX($BD$6:$BD$53,MATCH(AI70,$BN$6:$BN$53,0)),"")</f>
        <v>Francia</v>
      </c>
      <c r="AM70" s="211">
        <f t="shared" ref="AM70:AT73" ca="1" si="243">INDEX($BE$6:$BN$53,MATCH($AL70,$BD$6:$BD$53,0),MATCH(AM$5,$BE$5:$BN$5,0))</f>
        <v>0</v>
      </c>
      <c r="AN70" s="212">
        <f t="shared" ca="1" si="243"/>
        <v>0</v>
      </c>
      <c r="AO70" s="212">
        <f t="shared" ca="1" si="243"/>
        <v>0</v>
      </c>
      <c r="AP70" s="212">
        <f t="shared" ca="1" si="243"/>
        <v>0</v>
      </c>
      <c r="AQ70" s="212">
        <f t="shared" ca="1" si="243"/>
        <v>0</v>
      </c>
      <c r="AR70" s="212">
        <f t="shared" ca="1" si="243"/>
        <v>0</v>
      </c>
      <c r="AS70" s="212">
        <f t="shared" ca="1" si="243"/>
        <v>0</v>
      </c>
      <c r="AT70" s="213">
        <f t="shared" ca="1" si="243"/>
        <v>0</v>
      </c>
      <c r="AU70" s="418">
        <f ca="1">INDEX($DL$6:$DL$53,MATCH(AI70,$DP$6:$DP$53,0))</f>
        <v>1</v>
      </c>
      <c r="AV70" s="215" t="str">
        <f ca="1">INDEX($BD$6:$BD$53,MATCH(AI70,$BM$6:$BM$53,0))</f>
        <v>Francia</v>
      </c>
      <c r="AW70" s="425"/>
      <c r="AX70" s="216"/>
      <c r="AY70" s="217" t="str">
        <f ca="1">+A69</f>
        <v>Francia</v>
      </c>
      <c r="AZ70" s="218"/>
      <c r="BA70" s="173"/>
      <c r="BB70" s="730"/>
      <c r="BC70" s="730"/>
      <c r="BD70" s="730"/>
      <c r="BE70" s="730"/>
      <c r="BF70" s="730"/>
      <c r="BG70" s="730"/>
      <c r="BH70" s="730"/>
      <c r="BI70" s="730"/>
      <c r="BJ70" s="730"/>
      <c r="BK70" s="730"/>
      <c r="BL70" s="730"/>
      <c r="BM70" s="730"/>
      <c r="BN70" s="735"/>
      <c r="BO70" s="735"/>
      <c r="BP70" s="735"/>
      <c r="BQ70" s="735"/>
      <c r="BR70" s="730"/>
      <c r="BS70" s="730"/>
      <c r="BT70" s="735"/>
      <c r="BU70" s="735"/>
      <c r="BV70" s="735"/>
      <c r="BW70" s="735"/>
      <c r="BX70" s="735"/>
      <c r="BY70" s="735"/>
      <c r="BZ70" s="735"/>
      <c r="CA70" s="735"/>
      <c r="CB70" s="735"/>
      <c r="CC70" s="735"/>
      <c r="CD70" s="735"/>
      <c r="CE70" s="735"/>
      <c r="CF70" s="735"/>
      <c r="CG70" s="735"/>
      <c r="CH70" s="735"/>
      <c r="CI70" s="735"/>
      <c r="CJ70" s="735"/>
      <c r="CK70" s="735"/>
      <c r="CL70" s="735"/>
      <c r="CM70" s="735"/>
      <c r="CN70" s="735"/>
      <c r="CO70" s="735"/>
      <c r="CP70" s="735"/>
      <c r="CQ70" s="735"/>
      <c r="CR70" s="735"/>
      <c r="CS70" s="735"/>
      <c r="CT70" s="735"/>
      <c r="CU70" s="735"/>
      <c r="CV70" s="735"/>
      <c r="CW70" s="730"/>
      <c r="CX70" s="735"/>
      <c r="CY70" s="730"/>
      <c r="CZ70" s="730"/>
      <c r="DA70" s="730"/>
      <c r="DB70" s="730"/>
      <c r="DC70" s="730"/>
      <c r="DD70" s="730"/>
      <c r="DE70" s="730"/>
      <c r="DF70" s="730"/>
      <c r="DG70" s="730"/>
      <c r="DH70" s="730"/>
      <c r="DI70" s="730"/>
      <c r="DJ70" s="730"/>
      <c r="DK70" s="730"/>
      <c r="DL70" s="730"/>
      <c r="DM70" s="730"/>
      <c r="DN70" s="730"/>
      <c r="DO70" s="730"/>
      <c r="DP70" s="730"/>
      <c r="DQ70" s="730"/>
      <c r="DR70" s="730"/>
      <c r="DS70" s="730"/>
      <c r="DT70" s="730" t="str">
        <f t="shared" ca="1" si="242"/>
        <v>Francia-Irak</v>
      </c>
      <c r="DU70" s="730"/>
      <c r="DV70" s="730"/>
      <c r="DW70" s="8"/>
    </row>
    <row r="71" spans="1:127" ht="16.05" customHeight="1">
      <c r="A71" s="731" t="str">
        <f ca="1">+Equipos!B36</f>
        <v>Irak</v>
      </c>
      <c r="B71" s="728"/>
      <c r="C71" s="730"/>
      <c r="D71" s="730" t="str">
        <f t="shared" si="225"/>
        <v>Pendiente</v>
      </c>
      <c r="E71" s="730" t="str">
        <f t="shared" si="226"/>
        <v>-</v>
      </c>
      <c r="F71" s="730" t="str">
        <f t="shared" si="227"/>
        <v>-</v>
      </c>
      <c r="G71" s="730"/>
      <c r="H71" s="730" t="str">
        <f t="shared" si="228"/>
        <v>-</v>
      </c>
      <c r="I71" s="730" t="str">
        <f t="shared" si="229"/>
        <v>-</v>
      </c>
      <c r="J71" s="730"/>
      <c r="K71" s="730" t="str">
        <f t="shared" si="230"/>
        <v>-</v>
      </c>
      <c r="L71" s="730" t="str">
        <f t="shared" si="231"/>
        <v>-</v>
      </c>
      <c r="M71" s="730"/>
      <c r="N71" s="730" t="str">
        <f t="shared" si="232"/>
        <v>-</v>
      </c>
      <c r="O71" s="730" t="str">
        <f t="shared" si="233"/>
        <v>-</v>
      </c>
      <c r="P71" s="730"/>
      <c r="Q71" s="730" t="str">
        <f t="shared" si="234"/>
        <v>-</v>
      </c>
      <c r="R71" s="730" t="str">
        <f t="shared" si="235"/>
        <v>-</v>
      </c>
      <c r="S71" s="730"/>
      <c r="T71" s="730" t="str">
        <f t="shared" si="236"/>
        <v>-</v>
      </c>
      <c r="U71" s="730" t="str">
        <f t="shared" si="237"/>
        <v>-</v>
      </c>
      <c r="V71" s="170"/>
      <c r="W71" s="880"/>
      <c r="X71" s="187">
        <f ca="1">Horarios!C71</f>
        <v>46195.833333333336</v>
      </c>
      <c r="Y71" s="188">
        <f ca="1">Horarios!C71</f>
        <v>46195.833333333336</v>
      </c>
      <c r="Z71" s="189" t="str">
        <f>$Z$6</f>
        <v>J2</v>
      </c>
      <c r="AA71" s="190" t="str">
        <f ca="1">A72</f>
        <v>Noruega</v>
      </c>
      <c r="AB71" s="475" t="e" cm="1" vm="36">
        <f t="array" aca="1" ref="AB71" ca="1">Ver_flag_local</f>
        <v>#VALUE!</v>
      </c>
      <c r="AC71" s="191"/>
      <c r="AD71" s="192"/>
      <c r="AE71" s="480" t="e" cm="1" vm="34">
        <f t="array" aca="1" ref="AE71" ca="1">Ver_flag_visit</f>
        <v>#VALUE!</v>
      </c>
      <c r="AF71" s="193" t="str">
        <f ca="1">A70</f>
        <v>Senegal</v>
      </c>
      <c r="AG71" s="411">
        <f t="shared" si="238"/>
        <v>0</v>
      </c>
      <c r="AH71" s="194">
        <v>41</v>
      </c>
      <c r="AI71" s="19" t="str">
        <f t="shared" ref="AI71:AI73" si="244">AJ71&amp;$B$68</f>
        <v>2I</v>
      </c>
      <c r="AJ71" s="219">
        <v>2</v>
      </c>
      <c r="AK71" s="483" t="e" cm="1" vm="34">
        <f t="array" aca="1" ref="AK71" ca="1">Ver_flag_visit</f>
        <v>#VALUE!</v>
      </c>
      <c r="AL71" s="220" t="str">
        <f ca="1">IFERROR(INDEX($BD$6:$BD$53,MATCH(AI71,$BN$6:$BN$53,0)),"")</f>
        <v>Senegal</v>
      </c>
      <c r="AM71" s="221">
        <f t="shared" ca="1" si="243"/>
        <v>0</v>
      </c>
      <c r="AN71" s="222">
        <f t="shared" ca="1" si="243"/>
        <v>0</v>
      </c>
      <c r="AO71" s="222">
        <f t="shared" ca="1" si="243"/>
        <v>0</v>
      </c>
      <c r="AP71" s="222">
        <f t="shared" ca="1" si="243"/>
        <v>0</v>
      </c>
      <c r="AQ71" s="222">
        <f t="shared" ca="1" si="243"/>
        <v>0</v>
      </c>
      <c r="AR71" s="222">
        <f t="shared" ca="1" si="243"/>
        <v>0</v>
      </c>
      <c r="AS71" s="222">
        <f t="shared" ca="1" si="243"/>
        <v>0</v>
      </c>
      <c r="AT71" s="223">
        <f t="shared" ca="1" si="243"/>
        <v>0</v>
      </c>
      <c r="AU71" s="418">
        <f ca="1">INDEX($DL$6:$DL$53,MATCH(AI71,$DP$6:$DP$53,0))</f>
        <v>1</v>
      </c>
      <c r="AV71" s="215" t="str">
        <f ca="1">INDEX($BD$6:$BD$53,MATCH(AI71,$BM$6:$BM$53,0))</f>
        <v>Senegal</v>
      </c>
      <c r="AW71" s="425"/>
      <c r="AX71" s="216"/>
      <c r="AY71" s="224" t="str">
        <f ca="1">+A70</f>
        <v>Senegal</v>
      </c>
      <c r="AZ71" s="225"/>
      <c r="BA71" s="173"/>
      <c r="BB71" s="730"/>
      <c r="BC71" s="730"/>
      <c r="BD71" s="730"/>
      <c r="BE71" s="730"/>
      <c r="BF71" s="730"/>
      <c r="BG71" s="730"/>
      <c r="BH71" s="730"/>
      <c r="BI71" s="730"/>
      <c r="BJ71" s="730"/>
      <c r="BK71" s="730"/>
      <c r="BL71" s="730"/>
      <c r="BM71" s="730"/>
      <c r="BN71" s="735"/>
      <c r="BO71" s="735"/>
      <c r="BP71" s="735"/>
      <c r="BQ71" s="735"/>
      <c r="BR71" s="730"/>
      <c r="BS71" s="730"/>
      <c r="BT71" s="735"/>
      <c r="BU71" s="735"/>
      <c r="BV71" s="735"/>
      <c r="BW71" s="735"/>
      <c r="BX71" s="735"/>
      <c r="BY71" s="735"/>
      <c r="BZ71" s="735"/>
      <c r="CA71" s="735"/>
      <c r="CB71" s="735"/>
      <c r="CC71" s="735"/>
      <c r="CD71" s="735"/>
      <c r="CE71" s="735"/>
      <c r="CF71" s="735"/>
      <c r="CG71" s="735"/>
      <c r="CH71" s="735"/>
      <c r="CI71" s="735"/>
      <c r="CJ71" s="735"/>
      <c r="CK71" s="735"/>
      <c r="CL71" s="735"/>
      <c r="CM71" s="735"/>
      <c r="CN71" s="735"/>
      <c r="CO71" s="735"/>
      <c r="CP71" s="735"/>
      <c r="CQ71" s="735"/>
      <c r="CR71" s="735"/>
      <c r="CS71" s="735"/>
      <c r="CT71" s="735"/>
      <c r="CU71" s="735"/>
      <c r="CV71" s="735"/>
      <c r="CW71" s="730"/>
      <c r="CX71" s="735"/>
      <c r="CY71" s="730"/>
      <c r="CZ71" s="730"/>
      <c r="DA71" s="730"/>
      <c r="DB71" s="730"/>
      <c r="DC71" s="730"/>
      <c r="DD71" s="730"/>
      <c r="DE71" s="730"/>
      <c r="DF71" s="730"/>
      <c r="DG71" s="730"/>
      <c r="DH71" s="730"/>
      <c r="DI71" s="730"/>
      <c r="DJ71" s="730"/>
      <c r="DK71" s="730"/>
      <c r="DL71" s="730"/>
      <c r="DM71" s="730"/>
      <c r="DN71" s="730"/>
      <c r="DO71" s="730"/>
      <c r="DP71" s="730"/>
      <c r="DQ71" s="730"/>
      <c r="DR71" s="730"/>
      <c r="DS71" s="730"/>
      <c r="DT71" s="730" t="str">
        <f t="shared" ca="1" si="242"/>
        <v>Noruega-Senegal</v>
      </c>
      <c r="DU71" s="730"/>
      <c r="DV71" s="730"/>
      <c r="DW71" s="8"/>
    </row>
    <row r="72" spans="1:127" ht="16.05" customHeight="1">
      <c r="A72" s="731" t="str">
        <f ca="1">+Equipos!B37</f>
        <v>Noruega</v>
      </c>
      <c r="B72" s="728"/>
      <c r="C72" s="730"/>
      <c r="D72" s="730" t="str">
        <f t="shared" si="225"/>
        <v>Pendiente</v>
      </c>
      <c r="E72" s="730" t="str">
        <f t="shared" si="226"/>
        <v>-</v>
      </c>
      <c r="F72" s="730" t="str">
        <f t="shared" si="227"/>
        <v>-</v>
      </c>
      <c r="G72" s="730"/>
      <c r="H72" s="730" t="str">
        <f t="shared" si="228"/>
        <v>-</v>
      </c>
      <c r="I72" s="730" t="str">
        <f t="shared" si="229"/>
        <v>-</v>
      </c>
      <c r="J72" s="730"/>
      <c r="K72" s="730" t="str">
        <f t="shared" si="230"/>
        <v>-</v>
      </c>
      <c r="L72" s="730" t="str">
        <f t="shared" si="231"/>
        <v>-</v>
      </c>
      <c r="M72" s="730"/>
      <c r="N72" s="730" t="str">
        <f t="shared" si="232"/>
        <v>-</v>
      </c>
      <c r="O72" s="730" t="str">
        <f t="shared" si="233"/>
        <v>-</v>
      </c>
      <c r="P72" s="730"/>
      <c r="Q72" s="730" t="str">
        <f t="shared" si="234"/>
        <v>-</v>
      </c>
      <c r="R72" s="730" t="str">
        <f t="shared" si="235"/>
        <v>-</v>
      </c>
      <c r="S72" s="730"/>
      <c r="T72" s="730" t="str">
        <f t="shared" si="236"/>
        <v>-</v>
      </c>
      <c r="U72" s="730" t="str">
        <f t="shared" si="237"/>
        <v>-</v>
      </c>
      <c r="V72" s="170"/>
      <c r="W72" s="880"/>
      <c r="X72" s="187">
        <f ca="1">Horarios!C72</f>
        <v>46199.625</v>
      </c>
      <c r="Y72" s="188">
        <f ca="1">Horarios!C72</f>
        <v>46199.625</v>
      </c>
      <c r="Z72" s="189" t="str">
        <f>$Z$8</f>
        <v>J3</v>
      </c>
      <c r="AA72" s="190" t="str">
        <f ca="1">A72</f>
        <v>Noruega</v>
      </c>
      <c r="AB72" s="475" t="e" cm="1" vm="36">
        <f t="array" aca="1" ref="AB72" ca="1">Ver_flag_local</f>
        <v>#VALUE!</v>
      </c>
      <c r="AC72" s="191"/>
      <c r="AD72" s="192"/>
      <c r="AE72" s="480" t="e" cm="1" vm="33">
        <f t="array" aca="1" ref="AE72" ca="1">Ver_flag_visit</f>
        <v>#VALUE!</v>
      </c>
      <c r="AF72" s="193" t="str">
        <f ca="1">A69</f>
        <v>Francia</v>
      </c>
      <c r="AG72" s="411">
        <f t="shared" si="238"/>
        <v>0</v>
      </c>
      <c r="AH72" s="194">
        <v>61</v>
      </c>
      <c r="AI72" s="19" t="str">
        <f t="shared" si="244"/>
        <v>3I</v>
      </c>
      <c r="AJ72" s="219">
        <v>3</v>
      </c>
      <c r="AK72" s="483" t="e" cm="1" vm="35">
        <f t="array" aca="1" ref="AK72" ca="1">Ver_flag_visit</f>
        <v>#VALUE!</v>
      </c>
      <c r="AL72" s="220" t="str">
        <f ca="1">IFERROR(INDEX($BD$6:$BD$53,MATCH(AI72,$BN$6:$BN$53,0)),"")</f>
        <v>Irak</v>
      </c>
      <c r="AM72" s="221">
        <f t="shared" ca="1" si="243"/>
        <v>0</v>
      </c>
      <c r="AN72" s="222">
        <f t="shared" ca="1" si="243"/>
        <v>0</v>
      </c>
      <c r="AO72" s="222">
        <f t="shared" ca="1" si="243"/>
        <v>0</v>
      </c>
      <c r="AP72" s="222">
        <f t="shared" ca="1" si="243"/>
        <v>0</v>
      </c>
      <c r="AQ72" s="222">
        <f t="shared" ca="1" si="243"/>
        <v>0</v>
      </c>
      <c r="AR72" s="222">
        <f t="shared" ca="1" si="243"/>
        <v>0</v>
      </c>
      <c r="AS72" s="222">
        <f t="shared" ca="1" si="243"/>
        <v>0</v>
      </c>
      <c r="AT72" s="223">
        <f t="shared" ca="1" si="243"/>
        <v>0</v>
      </c>
      <c r="AU72" s="418">
        <f ca="1">INDEX($DL$6:$DL$53,MATCH(AI72,$DP$6:$DP$53,0))</f>
        <v>1</v>
      </c>
      <c r="AV72" s="215" t="str">
        <f ca="1">INDEX($BD$6:$BD$53,MATCH(AI72,$BM$6:$BM$53,0))</f>
        <v>Irak</v>
      </c>
      <c r="AW72" s="425"/>
      <c r="AX72" s="216"/>
      <c r="AY72" s="217" t="str">
        <f ca="1">+A71</f>
        <v>Irak</v>
      </c>
      <c r="AZ72" s="218"/>
      <c r="BA72" s="173"/>
      <c r="BB72" s="730"/>
      <c r="BC72" s="730"/>
      <c r="BD72" s="730"/>
      <c r="BE72" s="730"/>
      <c r="BF72" s="730"/>
      <c r="BG72" s="730"/>
      <c r="BH72" s="730"/>
      <c r="BI72" s="730"/>
      <c r="BJ72" s="730"/>
      <c r="BK72" s="730"/>
      <c r="BL72" s="730"/>
      <c r="BM72" s="730"/>
      <c r="BN72" s="735"/>
      <c r="BO72" s="735"/>
      <c r="BP72" s="735"/>
      <c r="BQ72" s="735"/>
      <c r="BR72" s="730"/>
      <c r="BS72" s="730"/>
      <c r="BT72" s="735"/>
      <c r="BU72" s="735"/>
      <c r="BV72" s="735"/>
      <c r="BW72" s="735"/>
      <c r="BX72" s="735"/>
      <c r="BY72" s="735"/>
      <c r="BZ72" s="735"/>
      <c r="CA72" s="735"/>
      <c r="CB72" s="735"/>
      <c r="CC72" s="735"/>
      <c r="CD72" s="735"/>
      <c r="CE72" s="735"/>
      <c r="CF72" s="735"/>
      <c r="CG72" s="735"/>
      <c r="CH72" s="735"/>
      <c r="CI72" s="735"/>
      <c r="CJ72" s="735"/>
      <c r="CK72" s="735"/>
      <c r="CL72" s="735"/>
      <c r="CM72" s="735"/>
      <c r="CN72" s="735"/>
      <c r="CO72" s="735"/>
      <c r="CP72" s="735"/>
      <c r="CQ72" s="735"/>
      <c r="CR72" s="735"/>
      <c r="CS72" s="735"/>
      <c r="CT72" s="735"/>
      <c r="CU72" s="735"/>
      <c r="CV72" s="735"/>
      <c r="CW72" s="730"/>
      <c r="CX72" s="735"/>
      <c r="CY72" s="730"/>
      <c r="CZ72" s="730"/>
      <c r="DA72" s="730"/>
      <c r="DB72" s="730"/>
      <c r="DC72" s="730"/>
      <c r="DD72" s="730"/>
      <c r="DE72" s="730"/>
      <c r="DF72" s="730"/>
      <c r="DG72" s="730"/>
      <c r="DH72" s="730"/>
      <c r="DI72" s="730"/>
      <c r="DJ72" s="730"/>
      <c r="DK72" s="730"/>
      <c r="DL72" s="730"/>
      <c r="DM72" s="730"/>
      <c r="DN72" s="730"/>
      <c r="DO72" s="730"/>
      <c r="DP72" s="730"/>
      <c r="DQ72" s="730"/>
      <c r="DR72" s="730"/>
      <c r="DS72" s="730"/>
      <c r="DT72" s="730" t="str">
        <f t="shared" ca="1" si="242"/>
        <v>Noruega-Francia</v>
      </c>
      <c r="DU72" s="730"/>
      <c r="DV72" s="730"/>
      <c r="DW72" s="8"/>
    </row>
    <row r="73" spans="1:127" ht="16.95" customHeight="1" thickBot="1">
      <c r="A73" s="725"/>
      <c r="B73" s="725"/>
      <c r="C73" s="725"/>
      <c r="D73" s="730" t="str">
        <f t="shared" si="225"/>
        <v>Pendiente</v>
      </c>
      <c r="E73" s="730" t="str">
        <f t="shared" si="226"/>
        <v>-</v>
      </c>
      <c r="F73" s="730" t="str">
        <f t="shared" si="227"/>
        <v>-</v>
      </c>
      <c r="G73" s="730"/>
      <c r="H73" s="730" t="str">
        <f t="shared" si="228"/>
        <v>-</v>
      </c>
      <c r="I73" s="730" t="str">
        <f t="shared" si="229"/>
        <v>-</v>
      </c>
      <c r="J73" s="730"/>
      <c r="K73" s="730" t="str">
        <f t="shared" si="230"/>
        <v>-</v>
      </c>
      <c r="L73" s="730" t="str">
        <f t="shared" si="231"/>
        <v>-</v>
      </c>
      <c r="M73" s="730"/>
      <c r="N73" s="730" t="str">
        <f t="shared" si="232"/>
        <v>-</v>
      </c>
      <c r="O73" s="730" t="str">
        <f t="shared" si="233"/>
        <v>-</v>
      </c>
      <c r="P73" s="730"/>
      <c r="Q73" s="730" t="str">
        <f t="shared" si="234"/>
        <v>-</v>
      </c>
      <c r="R73" s="730" t="str">
        <f t="shared" si="235"/>
        <v>-</v>
      </c>
      <c r="S73" s="730"/>
      <c r="T73" s="730" t="str">
        <f t="shared" si="236"/>
        <v>-</v>
      </c>
      <c r="U73" s="730" t="str">
        <f t="shared" si="237"/>
        <v>-</v>
      </c>
      <c r="V73" s="170"/>
      <c r="W73" s="881"/>
      <c r="X73" s="226">
        <f ca="1">Horarios!C73</f>
        <v>46199.625</v>
      </c>
      <c r="Y73" s="227">
        <f ca="1">Horarios!C73</f>
        <v>46199.625</v>
      </c>
      <c r="Z73" s="228" t="str">
        <f>$Z$8</f>
        <v>J3</v>
      </c>
      <c r="AA73" s="229" t="str">
        <f ca="1">A70</f>
        <v>Senegal</v>
      </c>
      <c r="AB73" s="476" t="e" cm="1" vm="34">
        <f t="array" aca="1" ref="AB73" ca="1">Ver_flag_local</f>
        <v>#VALUE!</v>
      </c>
      <c r="AC73" s="230"/>
      <c r="AD73" s="231"/>
      <c r="AE73" s="481" t="e" cm="1" vm="35">
        <f t="array" aca="1" ref="AE73" ca="1">Ver_flag_visit</f>
        <v>#VALUE!</v>
      </c>
      <c r="AF73" s="232" t="str">
        <f ca="1">A71</f>
        <v>Irak</v>
      </c>
      <c r="AG73" s="411">
        <f t="shared" si="238"/>
        <v>0</v>
      </c>
      <c r="AH73" s="194">
        <v>62</v>
      </c>
      <c r="AI73" s="19" t="str">
        <f t="shared" si="244"/>
        <v>4I</v>
      </c>
      <c r="AJ73" s="233">
        <v>4</v>
      </c>
      <c r="AK73" s="484" t="e" cm="1" vm="36">
        <f t="array" aca="1" ref="AK73" ca="1">Ver_flag_visit</f>
        <v>#VALUE!</v>
      </c>
      <c r="AL73" s="234" t="str">
        <f ca="1">IFERROR(INDEX($BD$6:$BD$53,MATCH(AI73,$BN$6:$BN$53,0)),"")</f>
        <v>Noruega</v>
      </c>
      <c r="AM73" s="235">
        <f t="shared" ca="1" si="243"/>
        <v>0</v>
      </c>
      <c r="AN73" s="236">
        <f t="shared" ca="1" si="243"/>
        <v>0</v>
      </c>
      <c r="AO73" s="236">
        <f t="shared" ca="1" si="243"/>
        <v>0</v>
      </c>
      <c r="AP73" s="236">
        <f t="shared" ca="1" si="243"/>
        <v>0</v>
      </c>
      <c r="AQ73" s="236">
        <f t="shared" ca="1" si="243"/>
        <v>0</v>
      </c>
      <c r="AR73" s="236">
        <f t="shared" ca="1" si="243"/>
        <v>0</v>
      </c>
      <c r="AS73" s="236">
        <f t="shared" ca="1" si="243"/>
        <v>0</v>
      </c>
      <c r="AT73" s="237">
        <f t="shared" ca="1" si="243"/>
        <v>0</v>
      </c>
      <c r="AU73" s="418">
        <f ca="1">INDEX($DL$6:$DL$53,MATCH(AI73,$DP$6:$DP$53,0))</f>
        <v>1</v>
      </c>
      <c r="AV73" s="215" t="str">
        <f ca="1">INDEX($BD$6:$BD$53,MATCH(AI73,$BM$6:$BM$53,0))</f>
        <v>Noruega</v>
      </c>
      <c r="AW73" s="425"/>
      <c r="AX73" s="216"/>
      <c r="AY73" s="238" t="str">
        <f ca="1">+A72</f>
        <v>Noruega</v>
      </c>
      <c r="AZ73" s="239"/>
      <c r="BA73" s="173"/>
      <c r="BB73" s="730"/>
      <c r="BC73" s="730"/>
      <c r="BD73" s="730"/>
      <c r="BE73" s="730"/>
      <c r="BF73" s="730"/>
      <c r="BG73" s="730"/>
      <c r="BH73" s="730"/>
      <c r="BI73" s="730"/>
      <c r="BJ73" s="730"/>
      <c r="BK73" s="730"/>
      <c r="BL73" s="730"/>
      <c r="BM73" s="730"/>
      <c r="BN73" s="735"/>
      <c r="BO73" s="735"/>
      <c r="BP73" s="735"/>
      <c r="BQ73" s="735"/>
      <c r="BR73" s="730"/>
      <c r="BS73" s="730"/>
      <c r="BT73" s="735"/>
      <c r="BU73" s="735"/>
      <c r="BV73" s="735"/>
      <c r="BW73" s="735"/>
      <c r="BX73" s="735"/>
      <c r="BY73" s="735"/>
      <c r="BZ73" s="735"/>
      <c r="CA73" s="735"/>
      <c r="CB73" s="735"/>
      <c r="CC73" s="735"/>
      <c r="CD73" s="735"/>
      <c r="CE73" s="735"/>
      <c r="CF73" s="735"/>
      <c r="CG73" s="735"/>
      <c r="CH73" s="735"/>
      <c r="CI73" s="735"/>
      <c r="CJ73" s="735"/>
      <c r="CK73" s="735"/>
      <c r="CL73" s="735"/>
      <c r="CM73" s="735"/>
      <c r="CN73" s="735"/>
      <c r="CO73" s="735"/>
      <c r="CP73" s="735"/>
      <c r="CQ73" s="735"/>
      <c r="CR73" s="735"/>
      <c r="CS73" s="735"/>
      <c r="CT73" s="735"/>
      <c r="CU73" s="735"/>
      <c r="CV73" s="735"/>
      <c r="CW73" s="730"/>
      <c r="CX73" s="735"/>
      <c r="CY73" s="730"/>
      <c r="CZ73" s="730"/>
      <c r="DA73" s="730"/>
      <c r="DB73" s="730"/>
      <c r="DC73" s="730"/>
      <c r="DD73" s="730"/>
      <c r="DE73" s="730"/>
      <c r="DF73" s="730"/>
      <c r="DG73" s="730"/>
      <c r="DH73" s="730"/>
      <c r="DI73" s="730"/>
      <c r="DJ73" s="730"/>
      <c r="DK73" s="730"/>
      <c r="DL73" s="730"/>
      <c r="DM73" s="730"/>
      <c r="DN73" s="730"/>
      <c r="DO73" s="730"/>
      <c r="DP73" s="730"/>
      <c r="DQ73" s="730"/>
      <c r="DR73" s="730"/>
      <c r="DS73" s="730"/>
      <c r="DT73" s="730" t="str">
        <f t="shared" ca="1" si="242"/>
        <v>Senegal-Irak</v>
      </c>
      <c r="DU73" s="730"/>
      <c r="DV73" s="730"/>
      <c r="DW73" s="8"/>
    </row>
    <row r="74" spans="1:127" ht="15" thickBot="1">
      <c r="A74" s="725"/>
      <c r="B74" s="725"/>
      <c r="C74" s="725"/>
      <c r="D74" s="730"/>
      <c r="E74" s="730"/>
      <c r="F74" s="730"/>
      <c r="G74" s="730"/>
      <c r="H74" s="730"/>
      <c r="I74" s="730"/>
      <c r="J74" s="730"/>
      <c r="K74" s="730"/>
      <c r="L74" s="730"/>
      <c r="M74" s="730"/>
      <c r="N74" s="730"/>
      <c r="O74" s="730"/>
      <c r="P74" s="730"/>
      <c r="Q74" s="730"/>
      <c r="R74" s="730"/>
      <c r="S74" s="730"/>
      <c r="T74" s="730"/>
      <c r="U74" s="730"/>
      <c r="V74" s="170"/>
      <c r="W74" s="240"/>
      <c r="X74" s="241"/>
      <c r="Y74" s="240"/>
      <c r="Z74" s="242"/>
      <c r="AA74" s="243"/>
      <c r="AB74" s="479"/>
      <c r="AC74" s="245"/>
      <c r="AD74" s="245"/>
      <c r="AE74" s="479"/>
      <c r="AF74" s="246"/>
      <c r="AG74" s="413"/>
      <c r="AH74" s="194"/>
      <c r="AI74" s="169"/>
      <c r="AJ74" s="247"/>
      <c r="AK74" s="248"/>
      <c r="AL74" s="184"/>
      <c r="AM74" s="249"/>
      <c r="AN74" s="247"/>
      <c r="AO74" s="247"/>
      <c r="AP74" s="247"/>
      <c r="AQ74" s="247"/>
      <c r="AR74" s="247"/>
      <c r="AS74" s="247"/>
      <c r="AT74" s="247"/>
      <c r="AU74" s="418"/>
      <c r="AV74" s="214"/>
      <c r="AW74" s="426"/>
      <c r="AX74" s="216"/>
      <c r="AY74" s="240"/>
      <c r="AZ74" s="241"/>
      <c r="BA74" s="173"/>
      <c r="BB74" s="730"/>
      <c r="BC74" s="730"/>
      <c r="BD74" s="730"/>
      <c r="BE74" s="730"/>
      <c r="BF74" s="730"/>
      <c r="BG74" s="730"/>
      <c r="BH74" s="730"/>
      <c r="BI74" s="730"/>
      <c r="BJ74" s="730"/>
      <c r="BK74" s="730"/>
      <c r="BL74" s="730"/>
      <c r="BM74" s="730"/>
      <c r="BN74" s="735"/>
      <c r="BO74" s="735"/>
      <c r="BP74" s="735"/>
      <c r="BQ74" s="735"/>
      <c r="BR74" s="730"/>
      <c r="BS74" s="730"/>
      <c r="BT74" s="735"/>
      <c r="BU74" s="735"/>
      <c r="BV74" s="735"/>
      <c r="BW74" s="735"/>
      <c r="BX74" s="735"/>
      <c r="BY74" s="735"/>
      <c r="BZ74" s="735"/>
      <c r="CA74" s="735"/>
      <c r="CB74" s="735"/>
      <c r="CC74" s="735"/>
      <c r="CD74" s="735"/>
      <c r="CE74" s="735"/>
      <c r="CF74" s="735"/>
      <c r="CG74" s="735"/>
      <c r="CH74" s="735"/>
      <c r="CI74" s="735"/>
      <c r="CJ74" s="735"/>
      <c r="CK74" s="735"/>
      <c r="CL74" s="735"/>
      <c r="CM74" s="735"/>
      <c r="CN74" s="735"/>
      <c r="CO74" s="735"/>
      <c r="CP74" s="735"/>
      <c r="CQ74" s="735"/>
      <c r="CR74" s="735"/>
      <c r="CS74" s="735"/>
      <c r="CT74" s="735"/>
      <c r="CU74" s="735"/>
      <c r="CV74" s="735"/>
      <c r="CW74" s="730"/>
      <c r="CX74" s="735"/>
      <c r="CY74" s="730"/>
      <c r="CZ74" s="730"/>
      <c r="DA74" s="730"/>
      <c r="DB74" s="730"/>
      <c r="DC74" s="730"/>
      <c r="DD74" s="730"/>
      <c r="DE74" s="730"/>
      <c r="DF74" s="730"/>
      <c r="DG74" s="730"/>
      <c r="DH74" s="730"/>
      <c r="DI74" s="730"/>
      <c r="DJ74" s="730"/>
      <c r="DK74" s="730"/>
      <c r="DL74" s="730"/>
      <c r="DM74" s="730"/>
      <c r="DN74" s="730"/>
      <c r="DO74" s="730"/>
      <c r="DP74" s="730"/>
      <c r="DQ74" s="730"/>
      <c r="DR74" s="730"/>
      <c r="DS74" s="730"/>
      <c r="DT74" s="730" t="str">
        <f t="shared" si="242"/>
        <v>-</v>
      </c>
      <c r="DU74" s="730"/>
      <c r="DV74" s="730"/>
      <c r="DW74" s="8"/>
    </row>
    <row r="75" spans="1:127" ht="15" thickBot="1">
      <c r="A75" s="725"/>
      <c r="B75" s="728"/>
      <c r="C75" s="725"/>
      <c r="D75" s="725"/>
      <c r="E75" s="725"/>
      <c r="F75" s="725"/>
      <c r="G75" s="725"/>
      <c r="H75" s="725"/>
      <c r="I75" s="725"/>
      <c r="J75" s="725"/>
      <c r="K75" s="725"/>
      <c r="L75" s="725"/>
      <c r="M75" s="725"/>
      <c r="N75" s="730"/>
      <c r="O75" s="730"/>
      <c r="P75" s="730"/>
      <c r="Q75" s="730"/>
      <c r="R75" s="730"/>
      <c r="S75" s="730"/>
      <c r="T75" s="730"/>
      <c r="U75" s="730"/>
      <c r="V75" s="170"/>
      <c r="W75" s="177"/>
      <c r="X75" s="178" t="str">
        <f>X3</f>
        <v>Fecha</v>
      </c>
      <c r="Y75" s="178" t="str">
        <f>Y3</f>
        <v>Hora</v>
      </c>
      <c r="Z75" s="179" t="str">
        <f>Z3</f>
        <v>Jor.</v>
      </c>
      <c r="AA75" s="180" t="str">
        <f>AA3</f>
        <v>Casa</v>
      </c>
      <c r="AB75" s="179"/>
      <c r="AC75" s="179" t="str">
        <f>AC3</f>
        <v>Gol</v>
      </c>
      <c r="AD75" s="179" t="str">
        <f>AD3</f>
        <v>Gol</v>
      </c>
      <c r="AE75" s="179"/>
      <c r="AF75" s="182" t="str">
        <f>AF3</f>
        <v>Fuera</v>
      </c>
      <c r="AG75" s="412"/>
      <c r="AH75" s="194"/>
      <c r="AI75" s="18"/>
      <c r="AJ75" s="184"/>
      <c r="AK75" s="250"/>
      <c r="AL75" s="184"/>
      <c r="AM75" s="184"/>
      <c r="AN75" s="184"/>
      <c r="AO75" s="184"/>
      <c r="AP75" s="184"/>
      <c r="AQ75" s="184"/>
      <c r="AR75" s="184"/>
      <c r="AS75" s="184"/>
      <c r="AT75" s="184"/>
      <c r="AU75" s="419"/>
      <c r="AV75" s="22"/>
      <c r="AW75" s="427"/>
      <c r="AX75" s="251"/>
      <c r="AY75" s="240"/>
      <c r="AZ75" s="241"/>
      <c r="BA75" s="173"/>
      <c r="BB75" s="730"/>
      <c r="BC75" s="730"/>
      <c r="BD75" s="730"/>
      <c r="BE75" s="730"/>
      <c r="BF75" s="730"/>
      <c r="BG75" s="730"/>
      <c r="BH75" s="730"/>
      <c r="BI75" s="730"/>
      <c r="BJ75" s="730"/>
      <c r="BK75" s="730"/>
      <c r="BL75" s="730"/>
      <c r="BM75" s="730"/>
      <c r="BN75" s="730"/>
      <c r="BO75" s="730"/>
      <c r="BP75" s="730"/>
      <c r="BQ75" s="730"/>
      <c r="BR75" s="730"/>
      <c r="BS75" s="730"/>
      <c r="BT75" s="730"/>
      <c r="BU75" s="730"/>
      <c r="BV75" s="730"/>
      <c r="BW75" s="730"/>
      <c r="BX75" s="730"/>
      <c r="BY75" s="730"/>
      <c r="BZ75" s="730"/>
      <c r="CA75" s="730"/>
      <c r="CB75" s="730"/>
      <c r="CC75" s="730"/>
      <c r="CD75" s="730"/>
      <c r="CE75" s="730"/>
      <c r="CF75" s="730"/>
      <c r="CG75" s="730"/>
      <c r="CH75" s="730"/>
      <c r="CI75" s="730"/>
      <c r="CJ75" s="730"/>
      <c r="CK75" s="730"/>
      <c r="CL75" s="730"/>
      <c r="CM75" s="730"/>
      <c r="CN75" s="730"/>
      <c r="CO75" s="730"/>
      <c r="CP75" s="730"/>
      <c r="CQ75" s="730"/>
      <c r="CR75" s="730"/>
      <c r="CS75" s="730"/>
      <c r="CT75" s="730"/>
      <c r="CU75" s="730"/>
      <c r="CV75" s="730"/>
      <c r="CW75" s="730"/>
      <c r="CX75" s="730"/>
      <c r="CY75" s="730"/>
      <c r="CZ75" s="730"/>
      <c r="DA75" s="730"/>
      <c r="DB75" s="730"/>
      <c r="DC75" s="730"/>
      <c r="DD75" s="730"/>
      <c r="DE75" s="730"/>
      <c r="DF75" s="730"/>
      <c r="DG75" s="730"/>
      <c r="DH75" s="730"/>
      <c r="DI75" s="730"/>
      <c r="DJ75" s="730"/>
      <c r="DK75" s="730"/>
      <c r="DL75" s="730"/>
      <c r="DM75" s="730"/>
      <c r="DN75" s="730"/>
      <c r="DO75" s="730"/>
      <c r="DP75" s="730"/>
      <c r="DQ75" s="730"/>
      <c r="DR75" s="730"/>
      <c r="DS75" s="730"/>
      <c r="DT75" s="730" t="str">
        <f t="shared" si="242"/>
        <v>Casa-Fuera</v>
      </c>
      <c r="DU75" s="730"/>
      <c r="DV75" s="730"/>
      <c r="DW75" s="8"/>
    </row>
    <row r="76" spans="1:127" ht="16.05" customHeight="1" thickBot="1">
      <c r="A76" s="727" t="s">
        <v>30</v>
      </c>
      <c r="B76" s="728" t="s">
        <v>5</v>
      </c>
      <c r="C76" s="729">
        <f>COUNTIF(Equipos!$C$2:$C$49,WORLDCUP!B76)</f>
        <v>4</v>
      </c>
      <c r="D76" s="730" t="str">
        <f t="shared" ref="D76:D81" si="245">IF(OR(AC76="",AD76=""),"Pendiente",IF(AC76&gt;AD76,"Local",IF(AC76&lt;AD76,"Visitante","Empate")))</f>
        <v>Pendiente</v>
      </c>
      <c r="E76" s="730" t="str">
        <f t="shared" ref="E76:E81" si="246">IF(D76="Pendiente","-",INDEX($BT$6:$BT$53,MATCH($AA76,$BD$6:$BD$53,0)))</f>
        <v>-</v>
      </c>
      <c r="F76" s="730" t="str">
        <f t="shared" ref="F76:F81" si="247">IF(D76="Pendiente","-",INDEX($BT$6:$BT$53,MATCH($AF76,$BD$6:$BD$53,0)))</f>
        <v>-</v>
      </c>
      <c r="G76" s="730"/>
      <c r="H76" s="730" t="str">
        <f t="shared" ref="H76:H81" si="248">IF(D76="Pendiente","-",INDEX($BZ$6:$BZ$53,MATCH($AA76,$BD$6:$BD$53,0)))</f>
        <v>-</v>
      </c>
      <c r="I76" s="730" t="str">
        <f t="shared" ref="I76:I81" si="249">IF(D76="Pendiente","-",INDEX($BZ$6:$BZ$53,MATCH($AF76,$BD$6:$BD$53,0)))</f>
        <v>-</v>
      </c>
      <c r="J76" s="730"/>
      <c r="K76" s="730" t="str">
        <f t="shared" ref="K76:K81" si="250">IF(D76="Pendiente","-",INDEX($CE$6:$CE$53,MATCH($AA76,$BD$6:$BD$53,0)))</f>
        <v>-</v>
      </c>
      <c r="L76" s="730" t="str">
        <f t="shared" ref="L76:L81" si="251">IF(D76="Pendiente","-",INDEX($CE$6:$CE$53,MATCH($AF76,$BD$6:$BD$53,0)))</f>
        <v>-</v>
      </c>
      <c r="M76" s="730"/>
      <c r="N76" s="730" t="str">
        <f t="shared" ref="N76:N81" si="252">IF(D76="Pendiente","-",INDEX($CH$6:$CH$53,MATCH($AA76,$BD$6:$BD$53,0)))</f>
        <v>-</v>
      </c>
      <c r="O76" s="730" t="str">
        <f t="shared" ref="O76:O81" si="253">IF(D76="Pendiente","-",INDEX($CH$6:$CH$53,MATCH($AF76,$BD$6:$BD$53,0)))</f>
        <v>-</v>
      </c>
      <c r="P76" s="730"/>
      <c r="Q76" s="730" t="str">
        <f t="shared" ref="Q76:Q81" si="254">IF(D76="Pendiente","-",INDEX($CN$6:$CN$53,MATCH($AA76,$BD$6:$BD$53,0)))</f>
        <v>-</v>
      </c>
      <c r="R76" s="730" t="str">
        <f t="shared" ref="R76:R81" si="255">IF(D76="Pendiente","-",INDEX($CN$6:$CN$53,MATCH($AF76,$BD$6:$BD$53,0)))</f>
        <v>-</v>
      </c>
      <c r="S76" s="730"/>
      <c r="T76" s="730" t="str">
        <f t="shared" ref="T76:T81" si="256">IF(D76="Pendiente","-",INDEX($CS$6:$CS$53,MATCH($AA76,$BD$6:$BD$53,0)))</f>
        <v>-</v>
      </c>
      <c r="U76" s="730" t="str">
        <f t="shared" ref="U76:U81" si="257">IF(D76="Pendiente","-",INDEX($CS$6:$CS$53,MATCH($AF76,$BD$6:$BD$53,0)))</f>
        <v>-</v>
      </c>
      <c r="V76" s="170"/>
      <c r="W76" s="876" t="s">
        <v>5</v>
      </c>
      <c r="X76" s="187">
        <f ca="1">Horarios!C76</f>
        <v>46189.875</v>
      </c>
      <c r="Y76" s="188">
        <f ca="1">Horarios!C76</f>
        <v>46189.875</v>
      </c>
      <c r="Z76" s="189" t="str">
        <f>$Z$4</f>
        <v>J1</v>
      </c>
      <c r="AA76" s="190" t="str">
        <f ca="1">A77</f>
        <v>Argentina</v>
      </c>
      <c r="AB76" s="475" t="e" cm="1" vm="37">
        <f t="array" aca="1" ref="AB76" ca="1">Ver_flag_local</f>
        <v>#VALUE!</v>
      </c>
      <c r="AC76" s="191"/>
      <c r="AD76" s="192"/>
      <c r="AE76" s="480" t="e" cm="1" vm="38">
        <f t="array" aca="1" ref="AE76" ca="1">Ver_flag_visit</f>
        <v>#VALUE!</v>
      </c>
      <c r="AF76" s="193" t="str">
        <f ca="1">A78</f>
        <v>Argelia</v>
      </c>
      <c r="AG76" s="411">
        <f t="shared" ref="AG76:AG81" si="258">IF(NOT(OR(ISBLANK(AC76),ISBLANK(AD76))),1,0)</f>
        <v>0</v>
      </c>
      <c r="AH76" s="194">
        <v>19</v>
      </c>
      <c r="AI76" s="19"/>
      <c r="AJ76" s="195" t="str">
        <f>CONCATENATE(AJ3," ",B76)</f>
        <v>Grupo J</v>
      </c>
      <c r="AK76" s="196"/>
      <c r="AL76" s="196"/>
      <c r="AM76" s="196"/>
      <c r="AN76" s="196"/>
      <c r="AO76" s="196"/>
      <c r="AP76" s="196"/>
      <c r="AQ76" s="196"/>
      <c r="AR76" s="196"/>
      <c r="AS76" s="196"/>
      <c r="AT76" s="197"/>
      <c r="AU76" s="419"/>
      <c r="AV76" s="198" t="str">
        <f t="shared" ref="AV76" ca="1" si="259">IF(AU77&gt;0,$AV$3,"")</f>
        <v/>
      </c>
      <c r="AW76" s="206"/>
      <c r="AX76" s="253"/>
      <c r="AY76" s="240"/>
      <c r="AZ76" s="241"/>
      <c r="BA76" s="173"/>
      <c r="BB76" s="730"/>
      <c r="BC76" s="730"/>
      <c r="BD76" s="730"/>
      <c r="BE76" s="730"/>
      <c r="BF76" s="730"/>
      <c r="BG76" s="730"/>
      <c r="BH76" s="730"/>
      <c r="BI76" s="730"/>
      <c r="BJ76" s="730"/>
      <c r="BK76" s="730"/>
      <c r="BL76" s="730"/>
      <c r="BM76" s="730"/>
      <c r="BN76" s="730"/>
      <c r="BO76" s="730"/>
      <c r="BP76" s="730"/>
      <c r="BQ76" s="730"/>
      <c r="BR76" s="730"/>
      <c r="BS76" s="730"/>
      <c r="BT76" s="730"/>
      <c r="BU76" s="730"/>
      <c r="BV76" s="730"/>
      <c r="BW76" s="730"/>
      <c r="BX76" s="730"/>
      <c r="BY76" s="730"/>
      <c r="BZ76" s="730"/>
      <c r="CA76" s="730"/>
      <c r="CB76" s="730"/>
      <c r="CC76" s="730"/>
      <c r="CD76" s="730"/>
      <c r="CE76" s="730"/>
      <c r="CF76" s="730"/>
      <c r="CG76" s="730"/>
      <c r="CH76" s="730"/>
      <c r="CI76" s="730"/>
      <c r="CJ76" s="730"/>
      <c r="CK76" s="730"/>
      <c r="CL76" s="730"/>
      <c r="CM76" s="730"/>
      <c r="CN76" s="730"/>
      <c r="CO76" s="730"/>
      <c r="CP76" s="730"/>
      <c r="CQ76" s="730"/>
      <c r="CR76" s="730"/>
      <c r="CS76" s="730"/>
      <c r="CT76" s="730"/>
      <c r="CU76" s="730"/>
      <c r="CV76" s="730"/>
      <c r="CW76" s="730"/>
      <c r="CX76" s="735"/>
      <c r="CY76" s="730"/>
      <c r="CZ76" s="730"/>
      <c r="DA76" s="730"/>
      <c r="DB76" s="730"/>
      <c r="DC76" s="730"/>
      <c r="DD76" s="730"/>
      <c r="DE76" s="730"/>
      <c r="DF76" s="730"/>
      <c r="DG76" s="730"/>
      <c r="DH76" s="730"/>
      <c r="DI76" s="730"/>
      <c r="DJ76" s="730"/>
      <c r="DK76" s="730"/>
      <c r="DL76" s="730"/>
      <c r="DM76" s="730"/>
      <c r="DN76" s="730"/>
      <c r="DO76" s="730"/>
      <c r="DP76" s="730"/>
      <c r="DQ76" s="730"/>
      <c r="DR76" s="730"/>
      <c r="DS76" s="730"/>
      <c r="DT76" s="730" t="str">
        <f t="shared" ca="1" si="242"/>
        <v>Argentina-Argelia</v>
      </c>
      <c r="DU76" s="730"/>
      <c r="DV76" s="730"/>
      <c r="DW76" s="8"/>
    </row>
    <row r="77" spans="1:127" ht="16.05" customHeight="1">
      <c r="A77" s="731" t="str">
        <f ca="1">+Equipos!B38</f>
        <v>Argentina</v>
      </c>
      <c r="B77" s="728"/>
      <c r="C77" s="728"/>
      <c r="D77" s="730" t="str">
        <f t="shared" si="245"/>
        <v>Pendiente</v>
      </c>
      <c r="E77" s="730" t="str">
        <f t="shared" si="246"/>
        <v>-</v>
      </c>
      <c r="F77" s="730" t="str">
        <f t="shared" si="247"/>
        <v>-</v>
      </c>
      <c r="G77" s="730"/>
      <c r="H77" s="730" t="str">
        <f t="shared" si="248"/>
        <v>-</v>
      </c>
      <c r="I77" s="730" t="str">
        <f t="shared" si="249"/>
        <v>-</v>
      </c>
      <c r="J77" s="730"/>
      <c r="K77" s="730" t="str">
        <f t="shared" si="250"/>
        <v>-</v>
      </c>
      <c r="L77" s="730" t="str">
        <f t="shared" si="251"/>
        <v>-</v>
      </c>
      <c r="M77" s="730"/>
      <c r="N77" s="730" t="str">
        <f t="shared" si="252"/>
        <v>-</v>
      </c>
      <c r="O77" s="730" t="str">
        <f t="shared" si="253"/>
        <v>-</v>
      </c>
      <c r="P77" s="730"/>
      <c r="Q77" s="730" t="str">
        <f t="shared" si="254"/>
        <v>-</v>
      </c>
      <c r="R77" s="730" t="str">
        <f t="shared" si="255"/>
        <v>-</v>
      </c>
      <c r="S77" s="730"/>
      <c r="T77" s="730" t="str">
        <f t="shared" si="256"/>
        <v>-</v>
      </c>
      <c r="U77" s="730" t="str">
        <f t="shared" si="257"/>
        <v>-</v>
      </c>
      <c r="V77" s="170"/>
      <c r="W77" s="876"/>
      <c r="X77" s="187">
        <f ca="1">Horarios!C77</f>
        <v>46190</v>
      </c>
      <c r="Y77" s="188">
        <f ca="1">Horarios!C77</f>
        <v>46190</v>
      </c>
      <c r="Z77" s="189" t="str">
        <f>$Z$4</f>
        <v>J1</v>
      </c>
      <c r="AA77" s="190" t="str">
        <f ca="1">A79</f>
        <v>Austria</v>
      </c>
      <c r="AB77" s="475" t="e" cm="1" vm="39">
        <f t="array" aca="1" ref="AB77" ca="1">Ver_flag_local</f>
        <v>#VALUE!</v>
      </c>
      <c r="AC77" s="191"/>
      <c r="AD77" s="192"/>
      <c r="AE77" s="480" t="e" cm="1" vm="40">
        <f t="array" aca="1" ref="AE77" ca="1">Ver_flag_visit</f>
        <v>#VALUE!</v>
      </c>
      <c r="AF77" s="193" t="str">
        <f ca="1">A80</f>
        <v>Jordania</v>
      </c>
      <c r="AG77" s="411">
        <f t="shared" si="258"/>
        <v>0</v>
      </c>
      <c r="AH77" s="194">
        <v>20</v>
      </c>
      <c r="AI77" s="19"/>
      <c r="AJ77" s="202" t="str">
        <f>AJ5</f>
        <v>Pos</v>
      </c>
      <c r="AK77" s="203"/>
      <c r="AL77" s="204" t="str">
        <f t="shared" ref="AL77:AT77" si="260">AL5</f>
        <v>Selección</v>
      </c>
      <c r="AM77" s="203" t="str">
        <f t="shared" si="260"/>
        <v>Pts</v>
      </c>
      <c r="AN77" s="203" t="str">
        <f t="shared" si="260"/>
        <v>J</v>
      </c>
      <c r="AO77" s="203" t="str">
        <f t="shared" si="260"/>
        <v>G</v>
      </c>
      <c r="AP77" s="203" t="str">
        <f t="shared" si="260"/>
        <v>E</v>
      </c>
      <c r="AQ77" s="203" t="str">
        <f t="shared" si="260"/>
        <v>P</v>
      </c>
      <c r="AR77" s="203" t="str">
        <f t="shared" si="260"/>
        <v>GF</v>
      </c>
      <c r="AS77" s="203" t="str">
        <f t="shared" si="260"/>
        <v>GC</v>
      </c>
      <c r="AT77" s="205" t="str">
        <f t="shared" si="260"/>
        <v>DG</v>
      </c>
      <c r="AU77" s="419">
        <f t="shared" ref="AU77" ca="1" si="261">COUNTIF(AU78:AU81,"&gt;1")</f>
        <v>0</v>
      </c>
      <c r="AV77" s="206"/>
      <c r="AW77" s="206"/>
      <c r="AX77" s="253"/>
      <c r="AY77" s="207" t="str">
        <f>AL77</f>
        <v>Selección</v>
      </c>
      <c r="AZ77" s="208" t="str">
        <f>+Idiomas!$D$69</f>
        <v>Puntos penalizados</v>
      </c>
      <c r="BA77" s="173"/>
      <c r="BB77" s="730"/>
      <c r="BC77" s="730"/>
      <c r="BD77" s="730"/>
      <c r="BE77" s="730"/>
      <c r="BF77" s="730"/>
      <c r="BG77" s="730"/>
      <c r="BH77" s="730"/>
      <c r="BI77" s="730"/>
      <c r="BJ77" s="730"/>
      <c r="BK77" s="730"/>
      <c r="BL77" s="730"/>
      <c r="BM77" s="730"/>
      <c r="BN77" s="733"/>
      <c r="BO77" s="733"/>
      <c r="BP77" s="733"/>
      <c r="BQ77" s="733"/>
      <c r="BR77" s="730"/>
      <c r="BS77" s="730"/>
      <c r="BT77" s="733"/>
      <c r="BU77" s="733"/>
      <c r="BV77" s="733"/>
      <c r="BW77" s="733"/>
      <c r="BX77" s="733"/>
      <c r="BY77" s="733"/>
      <c r="BZ77" s="733"/>
      <c r="CA77" s="733"/>
      <c r="CB77" s="733"/>
      <c r="CC77" s="733"/>
      <c r="CD77" s="733"/>
      <c r="CE77" s="733"/>
      <c r="CF77" s="733"/>
      <c r="CG77" s="733"/>
      <c r="CH77" s="733"/>
      <c r="CI77" s="733"/>
      <c r="CJ77" s="733"/>
      <c r="CK77" s="733"/>
      <c r="CL77" s="733"/>
      <c r="CM77" s="733"/>
      <c r="CN77" s="733"/>
      <c r="CO77" s="733"/>
      <c r="CP77" s="733"/>
      <c r="CQ77" s="733"/>
      <c r="CR77" s="733"/>
      <c r="CS77" s="733"/>
      <c r="CT77" s="733"/>
      <c r="CU77" s="733"/>
      <c r="CV77" s="733"/>
      <c r="CW77" s="730"/>
      <c r="CX77" s="733"/>
      <c r="CY77" s="730"/>
      <c r="CZ77" s="730"/>
      <c r="DA77" s="730"/>
      <c r="DB77" s="730"/>
      <c r="DC77" s="730"/>
      <c r="DD77" s="730"/>
      <c r="DE77" s="730"/>
      <c r="DF77" s="730"/>
      <c r="DG77" s="730"/>
      <c r="DH77" s="730"/>
      <c r="DI77" s="730"/>
      <c r="DJ77" s="730"/>
      <c r="DK77" s="730"/>
      <c r="DL77" s="730"/>
      <c r="DM77" s="730"/>
      <c r="DN77" s="730"/>
      <c r="DO77" s="730"/>
      <c r="DP77" s="730"/>
      <c r="DQ77" s="730"/>
      <c r="DR77" s="730"/>
      <c r="DS77" s="730"/>
      <c r="DT77" s="730" t="str">
        <f t="shared" ca="1" si="242"/>
        <v>Austria-Jordania</v>
      </c>
      <c r="DU77" s="730"/>
      <c r="DV77" s="730"/>
      <c r="DW77" s="8"/>
    </row>
    <row r="78" spans="1:127" ht="16.05" customHeight="1">
      <c r="A78" s="731" t="str">
        <f ca="1">+Equipos!B39</f>
        <v>Argelia</v>
      </c>
      <c r="B78" s="728"/>
      <c r="C78" s="732"/>
      <c r="D78" s="730" t="str">
        <f t="shared" si="245"/>
        <v>Pendiente</v>
      </c>
      <c r="E78" s="730" t="str">
        <f t="shared" si="246"/>
        <v>-</v>
      </c>
      <c r="F78" s="730" t="str">
        <f t="shared" si="247"/>
        <v>-</v>
      </c>
      <c r="G78" s="730"/>
      <c r="H78" s="730" t="str">
        <f t="shared" si="248"/>
        <v>-</v>
      </c>
      <c r="I78" s="730" t="str">
        <f t="shared" si="249"/>
        <v>-</v>
      </c>
      <c r="J78" s="730"/>
      <c r="K78" s="730" t="str">
        <f t="shared" si="250"/>
        <v>-</v>
      </c>
      <c r="L78" s="730" t="str">
        <f t="shared" si="251"/>
        <v>-</v>
      </c>
      <c r="M78" s="730"/>
      <c r="N78" s="730" t="str">
        <f t="shared" si="252"/>
        <v>-</v>
      </c>
      <c r="O78" s="730" t="str">
        <f t="shared" si="253"/>
        <v>-</v>
      </c>
      <c r="P78" s="730"/>
      <c r="Q78" s="730" t="str">
        <f t="shared" si="254"/>
        <v>-</v>
      </c>
      <c r="R78" s="730" t="str">
        <f t="shared" si="255"/>
        <v>-</v>
      </c>
      <c r="S78" s="730"/>
      <c r="T78" s="730" t="str">
        <f t="shared" si="256"/>
        <v>-</v>
      </c>
      <c r="U78" s="730" t="str">
        <f t="shared" si="257"/>
        <v>-</v>
      </c>
      <c r="V78" s="170"/>
      <c r="W78" s="876"/>
      <c r="X78" s="187">
        <f ca="1">Horarios!C78</f>
        <v>46195.541666666664</v>
      </c>
      <c r="Y78" s="188">
        <f ca="1">Horarios!C78</f>
        <v>46195.541666666664</v>
      </c>
      <c r="Z78" s="189" t="str">
        <f>$Z$6</f>
        <v>J2</v>
      </c>
      <c r="AA78" s="190" t="str">
        <f ca="1">A77</f>
        <v>Argentina</v>
      </c>
      <c r="AB78" s="475" t="e" cm="1" vm="37">
        <f t="array" aca="1" ref="AB78" ca="1">Ver_flag_local</f>
        <v>#VALUE!</v>
      </c>
      <c r="AC78" s="191"/>
      <c r="AD78" s="192"/>
      <c r="AE78" s="480" t="e" cm="1" vm="39">
        <f t="array" aca="1" ref="AE78" ca="1">Ver_flag_visit</f>
        <v>#VALUE!</v>
      </c>
      <c r="AF78" s="193" t="str">
        <f ca="1">A79</f>
        <v>Austria</v>
      </c>
      <c r="AG78" s="411">
        <f t="shared" si="258"/>
        <v>0</v>
      </c>
      <c r="AH78" s="194">
        <v>43</v>
      </c>
      <c r="AI78" s="19" t="str">
        <f>AJ78&amp;$B$76</f>
        <v>1J</v>
      </c>
      <c r="AJ78" s="209">
        <v>1</v>
      </c>
      <c r="AK78" s="485" t="e" cm="1" vm="37">
        <f t="array" aca="1" ref="AK78" ca="1">Ver_flag_visit</f>
        <v>#VALUE!</v>
      </c>
      <c r="AL78" s="210" t="str">
        <f ca="1">IFERROR(INDEX($BD$6:$BD$53,MATCH(AI78,$BN$6:$BN$53,0)),"")</f>
        <v>Argentina</v>
      </c>
      <c r="AM78" s="211">
        <f t="shared" ref="AM78:AT81" ca="1" si="262">INDEX($BE$6:$BN$53,MATCH($AL78,$BD$6:$BD$53,0),MATCH(AM$5,$BE$5:$BN$5,0))</f>
        <v>0</v>
      </c>
      <c r="AN78" s="212">
        <f t="shared" ca="1" si="262"/>
        <v>0</v>
      </c>
      <c r="AO78" s="212">
        <f t="shared" ca="1" si="262"/>
        <v>0</v>
      </c>
      <c r="AP78" s="212">
        <f t="shared" ca="1" si="262"/>
        <v>0</v>
      </c>
      <c r="AQ78" s="212">
        <f t="shared" ca="1" si="262"/>
        <v>0</v>
      </c>
      <c r="AR78" s="212">
        <f t="shared" ca="1" si="262"/>
        <v>0</v>
      </c>
      <c r="AS78" s="212">
        <f t="shared" ca="1" si="262"/>
        <v>0</v>
      </c>
      <c r="AT78" s="213">
        <f t="shared" ca="1" si="262"/>
        <v>0</v>
      </c>
      <c r="AU78" s="418">
        <f ca="1">INDEX($DL$6:$DL$53,MATCH(AI78,$DP$6:$DP$53,0))</f>
        <v>1</v>
      </c>
      <c r="AV78" s="215" t="str">
        <f ca="1">INDEX($BD$6:$BD$53,MATCH(AI78,$BM$6:$BM$53,0))</f>
        <v>Argentina</v>
      </c>
      <c r="AW78" s="425"/>
      <c r="AX78" s="216"/>
      <c r="AY78" s="217" t="str">
        <f ca="1">+A77</f>
        <v>Argentina</v>
      </c>
      <c r="AZ78" s="218"/>
      <c r="BA78" s="173"/>
      <c r="BB78" s="730"/>
      <c r="BC78" s="730"/>
      <c r="BD78" s="730"/>
      <c r="BE78" s="730"/>
      <c r="BF78" s="730"/>
      <c r="BG78" s="730"/>
      <c r="BH78" s="730"/>
      <c r="BI78" s="730"/>
      <c r="BJ78" s="730"/>
      <c r="BK78" s="730"/>
      <c r="BL78" s="730"/>
      <c r="BM78" s="730"/>
      <c r="BN78" s="735"/>
      <c r="BO78" s="735"/>
      <c r="BP78" s="735"/>
      <c r="BQ78" s="735"/>
      <c r="BR78" s="730"/>
      <c r="BS78" s="730"/>
      <c r="BT78" s="735"/>
      <c r="BU78" s="735"/>
      <c r="BV78" s="735"/>
      <c r="BW78" s="735"/>
      <c r="BX78" s="735"/>
      <c r="BY78" s="735"/>
      <c r="BZ78" s="735"/>
      <c r="CA78" s="735"/>
      <c r="CB78" s="735"/>
      <c r="CC78" s="735"/>
      <c r="CD78" s="735"/>
      <c r="CE78" s="735"/>
      <c r="CF78" s="735"/>
      <c r="CG78" s="735"/>
      <c r="CH78" s="735"/>
      <c r="CI78" s="735"/>
      <c r="CJ78" s="735"/>
      <c r="CK78" s="735"/>
      <c r="CL78" s="735"/>
      <c r="CM78" s="735"/>
      <c r="CN78" s="735"/>
      <c r="CO78" s="735"/>
      <c r="CP78" s="735"/>
      <c r="CQ78" s="735"/>
      <c r="CR78" s="735"/>
      <c r="CS78" s="735"/>
      <c r="CT78" s="735"/>
      <c r="CU78" s="735"/>
      <c r="CV78" s="735"/>
      <c r="CW78" s="730"/>
      <c r="CX78" s="735"/>
      <c r="CY78" s="730"/>
      <c r="CZ78" s="730"/>
      <c r="DA78" s="730"/>
      <c r="DB78" s="730"/>
      <c r="DC78" s="730"/>
      <c r="DD78" s="730"/>
      <c r="DE78" s="730"/>
      <c r="DF78" s="730"/>
      <c r="DG78" s="730"/>
      <c r="DH78" s="730"/>
      <c r="DI78" s="730"/>
      <c r="DJ78" s="730"/>
      <c r="DK78" s="730"/>
      <c r="DL78" s="730"/>
      <c r="DM78" s="730"/>
      <c r="DN78" s="730"/>
      <c r="DO78" s="730"/>
      <c r="DP78" s="730"/>
      <c r="DQ78" s="730"/>
      <c r="DR78" s="730"/>
      <c r="DS78" s="730"/>
      <c r="DT78" s="730" t="str">
        <f t="shared" ca="1" si="242"/>
        <v>Argentina-Austria</v>
      </c>
      <c r="DU78" s="730"/>
      <c r="DV78" s="730"/>
      <c r="DW78" s="8"/>
    </row>
    <row r="79" spans="1:127" ht="16.05" customHeight="1">
      <c r="A79" s="731" t="str">
        <f ca="1">+Equipos!B40</f>
        <v>Austria</v>
      </c>
      <c r="B79" s="728"/>
      <c r="C79" s="730"/>
      <c r="D79" s="730" t="str">
        <f t="shared" si="245"/>
        <v>Pendiente</v>
      </c>
      <c r="E79" s="730" t="str">
        <f t="shared" si="246"/>
        <v>-</v>
      </c>
      <c r="F79" s="730" t="str">
        <f t="shared" si="247"/>
        <v>-</v>
      </c>
      <c r="G79" s="730"/>
      <c r="H79" s="730" t="str">
        <f t="shared" si="248"/>
        <v>-</v>
      </c>
      <c r="I79" s="730" t="str">
        <f t="shared" si="249"/>
        <v>-</v>
      </c>
      <c r="J79" s="730"/>
      <c r="K79" s="730" t="str">
        <f t="shared" si="250"/>
        <v>-</v>
      </c>
      <c r="L79" s="730" t="str">
        <f t="shared" si="251"/>
        <v>-</v>
      </c>
      <c r="M79" s="730"/>
      <c r="N79" s="730" t="str">
        <f t="shared" si="252"/>
        <v>-</v>
      </c>
      <c r="O79" s="730" t="str">
        <f t="shared" si="253"/>
        <v>-</v>
      </c>
      <c r="P79" s="730"/>
      <c r="Q79" s="730" t="str">
        <f t="shared" si="254"/>
        <v>-</v>
      </c>
      <c r="R79" s="730" t="str">
        <f t="shared" si="255"/>
        <v>-</v>
      </c>
      <c r="S79" s="730"/>
      <c r="T79" s="730" t="str">
        <f t="shared" si="256"/>
        <v>-</v>
      </c>
      <c r="U79" s="730" t="str">
        <f t="shared" si="257"/>
        <v>-</v>
      </c>
      <c r="V79" s="170"/>
      <c r="W79" s="876"/>
      <c r="X79" s="187">
        <f ca="1">Horarios!C79</f>
        <v>46195.958333333336</v>
      </c>
      <c r="Y79" s="188">
        <f ca="1">Horarios!C79</f>
        <v>46195.958333333336</v>
      </c>
      <c r="Z79" s="189" t="str">
        <f>$Z$6</f>
        <v>J2</v>
      </c>
      <c r="AA79" s="190" t="str">
        <f ca="1">A80</f>
        <v>Jordania</v>
      </c>
      <c r="AB79" s="475" t="e" cm="1" vm="40">
        <f t="array" aca="1" ref="AB79" ca="1">Ver_flag_local</f>
        <v>#VALUE!</v>
      </c>
      <c r="AC79" s="191"/>
      <c r="AD79" s="192"/>
      <c r="AE79" s="480" t="e" cm="1" vm="38">
        <f t="array" aca="1" ref="AE79" ca="1">Ver_flag_visit</f>
        <v>#VALUE!</v>
      </c>
      <c r="AF79" s="193" t="str">
        <f ca="1">A78</f>
        <v>Argelia</v>
      </c>
      <c r="AG79" s="411">
        <f t="shared" si="258"/>
        <v>0</v>
      </c>
      <c r="AH79" s="194">
        <v>44</v>
      </c>
      <c r="AI79" s="19" t="str">
        <f t="shared" ref="AI79:AI81" si="263">AJ79&amp;$B$76</f>
        <v>2J</v>
      </c>
      <c r="AJ79" s="219">
        <v>2</v>
      </c>
      <c r="AK79" s="483" t="e" cm="1" vm="38">
        <f t="array" aca="1" ref="AK79" ca="1">Ver_flag_visit</f>
        <v>#VALUE!</v>
      </c>
      <c r="AL79" s="220" t="str">
        <f ca="1">IFERROR(INDEX($BD$6:$BD$53,MATCH(AI79,$BN$6:$BN$53,0)),"")</f>
        <v>Argelia</v>
      </c>
      <c r="AM79" s="221">
        <f t="shared" ca="1" si="262"/>
        <v>0</v>
      </c>
      <c r="AN79" s="222">
        <f t="shared" ca="1" si="262"/>
        <v>0</v>
      </c>
      <c r="AO79" s="222">
        <f t="shared" ca="1" si="262"/>
        <v>0</v>
      </c>
      <c r="AP79" s="222">
        <f t="shared" ca="1" si="262"/>
        <v>0</v>
      </c>
      <c r="AQ79" s="222">
        <f t="shared" ca="1" si="262"/>
        <v>0</v>
      </c>
      <c r="AR79" s="222">
        <f t="shared" ca="1" si="262"/>
        <v>0</v>
      </c>
      <c r="AS79" s="222">
        <f t="shared" ca="1" si="262"/>
        <v>0</v>
      </c>
      <c r="AT79" s="223">
        <f t="shared" ca="1" si="262"/>
        <v>0</v>
      </c>
      <c r="AU79" s="418">
        <f ca="1">INDEX($DL$6:$DL$53,MATCH(AI79,$DP$6:$DP$53,0))</f>
        <v>1</v>
      </c>
      <c r="AV79" s="215" t="str">
        <f ca="1">INDEX($BD$6:$BD$53,MATCH(AI79,$BM$6:$BM$53,0))</f>
        <v>Argelia</v>
      </c>
      <c r="AW79" s="425"/>
      <c r="AX79" s="216"/>
      <c r="AY79" s="224" t="str">
        <f ca="1">+A78</f>
        <v>Argelia</v>
      </c>
      <c r="AZ79" s="225"/>
      <c r="BA79" s="173"/>
      <c r="BB79" s="730"/>
      <c r="BC79" s="730"/>
      <c r="BD79" s="730"/>
      <c r="BE79" s="730"/>
      <c r="BF79" s="730"/>
      <c r="BG79" s="730"/>
      <c r="BH79" s="730"/>
      <c r="BI79" s="730"/>
      <c r="BJ79" s="730"/>
      <c r="BK79" s="730"/>
      <c r="BL79" s="730"/>
      <c r="BM79" s="730"/>
      <c r="BN79" s="735"/>
      <c r="BO79" s="735"/>
      <c r="BP79" s="735"/>
      <c r="BQ79" s="735"/>
      <c r="BR79" s="730"/>
      <c r="BS79" s="730"/>
      <c r="BT79" s="735"/>
      <c r="BU79" s="735"/>
      <c r="BV79" s="735"/>
      <c r="BW79" s="735"/>
      <c r="BX79" s="735"/>
      <c r="BY79" s="735"/>
      <c r="BZ79" s="735"/>
      <c r="CA79" s="735"/>
      <c r="CB79" s="735"/>
      <c r="CC79" s="735"/>
      <c r="CD79" s="735"/>
      <c r="CE79" s="735"/>
      <c r="CF79" s="735"/>
      <c r="CG79" s="735"/>
      <c r="CH79" s="735"/>
      <c r="CI79" s="735"/>
      <c r="CJ79" s="735"/>
      <c r="CK79" s="735"/>
      <c r="CL79" s="735"/>
      <c r="CM79" s="735"/>
      <c r="CN79" s="735"/>
      <c r="CO79" s="735"/>
      <c r="CP79" s="735"/>
      <c r="CQ79" s="735"/>
      <c r="CR79" s="735"/>
      <c r="CS79" s="735"/>
      <c r="CT79" s="735"/>
      <c r="CU79" s="735"/>
      <c r="CV79" s="735"/>
      <c r="CW79" s="730"/>
      <c r="CX79" s="735"/>
      <c r="CY79" s="730"/>
      <c r="CZ79" s="730"/>
      <c r="DA79" s="730"/>
      <c r="DB79" s="730"/>
      <c r="DC79" s="730"/>
      <c r="DD79" s="730"/>
      <c r="DE79" s="730"/>
      <c r="DF79" s="730"/>
      <c r="DG79" s="730"/>
      <c r="DH79" s="730"/>
      <c r="DI79" s="730"/>
      <c r="DJ79" s="730"/>
      <c r="DK79" s="730"/>
      <c r="DL79" s="730"/>
      <c r="DM79" s="730"/>
      <c r="DN79" s="730"/>
      <c r="DO79" s="730"/>
      <c r="DP79" s="730"/>
      <c r="DQ79" s="730"/>
      <c r="DR79" s="730"/>
      <c r="DS79" s="730"/>
      <c r="DT79" s="730" t="str">
        <f t="shared" ca="1" si="242"/>
        <v>Jordania-Argelia</v>
      </c>
      <c r="DU79" s="730"/>
      <c r="DV79" s="730"/>
      <c r="DW79" s="8"/>
    </row>
    <row r="80" spans="1:127" ht="16.05" customHeight="1">
      <c r="A80" s="731" t="str">
        <f ca="1">+Equipos!B41</f>
        <v>Jordania</v>
      </c>
      <c r="B80" s="728"/>
      <c r="C80" s="730"/>
      <c r="D80" s="730" t="str">
        <f t="shared" si="245"/>
        <v>Pendiente</v>
      </c>
      <c r="E80" s="730" t="str">
        <f t="shared" si="246"/>
        <v>-</v>
      </c>
      <c r="F80" s="730" t="str">
        <f t="shared" si="247"/>
        <v>-</v>
      </c>
      <c r="G80" s="730"/>
      <c r="H80" s="730" t="str">
        <f t="shared" si="248"/>
        <v>-</v>
      </c>
      <c r="I80" s="730" t="str">
        <f t="shared" si="249"/>
        <v>-</v>
      </c>
      <c r="J80" s="730"/>
      <c r="K80" s="730" t="str">
        <f t="shared" si="250"/>
        <v>-</v>
      </c>
      <c r="L80" s="730" t="str">
        <f t="shared" si="251"/>
        <v>-</v>
      </c>
      <c r="M80" s="730"/>
      <c r="N80" s="730" t="str">
        <f t="shared" si="252"/>
        <v>-</v>
      </c>
      <c r="O80" s="730" t="str">
        <f t="shared" si="253"/>
        <v>-</v>
      </c>
      <c r="P80" s="730"/>
      <c r="Q80" s="730" t="str">
        <f t="shared" si="254"/>
        <v>-</v>
      </c>
      <c r="R80" s="730" t="str">
        <f t="shared" si="255"/>
        <v>-</v>
      </c>
      <c r="S80" s="730"/>
      <c r="T80" s="730" t="str">
        <f t="shared" si="256"/>
        <v>-</v>
      </c>
      <c r="U80" s="730" t="str">
        <f t="shared" si="257"/>
        <v>-</v>
      </c>
      <c r="V80" s="170"/>
      <c r="W80" s="876"/>
      <c r="X80" s="187">
        <f ca="1">Horarios!C80</f>
        <v>46200.916666666664</v>
      </c>
      <c r="Y80" s="188">
        <f ca="1">Horarios!C80</f>
        <v>46200.916666666664</v>
      </c>
      <c r="Z80" s="189" t="str">
        <f>$Z$8</f>
        <v>J3</v>
      </c>
      <c r="AA80" s="190" t="str">
        <f ca="1">A78</f>
        <v>Argelia</v>
      </c>
      <c r="AB80" s="475" t="e" cm="1" vm="38">
        <f t="array" aca="1" ref="AB80" ca="1">Ver_flag_local</f>
        <v>#VALUE!</v>
      </c>
      <c r="AC80" s="191"/>
      <c r="AD80" s="192"/>
      <c r="AE80" s="480" t="e" cm="1" vm="39">
        <f t="array" aca="1" ref="AE80" ca="1">Ver_flag_visit</f>
        <v>#VALUE!</v>
      </c>
      <c r="AF80" s="193" t="str">
        <f ca="1">A79</f>
        <v>Austria</v>
      </c>
      <c r="AG80" s="411">
        <f t="shared" si="258"/>
        <v>0</v>
      </c>
      <c r="AH80" s="194">
        <v>69</v>
      </c>
      <c r="AI80" s="19" t="str">
        <f t="shared" si="263"/>
        <v>3J</v>
      </c>
      <c r="AJ80" s="219">
        <v>3</v>
      </c>
      <c r="AK80" s="483" t="e" cm="1" vm="39">
        <f t="array" aca="1" ref="AK80" ca="1">Ver_flag_visit</f>
        <v>#VALUE!</v>
      </c>
      <c r="AL80" s="220" t="str">
        <f ca="1">IFERROR(INDEX($BD$6:$BD$53,MATCH(AI80,$BN$6:$BN$53,0)),"")</f>
        <v>Austria</v>
      </c>
      <c r="AM80" s="221">
        <f t="shared" ca="1" si="262"/>
        <v>0</v>
      </c>
      <c r="AN80" s="222">
        <f t="shared" ca="1" si="262"/>
        <v>0</v>
      </c>
      <c r="AO80" s="222">
        <f t="shared" ca="1" si="262"/>
        <v>0</v>
      </c>
      <c r="AP80" s="222">
        <f t="shared" ca="1" si="262"/>
        <v>0</v>
      </c>
      <c r="AQ80" s="222">
        <f t="shared" ca="1" si="262"/>
        <v>0</v>
      </c>
      <c r="AR80" s="222">
        <f t="shared" ca="1" si="262"/>
        <v>0</v>
      </c>
      <c r="AS80" s="222">
        <f t="shared" ca="1" si="262"/>
        <v>0</v>
      </c>
      <c r="AT80" s="223">
        <f t="shared" ca="1" si="262"/>
        <v>0</v>
      </c>
      <c r="AU80" s="418">
        <f ca="1">INDEX($DL$6:$DL$53,MATCH(AI80,$DP$6:$DP$53,0))</f>
        <v>1</v>
      </c>
      <c r="AV80" s="215" t="str">
        <f ca="1">INDEX($BD$6:$BD$53,MATCH(AI80,$BM$6:$BM$53,0))</f>
        <v>Austria</v>
      </c>
      <c r="AW80" s="425"/>
      <c r="AX80" s="216"/>
      <c r="AY80" s="217" t="str">
        <f ca="1">+A79</f>
        <v>Austria</v>
      </c>
      <c r="AZ80" s="218"/>
      <c r="BA80" s="173"/>
      <c r="BB80" s="730"/>
      <c r="BC80" s="730"/>
      <c r="BD80" s="730"/>
      <c r="BE80" s="730"/>
      <c r="BF80" s="730"/>
      <c r="BG80" s="730"/>
      <c r="BH80" s="730"/>
      <c r="BI80" s="730"/>
      <c r="BJ80" s="730"/>
      <c r="BK80" s="730"/>
      <c r="BL80" s="730"/>
      <c r="BM80" s="730"/>
      <c r="BN80" s="735"/>
      <c r="BO80" s="735"/>
      <c r="BP80" s="735"/>
      <c r="BQ80" s="735"/>
      <c r="BR80" s="730"/>
      <c r="BS80" s="730"/>
      <c r="BT80" s="735"/>
      <c r="BU80" s="735"/>
      <c r="BV80" s="735"/>
      <c r="BW80" s="735"/>
      <c r="BX80" s="735"/>
      <c r="BY80" s="735"/>
      <c r="BZ80" s="735"/>
      <c r="CA80" s="735"/>
      <c r="CB80" s="735"/>
      <c r="CC80" s="735"/>
      <c r="CD80" s="735"/>
      <c r="CE80" s="735"/>
      <c r="CF80" s="735"/>
      <c r="CG80" s="735"/>
      <c r="CH80" s="735"/>
      <c r="CI80" s="735"/>
      <c r="CJ80" s="735"/>
      <c r="CK80" s="735"/>
      <c r="CL80" s="735"/>
      <c r="CM80" s="735"/>
      <c r="CN80" s="735"/>
      <c r="CO80" s="735"/>
      <c r="CP80" s="735"/>
      <c r="CQ80" s="735"/>
      <c r="CR80" s="735"/>
      <c r="CS80" s="735"/>
      <c r="CT80" s="735"/>
      <c r="CU80" s="735"/>
      <c r="CV80" s="735"/>
      <c r="CW80" s="730"/>
      <c r="CX80" s="735"/>
      <c r="CY80" s="730"/>
      <c r="CZ80" s="730"/>
      <c r="DA80" s="730"/>
      <c r="DB80" s="730"/>
      <c r="DC80" s="730"/>
      <c r="DD80" s="730"/>
      <c r="DE80" s="730"/>
      <c r="DF80" s="730"/>
      <c r="DG80" s="730"/>
      <c r="DH80" s="730"/>
      <c r="DI80" s="730"/>
      <c r="DJ80" s="730"/>
      <c r="DK80" s="730"/>
      <c r="DL80" s="730"/>
      <c r="DM80" s="730"/>
      <c r="DN80" s="730"/>
      <c r="DO80" s="730"/>
      <c r="DP80" s="730"/>
      <c r="DQ80" s="730"/>
      <c r="DR80" s="730"/>
      <c r="DS80" s="730"/>
      <c r="DT80" s="730" t="str">
        <f t="shared" ca="1" si="242"/>
        <v>Argelia-Austria</v>
      </c>
      <c r="DU80" s="730"/>
      <c r="DV80" s="730"/>
      <c r="DW80" s="8"/>
    </row>
    <row r="81" spans="1:127" ht="16.95" customHeight="1" thickBot="1">
      <c r="A81" s="725"/>
      <c r="B81" s="725"/>
      <c r="C81" s="725"/>
      <c r="D81" s="730" t="str">
        <f t="shared" si="245"/>
        <v>Pendiente</v>
      </c>
      <c r="E81" s="730" t="str">
        <f t="shared" si="246"/>
        <v>-</v>
      </c>
      <c r="F81" s="730" t="str">
        <f t="shared" si="247"/>
        <v>-</v>
      </c>
      <c r="G81" s="730"/>
      <c r="H81" s="730" t="str">
        <f t="shared" si="248"/>
        <v>-</v>
      </c>
      <c r="I81" s="730" t="str">
        <f t="shared" si="249"/>
        <v>-</v>
      </c>
      <c r="J81" s="730"/>
      <c r="K81" s="730" t="str">
        <f t="shared" si="250"/>
        <v>-</v>
      </c>
      <c r="L81" s="730" t="str">
        <f t="shared" si="251"/>
        <v>-</v>
      </c>
      <c r="M81" s="730"/>
      <c r="N81" s="730" t="str">
        <f t="shared" si="252"/>
        <v>-</v>
      </c>
      <c r="O81" s="730" t="str">
        <f t="shared" si="253"/>
        <v>-</v>
      </c>
      <c r="P81" s="730"/>
      <c r="Q81" s="730" t="str">
        <f t="shared" si="254"/>
        <v>-</v>
      </c>
      <c r="R81" s="730" t="str">
        <f t="shared" si="255"/>
        <v>-</v>
      </c>
      <c r="S81" s="730"/>
      <c r="T81" s="730" t="str">
        <f t="shared" si="256"/>
        <v>-</v>
      </c>
      <c r="U81" s="730" t="str">
        <f t="shared" si="257"/>
        <v>-</v>
      </c>
      <c r="V81" s="170"/>
      <c r="W81" s="877"/>
      <c r="X81" s="226">
        <f ca="1">Horarios!C81</f>
        <v>46200.916666666664</v>
      </c>
      <c r="Y81" s="227">
        <f ca="1">Horarios!C81</f>
        <v>46200.916666666664</v>
      </c>
      <c r="Z81" s="228" t="str">
        <f>$Z$8</f>
        <v>J3</v>
      </c>
      <c r="AA81" s="229" t="str">
        <f ca="1">A80</f>
        <v>Jordania</v>
      </c>
      <c r="AB81" s="476" t="e" cm="1" vm="40">
        <f t="array" aca="1" ref="AB81" ca="1">Ver_flag_local</f>
        <v>#VALUE!</v>
      </c>
      <c r="AC81" s="230"/>
      <c r="AD81" s="231"/>
      <c r="AE81" s="481" t="e" cm="1" vm="37">
        <f t="array" aca="1" ref="AE81" ca="1">Ver_flag_visit</f>
        <v>#VALUE!</v>
      </c>
      <c r="AF81" s="232" t="str">
        <f ca="1">A77</f>
        <v>Argentina</v>
      </c>
      <c r="AG81" s="411">
        <f t="shared" si="258"/>
        <v>0</v>
      </c>
      <c r="AH81" s="194">
        <v>70</v>
      </c>
      <c r="AI81" s="19" t="str">
        <f t="shared" si="263"/>
        <v>4J</v>
      </c>
      <c r="AJ81" s="233">
        <v>4</v>
      </c>
      <c r="AK81" s="484" t="e" cm="1" vm="40">
        <f t="array" aca="1" ref="AK81" ca="1">Ver_flag_visit</f>
        <v>#VALUE!</v>
      </c>
      <c r="AL81" s="234" t="str">
        <f ca="1">IFERROR(INDEX($BD$6:$BD$53,MATCH(AI81,$BN$6:$BN$53,0)),"")</f>
        <v>Jordania</v>
      </c>
      <c r="AM81" s="235">
        <f t="shared" ca="1" si="262"/>
        <v>0</v>
      </c>
      <c r="AN81" s="236">
        <f t="shared" ca="1" si="262"/>
        <v>0</v>
      </c>
      <c r="AO81" s="236">
        <f t="shared" ca="1" si="262"/>
        <v>0</v>
      </c>
      <c r="AP81" s="236">
        <f t="shared" ca="1" si="262"/>
        <v>0</v>
      </c>
      <c r="AQ81" s="236">
        <f t="shared" ca="1" si="262"/>
        <v>0</v>
      </c>
      <c r="AR81" s="236">
        <f t="shared" ca="1" si="262"/>
        <v>0</v>
      </c>
      <c r="AS81" s="236">
        <f t="shared" ca="1" si="262"/>
        <v>0</v>
      </c>
      <c r="AT81" s="237">
        <f t="shared" ca="1" si="262"/>
        <v>0</v>
      </c>
      <c r="AU81" s="418">
        <f ca="1">INDEX($DL$6:$DL$53,MATCH(AI81,$DP$6:$DP$53,0))</f>
        <v>1</v>
      </c>
      <c r="AV81" s="215" t="str">
        <f ca="1">INDEX($BD$6:$BD$53,MATCH(AI81,$BM$6:$BM$53,0))</f>
        <v>Jordania</v>
      </c>
      <c r="AW81" s="425"/>
      <c r="AX81" s="216"/>
      <c r="AY81" s="238" t="str">
        <f ca="1">+A80</f>
        <v>Jordania</v>
      </c>
      <c r="AZ81" s="239"/>
      <c r="BA81" s="173"/>
      <c r="BB81" s="730"/>
      <c r="BC81" s="730"/>
      <c r="BD81" s="730"/>
      <c r="BE81" s="730"/>
      <c r="BF81" s="730"/>
      <c r="BG81" s="730"/>
      <c r="BH81" s="730"/>
      <c r="BI81" s="730"/>
      <c r="BJ81" s="730"/>
      <c r="BK81" s="730"/>
      <c r="BL81" s="730"/>
      <c r="BM81" s="730"/>
      <c r="BN81" s="735"/>
      <c r="BO81" s="735"/>
      <c r="BP81" s="735"/>
      <c r="BQ81" s="735"/>
      <c r="BR81" s="730"/>
      <c r="BS81" s="730"/>
      <c r="BT81" s="735"/>
      <c r="BU81" s="735"/>
      <c r="BV81" s="735"/>
      <c r="BW81" s="735"/>
      <c r="BX81" s="735"/>
      <c r="BY81" s="735"/>
      <c r="BZ81" s="735"/>
      <c r="CA81" s="735"/>
      <c r="CB81" s="735"/>
      <c r="CC81" s="735"/>
      <c r="CD81" s="735"/>
      <c r="CE81" s="735"/>
      <c r="CF81" s="735"/>
      <c r="CG81" s="735"/>
      <c r="CH81" s="735"/>
      <c r="CI81" s="735"/>
      <c r="CJ81" s="735"/>
      <c r="CK81" s="735"/>
      <c r="CL81" s="735"/>
      <c r="CM81" s="735"/>
      <c r="CN81" s="735"/>
      <c r="CO81" s="735"/>
      <c r="CP81" s="735"/>
      <c r="CQ81" s="735"/>
      <c r="CR81" s="735"/>
      <c r="CS81" s="735"/>
      <c r="CT81" s="735"/>
      <c r="CU81" s="735"/>
      <c r="CV81" s="735"/>
      <c r="CW81" s="730"/>
      <c r="CX81" s="735"/>
      <c r="CY81" s="730"/>
      <c r="CZ81" s="730"/>
      <c r="DA81" s="730"/>
      <c r="DB81" s="730"/>
      <c r="DC81" s="730"/>
      <c r="DD81" s="730"/>
      <c r="DE81" s="730"/>
      <c r="DF81" s="730"/>
      <c r="DG81" s="730"/>
      <c r="DH81" s="730"/>
      <c r="DI81" s="730"/>
      <c r="DJ81" s="730"/>
      <c r="DK81" s="730"/>
      <c r="DL81" s="730"/>
      <c r="DM81" s="730"/>
      <c r="DN81" s="730"/>
      <c r="DO81" s="730"/>
      <c r="DP81" s="730"/>
      <c r="DQ81" s="730"/>
      <c r="DR81" s="730"/>
      <c r="DS81" s="730"/>
      <c r="DT81" s="730" t="str">
        <f t="shared" ca="1" si="242"/>
        <v>Jordania-Argentina</v>
      </c>
      <c r="DU81" s="730"/>
      <c r="DV81" s="730"/>
      <c r="DW81" s="8"/>
    </row>
    <row r="82" spans="1:127" ht="15" thickBot="1">
      <c r="A82" s="725"/>
      <c r="B82" s="725"/>
      <c r="C82" s="725"/>
      <c r="D82" s="730"/>
      <c r="E82" s="730"/>
      <c r="F82" s="730"/>
      <c r="G82" s="730"/>
      <c r="H82" s="730"/>
      <c r="I82" s="730"/>
      <c r="J82" s="730"/>
      <c r="K82" s="730"/>
      <c r="L82" s="730"/>
      <c r="M82" s="730"/>
      <c r="N82" s="730"/>
      <c r="O82" s="730"/>
      <c r="P82" s="730"/>
      <c r="Q82" s="730"/>
      <c r="R82" s="730"/>
      <c r="S82" s="730"/>
      <c r="T82" s="730"/>
      <c r="U82" s="730"/>
      <c r="V82" s="170"/>
      <c r="W82" s="240"/>
      <c r="X82" s="241"/>
      <c r="Y82" s="240"/>
      <c r="Z82" s="242"/>
      <c r="AA82" s="243"/>
      <c r="AB82" s="479"/>
      <c r="AC82" s="245"/>
      <c r="AD82" s="245"/>
      <c r="AE82" s="479"/>
      <c r="AF82" s="246"/>
      <c r="AG82" s="413"/>
      <c r="AH82" s="194"/>
      <c r="AI82" s="169"/>
      <c r="AJ82" s="247"/>
      <c r="AK82" s="248"/>
      <c r="AL82" s="184"/>
      <c r="AM82" s="249"/>
      <c r="AN82" s="247"/>
      <c r="AO82" s="247"/>
      <c r="AP82" s="247"/>
      <c r="AQ82" s="247"/>
      <c r="AR82" s="247"/>
      <c r="AS82" s="247"/>
      <c r="AT82" s="247"/>
      <c r="AU82" s="418"/>
      <c r="AV82" s="214"/>
      <c r="AW82" s="426"/>
      <c r="AX82" s="216"/>
      <c r="AY82" s="240"/>
      <c r="AZ82" s="241"/>
      <c r="BA82" s="173"/>
      <c r="BB82" s="730"/>
      <c r="BC82" s="730"/>
      <c r="BD82" s="730"/>
      <c r="BE82" s="730"/>
      <c r="BF82" s="730"/>
      <c r="BG82" s="730"/>
      <c r="BH82" s="730"/>
      <c r="BI82" s="730"/>
      <c r="BJ82" s="730"/>
      <c r="BK82" s="730"/>
      <c r="BL82" s="730"/>
      <c r="BM82" s="730"/>
      <c r="BN82" s="735"/>
      <c r="BO82" s="735"/>
      <c r="BP82" s="735"/>
      <c r="BQ82" s="735"/>
      <c r="BR82" s="730"/>
      <c r="BS82" s="730"/>
      <c r="BT82" s="735"/>
      <c r="BU82" s="735"/>
      <c r="BV82" s="735"/>
      <c r="BW82" s="735"/>
      <c r="BX82" s="735"/>
      <c r="BY82" s="735"/>
      <c r="BZ82" s="735"/>
      <c r="CA82" s="735"/>
      <c r="CB82" s="735"/>
      <c r="CC82" s="735"/>
      <c r="CD82" s="735"/>
      <c r="CE82" s="735"/>
      <c r="CF82" s="735"/>
      <c r="CG82" s="735"/>
      <c r="CH82" s="735"/>
      <c r="CI82" s="735"/>
      <c r="CJ82" s="735"/>
      <c r="CK82" s="735"/>
      <c r="CL82" s="735"/>
      <c r="CM82" s="735"/>
      <c r="CN82" s="735"/>
      <c r="CO82" s="735"/>
      <c r="CP82" s="735"/>
      <c r="CQ82" s="735"/>
      <c r="CR82" s="735"/>
      <c r="CS82" s="735"/>
      <c r="CT82" s="735"/>
      <c r="CU82" s="735"/>
      <c r="CV82" s="735"/>
      <c r="CW82" s="730"/>
      <c r="CX82" s="735"/>
      <c r="CY82" s="730"/>
      <c r="CZ82" s="730"/>
      <c r="DA82" s="730"/>
      <c r="DB82" s="730"/>
      <c r="DC82" s="730"/>
      <c r="DD82" s="730"/>
      <c r="DE82" s="730"/>
      <c r="DF82" s="730"/>
      <c r="DG82" s="730"/>
      <c r="DH82" s="730"/>
      <c r="DI82" s="730"/>
      <c r="DJ82" s="730"/>
      <c r="DK82" s="730"/>
      <c r="DL82" s="730"/>
      <c r="DM82" s="730"/>
      <c r="DN82" s="730"/>
      <c r="DO82" s="730"/>
      <c r="DP82" s="730"/>
      <c r="DQ82" s="730"/>
      <c r="DR82" s="730"/>
      <c r="DS82" s="730"/>
      <c r="DT82" s="730" t="str">
        <f t="shared" si="242"/>
        <v>-</v>
      </c>
      <c r="DU82" s="730"/>
      <c r="DV82" s="730"/>
      <c r="DW82" s="8"/>
    </row>
    <row r="83" spans="1:127" ht="15" thickBot="1">
      <c r="A83" s="725"/>
      <c r="B83" s="728"/>
      <c r="C83" s="725"/>
      <c r="D83" s="725"/>
      <c r="E83" s="725"/>
      <c r="F83" s="725"/>
      <c r="G83" s="725"/>
      <c r="H83" s="725"/>
      <c r="I83" s="725"/>
      <c r="J83" s="725"/>
      <c r="K83" s="725"/>
      <c r="L83" s="725"/>
      <c r="M83" s="725"/>
      <c r="N83" s="730"/>
      <c r="O83" s="730"/>
      <c r="P83" s="730"/>
      <c r="Q83" s="730"/>
      <c r="R83" s="730"/>
      <c r="S83" s="730"/>
      <c r="T83" s="730"/>
      <c r="U83" s="730"/>
      <c r="V83" s="170"/>
      <c r="W83" s="177"/>
      <c r="X83" s="178" t="str">
        <f>X3</f>
        <v>Fecha</v>
      </c>
      <c r="Y83" s="178" t="str">
        <f>Y3</f>
        <v>Hora</v>
      </c>
      <c r="Z83" s="179" t="str">
        <f>Z3</f>
        <v>Jor.</v>
      </c>
      <c r="AA83" s="180" t="str">
        <f>AA3</f>
        <v>Casa</v>
      </c>
      <c r="AB83" s="179"/>
      <c r="AC83" s="179" t="str">
        <f>AC3</f>
        <v>Gol</v>
      </c>
      <c r="AD83" s="179" t="str">
        <f>AD3</f>
        <v>Gol</v>
      </c>
      <c r="AE83" s="179"/>
      <c r="AF83" s="182" t="str">
        <f>AF3</f>
        <v>Fuera</v>
      </c>
      <c r="AG83" s="412"/>
      <c r="AH83" s="194"/>
      <c r="AI83" s="18"/>
      <c r="AJ83" s="184"/>
      <c r="AK83" s="250"/>
      <c r="AL83" s="184"/>
      <c r="AM83" s="184"/>
      <c r="AN83" s="184"/>
      <c r="AO83" s="184"/>
      <c r="AP83" s="184"/>
      <c r="AQ83" s="184"/>
      <c r="AR83" s="184"/>
      <c r="AS83" s="184"/>
      <c r="AT83" s="184"/>
      <c r="AU83" s="419"/>
      <c r="AV83" s="22"/>
      <c r="AW83" s="427"/>
      <c r="AX83" s="251"/>
      <c r="AY83" s="240"/>
      <c r="AZ83" s="241"/>
      <c r="BA83" s="173"/>
      <c r="BB83" s="730"/>
      <c r="BC83" s="730"/>
      <c r="BD83" s="730"/>
      <c r="BE83" s="730"/>
      <c r="BF83" s="730"/>
      <c r="BG83" s="730"/>
      <c r="BH83" s="730"/>
      <c r="BI83" s="730"/>
      <c r="BJ83" s="730"/>
      <c r="BK83" s="730"/>
      <c r="BL83" s="730"/>
      <c r="BM83" s="730"/>
      <c r="BN83" s="730"/>
      <c r="BO83" s="730"/>
      <c r="BP83" s="730"/>
      <c r="BQ83" s="730"/>
      <c r="BR83" s="730"/>
      <c r="BS83" s="730"/>
      <c r="BT83" s="730"/>
      <c r="BU83" s="730"/>
      <c r="BV83" s="730"/>
      <c r="BW83" s="730"/>
      <c r="BX83" s="730"/>
      <c r="BY83" s="730"/>
      <c r="BZ83" s="730"/>
      <c r="CA83" s="730"/>
      <c r="CB83" s="730"/>
      <c r="CC83" s="730"/>
      <c r="CD83" s="730"/>
      <c r="CE83" s="730"/>
      <c r="CF83" s="730"/>
      <c r="CG83" s="730"/>
      <c r="CH83" s="730"/>
      <c r="CI83" s="730"/>
      <c r="CJ83" s="730"/>
      <c r="CK83" s="730"/>
      <c r="CL83" s="730"/>
      <c r="CM83" s="730"/>
      <c r="CN83" s="730"/>
      <c r="CO83" s="730"/>
      <c r="CP83" s="730"/>
      <c r="CQ83" s="730"/>
      <c r="CR83" s="730"/>
      <c r="CS83" s="730"/>
      <c r="CT83" s="730"/>
      <c r="CU83" s="730"/>
      <c r="CV83" s="730"/>
      <c r="CW83" s="730"/>
      <c r="CX83" s="730"/>
      <c r="CY83" s="730"/>
      <c r="CZ83" s="730"/>
      <c r="DA83" s="730"/>
      <c r="DB83" s="730"/>
      <c r="DC83" s="730"/>
      <c r="DD83" s="730"/>
      <c r="DE83" s="730"/>
      <c r="DF83" s="730"/>
      <c r="DG83" s="730"/>
      <c r="DH83" s="730"/>
      <c r="DI83" s="730"/>
      <c r="DJ83" s="730"/>
      <c r="DK83" s="730"/>
      <c r="DL83" s="730"/>
      <c r="DM83" s="730"/>
      <c r="DN83" s="730"/>
      <c r="DO83" s="730"/>
      <c r="DP83" s="730"/>
      <c r="DQ83" s="730"/>
      <c r="DR83" s="730"/>
      <c r="DS83" s="730"/>
      <c r="DT83" s="730" t="str">
        <f t="shared" si="242"/>
        <v>Casa-Fuera</v>
      </c>
      <c r="DU83" s="730"/>
      <c r="DV83" s="730"/>
      <c r="DW83" s="8"/>
    </row>
    <row r="84" spans="1:127" ht="15" customHeight="1" thickBot="1">
      <c r="A84" s="727" t="s">
        <v>30</v>
      </c>
      <c r="B84" s="728" t="s">
        <v>439</v>
      </c>
      <c r="C84" s="729">
        <f>COUNTIF(Equipos!$C$2:$C$49,WORLDCUP!B84)</f>
        <v>4</v>
      </c>
      <c r="D84" s="730" t="str">
        <f t="shared" ref="D84:D89" si="264">IF(OR(AC84="",AD84=""),"Pendiente",IF(AC84&gt;AD84,"Local",IF(AC84&lt;AD84,"Visitante","Empate")))</f>
        <v>Pendiente</v>
      </c>
      <c r="E84" s="730" t="str">
        <f t="shared" ref="E84:E89" si="265">IF(D84="Pendiente","-",INDEX($BT$6:$BT$53,MATCH($AA84,$BD$6:$BD$53,0)))</f>
        <v>-</v>
      </c>
      <c r="F84" s="730" t="str">
        <f t="shared" ref="F84:F89" si="266">IF(D84="Pendiente","-",INDEX($BT$6:$BT$53,MATCH($AF84,$BD$6:$BD$53,0)))</f>
        <v>-</v>
      </c>
      <c r="G84" s="730"/>
      <c r="H84" s="730" t="str">
        <f t="shared" ref="H84:H89" si="267">IF(D84="Pendiente","-",INDEX($BZ$6:$BZ$53,MATCH($AA84,$BD$6:$BD$53,0)))</f>
        <v>-</v>
      </c>
      <c r="I84" s="730" t="str">
        <f t="shared" ref="I84:I89" si="268">IF(D84="Pendiente","-",INDEX($BZ$6:$BZ$53,MATCH($AF84,$BD$6:$BD$53,0)))</f>
        <v>-</v>
      </c>
      <c r="J84" s="730"/>
      <c r="K84" s="730" t="str">
        <f t="shared" ref="K84:K89" si="269">IF(D84="Pendiente","-",INDEX($CE$6:$CE$53,MATCH($AA84,$BD$6:$BD$53,0)))</f>
        <v>-</v>
      </c>
      <c r="L84" s="730" t="str">
        <f t="shared" ref="L84:L89" si="270">IF(D84="Pendiente","-",INDEX($CE$6:$CE$53,MATCH($AF84,$BD$6:$BD$53,0)))</f>
        <v>-</v>
      </c>
      <c r="M84" s="730"/>
      <c r="N84" s="730" t="str">
        <f t="shared" ref="N84:N89" si="271">IF(D84="Pendiente","-",INDEX($CH$6:$CH$53,MATCH($AA84,$BD$6:$BD$53,0)))</f>
        <v>-</v>
      </c>
      <c r="O84" s="730" t="str">
        <f t="shared" ref="O84:O89" si="272">IF(D84="Pendiente","-",INDEX($CH$6:$CH$53,MATCH($AF84,$BD$6:$BD$53,0)))</f>
        <v>-</v>
      </c>
      <c r="P84" s="730"/>
      <c r="Q84" s="730" t="str">
        <f t="shared" ref="Q84:Q89" si="273">IF(D84="Pendiente","-",INDEX($CN$6:$CN$53,MATCH($AA84,$BD$6:$BD$53,0)))</f>
        <v>-</v>
      </c>
      <c r="R84" s="730" t="str">
        <f t="shared" ref="R84:R89" si="274">IF(D84="Pendiente","-",INDEX($CN$6:$CN$53,MATCH($AF84,$BD$6:$BD$53,0)))</f>
        <v>-</v>
      </c>
      <c r="S84" s="730"/>
      <c r="T84" s="730" t="str">
        <f t="shared" ref="T84:T89" si="275">IF(D84="Pendiente","-",INDEX($CS$6:$CS$53,MATCH($AA84,$BD$6:$BD$53,0)))</f>
        <v>-</v>
      </c>
      <c r="U84" s="730" t="str">
        <f t="shared" ref="U84:U89" si="276">IF(D84="Pendiente","-",INDEX($CS$6:$CS$53,MATCH($AF84,$BD$6:$BD$53,0)))</f>
        <v>-</v>
      </c>
      <c r="V84" s="170"/>
      <c r="W84" s="882" t="s">
        <v>439</v>
      </c>
      <c r="X84" s="187">
        <f ca="1">Horarios!C84</f>
        <v>46190.541666666664</v>
      </c>
      <c r="Y84" s="188">
        <f ca="1">Horarios!C84</f>
        <v>46190.541666666664</v>
      </c>
      <c r="Z84" s="189" t="str">
        <f>$Z$4</f>
        <v>J1</v>
      </c>
      <c r="AA84" s="190" t="str">
        <f ca="1">A85</f>
        <v>Portugal</v>
      </c>
      <c r="AB84" s="475" t="e" cm="1" vm="41">
        <f t="array" aca="1" ref="AB84" ca="1">Ver_flag_local</f>
        <v>#VALUE!</v>
      </c>
      <c r="AC84" s="191"/>
      <c r="AD84" s="192"/>
      <c r="AE84" s="480" t="e" cm="1" vm="42">
        <f t="array" aca="1" ref="AE84" ca="1">Ver_flag_visit</f>
        <v>#VALUE!</v>
      </c>
      <c r="AF84" s="193" t="str">
        <f ca="1">A86</f>
        <v>RD Congo</v>
      </c>
      <c r="AG84" s="411">
        <f t="shared" ref="AG84:AG89" si="277">IF(NOT(OR(ISBLANK(AC84),ISBLANK(AD84))),1,0)</f>
        <v>0</v>
      </c>
      <c r="AH84" s="194">
        <v>23</v>
      </c>
      <c r="AI84" s="19"/>
      <c r="AJ84" s="195" t="str">
        <f>CONCATENATE(AJ3," ",B84)</f>
        <v>Grupo K</v>
      </c>
      <c r="AK84" s="196"/>
      <c r="AL84" s="196"/>
      <c r="AM84" s="196"/>
      <c r="AN84" s="196"/>
      <c r="AO84" s="196"/>
      <c r="AP84" s="196"/>
      <c r="AQ84" s="196"/>
      <c r="AR84" s="196"/>
      <c r="AS84" s="196"/>
      <c r="AT84" s="197"/>
      <c r="AU84" s="419"/>
      <c r="AV84" s="198" t="str">
        <f t="shared" ref="AV84" ca="1" si="278">IF(AU85&gt;0,$AV$3,"")</f>
        <v/>
      </c>
      <c r="AW84" s="206"/>
      <c r="AX84" s="253"/>
      <c r="AY84" s="240"/>
      <c r="AZ84" s="241"/>
      <c r="BA84" s="173"/>
      <c r="BB84" s="730"/>
      <c r="BC84" s="730"/>
      <c r="BD84" s="730"/>
      <c r="BE84" s="730"/>
      <c r="BF84" s="730"/>
      <c r="BG84" s="730"/>
      <c r="BH84" s="730"/>
      <c r="BI84" s="730"/>
      <c r="BJ84" s="730"/>
      <c r="BK84" s="730"/>
      <c r="BL84" s="730"/>
      <c r="BM84" s="730"/>
      <c r="BN84" s="730"/>
      <c r="BO84" s="730"/>
      <c r="BP84" s="730"/>
      <c r="BQ84" s="730"/>
      <c r="BR84" s="730"/>
      <c r="BS84" s="730"/>
      <c r="BT84" s="730"/>
      <c r="BU84" s="730"/>
      <c r="BV84" s="730"/>
      <c r="BW84" s="730"/>
      <c r="BX84" s="730"/>
      <c r="BY84" s="730"/>
      <c r="BZ84" s="730"/>
      <c r="CA84" s="730"/>
      <c r="CB84" s="730"/>
      <c r="CC84" s="730"/>
      <c r="CD84" s="730"/>
      <c r="CE84" s="730"/>
      <c r="CF84" s="730"/>
      <c r="CG84" s="730"/>
      <c r="CH84" s="730"/>
      <c r="CI84" s="730"/>
      <c r="CJ84" s="730"/>
      <c r="CK84" s="730"/>
      <c r="CL84" s="730"/>
      <c r="CM84" s="730"/>
      <c r="CN84" s="730"/>
      <c r="CO84" s="730"/>
      <c r="CP84" s="730"/>
      <c r="CQ84" s="730"/>
      <c r="CR84" s="730"/>
      <c r="CS84" s="730"/>
      <c r="CT84" s="730"/>
      <c r="CU84" s="730"/>
      <c r="CV84" s="730"/>
      <c r="CW84" s="730"/>
      <c r="CX84" s="735"/>
      <c r="CY84" s="730"/>
      <c r="CZ84" s="730"/>
      <c r="DA84" s="730"/>
      <c r="DB84" s="730"/>
      <c r="DC84" s="730"/>
      <c r="DD84" s="730"/>
      <c r="DE84" s="730"/>
      <c r="DF84" s="730"/>
      <c r="DG84" s="730"/>
      <c r="DH84" s="730"/>
      <c r="DI84" s="730"/>
      <c r="DJ84" s="730"/>
      <c r="DK84" s="730"/>
      <c r="DL84" s="730"/>
      <c r="DM84" s="730"/>
      <c r="DN84" s="730"/>
      <c r="DO84" s="730"/>
      <c r="DP84" s="730"/>
      <c r="DQ84" s="730"/>
      <c r="DR84" s="730"/>
      <c r="DS84" s="730"/>
      <c r="DT84" s="730" t="str">
        <f t="shared" ca="1" si="242"/>
        <v>Portugal-RD Congo</v>
      </c>
      <c r="DU84" s="730"/>
      <c r="DV84" s="730"/>
      <c r="DW84" s="8"/>
    </row>
    <row r="85" spans="1:127" ht="16.05" customHeight="1">
      <c r="A85" s="731" t="str">
        <f ca="1">+Equipos!B42</f>
        <v>Portugal</v>
      </c>
      <c r="B85" s="728"/>
      <c r="C85" s="728"/>
      <c r="D85" s="730" t="str">
        <f t="shared" si="264"/>
        <v>Pendiente</v>
      </c>
      <c r="E85" s="730" t="str">
        <f t="shared" si="265"/>
        <v>-</v>
      </c>
      <c r="F85" s="730" t="str">
        <f t="shared" si="266"/>
        <v>-</v>
      </c>
      <c r="G85" s="730"/>
      <c r="H85" s="730" t="str">
        <f t="shared" si="267"/>
        <v>-</v>
      </c>
      <c r="I85" s="730" t="str">
        <f t="shared" si="268"/>
        <v>-</v>
      </c>
      <c r="J85" s="730"/>
      <c r="K85" s="730" t="str">
        <f t="shared" si="269"/>
        <v>-</v>
      </c>
      <c r="L85" s="730" t="str">
        <f t="shared" si="270"/>
        <v>-</v>
      </c>
      <c r="M85" s="730"/>
      <c r="N85" s="730" t="str">
        <f t="shared" si="271"/>
        <v>-</v>
      </c>
      <c r="O85" s="730" t="str">
        <f t="shared" si="272"/>
        <v>-</v>
      </c>
      <c r="P85" s="730"/>
      <c r="Q85" s="730" t="str">
        <f t="shared" si="273"/>
        <v>-</v>
      </c>
      <c r="R85" s="730" t="str">
        <f t="shared" si="274"/>
        <v>-</v>
      </c>
      <c r="S85" s="730"/>
      <c r="T85" s="730" t="str">
        <f t="shared" si="275"/>
        <v>-</v>
      </c>
      <c r="U85" s="730" t="str">
        <f t="shared" si="276"/>
        <v>-</v>
      </c>
      <c r="V85" s="170"/>
      <c r="W85" s="882"/>
      <c r="X85" s="187">
        <f ca="1">Horarios!C85</f>
        <v>46190.916666666664</v>
      </c>
      <c r="Y85" s="188">
        <f ca="1">Horarios!C85</f>
        <v>46190.916666666664</v>
      </c>
      <c r="Z85" s="189" t="str">
        <f>$Z$4</f>
        <v>J1</v>
      </c>
      <c r="AA85" s="190" t="str">
        <f ca="1">A87</f>
        <v>Uzbekistán</v>
      </c>
      <c r="AB85" s="475" t="e" cm="1" vm="43">
        <f t="array" aca="1" ref="AB85" ca="1">Ver_flag_local</f>
        <v>#VALUE!</v>
      </c>
      <c r="AC85" s="191"/>
      <c r="AD85" s="192"/>
      <c r="AE85" s="480" t="e" cm="1" vm="44">
        <f t="array" aca="1" ref="AE85" ca="1">Ver_flag_visit</f>
        <v>#VALUE!</v>
      </c>
      <c r="AF85" s="193" t="str">
        <f ca="1">A88</f>
        <v>Colombia</v>
      </c>
      <c r="AG85" s="411">
        <f t="shared" si="277"/>
        <v>0</v>
      </c>
      <c r="AH85" s="194">
        <v>24</v>
      </c>
      <c r="AI85" s="19"/>
      <c r="AJ85" s="202" t="str">
        <f>AJ5</f>
        <v>Pos</v>
      </c>
      <c r="AK85" s="203"/>
      <c r="AL85" s="204" t="str">
        <f t="shared" ref="AL85:AT85" si="279">AL5</f>
        <v>Selección</v>
      </c>
      <c r="AM85" s="203" t="str">
        <f t="shared" si="279"/>
        <v>Pts</v>
      </c>
      <c r="AN85" s="203" t="str">
        <f t="shared" si="279"/>
        <v>J</v>
      </c>
      <c r="AO85" s="203" t="str">
        <f t="shared" si="279"/>
        <v>G</v>
      </c>
      <c r="AP85" s="203" t="str">
        <f t="shared" si="279"/>
        <v>E</v>
      </c>
      <c r="AQ85" s="203" t="str">
        <f t="shared" si="279"/>
        <v>P</v>
      </c>
      <c r="AR85" s="203" t="str">
        <f t="shared" si="279"/>
        <v>GF</v>
      </c>
      <c r="AS85" s="203" t="str">
        <f t="shared" si="279"/>
        <v>GC</v>
      </c>
      <c r="AT85" s="205" t="str">
        <f t="shared" si="279"/>
        <v>DG</v>
      </c>
      <c r="AU85" s="419">
        <f t="shared" ref="AU85" ca="1" si="280">COUNTIF(AU86:AU89,"&gt;1")</f>
        <v>0</v>
      </c>
      <c r="AV85" s="206"/>
      <c r="AW85" s="206"/>
      <c r="AX85" s="253"/>
      <c r="AY85" s="207" t="str">
        <f>AL85</f>
        <v>Selección</v>
      </c>
      <c r="AZ85" s="208" t="str">
        <f>+Idiomas!$D$69</f>
        <v>Puntos penalizados</v>
      </c>
      <c r="BA85" s="173"/>
      <c r="BB85" s="730"/>
      <c r="BC85" s="730"/>
      <c r="BD85" s="730"/>
      <c r="BE85" s="730"/>
      <c r="BF85" s="730"/>
      <c r="BG85" s="730"/>
      <c r="BH85" s="730"/>
      <c r="BI85" s="730"/>
      <c r="BJ85" s="730"/>
      <c r="BK85" s="730"/>
      <c r="BL85" s="730"/>
      <c r="BM85" s="730"/>
      <c r="BN85" s="733"/>
      <c r="BO85" s="733"/>
      <c r="BP85" s="733"/>
      <c r="BQ85" s="733"/>
      <c r="BR85" s="730"/>
      <c r="BS85" s="730"/>
      <c r="BT85" s="733"/>
      <c r="BU85" s="733"/>
      <c r="BV85" s="733"/>
      <c r="BW85" s="733"/>
      <c r="BX85" s="733"/>
      <c r="BY85" s="733"/>
      <c r="BZ85" s="733"/>
      <c r="CA85" s="733"/>
      <c r="CB85" s="733"/>
      <c r="CC85" s="733"/>
      <c r="CD85" s="733"/>
      <c r="CE85" s="733"/>
      <c r="CF85" s="733"/>
      <c r="CG85" s="733"/>
      <c r="CH85" s="733"/>
      <c r="CI85" s="733"/>
      <c r="CJ85" s="733"/>
      <c r="CK85" s="733"/>
      <c r="CL85" s="733"/>
      <c r="CM85" s="733"/>
      <c r="CN85" s="733"/>
      <c r="CO85" s="733"/>
      <c r="CP85" s="733"/>
      <c r="CQ85" s="733"/>
      <c r="CR85" s="733"/>
      <c r="CS85" s="733"/>
      <c r="CT85" s="733"/>
      <c r="CU85" s="733"/>
      <c r="CV85" s="733"/>
      <c r="CW85" s="730"/>
      <c r="CX85" s="733"/>
      <c r="CY85" s="730"/>
      <c r="CZ85" s="730"/>
      <c r="DA85" s="730"/>
      <c r="DB85" s="730"/>
      <c r="DC85" s="730"/>
      <c r="DD85" s="730"/>
      <c r="DE85" s="730"/>
      <c r="DF85" s="730"/>
      <c r="DG85" s="730"/>
      <c r="DH85" s="730"/>
      <c r="DI85" s="730"/>
      <c r="DJ85" s="730"/>
      <c r="DK85" s="730"/>
      <c r="DL85" s="730"/>
      <c r="DM85" s="730"/>
      <c r="DN85" s="730"/>
      <c r="DO85" s="730"/>
      <c r="DP85" s="730"/>
      <c r="DQ85" s="730"/>
      <c r="DR85" s="730"/>
      <c r="DS85" s="730"/>
      <c r="DT85" s="730" t="str">
        <f t="shared" ca="1" si="242"/>
        <v>Uzbekistán-Colombia</v>
      </c>
      <c r="DU85" s="730"/>
      <c r="DV85" s="730"/>
      <c r="DW85" s="8"/>
    </row>
    <row r="86" spans="1:127" ht="16.05" customHeight="1">
      <c r="A86" s="731" t="str">
        <f ca="1">+Equipos!B43</f>
        <v>RD Congo</v>
      </c>
      <c r="B86" s="728"/>
      <c r="C86" s="732"/>
      <c r="D86" s="730" t="str">
        <f t="shared" si="264"/>
        <v>Pendiente</v>
      </c>
      <c r="E86" s="730" t="str">
        <f t="shared" si="265"/>
        <v>-</v>
      </c>
      <c r="F86" s="730" t="str">
        <f t="shared" si="266"/>
        <v>-</v>
      </c>
      <c r="G86" s="730"/>
      <c r="H86" s="730" t="str">
        <f t="shared" si="267"/>
        <v>-</v>
      </c>
      <c r="I86" s="730" t="str">
        <f t="shared" si="268"/>
        <v>-</v>
      </c>
      <c r="J86" s="730"/>
      <c r="K86" s="730" t="str">
        <f t="shared" si="269"/>
        <v>-</v>
      </c>
      <c r="L86" s="730" t="str">
        <f t="shared" si="270"/>
        <v>-</v>
      </c>
      <c r="M86" s="730"/>
      <c r="N86" s="730" t="str">
        <f t="shared" si="271"/>
        <v>-</v>
      </c>
      <c r="O86" s="730" t="str">
        <f t="shared" si="272"/>
        <v>-</v>
      </c>
      <c r="P86" s="730"/>
      <c r="Q86" s="730" t="str">
        <f t="shared" si="273"/>
        <v>-</v>
      </c>
      <c r="R86" s="730" t="str">
        <f t="shared" si="274"/>
        <v>-</v>
      </c>
      <c r="S86" s="730"/>
      <c r="T86" s="730" t="str">
        <f t="shared" si="275"/>
        <v>-</v>
      </c>
      <c r="U86" s="730" t="str">
        <f t="shared" si="276"/>
        <v>-</v>
      </c>
      <c r="V86" s="170"/>
      <c r="W86" s="882"/>
      <c r="X86" s="187">
        <f ca="1">Horarios!C86</f>
        <v>46196.541666666664</v>
      </c>
      <c r="Y86" s="188">
        <f ca="1">Horarios!C86</f>
        <v>46196.541666666664</v>
      </c>
      <c r="Z86" s="189" t="str">
        <f>$Z$6</f>
        <v>J2</v>
      </c>
      <c r="AA86" s="190" t="str">
        <f ca="1">A85</f>
        <v>Portugal</v>
      </c>
      <c r="AB86" s="475" t="e" cm="1" vm="41">
        <f t="array" aca="1" ref="AB86" ca="1">Ver_flag_local</f>
        <v>#VALUE!</v>
      </c>
      <c r="AC86" s="191"/>
      <c r="AD86" s="192"/>
      <c r="AE86" s="480" t="e" cm="1" vm="43">
        <f t="array" aca="1" ref="AE86" ca="1">Ver_flag_visit</f>
        <v>#VALUE!</v>
      </c>
      <c r="AF86" s="193" t="str">
        <f ca="1">A87</f>
        <v>Uzbekistán</v>
      </c>
      <c r="AG86" s="411">
        <f t="shared" si="277"/>
        <v>0</v>
      </c>
      <c r="AH86" s="194">
        <v>47</v>
      </c>
      <c r="AI86" s="19" t="str">
        <f>AJ86&amp;$B$84</f>
        <v>1K</v>
      </c>
      <c r="AJ86" s="209">
        <v>1</v>
      </c>
      <c r="AK86" s="485" t="e" cm="1" vm="41">
        <f t="array" aca="1" ref="AK86" ca="1">Ver_flag_visit</f>
        <v>#VALUE!</v>
      </c>
      <c r="AL86" s="210" t="str">
        <f ca="1">IFERROR(INDEX($BD$6:$BD$53,MATCH(AI86,$BN$6:$BN$53,0)),"")</f>
        <v>Portugal</v>
      </c>
      <c r="AM86" s="211">
        <f t="shared" ref="AM86:AT89" ca="1" si="281">INDEX($BE$6:$BN$53,MATCH($AL86,$BD$6:$BD$53,0),MATCH(AM$5,$BE$5:$BN$5,0))</f>
        <v>0</v>
      </c>
      <c r="AN86" s="212">
        <f t="shared" ca="1" si="281"/>
        <v>0</v>
      </c>
      <c r="AO86" s="212">
        <f t="shared" ca="1" si="281"/>
        <v>0</v>
      </c>
      <c r="AP86" s="212">
        <f t="shared" ca="1" si="281"/>
        <v>0</v>
      </c>
      <c r="AQ86" s="212">
        <f t="shared" ca="1" si="281"/>
        <v>0</v>
      </c>
      <c r="AR86" s="212">
        <f t="shared" ca="1" si="281"/>
        <v>0</v>
      </c>
      <c r="AS86" s="212">
        <f t="shared" ca="1" si="281"/>
        <v>0</v>
      </c>
      <c r="AT86" s="213">
        <f t="shared" ca="1" si="281"/>
        <v>0</v>
      </c>
      <c r="AU86" s="418">
        <f ca="1">INDEX($DL$6:$DL$53,MATCH(AI86,$DP$6:$DP$53,0))</f>
        <v>1</v>
      </c>
      <c r="AV86" s="215" t="str">
        <f ca="1">INDEX($BD$6:$BD$53,MATCH(AI86,$BM$6:$BM$53,0))</f>
        <v>Portugal</v>
      </c>
      <c r="AW86" s="425"/>
      <c r="AX86" s="216"/>
      <c r="AY86" s="217" t="str">
        <f ca="1">+A85</f>
        <v>Portugal</v>
      </c>
      <c r="AZ86" s="218"/>
      <c r="BA86" s="173"/>
      <c r="BB86" s="730"/>
      <c r="BC86" s="730"/>
      <c r="BD86" s="730"/>
      <c r="BE86" s="730"/>
      <c r="BF86" s="730"/>
      <c r="BG86" s="730"/>
      <c r="BH86" s="730"/>
      <c r="BI86" s="730"/>
      <c r="BJ86" s="730"/>
      <c r="BK86" s="730"/>
      <c r="BL86" s="730"/>
      <c r="BM86" s="730"/>
      <c r="BN86" s="735"/>
      <c r="BO86" s="735"/>
      <c r="BP86" s="735"/>
      <c r="BQ86" s="735"/>
      <c r="BR86" s="730"/>
      <c r="BS86" s="730"/>
      <c r="BT86" s="735"/>
      <c r="BU86" s="735"/>
      <c r="BV86" s="735"/>
      <c r="BW86" s="735"/>
      <c r="BX86" s="735"/>
      <c r="BY86" s="735"/>
      <c r="BZ86" s="735"/>
      <c r="CA86" s="735"/>
      <c r="CB86" s="735"/>
      <c r="CC86" s="735"/>
      <c r="CD86" s="735"/>
      <c r="CE86" s="735"/>
      <c r="CF86" s="735"/>
      <c r="CG86" s="735"/>
      <c r="CH86" s="735"/>
      <c r="CI86" s="735"/>
      <c r="CJ86" s="735"/>
      <c r="CK86" s="735"/>
      <c r="CL86" s="735"/>
      <c r="CM86" s="735"/>
      <c r="CN86" s="735"/>
      <c r="CO86" s="735"/>
      <c r="CP86" s="735"/>
      <c r="CQ86" s="735"/>
      <c r="CR86" s="735"/>
      <c r="CS86" s="735"/>
      <c r="CT86" s="735"/>
      <c r="CU86" s="735"/>
      <c r="CV86" s="735"/>
      <c r="CW86" s="730"/>
      <c r="CX86" s="735"/>
      <c r="CY86" s="730"/>
      <c r="CZ86" s="730"/>
      <c r="DA86" s="730"/>
      <c r="DB86" s="730"/>
      <c r="DC86" s="730"/>
      <c r="DD86" s="730"/>
      <c r="DE86" s="730"/>
      <c r="DF86" s="730"/>
      <c r="DG86" s="730"/>
      <c r="DH86" s="730"/>
      <c r="DI86" s="730"/>
      <c r="DJ86" s="730"/>
      <c r="DK86" s="730"/>
      <c r="DL86" s="730"/>
      <c r="DM86" s="730"/>
      <c r="DN86" s="730"/>
      <c r="DO86" s="730"/>
      <c r="DP86" s="730"/>
      <c r="DQ86" s="730"/>
      <c r="DR86" s="730"/>
      <c r="DS86" s="730"/>
      <c r="DT86" s="730" t="str">
        <f t="shared" ca="1" si="242"/>
        <v>Portugal-Uzbekistán</v>
      </c>
      <c r="DU86" s="730"/>
      <c r="DV86" s="730"/>
      <c r="DW86" s="8"/>
    </row>
    <row r="87" spans="1:127" ht="16.05" customHeight="1">
      <c r="A87" s="731" t="str">
        <f ca="1">+Equipos!B44</f>
        <v>Uzbekistán</v>
      </c>
      <c r="B87" s="728"/>
      <c r="C87" s="730"/>
      <c r="D87" s="730" t="str">
        <f t="shared" si="264"/>
        <v>Pendiente</v>
      </c>
      <c r="E87" s="730" t="str">
        <f t="shared" si="265"/>
        <v>-</v>
      </c>
      <c r="F87" s="730" t="str">
        <f t="shared" si="266"/>
        <v>-</v>
      </c>
      <c r="G87" s="730"/>
      <c r="H87" s="730" t="str">
        <f t="shared" si="267"/>
        <v>-</v>
      </c>
      <c r="I87" s="730" t="str">
        <f t="shared" si="268"/>
        <v>-</v>
      </c>
      <c r="J87" s="730"/>
      <c r="K87" s="730" t="str">
        <f t="shared" si="269"/>
        <v>-</v>
      </c>
      <c r="L87" s="730" t="str">
        <f t="shared" si="270"/>
        <v>-</v>
      </c>
      <c r="M87" s="730"/>
      <c r="N87" s="730" t="str">
        <f t="shared" si="271"/>
        <v>-</v>
      </c>
      <c r="O87" s="730" t="str">
        <f t="shared" si="272"/>
        <v>-</v>
      </c>
      <c r="P87" s="730"/>
      <c r="Q87" s="730" t="str">
        <f t="shared" si="273"/>
        <v>-</v>
      </c>
      <c r="R87" s="730" t="str">
        <f t="shared" si="274"/>
        <v>-</v>
      </c>
      <c r="S87" s="730"/>
      <c r="T87" s="730" t="str">
        <f t="shared" si="275"/>
        <v>-</v>
      </c>
      <c r="U87" s="730" t="str">
        <f t="shared" si="276"/>
        <v>-</v>
      </c>
      <c r="V87" s="170"/>
      <c r="W87" s="882"/>
      <c r="X87" s="187">
        <f ca="1">Horarios!C87</f>
        <v>46196.916666666664</v>
      </c>
      <c r="Y87" s="188">
        <f ca="1">Horarios!C87</f>
        <v>46196.916666666664</v>
      </c>
      <c r="Z87" s="189" t="str">
        <f>$Z$6</f>
        <v>J2</v>
      </c>
      <c r="AA87" s="190" t="str">
        <f ca="1">A88</f>
        <v>Colombia</v>
      </c>
      <c r="AB87" s="475" t="e" cm="1" vm="44">
        <f t="array" aca="1" ref="AB87" ca="1">Ver_flag_local</f>
        <v>#VALUE!</v>
      </c>
      <c r="AC87" s="191"/>
      <c r="AD87" s="192"/>
      <c r="AE87" s="480" t="e" cm="1" vm="42">
        <f t="array" aca="1" ref="AE87" ca="1">Ver_flag_visit</f>
        <v>#VALUE!</v>
      </c>
      <c r="AF87" s="193" t="str">
        <f ca="1">A86</f>
        <v>RD Congo</v>
      </c>
      <c r="AG87" s="411">
        <f t="shared" si="277"/>
        <v>0</v>
      </c>
      <c r="AH87" s="194">
        <v>48</v>
      </c>
      <c r="AI87" s="19" t="str">
        <f t="shared" ref="AI87:AI89" si="282">AJ87&amp;$B$84</f>
        <v>2K</v>
      </c>
      <c r="AJ87" s="219">
        <v>2</v>
      </c>
      <c r="AK87" s="483" t="e" cm="1" vm="42">
        <f t="array" aca="1" ref="AK87" ca="1">Ver_flag_visit</f>
        <v>#VALUE!</v>
      </c>
      <c r="AL87" s="220" t="str">
        <f ca="1">IFERROR(INDEX($BD$6:$BD$53,MATCH(AI87,$BN$6:$BN$53,0)),"")</f>
        <v>RD Congo</v>
      </c>
      <c r="AM87" s="221">
        <f t="shared" ca="1" si="281"/>
        <v>0</v>
      </c>
      <c r="AN87" s="222">
        <f t="shared" ca="1" si="281"/>
        <v>0</v>
      </c>
      <c r="AO87" s="222">
        <f t="shared" ca="1" si="281"/>
        <v>0</v>
      </c>
      <c r="AP87" s="222">
        <f t="shared" ca="1" si="281"/>
        <v>0</v>
      </c>
      <c r="AQ87" s="222">
        <f t="shared" ca="1" si="281"/>
        <v>0</v>
      </c>
      <c r="AR87" s="222">
        <f t="shared" ca="1" si="281"/>
        <v>0</v>
      </c>
      <c r="AS87" s="222">
        <f t="shared" ca="1" si="281"/>
        <v>0</v>
      </c>
      <c r="AT87" s="223">
        <f t="shared" ca="1" si="281"/>
        <v>0</v>
      </c>
      <c r="AU87" s="418">
        <f ca="1">INDEX($DL$6:$DL$53,MATCH(AI87,$DP$6:$DP$53,0))</f>
        <v>1</v>
      </c>
      <c r="AV87" s="215" t="str">
        <f ca="1">INDEX($BD$6:$BD$53,MATCH(AI87,$BM$6:$BM$53,0))</f>
        <v>RD Congo</v>
      </c>
      <c r="AW87" s="425"/>
      <c r="AX87" s="216"/>
      <c r="AY87" s="224" t="str">
        <f ca="1">+A86</f>
        <v>RD Congo</v>
      </c>
      <c r="AZ87" s="225"/>
      <c r="BA87" s="173"/>
      <c r="BB87" s="730"/>
      <c r="BC87" s="730"/>
      <c r="BD87" s="730"/>
      <c r="BE87" s="730"/>
      <c r="BF87" s="730"/>
      <c r="BG87" s="730"/>
      <c r="BH87" s="730"/>
      <c r="BI87" s="730"/>
      <c r="BJ87" s="730"/>
      <c r="BK87" s="730"/>
      <c r="BL87" s="730"/>
      <c r="BM87" s="730"/>
      <c r="BN87" s="735"/>
      <c r="BO87" s="735"/>
      <c r="BP87" s="735"/>
      <c r="BQ87" s="735"/>
      <c r="BR87" s="730"/>
      <c r="BS87" s="730"/>
      <c r="BT87" s="735"/>
      <c r="BU87" s="735"/>
      <c r="BV87" s="735"/>
      <c r="BW87" s="735"/>
      <c r="BX87" s="735"/>
      <c r="BY87" s="735"/>
      <c r="BZ87" s="735"/>
      <c r="CA87" s="735"/>
      <c r="CB87" s="735"/>
      <c r="CC87" s="735"/>
      <c r="CD87" s="735"/>
      <c r="CE87" s="735"/>
      <c r="CF87" s="735"/>
      <c r="CG87" s="735"/>
      <c r="CH87" s="735"/>
      <c r="CI87" s="735"/>
      <c r="CJ87" s="735"/>
      <c r="CK87" s="735"/>
      <c r="CL87" s="735"/>
      <c r="CM87" s="735"/>
      <c r="CN87" s="735"/>
      <c r="CO87" s="735"/>
      <c r="CP87" s="735"/>
      <c r="CQ87" s="735"/>
      <c r="CR87" s="735"/>
      <c r="CS87" s="735"/>
      <c r="CT87" s="735"/>
      <c r="CU87" s="735"/>
      <c r="CV87" s="735"/>
      <c r="CW87" s="730"/>
      <c r="CX87" s="735"/>
      <c r="CY87" s="730"/>
      <c r="CZ87" s="730"/>
      <c r="DA87" s="730"/>
      <c r="DB87" s="730"/>
      <c r="DC87" s="730"/>
      <c r="DD87" s="730"/>
      <c r="DE87" s="730"/>
      <c r="DF87" s="730"/>
      <c r="DG87" s="730"/>
      <c r="DH87" s="730"/>
      <c r="DI87" s="730"/>
      <c r="DJ87" s="730"/>
      <c r="DK87" s="730"/>
      <c r="DL87" s="730"/>
      <c r="DM87" s="730"/>
      <c r="DN87" s="730"/>
      <c r="DO87" s="730"/>
      <c r="DP87" s="730"/>
      <c r="DQ87" s="730"/>
      <c r="DR87" s="730"/>
      <c r="DS87" s="730"/>
      <c r="DT87" s="730" t="str">
        <f t="shared" ca="1" si="242"/>
        <v>Colombia-RD Congo</v>
      </c>
      <c r="DU87" s="730"/>
      <c r="DV87" s="730"/>
      <c r="DW87" s="8"/>
    </row>
    <row r="88" spans="1:127" ht="16.05" customHeight="1">
      <c r="A88" s="731" t="str">
        <f ca="1">+Equipos!B45</f>
        <v>Colombia</v>
      </c>
      <c r="B88" s="728"/>
      <c r="C88" s="730"/>
      <c r="D88" s="730" t="str">
        <f t="shared" si="264"/>
        <v>Pendiente</v>
      </c>
      <c r="E88" s="730" t="str">
        <f t="shared" si="265"/>
        <v>-</v>
      </c>
      <c r="F88" s="730" t="str">
        <f t="shared" si="266"/>
        <v>-</v>
      </c>
      <c r="G88" s="730"/>
      <c r="H88" s="730" t="str">
        <f t="shared" si="267"/>
        <v>-</v>
      </c>
      <c r="I88" s="730" t="str">
        <f t="shared" si="268"/>
        <v>-</v>
      </c>
      <c r="J88" s="730"/>
      <c r="K88" s="730" t="str">
        <f t="shared" si="269"/>
        <v>-</v>
      </c>
      <c r="L88" s="730" t="str">
        <f t="shared" si="270"/>
        <v>-</v>
      </c>
      <c r="M88" s="730"/>
      <c r="N88" s="730" t="str">
        <f t="shared" si="271"/>
        <v>-</v>
      </c>
      <c r="O88" s="730" t="str">
        <f t="shared" si="272"/>
        <v>-</v>
      </c>
      <c r="P88" s="730"/>
      <c r="Q88" s="730" t="str">
        <f t="shared" si="273"/>
        <v>-</v>
      </c>
      <c r="R88" s="730" t="str">
        <f t="shared" si="274"/>
        <v>-</v>
      </c>
      <c r="S88" s="730"/>
      <c r="T88" s="730" t="str">
        <f t="shared" si="275"/>
        <v>-</v>
      </c>
      <c r="U88" s="730" t="str">
        <f t="shared" si="276"/>
        <v>-</v>
      </c>
      <c r="V88" s="170"/>
      <c r="W88" s="882"/>
      <c r="X88" s="187">
        <f ca="1">Horarios!C88</f>
        <v>46200.8125</v>
      </c>
      <c r="Y88" s="188">
        <f ca="1">Horarios!C88</f>
        <v>46200.8125</v>
      </c>
      <c r="Z88" s="189" t="str">
        <f>$Z$8</f>
        <v>J3</v>
      </c>
      <c r="AA88" s="190" t="str">
        <f ca="1">A88</f>
        <v>Colombia</v>
      </c>
      <c r="AB88" s="475" t="e" cm="1" vm="44">
        <f t="array" aca="1" ref="AB88" ca="1">Ver_flag_local</f>
        <v>#VALUE!</v>
      </c>
      <c r="AC88" s="191"/>
      <c r="AD88" s="192"/>
      <c r="AE88" s="480" t="e" cm="1" vm="41">
        <f t="array" aca="1" ref="AE88" ca="1">Ver_flag_visit</f>
        <v>#VALUE!</v>
      </c>
      <c r="AF88" s="193" t="str">
        <f ca="1">A85</f>
        <v>Portugal</v>
      </c>
      <c r="AG88" s="411">
        <f t="shared" si="277"/>
        <v>0</v>
      </c>
      <c r="AH88" s="194">
        <v>71</v>
      </c>
      <c r="AI88" s="19" t="str">
        <f t="shared" si="282"/>
        <v>3K</v>
      </c>
      <c r="AJ88" s="219">
        <v>3</v>
      </c>
      <c r="AK88" s="483" t="e" cm="1" vm="43">
        <f t="array" aca="1" ref="AK88" ca="1">Ver_flag_visit</f>
        <v>#VALUE!</v>
      </c>
      <c r="AL88" s="220" t="str">
        <f ca="1">IFERROR(INDEX($BD$6:$BD$53,MATCH(AI88,$BN$6:$BN$53,0)),"")</f>
        <v>Uzbekistán</v>
      </c>
      <c r="AM88" s="221">
        <f t="shared" ca="1" si="281"/>
        <v>0</v>
      </c>
      <c r="AN88" s="222">
        <f t="shared" ca="1" si="281"/>
        <v>0</v>
      </c>
      <c r="AO88" s="222">
        <f t="shared" ca="1" si="281"/>
        <v>0</v>
      </c>
      <c r="AP88" s="222">
        <f t="shared" ca="1" si="281"/>
        <v>0</v>
      </c>
      <c r="AQ88" s="222">
        <f t="shared" ca="1" si="281"/>
        <v>0</v>
      </c>
      <c r="AR88" s="222">
        <f t="shared" ca="1" si="281"/>
        <v>0</v>
      </c>
      <c r="AS88" s="222">
        <f t="shared" ca="1" si="281"/>
        <v>0</v>
      </c>
      <c r="AT88" s="223">
        <f t="shared" ca="1" si="281"/>
        <v>0</v>
      </c>
      <c r="AU88" s="418">
        <f ca="1">INDEX($DL$6:$DL$53,MATCH(AI88,$DP$6:$DP$53,0))</f>
        <v>1</v>
      </c>
      <c r="AV88" s="215" t="str">
        <f ca="1">INDEX($BD$6:$BD$53,MATCH(AI88,$BM$6:$BM$53,0))</f>
        <v>Uzbekistán</v>
      </c>
      <c r="AW88" s="425"/>
      <c r="AX88" s="216"/>
      <c r="AY88" s="217" t="str">
        <f ca="1">+A87</f>
        <v>Uzbekistán</v>
      </c>
      <c r="AZ88" s="218"/>
      <c r="BA88" s="173"/>
      <c r="BB88" s="730"/>
      <c r="BC88" s="730"/>
      <c r="BD88" s="730"/>
      <c r="BE88" s="730"/>
      <c r="BF88" s="730"/>
      <c r="BG88" s="730"/>
      <c r="BH88" s="730"/>
      <c r="BI88" s="730"/>
      <c r="BJ88" s="730"/>
      <c r="BK88" s="730"/>
      <c r="BL88" s="730"/>
      <c r="BM88" s="730"/>
      <c r="BN88" s="735"/>
      <c r="BO88" s="735"/>
      <c r="BP88" s="735"/>
      <c r="BQ88" s="735"/>
      <c r="BR88" s="730"/>
      <c r="BS88" s="730"/>
      <c r="BT88" s="735"/>
      <c r="BU88" s="735"/>
      <c r="BV88" s="735"/>
      <c r="BW88" s="735"/>
      <c r="BX88" s="735"/>
      <c r="BY88" s="735"/>
      <c r="BZ88" s="735"/>
      <c r="CA88" s="735"/>
      <c r="CB88" s="735"/>
      <c r="CC88" s="735"/>
      <c r="CD88" s="735"/>
      <c r="CE88" s="735"/>
      <c r="CF88" s="735"/>
      <c r="CG88" s="735"/>
      <c r="CH88" s="735"/>
      <c r="CI88" s="735"/>
      <c r="CJ88" s="735"/>
      <c r="CK88" s="735"/>
      <c r="CL88" s="735"/>
      <c r="CM88" s="735"/>
      <c r="CN88" s="735"/>
      <c r="CO88" s="735"/>
      <c r="CP88" s="735"/>
      <c r="CQ88" s="735"/>
      <c r="CR88" s="735"/>
      <c r="CS88" s="735"/>
      <c r="CT88" s="735"/>
      <c r="CU88" s="735"/>
      <c r="CV88" s="735"/>
      <c r="CW88" s="730"/>
      <c r="CX88" s="735"/>
      <c r="CY88" s="730"/>
      <c r="CZ88" s="730"/>
      <c r="DA88" s="730"/>
      <c r="DB88" s="730"/>
      <c r="DC88" s="730"/>
      <c r="DD88" s="730"/>
      <c r="DE88" s="730"/>
      <c r="DF88" s="730"/>
      <c r="DG88" s="730"/>
      <c r="DH88" s="730"/>
      <c r="DI88" s="730"/>
      <c r="DJ88" s="730"/>
      <c r="DK88" s="730"/>
      <c r="DL88" s="730"/>
      <c r="DM88" s="730"/>
      <c r="DN88" s="730"/>
      <c r="DO88" s="730"/>
      <c r="DP88" s="730"/>
      <c r="DQ88" s="730"/>
      <c r="DR88" s="730"/>
      <c r="DS88" s="730"/>
      <c r="DT88" s="730" t="str">
        <f t="shared" ca="1" si="242"/>
        <v>Colombia-Portugal</v>
      </c>
      <c r="DU88" s="730"/>
      <c r="DV88" s="730"/>
      <c r="DW88" s="8"/>
    </row>
    <row r="89" spans="1:127" ht="16.95" customHeight="1" thickBot="1">
      <c r="A89" s="725"/>
      <c r="B89" s="725"/>
      <c r="C89" s="725"/>
      <c r="D89" s="730" t="str">
        <f t="shared" si="264"/>
        <v>Pendiente</v>
      </c>
      <c r="E89" s="730" t="str">
        <f t="shared" si="265"/>
        <v>-</v>
      </c>
      <c r="F89" s="730" t="str">
        <f t="shared" si="266"/>
        <v>-</v>
      </c>
      <c r="G89" s="730"/>
      <c r="H89" s="730" t="str">
        <f t="shared" si="267"/>
        <v>-</v>
      </c>
      <c r="I89" s="730" t="str">
        <f t="shared" si="268"/>
        <v>-</v>
      </c>
      <c r="J89" s="730"/>
      <c r="K89" s="730" t="str">
        <f t="shared" si="269"/>
        <v>-</v>
      </c>
      <c r="L89" s="730" t="str">
        <f t="shared" si="270"/>
        <v>-</v>
      </c>
      <c r="M89" s="730"/>
      <c r="N89" s="730" t="str">
        <f t="shared" si="271"/>
        <v>-</v>
      </c>
      <c r="O89" s="730" t="str">
        <f t="shared" si="272"/>
        <v>-</v>
      </c>
      <c r="P89" s="730"/>
      <c r="Q89" s="730" t="str">
        <f t="shared" si="273"/>
        <v>-</v>
      </c>
      <c r="R89" s="730" t="str">
        <f t="shared" si="274"/>
        <v>-</v>
      </c>
      <c r="S89" s="730"/>
      <c r="T89" s="730" t="str">
        <f t="shared" si="275"/>
        <v>-</v>
      </c>
      <c r="U89" s="730" t="str">
        <f t="shared" si="276"/>
        <v>-</v>
      </c>
      <c r="V89" s="170"/>
      <c r="W89" s="883"/>
      <c r="X89" s="226">
        <f ca="1">Horarios!C89</f>
        <v>46200.8125</v>
      </c>
      <c r="Y89" s="227">
        <f ca="1">Horarios!C89</f>
        <v>46200.8125</v>
      </c>
      <c r="Z89" s="228" t="str">
        <f>$Z$8</f>
        <v>J3</v>
      </c>
      <c r="AA89" s="229" t="str">
        <f ca="1">A86</f>
        <v>RD Congo</v>
      </c>
      <c r="AB89" s="476" t="e" cm="1" vm="42">
        <f t="array" aca="1" ref="AB89" ca="1">Ver_flag_local</f>
        <v>#VALUE!</v>
      </c>
      <c r="AC89" s="230"/>
      <c r="AD89" s="231"/>
      <c r="AE89" s="481" t="e" cm="1" vm="43">
        <f t="array" aca="1" ref="AE89" ca="1">Ver_flag_visit</f>
        <v>#VALUE!</v>
      </c>
      <c r="AF89" s="232" t="str">
        <f ca="1">A87</f>
        <v>Uzbekistán</v>
      </c>
      <c r="AG89" s="411">
        <f t="shared" si="277"/>
        <v>0</v>
      </c>
      <c r="AH89" s="194">
        <v>72</v>
      </c>
      <c r="AI89" s="19" t="str">
        <f t="shared" si="282"/>
        <v>4K</v>
      </c>
      <c r="AJ89" s="233">
        <v>4</v>
      </c>
      <c r="AK89" s="484" t="e" cm="1" vm="44">
        <f t="array" aca="1" ref="AK89" ca="1">Ver_flag_visit</f>
        <v>#VALUE!</v>
      </c>
      <c r="AL89" s="234" t="str">
        <f ca="1">IFERROR(INDEX($BD$6:$BD$53,MATCH(AI89,$BN$6:$BN$53,0)),"")</f>
        <v>Colombia</v>
      </c>
      <c r="AM89" s="235">
        <f t="shared" ca="1" si="281"/>
        <v>0</v>
      </c>
      <c r="AN89" s="236">
        <f t="shared" ca="1" si="281"/>
        <v>0</v>
      </c>
      <c r="AO89" s="236">
        <f t="shared" ca="1" si="281"/>
        <v>0</v>
      </c>
      <c r="AP89" s="236">
        <f t="shared" ca="1" si="281"/>
        <v>0</v>
      </c>
      <c r="AQ89" s="236">
        <f t="shared" ca="1" si="281"/>
        <v>0</v>
      </c>
      <c r="AR89" s="236">
        <f t="shared" ca="1" si="281"/>
        <v>0</v>
      </c>
      <c r="AS89" s="236">
        <f t="shared" ca="1" si="281"/>
        <v>0</v>
      </c>
      <c r="AT89" s="237">
        <f t="shared" ca="1" si="281"/>
        <v>0</v>
      </c>
      <c r="AU89" s="418">
        <f ca="1">INDEX($DL$6:$DL$53,MATCH(AI89,$DP$6:$DP$53,0))</f>
        <v>1</v>
      </c>
      <c r="AV89" s="215" t="str">
        <f ca="1">INDEX($BD$6:$BD$53,MATCH(AI89,$BM$6:$BM$53,0))</f>
        <v>Colombia</v>
      </c>
      <c r="AW89" s="425"/>
      <c r="AX89" s="216"/>
      <c r="AY89" s="238" t="str">
        <f ca="1">+A88</f>
        <v>Colombia</v>
      </c>
      <c r="AZ89" s="239"/>
      <c r="BA89" s="173"/>
      <c r="BB89" s="730"/>
      <c r="BC89" s="730"/>
      <c r="BD89" s="730"/>
      <c r="BE89" s="730"/>
      <c r="BF89" s="730"/>
      <c r="BG89" s="730"/>
      <c r="BH89" s="730"/>
      <c r="BI89" s="730"/>
      <c r="BJ89" s="730"/>
      <c r="BK89" s="730"/>
      <c r="BL89" s="730"/>
      <c r="BM89" s="730"/>
      <c r="BN89" s="735"/>
      <c r="BO89" s="735"/>
      <c r="BP89" s="735"/>
      <c r="BQ89" s="735"/>
      <c r="BR89" s="730"/>
      <c r="BS89" s="730"/>
      <c r="BT89" s="735"/>
      <c r="BU89" s="735"/>
      <c r="BV89" s="735"/>
      <c r="BW89" s="735"/>
      <c r="BX89" s="735"/>
      <c r="BY89" s="735"/>
      <c r="BZ89" s="735"/>
      <c r="CA89" s="735"/>
      <c r="CB89" s="735"/>
      <c r="CC89" s="735"/>
      <c r="CD89" s="735"/>
      <c r="CE89" s="735"/>
      <c r="CF89" s="735"/>
      <c r="CG89" s="735"/>
      <c r="CH89" s="735"/>
      <c r="CI89" s="735"/>
      <c r="CJ89" s="735"/>
      <c r="CK89" s="735"/>
      <c r="CL89" s="735"/>
      <c r="CM89" s="735"/>
      <c r="CN89" s="735"/>
      <c r="CO89" s="735"/>
      <c r="CP89" s="735"/>
      <c r="CQ89" s="735"/>
      <c r="CR89" s="735"/>
      <c r="CS89" s="735"/>
      <c r="CT89" s="735"/>
      <c r="CU89" s="735"/>
      <c r="CV89" s="735"/>
      <c r="CW89" s="730"/>
      <c r="CX89" s="735"/>
      <c r="CY89" s="730"/>
      <c r="CZ89" s="730"/>
      <c r="DA89" s="730"/>
      <c r="DB89" s="730"/>
      <c r="DC89" s="730"/>
      <c r="DD89" s="730"/>
      <c r="DE89" s="730"/>
      <c r="DF89" s="730"/>
      <c r="DG89" s="730"/>
      <c r="DH89" s="730"/>
      <c r="DI89" s="730"/>
      <c r="DJ89" s="730"/>
      <c r="DK89" s="730"/>
      <c r="DL89" s="730"/>
      <c r="DM89" s="730"/>
      <c r="DN89" s="730"/>
      <c r="DO89" s="730"/>
      <c r="DP89" s="730"/>
      <c r="DQ89" s="730"/>
      <c r="DR89" s="730"/>
      <c r="DS89" s="730"/>
      <c r="DT89" s="730" t="str">
        <f t="shared" ca="1" si="242"/>
        <v>RD Congo-Uzbekistán</v>
      </c>
      <c r="DU89" s="730"/>
      <c r="DV89" s="730"/>
      <c r="DW89" s="8"/>
    </row>
    <row r="90" spans="1:127" ht="15" thickBot="1">
      <c r="A90" s="725"/>
      <c r="B90" s="725"/>
      <c r="C90" s="725"/>
      <c r="D90" s="730"/>
      <c r="E90" s="730"/>
      <c r="F90" s="730"/>
      <c r="G90" s="730"/>
      <c r="H90" s="730"/>
      <c r="I90" s="730"/>
      <c r="J90" s="730"/>
      <c r="K90" s="730"/>
      <c r="L90" s="730"/>
      <c r="M90" s="730"/>
      <c r="N90" s="730"/>
      <c r="O90" s="730"/>
      <c r="P90" s="730"/>
      <c r="Q90" s="730"/>
      <c r="R90" s="730"/>
      <c r="S90" s="730"/>
      <c r="T90" s="730"/>
      <c r="U90" s="730"/>
      <c r="V90" s="170"/>
      <c r="W90" s="240"/>
      <c r="X90" s="241"/>
      <c r="Y90" s="240"/>
      <c r="Z90" s="242"/>
      <c r="AA90" s="243"/>
      <c r="AB90" s="479"/>
      <c r="AC90" s="245"/>
      <c r="AD90" s="245"/>
      <c r="AE90" s="479"/>
      <c r="AF90" s="246"/>
      <c r="AG90" s="413"/>
      <c r="AH90" s="194"/>
      <c r="AI90" s="169"/>
      <c r="AJ90" s="247"/>
      <c r="AK90" s="248"/>
      <c r="AL90" s="184"/>
      <c r="AM90" s="249"/>
      <c r="AN90" s="247"/>
      <c r="AO90" s="247"/>
      <c r="AP90" s="247"/>
      <c r="AQ90" s="247"/>
      <c r="AR90" s="247"/>
      <c r="AS90" s="247"/>
      <c r="AT90" s="247"/>
      <c r="AU90" s="418"/>
      <c r="AV90" s="214"/>
      <c r="AW90" s="426"/>
      <c r="AX90" s="216"/>
      <c r="AY90" s="240"/>
      <c r="AZ90" s="241"/>
      <c r="BA90" s="173"/>
      <c r="BB90" s="730"/>
      <c r="BC90" s="730"/>
      <c r="BD90" s="730"/>
      <c r="BE90" s="730"/>
      <c r="BF90" s="730"/>
      <c r="BG90" s="730"/>
      <c r="BH90" s="730"/>
      <c r="BI90" s="730"/>
      <c r="BJ90" s="730"/>
      <c r="BK90" s="730"/>
      <c r="BL90" s="730"/>
      <c r="BM90" s="730"/>
      <c r="BN90" s="735"/>
      <c r="BO90" s="735"/>
      <c r="BP90" s="735"/>
      <c r="BQ90" s="735"/>
      <c r="BR90" s="730"/>
      <c r="BS90" s="730"/>
      <c r="BT90" s="735"/>
      <c r="BU90" s="735"/>
      <c r="BV90" s="735"/>
      <c r="BW90" s="735"/>
      <c r="BX90" s="735"/>
      <c r="BY90" s="735"/>
      <c r="BZ90" s="735"/>
      <c r="CA90" s="735"/>
      <c r="CB90" s="735"/>
      <c r="CC90" s="735"/>
      <c r="CD90" s="735"/>
      <c r="CE90" s="735"/>
      <c r="CF90" s="735"/>
      <c r="CG90" s="735"/>
      <c r="CH90" s="735"/>
      <c r="CI90" s="735"/>
      <c r="CJ90" s="735"/>
      <c r="CK90" s="735"/>
      <c r="CL90" s="735"/>
      <c r="CM90" s="735"/>
      <c r="CN90" s="735"/>
      <c r="CO90" s="735"/>
      <c r="CP90" s="735"/>
      <c r="CQ90" s="735"/>
      <c r="CR90" s="735"/>
      <c r="CS90" s="735"/>
      <c r="CT90" s="735"/>
      <c r="CU90" s="735"/>
      <c r="CV90" s="735"/>
      <c r="CW90" s="730"/>
      <c r="CX90" s="735"/>
      <c r="CY90" s="730"/>
      <c r="CZ90" s="730"/>
      <c r="DA90" s="730"/>
      <c r="DB90" s="730"/>
      <c r="DC90" s="730"/>
      <c r="DD90" s="730"/>
      <c r="DE90" s="730"/>
      <c r="DF90" s="730"/>
      <c r="DG90" s="730"/>
      <c r="DH90" s="730"/>
      <c r="DI90" s="730"/>
      <c r="DJ90" s="730"/>
      <c r="DK90" s="730"/>
      <c r="DL90" s="730"/>
      <c r="DM90" s="730"/>
      <c r="DN90" s="730"/>
      <c r="DO90" s="730"/>
      <c r="DP90" s="730"/>
      <c r="DQ90" s="730"/>
      <c r="DR90" s="730"/>
      <c r="DS90" s="730"/>
      <c r="DT90" s="730" t="str">
        <f t="shared" si="242"/>
        <v>-</v>
      </c>
      <c r="DU90" s="730"/>
      <c r="DV90" s="730"/>
      <c r="DW90" s="8"/>
    </row>
    <row r="91" spans="1:127" ht="15" thickBot="1">
      <c r="A91" s="725"/>
      <c r="B91" s="728"/>
      <c r="C91" s="725"/>
      <c r="D91" s="725"/>
      <c r="E91" s="725"/>
      <c r="F91" s="725"/>
      <c r="G91" s="725"/>
      <c r="H91" s="725"/>
      <c r="I91" s="725"/>
      <c r="J91" s="725"/>
      <c r="K91" s="725"/>
      <c r="L91" s="725"/>
      <c r="M91" s="725"/>
      <c r="N91" s="730"/>
      <c r="O91" s="730"/>
      <c r="P91" s="730"/>
      <c r="Q91" s="730"/>
      <c r="R91" s="730"/>
      <c r="S91" s="730"/>
      <c r="T91" s="730"/>
      <c r="U91" s="730"/>
      <c r="V91" s="170"/>
      <c r="W91" s="177"/>
      <c r="X91" s="178" t="str">
        <f>X3</f>
        <v>Fecha</v>
      </c>
      <c r="Y91" s="178" t="str">
        <f>Y3</f>
        <v>Hora</v>
      </c>
      <c r="Z91" s="263" t="str">
        <f>Z3</f>
        <v>Jor.</v>
      </c>
      <c r="AA91" s="264" t="str">
        <f>AA3</f>
        <v>Casa</v>
      </c>
      <c r="AB91" s="178"/>
      <c r="AC91" s="178" t="str">
        <f>AC3</f>
        <v>Gol</v>
      </c>
      <c r="AD91" s="178" t="str">
        <f>AD3</f>
        <v>Gol</v>
      </c>
      <c r="AE91" s="178"/>
      <c r="AF91" s="265" t="str">
        <f>AF3</f>
        <v>Fuera</v>
      </c>
      <c r="AG91" s="412"/>
      <c r="AH91" s="194"/>
      <c r="AI91" s="18"/>
      <c r="AJ91" s="184"/>
      <c r="AK91" s="250"/>
      <c r="AL91" s="184"/>
      <c r="AM91" s="184"/>
      <c r="AN91" s="184"/>
      <c r="AO91" s="184"/>
      <c r="AP91" s="184"/>
      <c r="AQ91" s="184"/>
      <c r="AR91" s="184"/>
      <c r="AS91" s="184"/>
      <c r="AT91" s="184"/>
      <c r="AU91" s="419"/>
      <c r="AV91" s="22"/>
      <c r="AW91" s="427"/>
      <c r="AX91" s="251"/>
      <c r="AY91" s="240"/>
      <c r="AZ91" s="241"/>
      <c r="BA91" s="173"/>
      <c r="BB91" s="730"/>
      <c r="BC91" s="730"/>
      <c r="BD91" s="730"/>
      <c r="BE91" s="730"/>
      <c r="BF91" s="730"/>
      <c r="BG91" s="730"/>
      <c r="BH91" s="730"/>
      <c r="BI91" s="730"/>
      <c r="BJ91" s="730"/>
      <c r="BK91" s="730"/>
      <c r="BL91" s="730"/>
      <c r="BM91" s="730"/>
      <c r="BN91" s="730"/>
      <c r="BO91" s="730"/>
      <c r="BP91" s="730"/>
      <c r="BQ91" s="730"/>
      <c r="BR91" s="730"/>
      <c r="BS91" s="730"/>
      <c r="BT91" s="730"/>
      <c r="BU91" s="730"/>
      <c r="BV91" s="730"/>
      <c r="BW91" s="730"/>
      <c r="BX91" s="730"/>
      <c r="BY91" s="730"/>
      <c r="BZ91" s="730"/>
      <c r="CA91" s="730"/>
      <c r="CB91" s="730"/>
      <c r="CC91" s="730"/>
      <c r="CD91" s="730"/>
      <c r="CE91" s="730"/>
      <c r="CF91" s="730"/>
      <c r="CG91" s="730"/>
      <c r="CH91" s="730"/>
      <c r="CI91" s="730"/>
      <c r="CJ91" s="730"/>
      <c r="CK91" s="730"/>
      <c r="CL91" s="730"/>
      <c r="CM91" s="730"/>
      <c r="CN91" s="730"/>
      <c r="CO91" s="730"/>
      <c r="CP91" s="730"/>
      <c r="CQ91" s="730"/>
      <c r="CR91" s="730"/>
      <c r="CS91" s="730"/>
      <c r="CT91" s="730"/>
      <c r="CU91" s="730"/>
      <c r="CV91" s="730"/>
      <c r="CW91" s="730"/>
      <c r="CX91" s="730"/>
      <c r="CY91" s="730"/>
      <c r="CZ91" s="730"/>
      <c r="DA91" s="730"/>
      <c r="DB91" s="730"/>
      <c r="DC91" s="730"/>
      <c r="DD91" s="730"/>
      <c r="DE91" s="730"/>
      <c r="DF91" s="730"/>
      <c r="DG91" s="730"/>
      <c r="DH91" s="730"/>
      <c r="DI91" s="730"/>
      <c r="DJ91" s="730"/>
      <c r="DK91" s="730"/>
      <c r="DL91" s="730"/>
      <c r="DM91" s="730"/>
      <c r="DN91" s="730"/>
      <c r="DO91" s="730"/>
      <c r="DP91" s="730"/>
      <c r="DQ91" s="730"/>
      <c r="DR91" s="730"/>
      <c r="DS91" s="730"/>
      <c r="DT91" s="730" t="str">
        <f t="shared" si="242"/>
        <v>Casa-Fuera</v>
      </c>
      <c r="DU91" s="730"/>
      <c r="DV91" s="730"/>
      <c r="DW91" s="8"/>
    </row>
    <row r="92" spans="1:127" ht="15" customHeight="1" thickBot="1">
      <c r="A92" s="727" t="s">
        <v>30</v>
      </c>
      <c r="B92" s="728" t="s">
        <v>238</v>
      </c>
      <c r="C92" s="729">
        <f>COUNTIF(Equipos!$C$2:$C$49,WORLDCUP!B92)</f>
        <v>4</v>
      </c>
      <c r="D92" s="730" t="str">
        <f t="shared" ref="D92:D97" si="283">IF(OR(AC92="",AD92=""),"Pendiente",IF(AC92&gt;AD92,"Local",IF(AC92&lt;AD92,"Visitante","Empate")))</f>
        <v>Pendiente</v>
      </c>
      <c r="E92" s="730" t="str">
        <f t="shared" ref="E92:E97" si="284">IF(D92="Pendiente","-",INDEX($BT$6:$BT$53,MATCH($AA92,$BD$6:$BD$53,0)))</f>
        <v>-</v>
      </c>
      <c r="F92" s="730" t="str">
        <f t="shared" ref="F92:F97" si="285">IF(D92="Pendiente","-",INDEX($BT$6:$BT$53,MATCH($AF92,$BD$6:$BD$53,0)))</f>
        <v>-</v>
      </c>
      <c r="G92" s="730"/>
      <c r="H92" s="730" t="str">
        <f t="shared" ref="H92:H97" si="286">IF(D92="Pendiente","-",INDEX($BZ$6:$BZ$53,MATCH($AA92,$BD$6:$BD$53,0)))</f>
        <v>-</v>
      </c>
      <c r="I92" s="730" t="str">
        <f t="shared" ref="I92:I97" si="287">IF(D92="Pendiente","-",INDEX($BZ$6:$BZ$53,MATCH($AF92,$BD$6:$BD$53,0)))</f>
        <v>-</v>
      </c>
      <c r="J92" s="730"/>
      <c r="K92" s="730" t="str">
        <f t="shared" ref="K92:K97" si="288">IF(D92="Pendiente","-",INDEX($CE$6:$CE$53,MATCH($AA92,$BD$6:$BD$53,0)))</f>
        <v>-</v>
      </c>
      <c r="L92" s="730" t="str">
        <f t="shared" ref="L92:L97" si="289">IF(D92="Pendiente","-",INDEX($CE$6:$CE$53,MATCH($AF92,$BD$6:$BD$53,0)))</f>
        <v>-</v>
      </c>
      <c r="M92" s="730"/>
      <c r="N92" s="730" t="str">
        <f t="shared" ref="N92:N97" si="290">IF(D92="Pendiente","-",INDEX($CH$6:$CH$53,MATCH($AA92,$BD$6:$BD$53,0)))</f>
        <v>-</v>
      </c>
      <c r="O92" s="730" t="str">
        <f t="shared" ref="O92:O97" si="291">IF(D92="Pendiente","-",INDEX($CH$6:$CH$53,MATCH($AF92,$BD$6:$BD$53,0)))</f>
        <v>-</v>
      </c>
      <c r="P92" s="730"/>
      <c r="Q92" s="730" t="str">
        <f t="shared" ref="Q92:Q97" si="292">IF(D92="Pendiente","-",INDEX($CN$6:$CN$53,MATCH($AA92,$BD$6:$BD$53,0)))</f>
        <v>-</v>
      </c>
      <c r="R92" s="730" t="str">
        <f t="shared" ref="R92:R97" si="293">IF(D92="Pendiente","-",INDEX($CN$6:$CN$53,MATCH($AF92,$BD$6:$BD$53,0)))</f>
        <v>-</v>
      </c>
      <c r="S92" s="730"/>
      <c r="T92" s="730" t="str">
        <f t="shared" ref="T92:T97" si="294">IF(D92="Pendiente","-",INDEX($CS$6:$CS$53,MATCH($AA92,$BD$6:$BD$53,0)))</f>
        <v>-</v>
      </c>
      <c r="U92" s="730" t="str">
        <f t="shared" ref="U92:U97" si="295">IF(D92="Pendiente","-",INDEX($CS$6:$CS$53,MATCH($AF92,$BD$6:$BD$53,0)))</f>
        <v>-</v>
      </c>
      <c r="V92" s="170"/>
      <c r="W92" s="878" t="s">
        <v>238</v>
      </c>
      <c r="X92" s="187">
        <f ca="1">Horarios!C92</f>
        <v>46190.666666666664</v>
      </c>
      <c r="Y92" s="188">
        <f ca="1">Horarios!C92</f>
        <v>46190.666666666664</v>
      </c>
      <c r="Z92" s="189" t="str">
        <f>$Z$4</f>
        <v>J1</v>
      </c>
      <c r="AA92" s="190" t="str">
        <f ca="1">A93</f>
        <v>Inglaterra</v>
      </c>
      <c r="AB92" s="475" t="e" cm="1" vm="45">
        <f t="array" aca="1" ref="AB92" ca="1">Ver_flag_local</f>
        <v>#VALUE!</v>
      </c>
      <c r="AC92" s="191"/>
      <c r="AD92" s="192"/>
      <c r="AE92" s="480" t="e" cm="1" vm="46">
        <f t="array" aca="1" ref="AE92" ca="1">Ver_flag_visit</f>
        <v>#VALUE!</v>
      </c>
      <c r="AF92" s="193" t="str">
        <f ca="1">A94</f>
        <v>Croacia</v>
      </c>
      <c r="AG92" s="411">
        <f t="shared" ref="AG92:AG97" si="296">IF(NOT(OR(ISBLANK(AC92),ISBLANK(AD92))),1,0)</f>
        <v>0</v>
      </c>
      <c r="AH92" s="194">
        <v>22</v>
      </c>
      <c r="AI92" s="19"/>
      <c r="AJ92" s="195" t="str">
        <f>CONCATENATE(AJ3," ",B92)</f>
        <v>Grupo L</v>
      </c>
      <c r="AK92" s="196"/>
      <c r="AL92" s="196"/>
      <c r="AM92" s="196"/>
      <c r="AN92" s="196"/>
      <c r="AO92" s="196"/>
      <c r="AP92" s="196"/>
      <c r="AQ92" s="196"/>
      <c r="AR92" s="196"/>
      <c r="AS92" s="196"/>
      <c r="AT92" s="197"/>
      <c r="AU92" s="419"/>
      <c r="AV92" s="198" t="str">
        <f t="shared" ref="AV92" ca="1" si="297">IF(AU93&gt;0,$AV$3,"")</f>
        <v/>
      </c>
      <c r="AW92" s="206"/>
      <c r="AX92" s="253"/>
      <c r="AY92" s="240"/>
      <c r="AZ92" s="241"/>
      <c r="BA92" s="173"/>
      <c r="BB92" s="730"/>
      <c r="BC92" s="730"/>
      <c r="BD92" s="730"/>
      <c r="BE92" s="730"/>
      <c r="BF92" s="730"/>
      <c r="BG92" s="730"/>
      <c r="BH92" s="730"/>
      <c r="BI92" s="730"/>
      <c r="BJ92" s="730"/>
      <c r="BK92" s="730"/>
      <c r="BL92" s="730"/>
      <c r="BM92" s="730"/>
      <c r="BN92" s="730"/>
      <c r="BO92" s="730"/>
      <c r="BP92" s="730"/>
      <c r="BQ92" s="730"/>
      <c r="BR92" s="730"/>
      <c r="BS92" s="730"/>
      <c r="BT92" s="730"/>
      <c r="BU92" s="730"/>
      <c r="BV92" s="730"/>
      <c r="BW92" s="730"/>
      <c r="BX92" s="730"/>
      <c r="BY92" s="730"/>
      <c r="BZ92" s="730"/>
      <c r="CA92" s="730"/>
      <c r="CB92" s="730"/>
      <c r="CC92" s="730"/>
      <c r="CD92" s="730"/>
      <c r="CE92" s="730"/>
      <c r="CF92" s="730"/>
      <c r="CG92" s="730"/>
      <c r="CH92" s="730"/>
      <c r="CI92" s="730"/>
      <c r="CJ92" s="730"/>
      <c r="CK92" s="730"/>
      <c r="CL92" s="730"/>
      <c r="CM92" s="730"/>
      <c r="CN92" s="730"/>
      <c r="CO92" s="730"/>
      <c r="CP92" s="730"/>
      <c r="CQ92" s="730"/>
      <c r="CR92" s="730"/>
      <c r="CS92" s="730"/>
      <c r="CT92" s="730"/>
      <c r="CU92" s="730"/>
      <c r="CV92" s="730"/>
      <c r="CW92" s="730"/>
      <c r="CX92" s="735"/>
      <c r="CY92" s="730"/>
      <c r="CZ92" s="730"/>
      <c r="DA92" s="730"/>
      <c r="DB92" s="730"/>
      <c r="DC92" s="730"/>
      <c r="DD92" s="730"/>
      <c r="DE92" s="730"/>
      <c r="DF92" s="730"/>
      <c r="DG92" s="730"/>
      <c r="DH92" s="730"/>
      <c r="DI92" s="730"/>
      <c r="DJ92" s="730"/>
      <c r="DK92" s="730"/>
      <c r="DL92" s="730"/>
      <c r="DM92" s="730"/>
      <c r="DN92" s="730"/>
      <c r="DO92" s="730"/>
      <c r="DP92" s="730"/>
      <c r="DQ92" s="730"/>
      <c r="DR92" s="730"/>
      <c r="DS92" s="730"/>
      <c r="DT92" s="730" t="str">
        <f t="shared" ca="1" si="242"/>
        <v>Inglaterra-Croacia</v>
      </c>
      <c r="DU92" s="730"/>
      <c r="DV92" s="730"/>
      <c r="DW92" s="8"/>
    </row>
    <row r="93" spans="1:127" ht="16.05" customHeight="1">
      <c r="A93" s="731" t="str">
        <f ca="1">+Equipos!B46</f>
        <v>Inglaterra</v>
      </c>
      <c r="B93" s="728"/>
      <c r="C93" s="728"/>
      <c r="D93" s="730" t="str">
        <f t="shared" si="283"/>
        <v>Pendiente</v>
      </c>
      <c r="E93" s="730" t="str">
        <f t="shared" si="284"/>
        <v>-</v>
      </c>
      <c r="F93" s="730" t="str">
        <f t="shared" si="285"/>
        <v>-</v>
      </c>
      <c r="G93" s="730"/>
      <c r="H93" s="730" t="str">
        <f t="shared" si="286"/>
        <v>-</v>
      </c>
      <c r="I93" s="730" t="str">
        <f t="shared" si="287"/>
        <v>-</v>
      </c>
      <c r="J93" s="730"/>
      <c r="K93" s="730" t="str">
        <f t="shared" si="288"/>
        <v>-</v>
      </c>
      <c r="L93" s="730" t="str">
        <f t="shared" si="289"/>
        <v>-</v>
      </c>
      <c r="M93" s="730"/>
      <c r="N93" s="730" t="str">
        <f t="shared" si="290"/>
        <v>-</v>
      </c>
      <c r="O93" s="730" t="str">
        <f t="shared" si="291"/>
        <v>-</v>
      </c>
      <c r="P93" s="730"/>
      <c r="Q93" s="730" t="str">
        <f t="shared" si="292"/>
        <v>-</v>
      </c>
      <c r="R93" s="730" t="str">
        <f t="shared" si="293"/>
        <v>-</v>
      </c>
      <c r="S93" s="730"/>
      <c r="T93" s="730" t="str">
        <f t="shared" si="294"/>
        <v>-</v>
      </c>
      <c r="U93" s="730" t="str">
        <f t="shared" si="295"/>
        <v>-</v>
      </c>
      <c r="V93" s="170"/>
      <c r="W93" s="878"/>
      <c r="X93" s="187">
        <f ca="1">Horarios!C93</f>
        <v>46190.791666666664</v>
      </c>
      <c r="Y93" s="188">
        <f ca="1">Horarios!C93</f>
        <v>46190.791666666664</v>
      </c>
      <c r="Z93" s="189" t="str">
        <f>$Z$4</f>
        <v>J1</v>
      </c>
      <c r="AA93" s="190" t="str">
        <f ca="1">A95</f>
        <v>Ghana</v>
      </c>
      <c r="AB93" s="475" t="e" cm="1" vm="47">
        <f t="array" aca="1" ref="AB93" ca="1">Ver_flag_local</f>
        <v>#VALUE!</v>
      </c>
      <c r="AC93" s="191"/>
      <c r="AD93" s="192"/>
      <c r="AE93" s="480" t="e" cm="1" vm="48">
        <f t="array" aca="1" ref="AE93" ca="1">Ver_flag_visit</f>
        <v>#VALUE!</v>
      </c>
      <c r="AF93" s="193" t="str">
        <f ca="1">A96</f>
        <v>Panamá</v>
      </c>
      <c r="AG93" s="411">
        <f t="shared" si="296"/>
        <v>0</v>
      </c>
      <c r="AH93" s="194">
        <v>21</v>
      </c>
      <c r="AI93" s="19"/>
      <c r="AJ93" s="202" t="str">
        <f>AJ5</f>
        <v>Pos</v>
      </c>
      <c r="AK93" s="203"/>
      <c r="AL93" s="204" t="str">
        <f t="shared" ref="AL93:AT93" si="298">AL5</f>
        <v>Selección</v>
      </c>
      <c r="AM93" s="203" t="str">
        <f t="shared" si="298"/>
        <v>Pts</v>
      </c>
      <c r="AN93" s="203" t="str">
        <f t="shared" si="298"/>
        <v>J</v>
      </c>
      <c r="AO93" s="203" t="str">
        <f t="shared" si="298"/>
        <v>G</v>
      </c>
      <c r="AP93" s="203" t="str">
        <f t="shared" si="298"/>
        <v>E</v>
      </c>
      <c r="AQ93" s="203" t="str">
        <f t="shared" si="298"/>
        <v>P</v>
      </c>
      <c r="AR93" s="203" t="str">
        <f t="shared" si="298"/>
        <v>GF</v>
      </c>
      <c r="AS93" s="203" t="str">
        <f t="shared" si="298"/>
        <v>GC</v>
      </c>
      <c r="AT93" s="205" t="str">
        <f t="shared" si="298"/>
        <v>DG</v>
      </c>
      <c r="AU93" s="419">
        <f t="shared" ref="AU93" ca="1" si="299">COUNTIF(AU94:AU97,"&gt;1")</f>
        <v>0</v>
      </c>
      <c r="AV93" s="206"/>
      <c r="AW93" s="206"/>
      <c r="AX93" s="253"/>
      <c r="AY93" s="207" t="str">
        <f>AL93</f>
        <v>Selección</v>
      </c>
      <c r="AZ93" s="208" t="str">
        <f>+Idiomas!$D$69</f>
        <v>Puntos penalizados</v>
      </c>
      <c r="BA93" s="173"/>
      <c r="BB93" s="730"/>
      <c r="BC93" s="730"/>
      <c r="BD93" s="730"/>
      <c r="BE93" s="730"/>
      <c r="BF93" s="730"/>
      <c r="BG93" s="730"/>
      <c r="BH93" s="730"/>
      <c r="BI93" s="730"/>
      <c r="BJ93" s="730"/>
      <c r="BK93" s="730"/>
      <c r="BL93" s="730"/>
      <c r="BM93" s="730"/>
      <c r="BN93" s="733"/>
      <c r="BO93" s="733"/>
      <c r="BP93" s="733"/>
      <c r="BQ93" s="733"/>
      <c r="BR93" s="730"/>
      <c r="BS93" s="730"/>
      <c r="BT93" s="733"/>
      <c r="BU93" s="733"/>
      <c r="BV93" s="733"/>
      <c r="BW93" s="733"/>
      <c r="BX93" s="733"/>
      <c r="BY93" s="733"/>
      <c r="BZ93" s="733"/>
      <c r="CA93" s="733"/>
      <c r="CB93" s="733"/>
      <c r="CC93" s="733"/>
      <c r="CD93" s="733"/>
      <c r="CE93" s="733"/>
      <c r="CF93" s="733"/>
      <c r="CG93" s="733"/>
      <c r="CH93" s="733"/>
      <c r="CI93" s="733"/>
      <c r="CJ93" s="733"/>
      <c r="CK93" s="733"/>
      <c r="CL93" s="733"/>
      <c r="CM93" s="733"/>
      <c r="CN93" s="733"/>
      <c r="CO93" s="733"/>
      <c r="CP93" s="733"/>
      <c r="CQ93" s="733"/>
      <c r="CR93" s="733"/>
      <c r="CS93" s="733"/>
      <c r="CT93" s="733"/>
      <c r="CU93" s="733"/>
      <c r="CV93" s="733"/>
      <c r="CW93" s="730"/>
      <c r="CX93" s="733"/>
      <c r="CY93" s="730"/>
      <c r="CZ93" s="730"/>
      <c r="DA93" s="730"/>
      <c r="DB93" s="730"/>
      <c r="DC93" s="730"/>
      <c r="DD93" s="730"/>
      <c r="DE93" s="730"/>
      <c r="DF93" s="730"/>
      <c r="DG93" s="730"/>
      <c r="DH93" s="730"/>
      <c r="DI93" s="730"/>
      <c r="DJ93" s="730"/>
      <c r="DK93" s="730"/>
      <c r="DL93" s="730"/>
      <c r="DM93" s="730"/>
      <c r="DN93" s="730"/>
      <c r="DO93" s="730"/>
      <c r="DP93" s="730"/>
      <c r="DQ93" s="730"/>
      <c r="DR93" s="730"/>
      <c r="DS93" s="730"/>
      <c r="DT93" s="730" t="str">
        <f t="shared" ca="1" si="242"/>
        <v>Ghana-Panamá</v>
      </c>
      <c r="DU93" s="730"/>
      <c r="DV93" s="730"/>
      <c r="DW93" s="8"/>
    </row>
    <row r="94" spans="1:127" ht="16.05" customHeight="1">
      <c r="A94" s="731" t="str">
        <f ca="1">+Equipos!B47</f>
        <v>Croacia</v>
      </c>
      <c r="B94" s="728"/>
      <c r="C94" s="732"/>
      <c r="D94" s="730" t="str">
        <f t="shared" si="283"/>
        <v>Pendiente</v>
      </c>
      <c r="E94" s="730" t="str">
        <f t="shared" si="284"/>
        <v>-</v>
      </c>
      <c r="F94" s="730" t="str">
        <f t="shared" si="285"/>
        <v>-</v>
      </c>
      <c r="G94" s="730"/>
      <c r="H94" s="730" t="str">
        <f t="shared" si="286"/>
        <v>-</v>
      </c>
      <c r="I94" s="730" t="str">
        <f t="shared" si="287"/>
        <v>-</v>
      </c>
      <c r="J94" s="730"/>
      <c r="K94" s="730" t="str">
        <f t="shared" si="288"/>
        <v>-</v>
      </c>
      <c r="L94" s="730" t="str">
        <f t="shared" si="289"/>
        <v>-</v>
      </c>
      <c r="M94" s="730"/>
      <c r="N94" s="730" t="str">
        <f t="shared" si="290"/>
        <v>-</v>
      </c>
      <c r="O94" s="730" t="str">
        <f t="shared" si="291"/>
        <v>-</v>
      </c>
      <c r="P94" s="730"/>
      <c r="Q94" s="730" t="str">
        <f t="shared" si="292"/>
        <v>-</v>
      </c>
      <c r="R94" s="730" t="str">
        <f t="shared" si="293"/>
        <v>-</v>
      </c>
      <c r="S94" s="730"/>
      <c r="T94" s="730" t="str">
        <f t="shared" si="294"/>
        <v>-</v>
      </c>
      <c r="U94" s="730" t="str">
        <f t="shared" si="295"/>
        <v>-</v>
      </c>
      <c r="V94" s="170"/>
      <c r="W94" s="878"/>
      <c r="X94" s="187">
        <f ca="1">Horarios!C94</f>
        <v>46196.666666666664</v>
      </c>
      <c r="Y94" s="188">
        <f ca="1">Horarios!C94</f>
        <v>46196.666666666664</v>
      </c>
      <c r="Z94" s="189" t="str">
        <f>$Z$6</f>
        <v>J2</v>
      </c>
      <c r="AA94" s="190" t="str">
        <f ca="1">A93</f>
        <v>Inglaterra</v>
      </c>
      <c r="AB94" s="475" t="e" cm="1" vm="45">
        <f t="array" aca="1" ref="AB94" ca="1">Ver_flag_local</f>
        <v>#VALUE!</v>
      </c>
      <c r="AC94" s="191"/>
      <c r="AD94" s="192"/>
      <c r="AE94" s="480" t="e" cm="1" vm="47">
        <f t="array" aca="1" ref="AE94" ca="1">Ver_flag_visit</f>
        <v>#VALUE!</v>
      </c>
      <c r="AF94" s="193" t="str">
        <f ca="1">A95</f>
        <v>Ghana</v>
      </c>
      <c r="AG94" s="411">
        <f t="shared" si="296"/>
        <v>0</v>
      </c>
      <c r="AH94" s="194">
        <v>45</v>
      </c>
      <c r="AI94" s="19" t="str">
        <f>AJ94&amp;$B$92</f>
        <v>1L</v>
      </c>
      <c r="AJ94" s="209">
        <v>1</v>
      </c>
      <c r="AK94" s="485" t="e" cm="1" vm="45">
        <f t="array" aca="1" ref="AK94" ca="1">Ver_flag_visit</f>
        <v>#VALUE!</v>
      </c>
      <c r="AL94" s="210" t="str">
        <f ca="1">IFERROR(INDEX($BD$6:$BD$53,MATCH(AI94,$BN$6:$BN$53,0)),"")</f>
        <v>Inglaterra</v>
      </c>
      <c r="AM94" s="211">
        <f t="shared" ref="AM94:AT97" ca="1" si="300">INDEX($BE$6:$BN$53,MATCH($AL94,$BD$6:$BD$53,0),MATCH(AM$5,$BE$5:$BN$5,0))</f>
        <v>0</v>
      </c>
      <c r="AN94" s="212">
        <f t="shared" ca="1" si="300"/>
        <v>0</v>
      </c>
      <c r="AO94" s="212">
        <f t="shared" ca="1" si="300"/>
        <v>0</v>
      </c>
      <c r="AP94" s="212">
        <f t="shared" ca="1" si="300"/>
        <v>0</v>
      </c>
      <c r="AQ94" s="212">
        <f t="shared" ca="1" si="300"/>
        <v>0</v>
      </c>
      <c r="AR94" s="212">
        <f t="shared" ca="1" si="300"/>
        <v>0</v>
      </c>
      <c r="AS94" s="212">
        <f t="shared" ca="1" si="300"/>
        <v>0</v>
      </c>
      <c r="AT94" s="213">
        <f t="shared" ca="1" si="300"/>
        <v>0</v>
      </c>
      <c r="AU94" s="418">
        <f ca="1">INDEX($DL$6:$DL$53,MATCH(AI94,$DP$6:$DP$53,0))</f>
        <v>1</v>
      </c>
      <c r="AV94" s="215" t="str">
        <f ca="1">INDEX($BD$6:$BD$53,MATCH(AI94,$BM$6:$BM$53,0))</f>
        <v>Inglaterra</v>
      </c>
      <c r="AW94" s="425"/>
      <c r="AX94" s="216"/>
      <c r="AY94" s="217" t="str">
        <f ca="1">+A93</f>
        <v>Inglaterra</v>
      </c>
      <c r="AZ94" s="218"/>
      <c r="BA94" s="173"/>
      <c r="BB94" s="730"/>
      <c r="BC94" s="730"/>
      <c r="BD94" s="730"/>
      <c r="BE94" s="730"/>
      <c r="BF94" s="730"/>
      <c r="BG94" s="730"/>
      <c r="BH94" s="730"/>
      <c r="BI94" s="730"/>
      <c r="BJ94" s="730"/>
      <c r="BK94" s="730"/>
      <c r="BL94" s="730"/>
      <c r="BM94" s="730"/>
      <c r="BN94" s="735"/>
      <c r="BO94" s="735"/>
      <c r="BP94" s="735"/>
      <c r="BQ94" s="735"/>
      <c r="BR94" s="730"/>
      <c r="BS94" s="730"/>
      <c r="BT94" s="735"/>
      <c r="BU94" s="735"/>
      <c r="BV94" s="735"/>
      <c r="BW94" s="735"/>
      <c r="BX94" s="735"/>
      <c r="BY94" s="735"/>
      <c r="BZ94" s="735"/>
      <c r="CA94" s="735"/>
      <c r="CB94" s="735"/>
      <c r="CC94" s="735"/>
      <c r="CD94" s="735"/>
      <c r="CE94" s="735"/>
      <c r="CF94" s="735"/>
      <c r="CG94" s="735"/>
      <c r="CH94" s="735"/>
      <c r="CI94" s="735"/>
      <c r="CJ94" s="735"/>
      <c r="CK94" s="735"/>
      <c r="CL94" s="735"/>
      <c r="CM94" s="735"/>
      <c r="CN94" s="735"/>
      <c r="CO94" s="735"/>
      <c r="CP94" s="735"/>
      <c r="CQ94" s="735"/>
      <c r="CR94" s="735"/>
      <c r="CS94" s="735"/>
      <c r="CT94" s="735"/>
      <c r="CU94" s="735"/>
      <c r="CV94" s="735"/>
      <c r="CW94" s="730"/>
      <c r="CX94" s="735"/>
      <c r="CY94" s="730"/>
      <c r="CZ94" s="730"/>
      <c r="DA94" s="730"/>
      <c r="DB94" s="730"/>
      <c r="DC94" s="730"/>
      <c r="DD94" s="730"/>
      <c r="DE94" s="730"/>
      <c r="DF94" s="730"/>
      <c r="DG94" s="730"/>
      <c r="DH94" s="730"/>
      <c r="DI94" s="730"/>
      <c r="DJ94" s="730"/>
      <c r="DK94" s="730"/>
      <c r="DL94" s="730"/>
      <c r="DM94" s="730"/>
      <c r="DN94" s="730"/>
      <c r="DO94" s="730"/>
      <c r="DP94" s="730"/>
      <c r="DQ94" s="730"/>
      <c r="DR94" s="730"/>
      <c r="DS94" s="730"/>
      <c r="DT94" s="730" t="str">
        <f t="shared" ca="1" si="242"/>
        <v>Inglaterra-Ghana</v>
      </c>
      <c r="DU94" s="730"/>
      <c r="DV94" s="730"/>
      <c r="DW94" s="8"/>
    </row>
    <row r="95" spans="1:127" ht="16.05" customHeight="1">
      <c r="A95" s="731" t="str">
        <f ca="1">+Equipos!B48</f>
        <v>Ghana</v>
      </c>
      <c r="B95" s="728"/>
      <c r="C95" s="730"/>
      <c r="D95" s="730" t="str">
        <f t="shared" si="283"/>
        <v>Pendiente</v>
      </c>
      <c r="E95" s="730" t="str">
        <f t="shared" si="284"/>
        <v>-</v>
      </c>
      <c r="F95" s="730" t="str">
        <f t="shared" si="285"/>
        <v>-</v>
      </c>
      <c r="G95" s="730"/>
      <c r="H95" s="730" t="str">
        <f t="shared" si="286"/>
        <v>-</v>
      </c>
      <c r="I95" s="730" t="str">
        <f t="shared" si="287"/>
        <v>-</v>
      </c>
      <c r="J95" s="730"/>
      <c r="K95" s="730" t="str">
        <f t="shared" si="288"/>
        <v>-</v>
      </c>
      <c r="L95" s="730" t="str">
        <f t="shared" si="289"/>
        <v>-</v>
      </c>
      <c r="M95" s="730"/>
      <c r="N95" s="730" t="str">
        <f t="shared" si="290"/>
        <v>-</v>
      </c>
      <c r="O95" s="730" t="str">
        <f t="shared" si="291"/>
        <v>-</v>
      </c>
      <c r="P95" s="730"/>
      <c r="Q95" s="730" t="str">
        <f t="shared" si="292"/>
        <v>-</v>
      </c>
      <c r="R95" s="730" t="str">
        <f t="shared" si="293"/>
        <v>-</v>
      </c>
      <c r="S95" s="730"/>
      <c r="T95" s="730" t="str">
        <f t="shared" si="294"/>
        <v>-</v>
      </c>
      <c r="U95" s="730" t="str">
        <f t="shared" si="295"/>
        <v>-</v>
      </c>
      <c r="V95" s="170"/>
      <c r="W95" s="878"/>
      <c r="X95" s="187">
        <f ca="1">Horarios!C95</f>
        <v>46196.791666666664</v>
      </c>
      <c r="Y95" s="188">
        <f ca="1">Horarios!C95</f>
        <v>46196.791666666664</v>
      </c>
      <c r="Z95" s="189" t="str">
        <f>$Z$6</f>
        <v>J2</v>
      </c>
      <c r="AA95" s="190" t="str">
        <f ca="1">A96</f>
        <v>Panamá</v>
      </c>
      <c r="AB95" s="475" t="e" cm="1" vm="48">
        <f t="array" aca="1" ref="AB95" ca="1">Ver_flag_local</f>
        <v>#VALUE!</v>
      </c>
      <c r="AC95" s="191"/>
      <c r="AD95" s="192"/>
      <c r="AE95" s="480" t="e" cm="1" vm="46">
        <f t="array" aca="1" ref="AE95" ca="1">Ver_flag_visit</f>
        <v>#VALUE!</v>
      </c>
      <c r="AF95" s="193" t="str">
        <f ca="1">A94</f>
        <v>Croacia</v>
      </c>
      <c r="AG95" s="411">
        <f t="shared" si="296"/>
        <v>0</v>
      </c>
      <c r="AH95" s="194">
        <v>46</v>
      </c>
      <c r="AI95" s="19" t="str">
        <f t="shared" ref="AI95:AI97" si="301">AJ95&amp;$B$92</f>
        <v>2L</v>
      </c>
      <c r="AJ95" s="219">
        <v>2</v>
      </c>
      <c r="AK95" s="483" t="e" cm="1" vm="46">
        <f t="array" aca="1" ref="AK95" ca="1">Ver_flag_visit</f>
        <v>#VALUE!</v>
      </c>
      <c r="AL95" s="220" t="str">
        <f ca="1">IFERROR(INDEX($BD$6:$BD$53,MATCH(AI95,$BN$6:$BN$53,0)),"")</f>
        <v>Croacia</v>
      </c>
      <c r="AM95" s="221">
        <f t="shared" ca="1" si="300"/>
        <v>0</v>
      </c>
      <c r="AN95" s="222">
        <f t="shared" ca="1" si="300"/>
        <v>0</v>
      </c>
      <c r="AO95" s="222">
        <f t="shared" ca="1" si="300"/>
        <v>0</v>
      </c>
      <c r="AP95" s="222">
        <f t="shared" ca="1" si="300"/>
        <v>0</v>
      </c>
      <c r="AQ95" s="222">
        <f t="shared" ca="1" si="300"/>
        <v>0</v>
      </c>
      <c r="AR95" s="222">
        <f t="shared" ca="1" si="300"/>
        <v>0</v>
      </c>
      <c r="AS95" s="222">
        <f t="shared" ca="1" si="300"/>
        <v>0</v>
      </c>
      <c r="AT95" s="223">
        <f t="shared" ca="1" si="300"/>
        <v>0</v>
      </c>
      <c r="AU95" s="418">
        <f ca="1">INDEX($DL$6:$DL$53,MATCH(AI95,$DP$6:$DP$53,0))</f>
        <v>1</v>
      </c>
      <c r="AV95" s="215" t="str">
        <f ca="1">INDEX($BD$6:$BD$53,MATCH(AI95,$BM$6:$BM$53,0))</f>
        <v>Croacia</v>
      </c>
      <c r="AW95" s="425"/>
      <c r="AX95" s="216"/>
      <c r="AY95" s="224" t="str">
        <f ca="1">+A94</f>
        <v>Croacia</v>
      </c>
      <c r="AZ95" s="225"/>
      <c r="BA95" s="173"/>
      <c r="BB95" s="730"/>
      <c r="BC95" s="730"/>
      <c r="BD95" s="730"/>
      <c r="BE95" s="730"/>
      <c r="BF95" s="730"/>
      <c r="BG95" s="730"/>
      <c r="BH95" s="730"/>
      <c r="BI95" s="730"/>
      <c r="BJ95" s="730"/>
      <c r="BK95" s="730"/>
      <c r="BL95" s="730"/>
      <c r="BM95" s="730"/>
      <c r="BN95" s="735"/>
      <c r="BO95" s="735"/>
      <c r="BP95" s="735"/>
      <c r="BQ95" s="735"/>
      <c r="BR95" s="730"/>
      <c r="BS95" s="730"/>
      <c r="BT95" s="735"/>
      <c r="BU95" s="735"/>
      <c r="BV95" s="735"/>
      <c r="BW95" s="735"/>
      <c r="BX95" s="735"/>
      <c r="BY95" s="735"/>
      <c r="BZ95" s="735"/>
      <c r="CA95" s="735"/>
      <c r="CB95" s="735"/>
      <c r="CC95" s="735"/>
      <c r="CD95" s="735"/>
      <c r="CE95" s="735"/>
      <c r="CF95" s="735"/>
      <c r="CG95" s="735"/>
      <c r="CH95" s="735"/>
      <c r="CI95" s="735"/>
      <c r="CJ95" s="735"/>
      <c r="CK95" s="735"/>
      <c r="CL95" s="735"/>
      <c r="CM95" s="735"/>
      <c r="CN95" s="735"/>
      <c r="CO95" s="735"/>
      <c r="CP95" s="735"/>
      <c r="CQ95" s="735"/>
      <c r="CR95" s="735"/>
      <c r="CS95" s="735"/>
      <c r="CT95" s="735"/>
      <c r="CU95" s="735"/>
      <c r="CV95" s="735"/>
      <c r="CW95" s="730"/>
      <c r="CX95" s="735"/>
      <c r="CY95" s="730"/>
      <c r="CZ95" s="730"/>
      <c r="DA95" s="730"/>
      <c r="DB95" s="730"/>
      <c r="DC95" s="730"/>
      <c r="DD95" s="730"/>
      <c r="DE95" s="730"/>
      <c r="DF95" s="730"/>
      <c r="DG95" s="730"/>
      <c r="DH95" s="730"/>
      <c r="DI95" s="730"/>
      <c r="DJ95" s="730"/>
      <c r="DK95" s="730"/>
      <c r="DL95" s="730"/>
      <c r="DM95" s="730"/>
      <c r="DN95" s="730"/>
      <c r="DO95" s="730"/>
      <c r="DP95" s="730"/>
      <c r="DQ95" s="730"/>
      <c r="DR95" s="730"/>
      <c r="DS95" s="730"/>
      <c r="DT95" s="730" t="str">
        <f t="shared" ca="1" si="242"/>
        <v>Panamá-Croacia</v>
      </c>
      <c r="DU95" s="730"/>
      <c r="DV95" s="730"/>
      <c r="DW95" s="8"/>
    </row>
    <row r="96" spans="1:127" ht="16.05" customHeight="1">
      <c r="A96" s="731" t="str">
        <f ca="1">+Equipos!B49</f>
        <v>Panamá</v>
      </c>
      <c r="B96" s="728"/>
      <c r="C96" s="730"/>
      <c r="D96" s="730" t="str">
        <f t="shared" si="283"/>
        <v>Pendiente</v>
      </c>
      <c r="E96" s="730" t="str">
        <f t="shared" si="284"/>
        <v>-</v>
      </c>
      <c r="F96" s="730" t="str">
        <f t="shared" si="285"/>
        <v>-</v>
      </c>
      <c r="G96" s="730"/>
      <c r="H96" s="730" t="str">
        <f t="shared" si="286"/>
        <v>-</v>
      </c>
      <c r="I96" s="730" t="str">
        <f t="shared" si="287"/>
        <v>-</v>
      </c>
      <c r="J96" s="730"/>
      <c r="K96" s="730" t="str">
        <f t="shared" si="288"/>
        <v>-</v>
      </c>
      <c r="L96" s="730" t="str">
        <f t="shared" si="289"/>
        <v>-</v>
      </c>
      <c r="M96" s="730"/>
      <c r="N96" s="730" t="str">
        <f t="shared" si="290"/>
        <v>-</v>
      </c>
      <c r="O96" s="730" t="str">
        <f t="shared" si="291"/>
        <v>-</v>
      </c>
      <c r="P96" s="730"/>
      <c r="Q96" s="730" t="str">
        <f t="shared" si="292"/>
        <v>-</v>
      </c>
      <c r="R96" s="730" t="str">
        <f t="shared" si="293"/>
        <v>-</v>
      </c>
      <c r="S96" s="730"/>
      <c r="T96" s="730" t="str">
        <f t="shared" si="294"/>
        <v>-</v>
      </c>
      <c r="U96" s="730" t="str">
        <f t="shared" si="295"/>
        <v>-</v>
      </c>
      <c r="V96" s="170"/>
      <c r="W96" s="878"/>
      <c r="X96" s="187">
        <f ca="1">Horarios!C96</f>
        <v>46200.708333333336</v>
      </c>
      <c r="Y96" s="188">
        <f ca="1">Horarios!C96</f>
        <v>46200.708333333336</v>
      </c>
      <c r="Z96" s="189" t="str">
        <f>$Z$8</f>
        <v>J3</v>
      </c>
      <c r="AA96" s="190" t="str">
        <f ca="1">A96</f>
        <v>Panamá</v>
      </c>
      <c r="AB96" s="475" t="e" cm="1" vm="48">
        <f t="array" aca="1" ref="AB96" ca="1">Ver_flag_local</f>
        <v>#VALUE!</v>
      </c>
      <c r="AC96" s="191"/>
      <c r="AD96" s="192"/>
      <c r="AE96" s="480" t="e" cm="1" vm="45">
        <f t="array" aca="1" ref="AE96" ca="1">Ver_flag_visit</f>
        <v>#VALUE!</v>
      </c>
      <c r="AF96" s="193" t="str">
        <f ca="1">A93</f>
        <v>Inglaterra</v>
      </c>
      <c r="AG96" s="411">
        <f t="shared" si="296"/>
        <v>0</v>
      </c>
      <c r="AH96" s="194">
        <v>67</v>
      </c>
      <c r="AI96" s="19" t="str">
        <f t="shared" si="301"/>
        <v>3L</v>
      </c>
      <c r="AJ96" s="219">
        <v>3</v>
      </c>
      <c r="AK96" s="483" t="e" cm="1" vm="47">
        <f t="array" aca="1" ref="AK96" ca="1">Ver_flag_visit</f>
        <v>#VALUE!</v>
      </c>
      <c r="AL96" s="220" t="str">
        <f ca="1">IFERROR(INDEX($BD$6:$BD$53,MATCH(AI96,$BN$6:$BN$53,0)),"")</f>
        <v>Ghana</v>
      </c>
      <c r="AM96" s="221">
        <f t="shared" ca="1" si="300"/>
        <v>0</v>
      </c>
      <c r="AN96" s="222">
        <f t="shared" ca="1" si="300"/>
        <v>0</v>
      </c>
      <c r="AO96" s="222">
        <f t="shared" ca="1" si="300"/>
        <v>0</v>
      </c>
      <c r="AP96" s="222">
        <f t="shared" ca="1" si="300"/>
        <v>0</v>
      </c>
      <c r="AQ96" s="222">
        <f t="shared" ca="1" si="300"/>
        <v>0</v>
      </c>
      <c r="AR96" s="222">
        <f t="shared" ca="1" si="300"/>
        <v>0</v>
      </c>
      <c r="AS96" s="222">
        <f t="shared" ca="1" si="300"/>
        <v>0</v>
      </c>
      <c r="AT96" s="223">
        <f t="shared" ca="1" si="300"/>
        <v>0</v>
      </c>
      <c r="AU96" s="418">
        <f ca="1">INDEX($DL$6:$DL$53,MATCH(AI96,$DP$6:$DP$53,0))</f>
        <v>1</v>
      </c>
      <c r="AV96" s="215" t="str">
        <f ca="1">INDEX($BD$6:$BD$53,MATCH(AI96,$BM$6:$BM$53,0))</f>
        <v>Ghana</v>
      </c>
      <c r="AW96" s="425"/>
      <c r="AX96" s="216"/>
      <c r="AY96" s="217" t="str">
        <f ca="1">+A95</f>
        <v>Ghana</v>
      </c>
      <c r="AZ96" s="218"/>
      <c r="BA96" s="173"/>
      <c r="BB96" s="730"/>
      <c r="BC96" s="730"/>
      <c r="BD96" s="730"/>
      <c r="BE96" s="730"/>
      <c r="BF96" s="730"/>
      <c r="BG96" s="730"/>
      <c r="BH96" s="730"/>
      <c r="BI96" s="730"/>
      <c r="BJ96" s="730"/>
      <c r="BK96" s="730"/>
      <c r="BL96" s="730"/>
      <c r="BM96" s="730"/>
      <c r="BN96" s="735"/>
      <c r="BO96" s="735"/>
      <c r="BP96" s="735"/>
      <c r="BQ96" s="735"/>
      <c r="BR96" s="730"/>
      <c r="BS96" s="730"/>
      <c r="BT96" s="735"/>
      <c r="BU96" s="735"/>
      <c r="BV96" s="735"/>
      <c r="BW96" s="735"/>
      <c r="BX96" s="735"/>
      <c r="BY96" s="735"/>
      <c r="BZ96" s="735"/>
      <c r="CA96" s="735"/>
      <c r="CB96" s="735"/>
      <c r="CC96" s="735"/>
      <c r="CD96" s="735"/>
      <c r="CE96" s="735"/>
      <c r="CF96" s="735"/>
      <c r="CG96" s="735"/>
      <c r="CH96" s="735"/>
      <c r="CI96" s="735"/>
      <c r="CJ96" s="735"/>
      <c r="CK96" s="735"/>
      <c r="CL96" s="735"/>
      <c r="CM96" s="735"/>
      <c r="CN96" s="735"/>
      <c r="CO96" s="735"/>
      <c r="CP96" s="735"/>
      <c r="CQ96" s="735"/>
      <c r="CR96" s="735"/>
      <c r="CS96" s="735"/>
      <c r="CT96" s="735"/>
      <c r="CU96" s="735"/>
      <c r="CV96" s="735"/>
      <c r="CW96" s="730"/>
      <c r="CX96" s="735"/>
      <c r="CY96" s="730"/>
      <c r="CZ96" s="730"/>
      <c r="DA96" s="730"/>
      <c r="DB96" s="730"/>
      <c r="DC96" s="730"/>
      <c r="DD96" s="730"/>
      <c r="DE96" s="730"/>
      <c r="DF96" s="730"/>
      <c r="DG96" s="730"/>
      <c r="DH96" s="730"/>
      <c r="DI96" s="730"/>
      <c r="DJ96" s="730"/>
      <c r="DK96" s="730"/>
      <c r="DL96" s="730"/>
      <c r="DM96" s="730"/>
      <c r="DN96" s="730"/>
      <c r="DO96" s="730"/>
      <c r="DP96" s="730"/>
      <c r="DQ96" s="730"/>
      <c r="DR96" s="730"/>
      <c r="DS96" s="730"/>
      <c r="DT96" s="730" t="str">
        <f t="shared" ca="1" si="242"/>
        <v>Panamá-Inglaterra</v>
      </c>
      <c r="DU96" s="730"/>
      <c r="DV96" s="730"/>
      <c r="DW96" s="8"/>
    </row>
    <row r="97" spans="1:127" ht="16.95" customHeight="1" thickBot="1">
      <c r="A97" s="725"/>
      <c r="B97" s="725"/>
      <c r="C97" s="725"/>
      <c r="D97" s="730" t="str">
        <f t="shared" si="283"/>
        <v>Pendiente</v>
      </c>
      <c r="E97" s="730" t="str">
        <f t="shared" si="284"/>
        <v>-</v>
      </c>
      <c r="F97" s="730" t="str">
        <f t="shared" si="285"/>
        <v>-</v>
      </c>
      <c r="G97" s="730"/>
      <c r="H97" s="730" t="str">
        <f t="shared" si="286"/>
        <v>-</v>
      </c>
      <c r="I97" s="730" t="str">
        <f t="shared" si="287"/>
        <v>-</v>
      </c>
      <c r="J97" s="730"/>
      <c r="K97" s="730" t="str">
        <f t="shared" si="288"/>
        <v>-</v>
      </c>
      <c r="L97" s="730" t="str">
        <f t="shared" si="289"/>
        <v>-</v>
      </c>
      <c r="M97" s="730"/>
      <c r="N97" s="730" t="str">
        <f t="shared" si="290"/>
        <v>-</v>
      </c>
      <c r="O97" s="730" t="str">
        <f t="shared" si="291"/>
        <v>-</v>
      </c>
      <c r="P97" s="730"/>
      <c r="Q97" s="730" t="str">
        <f t="shared" si="292"/>
        <v>-</v>
      </c>
      <c r="R97" s="730" t="str">
        <f t="shared" si="293"/>
        <v>-</v>
      </c>
      <c r="S97" s="730"/>
      <c r="T97" s="730" t="str">
        <f t="shared" si="294"/>
        <v>-</v>
      </c>
      <c r="U97" s="730" t="str">
        <f t="shared" si="295"/>
        <v>-</v>
      </c>
      <c r="V97" s="170"/>
      <c r="W97" s="879"/>
      <c r="X97" s="226">
        <f ca="1">Horarios!C97</f>
        <v>46200.708333333336</v>
      </c>
      <c r="Y97" s="227">
        <f ca="1">Horarios!C97</f>
        <v>46200.708333333336</v>
      </c>
      <c r="Z97" s="228" t="str">
        <f>$Z$8</f>
        <v>J3</v>
      </c>
      <c r="AA97" s="229" t="str">
        <f ca="1">A94</f>
        <v>Croacia</v>
      </c>
      <c r="AB97" s="476" t="e" cm="1" vm="46">
        <f t="array" aca="1" ref="AB97" ca="1">Ver_flag_local</f>
        <v>#VALUE!</v>
      </c>
      <c r="AC97" s="230"/>
      <c r="AD97" s="231"/>
      <c r="AE97" s="481" t="e" cm="1" vm="47">
        <f t="array" aca="1" ref="AE97" ca="1">Ver_flag_visit</f>
        <v>#VALUE!</v>
      </c>
      <c r="AF97" s="232" t="str">
        <f ca="1">A95</f>
        <v>Ghana</v>
      </c>
      <c r="AG97" s="411">
        <f t="shared" si="296"/>
        <v>0</v>
      </c>
      <c r="AH97" s="194">
        <v>68</v>
      </c>
      <c r="AI97" s="19" t="str">
        <f t="shared" si="301"/>
        <v>4L</v>
      </c>
      <c r="AJ97" s="233">
        <v>4</v>
      </c>
      <c r="AK97" s="484" t="e" cm="1" vm="48">
        <f t="array" aca="1" ref="AK97" ca="1">Ver_flag_visit</f>
        <v>#VALUE!</v>
      </c>
      <c r="AL97" s="234" t="str">
        <f ca="1">IFERROR(INDEX($BD$6:$BD$53,MATCH(AI97,$BN$6:$BN$53,0)),"")</f>
        <v>Panamá</v>
      </c>
      <c r="AM97" s="235">
        <f t="shared" ca="1" si="300"/>
        <v>0</v>
      </c>
      <c r="AN97" s="236">
        <f t="shared" ca="1" si="300"/>
        <v>0</v>
      </c>
      <c r="AO97" s="236">
        <f t="shared" ca="1" si="300"/>
        <v>0</v>
      </c>
      <c r="AP97" s="236">
        <f t="shared" ca="1" si="300"/>
        <v>0</v>
      </c>
      <c r="AQ97" s="236">
        <f t="shared" ca="1" si="300"/>
        <v>0</v>
      </c>
      <c r="AR97" s="236">
        <f t="shared" ca="1" si="300"/>
        <v>0</v>
      </c>
      <c r="AS97" s="236">
        <f t="shared" ca="1" si="300"/>
        <v>0</v>
      </c>
      <c r="AT97" s="237">
        <f t="shared" ca="1" si="300"/>
        <v>0</v>
      </c>
      <c r="AU97" s="418">
        <f ca="1">INDEX($DL$6:$DL$53,MATCH(AI97,$DP$6:$DP$53,0))</f>
        <v>1</v>
      </c>
      <c r="AV97" s="215" t="str">
        <f ca="1">INDEX($BD$6:$BD$53,MATCH(AI97,$BM$6:$BM$53,0))</f>
        <v>Panamá</v>
      </c>
      <c r="AW97" s="425"/>
      <c r="AX97" s="216"/>
      <c r="AY97" s="238" t="str">
        <f ca="1">+A96</f>
        <v>Panamá</v>
      </c>
      <c r="AZ97" s="239"/>
      <c r="BA97" s="173"/>
      <c r="BB97" s="730"/>
      <c r="BC97" s="730"/>
      <c r="BD97" s="730"/>
      <c r="BE97" s="730"/>
      <c r="BF97" s="730"/>
      <c r="BG97" s="730"/>
      <c r="BH97" s="730"/>
      <c r="BI97" s="730"/>
      <c r="BJ97" s="730"/>
      <c r="BK97" s="730"/>
      <c r="BL97" s="730"/>
      <c r="BM97" s="730"/>
      <c r="BN97" s="735"/>
      <c r="BO97" s="735"/>
      <c r="BP97" s="735"/>
      <c r="BQ97" s="735"/>
      <c r="BR97" s="730"/>
      <c r="BS97" s="730"/>
      <c r="BT97" s="735"/>
      <c r="BU97" s="735"/>
      <c r="BV97" s="735"/>
      <c r="BW97" s="735"/>
      <c r="BX97" s="735"/>
      <c r="BY97" s="735"/>
      <c r="BZ97" s="735"/>
      <c r="CA97" s="735"/>
      <c r="CB97" s="735"/>
      <c r="CC97" s="735"/>
      <c r="CD97" s="735"/>
      <c r="CE97" s="735"/>
      <c r="CF97" s="735"/>
      <c r="CG97" s="735"/>
      <c r="CH97" s="735"/>
      <c r="CI97" s="735"/>
      <c r="CJ97" s="735"/>
      <c r="CK97" s="735"/>
      <c r="CL97" s="735"/>
      <c r="CM97" s="735"/>
      <c r="CN97" s="735"/>
      <c r="CO97" s="735"/>
      <c r="CP97" s="735"/>
      <c r="CQ97" s="735"/>
      <c r="CR97" s="735"/>
      <c r="CS97" s="735"/>
      <c r="CT97" s="735"/>
      <c r="CU97" s="735"/>
      <c r="CV97" s="735"/>
      <c r="CW97" s="730"/>
      <c r="CX97" s="735"/>
      <c r="CY97" s="730"/>
      <c r="CZ97" s="730"/>
      <c r="DA97" s="730"/>
      <c r="DB97" s="730"/>
      <c r="DC97" s="730"/>
      <c r="DD97" s="730"/>
      <c r="DE97" s="730"/>
      <c r="DF97" s="730"/>
      <c r="DG97" s="730"/>
      <c r="DH97" s="730"/>
      <c r="DI97" s="730"/>
      <c r="DJ97" s="730"/>
      <c r="DK97" s="730"/>
      <c r="DL97" s="730"/>
      <c r="DM97" s="730"/>
      <c r="DN97" s="730"/>
      <c r="DO97" s="730"/>
      <c r="DP97" s="730"/>
      <c r="DQ97" s="730"/>
      <c r="DR97" s="730"/>
      <c r="DS97" s="730"/>
      <c r="DT97" s="730" t="str">
        <f t="shared" ca="1" si="242"/>
        <v>Croacia-Ghana</v>
      </c>
      <c r="DU97" s="730"/>
      <c r="DV97" s="730"/>
      <c r="DW97" s="8"/>
    </row>
    <row r="98" spans="1:127" ht="15" thickBot="1">
      <c r="A98" s="725"/>
      <c r="B98" s="725"/>
      <c r="C98" s="725"/>
      <c r="D98" s="730"/>
      <c r="E98" s="730"/>
      <c r="F98" s="730"/>
      <c r="G98" s="730"/>
      <c r="H98" s="730"/>
      <c r="I98" s="730"/>
      <c r="J98" s="730"/>
      <c r="K98" s="730"/>
      <c r="L98" s="730"/>
      <c r="M98" s="730"/>
      <c r="N98" s="730"/>
      <c r="O98" s="730"/>
      <c r="P98" s="730"/>
      <c r="Q98" s="730"/>
      <c r="R98" s="730"/>
      <c r="S98" s="730"/>
      <c r="T98" s="730"/>
      <c r="U98" s="730"/>
      <c r="V98" s="170"/>
      <c r="W98" s="240"/>
      <c r="X98" s="241"/>
      <c r="Y98" s="240"/>
      <c r="Z98" s="242"/>
      <c r="AA98" s="243"/>
      <c r="AB98" s="244"/>
      <c r="AC98" s="245"/>
      <c r="AD98" s="245"/>
      <c r="AE98" s="244"/>
      <c r="AF98" s="246"/>
      <c r="AG98" s="413"/>
      <c r="AH98" s="169"/>
      <c r="AI98" s="169"/>
      <c r="AJ98" s="247"/>
      <c r="AK98" s="248"/>
      <c r="AL98" s="184"/>
      <c r="AM98" s="249"/>
      <c r="AN98" s="247"/>
      <c r="AO98" s="247"/>
      <c r="AP98" s="247"/>
      <c r="AQ98" s="247"/>
      <c r="AR98" s="247"/>
      <c r="AS98" s="247"/>
      <c r="AT98" s="247"/>
      <c r="AU98" s="418"/>
      <c r="AV98" s="214"/>
      <c r="AW98" s="426"/>
      <c r="AX98" s="266"/>
      <c r="AY98" s="240"/>
      <c r="AZ98" s="241"/>
      <c r="BA98" s="173"/>
      <c r="BB98" s="730"/>
      <c r="BC98" s="730"/>
      <c r="BD98" s="730"/>
      <c r="BE98" s="730"/>
      <c r="BF98" s="730"/>
      <c r="BG98" s="730"/>
      <c r="BH98" s="730"/>
      <c r="BI98" s="730"/>
      <c r="BJ98" s="730"/>
      <c r="BK98" s="730"/>
      <c r="BL98" s="730"/>
      <c r="BM98" s="730"/>
      <c r="BN98" s="730"/>
      <c r="BO98" s="730"/>
      <c r="BP98" s="730"/>
      <c r="BQ98" s="730"/>
      <c r="BR98" s="730"/>
      <c r="BS98" s="730"/>
      <c r="BT98" s="730"/>
      <c r="BU98" s="730"/>
      <c r="BV98" s="730"/>
      <c r="BW98" s="730"/>
      <c r="BX98" s="730"/>
      <c r="BY98" s="730"/>
      <c r="BZ98" s="730"/>
      <c r="CA98" s="730"/>
      <c r="CB98" s="730"/>
      <c r="CC98" s="730"/>
      <c r="CD98" s="730"/>
      <c r="CE98" s="730"/>
      <c r="CF98" s="730"/>
      <c r="CG98" s="730"/>
      <c r="CH98" s="730"/>
      <c r="CI98" s="730"/>
      <c r="CJ98" s="730"/>
      <c r="CK98" s="730"/>
      <c r="CL98" s="730"/>
      <c r="CM98" s="730"/>
      <c r="CN98" s="730"/>
      <c r="CO98" s="730"/>
      <c r="CP98" s="730"/>
      <c r="CQ98" s="730"/>
      <c r="CR98" s="730"/>
      <c r="CS98" s="730"/>
      <c r="CT98" s="730"/>
      <c r="CU98" s="730"/>
      <c r="CV98" s="730"/>
      <c r="CW98" s="730"/>
      <c r="CX98" s="730"/>
      <c r="CY98" s="730"/>
      <c r="CZ98" s="730"/>
      <c r="DA98" s="730"/>
      <c r="DB98" s="730"/>
      <c r="DC98" s="730"/>
      <c r="DD98" s="730"/>
      <c r="DE98" s="730"/>
      <c r="DF98" s="730"/>
      <c r="DG98" s="730"/>
      <c r="DH98" s="730"/>
      <c r="DI98" s="730"/>
      <c r="DJ98" s="730"/>
      <c r="DK98" s="730"/>
      <c r="DL98" s="730"/>
      <c r="DM98" s="730"/>
      <c r="DN98" s="730"/>
      <c r="DO98" s="730"/>
      <c r="DP98" s="730"/>
      <c r="DQ98" s="730"/>
      <c r="DR98" s="730"/>
      <c r="DS98" s="730"/>
      <c r="DT98" s="730" t="str">
        <f t="shared" si="242"/>
        <v>-</v>
      </c>
      <c r="DU98" s="730"/>
      <c r="DV98" s="730"/>
      <c r="DW98" s="8"/>
    </row>
    <row r="99" spans="1:127" ht="15" thickBot="1">
      <c r="A99" s="725"/>
      <c r="B99" s="725"/>
      <c r="C99" s="725"/>
      <c r="D99" s="730"/>
      <c r="E99" s="730"/>
      <c r="F99" s="730"/>
      <c r="G99" s="730"/>
      <c r="H99" s="730"/>
      <c r="I99" s="730"/>
      <c r="J99" s="730" t="s">
        <v>1294</v>
      </c>
      <c r="K99" s="730"/>
      <c r="L99" s="730"/>
      <c r="M99" s="730"/>
      <c r="N99" s="730"/>
      <c r="O99" s="730"/>
      <c r="P99" s="730"/>
      <c r="Q99" s="730"/>
      <c r="R99" s="730"/>
      <c r="S99" s="730"/>
      <c r="T99" s="730"/>
      <c r="U99" s="730"/>
      <c r="V99" s="170"/>
      <c r="W99" s="267" t="str">
        <f>Idiomas!D25</f>
        <v>Dieciseisavos de final</v>
      </c>
      <c r="X99" s="268"/>
      <c r="Y99" s="269"/>
      <c r="Z99" s="269"/>
      <c r="AA99" s="269"/>
      <c r="AB99" s="269"/>
      <c r="AC99" s="269"/>
      <c r="AD99" s="269"/>
      <c r="AE99" s="269"/>
      <c r="AF99" s="270"/>
      <c r="AG99" s="414"/>
      <c r="AH99" s="215"/>
      <c r="AI99" s="169"/>
      <c r="AJ99" s="493"/>
      <c r="AK99" s="271" t="str">
        <f ca="1">+IF(OR($H$113&gt;=48,$AJ$99&gt;=48),"",Idiomas!D71)</f>
        <v>La clasificación de los mejores terceros aparece al final de la J1</v>
      </c>
      <c r="AL99" s="184"/>
      <c r="AM99" s="184"/>
      <c r="AN99" s="184"/>
      <c r="AO99" s="184"/>
      <c r="AP99" s="184"/>
      <c r="AQ99" s="184"/>
      <c r="AR99" s="184"/>
      <c r="AS99" s="184"/>
      <c r="AT99" s="184"/>
      <c r="AU99" s="419"/>
      <c r="AV99" s="22"/>
      <c r="AW99" s="427"/>
      <c r="AX99" s="273"/>
      <c r="AY99" s="240"/>
      <c r="AZ99" s="241"/>
      <c r="BA99" s="173"/>
      <c r="BB99" s="730"/>
      <c r="BC99" s="730"/>
      <c r="BD99" s="730"/>
      <c r="BE99" s="730"/>
      <c r="BF99" s="730"/>
      <c r="BG99" s="730"/>
      <c r="BH99" s="730"/>
      <c r="BI99" s="730"/>
      <c r="BJ99" s="730"/>
      <c r="BK99" s="730"/>
      <c r="BL99" s="730"/>
      <c r="BM99" s="730"/>
      <c r="BN99" s="730"/>
      <c r="BO99" s="730"/>
      <c r="BP99" s="730"/>
      <c r="BQ99" s="730"/>
      <c r="BR99" s="730"/>
      <c r="BS99" s="730"/>
      <c r="BT99" s="730"/>
      <c r="BU99" s="730"/>
      <c r="BV99" s="730"/>
      <c r="BW99" s="730"/>
      <c r="BX99" s="730"/>
      <c r="BY99" s="730"/>
      <c r="BZ99" s="730"/>
      <c r="CA99" s="730"/>
      <c r="CB99" s="730"/>
      <c r="CC99" s="730"/>
      <c r="CD99" s="730"/>
      <c r="CE99" s="730"/>
      <c r="CF99" s="730"/>
      <c r="CG99" s="730"/>
      <c r="CH99" s="730"/>
      <c r="CI99" s="730"/>
      <c r="CJ99" s="730"/>
      <c r="CK99" s="730"/>
      <c r="CL99" s="730"/>
      <c r="CM99" s="730"/>
      <c r="CN99" s="730"/>
      <c r="CO99" s="730"/>
      <c r="CP99" s="730"/>
      <c r="CQ99" s="730"/>
      <c r="CR99" s="730"/>
      <c r="CS99" s="730"/>
      <c r="CT99" s="730"/>
      <c r="CU99" s="730"/>
      <c r="CV99" s="730"/>
      <c r="CW99" s="730"/>
      <c r="CX99" s="730"/>
      <c r="CY99" s="730"/>
      <c r="CZ99" s="730"/>
      <c r="DA99" s="730"/>
      <c r="DB99" s="730"/>
      <c r="DC99" s="732"/>
      <c r="DD99" s="732"/>
      <c r="DE99" s="732"/>
      <c r="DF99" s="732"/>
      <c r="DG99" s="732"/>
      <c r="DH99" s="732"/>
      <c r="DI99" s="732"/>
      <c r="DJ99" s="732"/>
      <c r="DK99" s="732"/>
      <c r="DL99" s="732"/>
      <c r="DM99" s="732"/>
      <c r="DN99" s="732"/>
      <c r="DO99" s="732"/>
      <c r="DP99" s="732"/>
      <c r="DQ99" s="732"/>
      <c r="DR99" s="732"/>
      <c r="DS99" s="732"/>
      <c r="DT99" s="730" t="str">
        <f t="shared" si="242"/>
        <v>-</v>
      </c>
      <c r="DU99" s="732"/>
      <c r="DV99" s="732"/>
      <c r="DW99" s="490"/>
    </row>
    <row r="100" spans="1:127" ht="16.05" customHeight="1">
      <c r="A100" s="725" t="s">
        <v>1295</v>
      </c>
      <c r="B100" s="725"/>
      <c r="C100" s="725"/>
      <c r="D100" s="730"/>
      <c r="E100" s="730"/>
      <c r="F100" s="730"/>
      <c r="G100" s="730"/>
      <c r="H100" s="730"/>
      <c r="I100" s="730"/>
      <c r="J100" s="730" t="s">
        <v>1191</v>
      </c>
      <c r="K100" s="730" t="s">
        <v>720</v>
      </c>
      <c r="L100" s="730"/>
      <c r="M100" s="730" t="s">
        <v>1192</v>
      </c>
      <c r="N100" s="730" t="s">
        <v>1193</v>
      </c>
      <c r="O100" s="730"/>
      <c r="P100" s="730"/>
      <c r="Q100" s="730"/>
      <c r="R100" s="730"/>
      <c r="S100" s="730"/>
      <c r="T100" s="730"/>
      <c r="U100" s="730"/>
      <c r="V100" s="170"/>
      <c r="W100" s="177"/>
      <c r="X100" s="178" t="str">
        <f>X3</f>
        <v>Fecha</v>
      </c>
      <c r="Y100" s="178" t="str">
        <f>Y3</f>
        <v>Hora</v>
      </c>
      <c r="Z100" s="178" t="s">
        <v>717</v>
      </c>
      <c r="AA100" s="264" t="str">
        <f>AA3</f>
        <v>Casa</v>
      </c>
      <c r="AB100" s="263" t="s">
        <v>13</v>
      </c>
      <c r="AC100" s="178" t="str">
        <f>AC3</f>
        <v>Gol</v>
      </c>
      <c r="AD100" s="178" t="str">
        <f>AD3</f>
        <v>Gol</v>
      </c>
      <c r="AE100" s="263" t="s">
        <v>13</v>
      </c>
      <c r="AF100" s="265" t="str">
        <f>AF3</f>
        <v>Fuera</v>
      </c>
      <c r="AG100" s="414"/>
      <c r="AH100" s="215"/>
      <c r="AI100" s="169"/>
      <c r="AJ100" s="195" t="str">
        <f>Idiomas!D24</f>
        <v>Mejores terceros</v>
      </c>
      <c r="AK100" s="196"/>
      <c r="AL100" s="196"/>
      <c r="AM100" s="196"/>
      <c r="AN100" s="196"/>
      <c r="AO100" s="196"/>
      <c r="AP100" s="196"/>
      <c r="AQ100" s="196"/>
      <c r="AR100" s="196"/>
      <c r="AS100" s="196"/>
      <c r="AT100" s="197"/>
      <c r="AU100" s="420"/>
      <c r="AV100" s="198" t="str">
        <f ca="1">IF(AU101&gt;0,$AV$3,"")</f>
        <v/>
      </c>
      <c r="AW100" s="19"/>
      <c r="AX100" s="245"/>
      <c r="AY100" s="240"/>
      <c r="AZ100" s="241"/>
      <c r="BA100" s="173"/>
      <c r="BB100" s="724"/>
      <c r="BC100" s="730"/>
      <c r="BD100" s="730"/>
      <c r="BE100" s="730"/>
      <c r="BF100" s="730"/>
      <c r="BG100" s="730"/>
      <c r="BH100" s="730"/>
      <c r="BI100" s="730"/>
      <c r="BJ100" s="730"/>
      <c r="BK100" s="730"/>
      <c r="BL100" s="730"/>
      <c r="BM100" s="724"/>
      <c r="BN100" s="724"/>
      <c r="BO100" s="724"/>
      <c r="BP100" s="724"/>
      <c r="BQ100" s="724"/>
      <c r="BR100" s="724"/>
      <c r="BS100" s="724"/>
      <c r="BT100" s="724"/>
      <c r="BU100" s="724"/>
      <c r="BV100" s="724"/>
      <c r="BW100" s="724"/>
      <c r="BX100" s="724"/>
      <c r="BY100" s="724"/>
      <c r="BZ100" s="724"/>
      <c r="CA100" s="724"/>
      <c r="CB100" s="724"/>
      <c r="CC100" s="724"/>
      <c r="CD100" s="724"/>
      <c r="CE100" s="724"/>
      <c r="CF100" s="724"/>
      <c r="CG100" s="724"/>
      <c r="CH100" s="724"/>
      <c r="CI100" s="724"/>
      <c r="CJ100" s="724"/>
      <c r="CK100" s="724"/>
      <c r="CL100" s="724"/>
      <c r="CM100" s="724"/>
      <c r="CN100" s="724"/>
      <c r="CO100" s="724"/>
      <c r="CP100" s="724"/>
      <c r="CQ100" s="724"/>
      <c r="CR100" s="724"/>
      <c r="CS100" s="724"/>
      <c r="CT100" s="724"/>
      <c r="CU100" s="724"/>
      <c r="CV100" s="724"/>
      <c r="CW100" s="724"/>
      <c r="CX100" s="724"/>
      <c r="CY100" s="724"/>
      <c r="CZ100" s="724"/>
      <c r="DA100" s="724"/>
      <c r="DB100" s="724"/>
      <c r="DC100" s="724"/>
      <c r="DD100" s="724"/>
      <c r="DE100" s="724"/>
      <c r="DF100" s="724"/>
      <c r="DG100" s="724"/>
      <c r="DH100" s="724"/>
      <c r="DI100" s="724"/>
      <c r="DJ100" s="724"/>
      <c r="DK100" s="724"/>
      <c r="DL100" s="724"/>
      <c r="DM100" s="724"/>
      <c r="DN100" s="724"/>
      <c r="DO100" s="724"/>
      <c r="DP100" s="724"/>
      <c r="DQ100" s="724"/>
      <c r="DR100" s="724"/>
      <c r="DS100" s="724"/>
      <c r="DT100" s="730" t="str">
        <f t="shared" si="242"/>
        <v>Casa-Fuera</v>
      </c>
      <c r="DU100" s="724"/>
      <c r="DV100" s="724"/>
      <c r="DW100" s="11"/>
    </row>
    <row r="101" spans="1:127" ht="16.05" customHeight="1" thickBot="1">
      <c r="A101" s="724" t="s">
        <v>646</v>
      </c>
      <c r="B101" s="724" t="s">
        <v>649</v>
      </c>
      <c r="C101" s="725"/>
      <c r="D101" s="733" t="str">
        <f t="shared" ref="D101:D116" si="302">IF(AND(OR(AC101="",AD101="")),"W"&amp;AH101,IF(AC101&gt;AD101,AA101,IF(AC101&lt;AD101,AF101,IF(AND(AC101=AD101,AB101=AE101),"W"&amp;AH101,IF(AND(AC101=AD101,OR(AB101="",AE101="")),"W"&amp;AH101,IF(AND(AC101=AD101,AB101&gt;AE101),AA101,AF101))))))</f>
        <v>W73</v>
      </c>
      <c r="E101" s="725" t="s">
        <v>0</v>
      </c>
      <c r="F101" s="725" t="s">
        <v>1</v>
      </c>
      <c r="G101" s="734" t="s">
        <v>0</v>
      </c>
      <c r="H101" s="735">
        <f t="shared" ref="H101:H112" ca="1" si="303">+SUMIF($BC$6:$BC$53,G101,$BF$6:$BF$53)</f>
        <v>4</v>
      </c>
      <c r="I101" s="730"/>
      <c r="J101" s="724">
        <v>73</v>
      </c>
      <c r="K101" s="724">
        <v>46201.75</v>
      </c>
      <c r="L101" s="724" t="s">
        <v>685</v>
      </c>
      <c r="M101" s="724" t="str">
        <f t="shared" ref="M101:M116" ca="1" si="304">+IF(OR(INDEX($H$101:$H$113,MATCH(E101,$G$101:$G$113,0))=12,$AJ$99=144),INDEX($AL$6:$AL$97,MATCH(A101,$AI$6:$AI$97,0)),A101)</f>
        <v>2A</v>
      </c>
      <c r="N101" s="724"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24"/>
      <c r="P101" s="724"/>
      <c r="Q101" s="724"/>
      <c r="R101" s="724"/>
      <c r="S101" s="724"/>
      <c r="T101" s="724"/>
      <c r="U101" s="724"/>
      <c r="V101" s="170"/>
      <c r="W101" s="884" t="s">
        <v>483</v>
      </c>
      <c r="X101" s="187">
        <f ca="1">Horarios!C101</f>
        <v>46201.625</v>
      </c>
      <c r="Y101" s="188">
        <f ca="1">Horarios!C101</f>
        <v>46201.625</v>
      </c>
      <c r="Z101" s="274">
        <f>AH101</f>
        <v>73</v>
      </c>
      <c r="AA101" s="275" t="str">
        <f t="shared" ref="AA101:AA116" ca="1" si="305">+INDEX($M$101:$M$147,MATCH(AH101,$J$101:$J$147,0))</f>
        <v>2A</v>
      </c>
      <c r="AB101" s="276"/>
      <c r="AC101" s="192"/>
      <c r="AD101" s="192"/>
      <c r="AE101" s="277"/>
      <c r="AF101" s="278" t="str">
        <f t="shared" ref="AF101:AF116" ca="1" si="306">+INDEX($N$101:$N$147,MATCH(AH101,$J$101:$J$147,0))</f>
        <v>2B</v>
      </c>
      <c r="AG101" s="415">
        <f t="shared" ref="AG101:AG116" si="307">IF(D101="W"&amp;AH101,0,1)</f>
        <v>0</v>
      </c>
      <c r="AH101" s="194">
        <v>73</v>
      </c>
      <c r="AI101" s="169"/>
      <c r="AJ101" s="202" t="str">
        <f>AJ5</f>
        <v>Pos</v>
      </c>
      <c r="AK101" s="203"/>
      <c r="AL101" s="204" t="str">
        <f t="shared" ref="AL101:AT101" si="308">AL5</f>
        <v>Selección</v>
      </c>
      <c r="AM101" s="203" t="str">
        <f t="shared" si="308"/>
        <v>Pts</v>
      </c>
      <c r="AN101" s="203" t="str">
        <f t="shared" si="308"/>
        <v>J</v>
      </c>
      <c r="AO101" s="203" t="str">
        <f t="shared" si="308"/>
        <v>G</v>
      </c>
      <c r="AP101" s="203" t="str">
        <f t="shared" si="308"/>
        <v>E</v>
      </c>
      <c r="AQ101" s="203" t="str">
        <f t="shared" si="308"/>
        <v>P</v>
      </c>
      <c r="AR101" s="203" t="str">
        <f t="shared" si="308"/>
        <v>GF</v>
      </c>
      <c r="AS101" s="203" t="str">
        <f t="shared" si="308"/>
        <v>GC</v>
      </c>
      <c r="AT101" s="205" t="str">
        <f t="shared" si="308"/>
        <v>DG</v>
      </c>
      <c r="AU101" s="419">
        <f ca="1">COUNTIF(AU102:AU113,"&gt;1")</f>
        <v>0</v>
      </c>
      <c r="AV101" s="22"/>
      <c r="AW101" s="427"/>
      <c r="AX101" s="272"/>
      <c r="AY101" s="421" t="str">
        <f ca="1">+IF(OR($H$113&gt;=48,$AJ$99=144),Idiomas!D70,"")</f>
        <v/>
      </c>
      <c r="AZ101" s="422" t="str">
        <f ca="1">+IF(OR($H$113&gt;=48,$AJ$99=144),BI112,"")</f>
        <v/>
      </c>
      <c r="BA101" s="173"/>
      <c r="BB101" s="730"/>
      <c r="BC101" s="730"/>
      <c r="BD101" s="730"/>
      <c r="BE101" s="730"/>
      <c r="BF101" s="730"/>
      <c r="BG101" s="730"/>
      <c r="BH101" s="730"/>
      <c r="BI101" s="730"/>
      <c r="BJ101" s="730"/>
      <c r="BK101" s="730"/>
      <c r="BL101" s="730"/>
      <c r="BM101" s="730"/>
      <c r="BN101" s="730"/>
      <c r="BO101" s="730"/>
      <c r="BP101" s="730"/>
      <c r="BQ101" s="730"/>
      <c r="BR101" s="730"/>
      <c r="BS101" s="730"/>
      <c r="BT101" s="730"/>
      <c r="BU101" s="730"/>
      <c r="BV101" s="730"/>
      <c r="BW101" s="730"/>
      <c r="BX101" s="730"/>
      <c r="BY101" s="730"/>
      <c r="BZ101" s="730"/>
      <c r="CA101" s="730"/>
      <c r="CB101" s="730"/>
      <c r="CC101" s="730"/>
      <c r="CD101" s="730"/>
      <c r="CE101" s="730"/>
      <c r="CF101" s="730"/>
      <c r="CG101" s="730"/>
      <c r="CH101" s="730"/>
      <c r="CI101" s="730"/>
      <c r="CJ101" s="730"/>
      <c r="CK101" s="730"/>
      <c r="CL101" s="730"/>
      <c r="CM101" s="730"/>
      <c r="CN101" s="730"/>
      <c r="CO101" s="730"/>
      <c r="CP101" s="730"/>
      <c r="CQ101" s="730"/>
      <c r="CR101" s="730"/>
      <c r="CS101" s="730"/>
      <c r="CT101" s="730"/>
      <c r="CU101" s="730"/>
      <c r="CV101" s="730"/>
      <c r="CW101" s="730"/>
      <c r="CX101" s="730"/>
      <c r="CY101" s="730"/>
      <c r="CZ101" s="730"/>
      <c r="DA101" s="730"/>
      <c r="DB101" s="730"/>
      <c r="DC101" s="730"/>
      <c r="DD101" s="730"/>
      <c r="DE101" s="730"/>
      <c r="DF101" s="730"/>
      <c r="DG101" s="730"/>
      <c r="DH101" s="730"/>
      <c r="DI101" s="730"/>
      <c r="DJ101" s="730"/>
      <c r="DK101" s="730"/>
      <c r="DL101" s="730"/>
      <c r="DM101" s="730"/>
      <c r="DN101" s="730"/>
      <c r="DO101" s="730"/>
      <c r="DP101" s="730"/>
      <c r="DQ101" s="730"/>
      <c r="DR101" s="730"/>
      <c r="DS101" s="730"/>
      <c r="DT101" s="730" t="str">
        <f t="shared" ca="1" si="242"/>
        <v>2A-2B</v>
      </c>
      <c r="DU101" s="730"/>
      <c r="DV101" s="730"/>
      <c r="DW101" s="8"/>
    </row>
    <row r="102" spans="1:127" ht="16.05" customHeight="1">
      <c r="A102" s="724" t="s">
        <v>661</v>
      </c>
      <c r="B102" s="724" t="s">
        <v>722</v>
      </c>
      <c r="C102" s="725"/>
      <c r="D102" s="733" t="str">
        <f t="shared" si="302"/>
        <v>W76</v>
      </c>
      <c r="E102" s="725" t="s">
        <v>3</v>
      </c>
      <c r="F102" s="725" t="s">
        <v>721</v>
      </c>
      <c r="G102" s="734" t="s">
        <v>1</v>
      </c>
      <c r="H102" s="735">
        <f t="shared" ca="1" si="303"/>
        <v>2</v>
      </c>
      <c r="I102" s="730"/>
      <c r="J102" s="724">
        <v>74</v>
      </c>
      <c r="K102" s="724">
        <v>46202.75</v>
      </c>
      <c r="L102" s="724" t="s">
        <v>686</v>
      </c>
      <c r="M102" s="724" t="str">
        <f t="shared" ca="1" si="304"/>
        <v>1E</v>
      </c>
      <c r="N102" s="724"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24"/>
      <c r="P102" s="724"/>
      <c r="Q102" s="724"/>
      <c r="R102" s="724"/>
      <c r="S102" s="724"/>
      <c r="T102" s="724"/>
      <c r="U102" s="724"/>
      <c r="V102" s="170"/>
      <c r="W102" s="884"/>
      <c r="X102" s="187">
        <f ca="1">Horarios!C102</f>
        <v>46202.541666666664</v>
      </c>
      <c r="Y102" s="188">
        <f ca="1">Horarios!C102</f>
        <v>46202.541666666664</v>
      </c>
      <c r="Z102" s="274">
        <f t="shared" ref="Z102:Z116" si="309">AH102</f>
        <v>76</v>
      </c>
      <c r="AA102" s="275" t="str">
        <f t="shared" ca="1" si="305"/>
        <v>1C</v>
      </c>
      <c r="AB102" s="276"/>
      <c r="AC102" s="279"/>
      <c r="AD102" s="279"/>
      <c r="AE102" s="276"/>
      <c r="AF102" s="278" t="str">
        <f t="shared" ca="1" si="306"/>
        <v>2F</v>
      </c>
      <c r="AG102" s="415">
        <f t="shared" si="307"/>
        <v>0</v>
      </c>
      <c r="AH102" s="194">
        <v>76</v>
      </c>
      <c r="AI102" s="215">
        <v>1</v>
      </c>
      <c r="AJ102" s="280">
        <v>1</v>
      </c>
      <c r="AK102" s="482" t="str" cm="1">
        <f t="array" aca="1" ref="AK102" ca="1">Ver_flag_visit</f>
        <v/>
      </c>
      <c r="AL102" s="281" t="str">
        <f t="shared" ref="AL102:AL113" ca="1" si="310">+IF($H$113&gt;=48,INDEX($BD$58:$BD$69,MATCH(AI102,$BN$58:$BN$69,0)),BB58)</f>
        <v>3A</v>
      </c>
      <c r="AM102" s="282" t="str">
        <f t="shared" ref="AM102:AT102" ca="1" si="311">+IF($H$113&gt;=48,INDEX($BE$58:$BN$69,MATCH($AL102,$BD$58:$BD$69,0),MATCH(AM$5,$BE$57:$BN$57,0)),$BB58)</f>
        <v>3A</v>
      </c>
      <c r="AN102" s="283" t="str">
        <f t="shared" ca="1" si="311"/>
        <v>3A</v>
      </c>
      <c r="AO102" s="283" t="str">
        <f t="shared" ca="1" si="311"/>
        <v>3A</v>
      </c>
      <c r="AP102" s="283" t="str">
        <f t="shared" ca="1" si="311"/>
        <v>3A</v>
      </c>
      <c r="AQ102" s="284" t="str">
        <f t="shared" ca="1" si="311"/>
        <v>3A</v>
      </c>
      <c r="AR102" s="284" t="str">
        <f t="shared" ca="1" si="311"/>
        <v>3A</v>
      </c>
      <c r="AS102" s="284" t="str">
        <f t="shared" ca="1" si="311"/>
        <v>3A</v>
      </c>
      <c r="AT102" s="285" t="str">
        <f t="shared" ca="1" si="311"/>
        <v>3A</v>
      </c>
      <c r="AU102" s="418" t="str">
        <f t="shared" ref="AU102:AU113" ca="1" si="312">IF($H$113=144,INDEX($DL$58:$DL$69,MATCH(AI102,$DP$58:$DP$69,0)),"")</f>
        <v/>
      </c>
      <c r="AV102" s="215" t="str">
        <f t="shared" ref="AV102:AV113" ca="1" si="313">INDEX($BD$58:$BD$69,MATCH(AI102,$BM$58:$BM$69,0))</f>
        <v>Arabia Saudita</v>
      </c>
      <c r="AW102" s="425"/>
      <c r="AX102" s="286"/>
      <c r="AY102" s="240"/>
      <c r="AZ102" s="241"/>
      <c r="BA102" s="173"/>
      <c r="BB102" s="724"/>
      <c r="BC102" s="730"/>
      <c r="BD102" s="724"/>
      <c r="BE102" s="746" t="s">
        <v>444</v>
      </c>
      <c r="BF102" s="724" t="s">
        <v>719</v>
      </c>
      <c r="BG102" s="724" t="s">
        <v>764</v>
      </c>
      <c r="BH102" s="724"/>
      <c r="BI102" s="724" t="s">
        <v>85</v>
      </c>
      <c r="BJ102" s="724"/>
      <c r="BK102" s="730"/>
      <c r="BL102" s="730"/>
      <c r="BM102" s="724"/>
      <c r="BN102" s="724"/>
      <c r="BO102" s="724"/>
      <c r="BP102" s="724"/>
      <c r="BQ102" s="724"/>
      <c r="BR102" s="724"/>
      <c r="BS102" s="724"/>
      <c r="BT102" s="724"/>
      <c r="BU102" s="724"/>
      <c r="BV102" s="724"/>
      <c r="BW102" s="724"/>
      <c r="BX102" s="724"/>
      <c r="BY102" s="724"/>
      <c r="BZ102" s="724"/>
      <c r="CA102" s="724"/>
      <c r="CB102" s="724"/>
      <c r="CC102" s="724"/>
      <c r="CD102" s="724"/>
      <c r="CE102" s="724"/>
      <c r="CF102" s="724"/>
      <c r="CG102" s="724"/>
      <c r="CH102" s="724"/>
      <c r="CI102" s="724"/>
      <c r="CJ102" s="724"/>
      <c r="CK102" s="724"/>
      <c r="CL102" s="724"/>
      <c r="CM102" s="724"/>
      <c r="CN102" s="724"/>
      <c r="CO102" s="724"/>
      <c r="CP102" s="724"/>
      <c r="CQ102" s="724"/>
      <c r="CR102" s="724"/>
      <c r="CS102" s="724"/>
      <c r="CT102" s="724"/>
      <c r="CU102" s="724"/>
      <c r="CV102" s="724"/>
      <c r="CW102" s="724"/>
      <c r="CX102" s="724"/>
      <c r="CY102" s="724"/>
      <c r="CZ102" s="724"/>
      <c r="DA102" s="724"/>
      <c r="DB102" s="724"/>
      <c r="DC102" s="724"/>
      <c r="DD102" s="724"/>
      <c r="DE102" s="724"/>
      <c r="DF102" s="724"/>
      <c r="DG102" s="724"/>
      <c r="DH102" s="724"/>
      <c r="DI102" s="724"/>
      <c r="DJ102" s="724"/>
      <c r="DK102" s="724"/>
      <c r="DL102" s="724"/>
      <c r="DM102" s="724"/>
      <c r="DN102" s="724"/>
      <c r="DO102" s="724"/>
      <c r="DP102" s="724"/>
      <c r="DQ102" s="724"/>
      <c r="DR102" s="724"/>
      <c r="DS102" s="724"/>
      <c r="DT102" s="730" t="str">
        <f t="shared" ca="1" si="242"/>
        <v>1C-2F</v>
      </c>
      <c r="DU102" s="724"/>
      <c r="DV102" s="724"/>
      <c r="DW102" s="11"/>
    </row>
    <row r="103" spans="1:127" ht="16.05" customHeight="1">
      <c r="A103" s="724" t="s">
        <v>664</v>
      </c>
      <c r="B103" s="724" t="s">
        <v>656</v>
      </c>
      <c r="C103" s="725"/>
      <c r="D103" s="733" t="str">
        <f t="shared" si="302"/>
        <v>W74</v>
      </c>
      <c r="E103" s="725" t="s">
        <v>4</v>
      </c>
      <c r="F103" s="725" t="s">
        <v>2</v>
      </c>
      <c r="G103" s="734" t="s">
        <v>2</v>
      </c>
      <c r="H103" s="735">
        <f t="shared" ca="1" si="303"/>
        <v>0</v>
      </c>
      <c r="I103" s="730"/>
      <c r="J103" s="724">
        <v>75</v>
      </c>
      <c r="K103" s="724">
        <v>46202.75</v>
      </c>
      <c r="L103" s="724" t="s">
        <v>687</v>
      </c>
      <c r="M103" s="724" t="str">
        <f t="shared" ca="1" si="304"/>
        <v>1F</v>
      </c>
      <c r="N103" s="724"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24"/>
      <c r="P103" s="724"/>
      <c r="Q103" s="724"/>
      <c r="R103" s="724"/>
      <c r="S103" s="724"/>
      <c r="T103" s="724"/>
      <c r="U103" s="724"/>
      <c r="V103" s="170"/>
      <c r="W103" s="884"/>
      <c r="X103" s="187">
        <f ca="1">Horarios!C103</f>
        <v>46202.6875</v>
      </c>
      <c r="Y103" s="188">
        <f ca="1">Horarios!C103</f>
        <v>46202.6875</v>
      </c>
      <c r="Z103" s="274">
        <f t="shared" si="309"/>
        <v>74</v>
      </c>
      <c r="AA103" s="275" t="str">
        <f t="shared" ca="1" si="305"/>
        <v>1E</v>
      </c>
      <c r="AB103" s="276"/>
      <c r="AC103" s="279"/>
      <c r="AD103" s="279"/>
      <c r="AE103" s="276"/>
      <c r="AF103" s="278" t="str">
        <f t="shared" ca="1" si="306"/>
        <v>3ABCDF</v>
      </c>
      <c r="AG103" s="415">
        <f t="shared" si="307"/>
        <v>0</v>
      </c>
      <c r="AH103" s="194">
        <v>74</v>
      </c>
      <c r="AI103" s="215">
        <v>2</v>
      </c>
      <c r="AJ103" s="219">
        <v>2</v>
      </c>
      <c r="AK103" s="483" t="str" cm="1">
        <f t="array" aca="1" ref="AK103" ca="1">Ver_flag_visit</f>
        <v/>
      </c>
      <c r="AL103" s="287" t="str">
        <f t="shared" ca="1" si="310"/>
        <v>3B</v>
      </c>
      <c r="AM103" s="288" t="str">
        <f t="shared" ref="AM103:AT103" ca="1" si="314">+IF($H$113&gt;=48,INDEX($BE$58:$BN$69,MATCH($AL103,$BD$58:$BD$69,0),MATCH(AM$5,$BE$57:$BN$57,0)),$BB59)</f>
        <v>3B</v>
      </c>
      <c r="AN103" s="289" t="str">
        <f t="shared" ca="1" si="314"/>
        <v>3B</v>
      </c>
      <c r="AO103" s="289" t="str">
        <f t="shared" ca="1" si="314"/>
        <v>3B</v>
      </c>
      <c r="AP103" s="289" t="str">
        <f t="shared" ca="1" si="314"/>
        <v>3B</v>
      </c>
      <c r="AQ103" s="289" t="str">
        <f t="shared" ca="1" si="314"/>
        <v>3B</v>
      </c>
      <c r="AR103" s="289" t="str">
        <f t="shared" ca="1" si="314"/>
        <v>3B</v>
      </c>
      <c r="AS103" s="289" t="str">
        <f t="shared" ca="1" si="314"/>
        <v>3B</v>
      </c>
      <c r="AT103" s="290" t="str">
        <f t="shared" ca="1" si="314"/>
        <v>3B</v>
      </c>
      <c r="AU103" s="418" t="str">
        <f t="shared" ca="1" si="312"/>
        <v/>
      </c>
      <c r="AV103" s="215" t="str">
        <f t="shared" ca="1" si="313"/>
        <v>Austria</v>
      </c>
      <c r="AW103" s="425"/>
      <c r="AX103" s="286"/>
      <c r="AY103" s="291"/>
      <c r="AZ103" s="292" t="str">
        <f t="shared" ref="AZ103:AZ110" ca="1" si="315">+IF(OR($H$113&gt;=48,$AJ$99=144),BF117&amp;" - "&amp;BG117,"")</f>
        <v/>
      </c>
      <c r="BA103" s="173"/>
      <c r="BB103" s="724"/>
      <c r="BC103" s="730"/>
      <c r="BD103" s="724"/>
      <c r="BE103" s="724"/>
      <c r="BF103" s="724" t="str">
        <f t="shared" ref="BF103:BF110" ca="1" si="316">IFERROR(INDEX($BC$6:$BC$53,MATCH(AL102,$BD$6:$BD$53,0)),"")</f>
        <v/>
      </c>
      <c r="BG103" s="724">
        <f t="shared" ref="BG103:BG110" ca="1" si="317">COUNTIF($BF$103:$BF$110,"&lt;="&amp;BF103)</f>
        <v>0</v>
      </c>
      <c r="BH103" s="724"/>
      <c r="BI103" s="730">
        <v>1</v>
      </c>
      <c r="BJ103" s="724" t="str">
        <f t="shared" ref="BJ103:BJ110" ca="1" si="318">IFERROR(INDEX($BF$103:$BF$110,MATCH(BI103,$BG$103:$BG$110,0)),"Grupo")</f>
        <v>Grupo</v>
      </c>
      <c r="BK103" s="730"/>
      <c r="BL103" s="730"/>
      <c r="BM103" s="724"/>
      <c r="BN103" s="724"/>
      <c r="BO103" s="724"/>
      <c r="BP103" s="724"/>
      <c r="BQ103" s="724"/>
      <c r="BR103" s="724"/>
      <c r="BS103" s="724"/>
      <c r="BT103" s="724"/>
      <c r="BU103" s="724"/>
      <c r="BV103" s="724"/>
      <c r="BW103" s="724"/>
      <c r="BX103" s="724"/>
      <c r="BY103" s="724"/>
      <c r="BZ103" s="724"/>
      <c r="CA103" s="724"/>
      <c r="CB103" s="724"/>
      <c r="CC103" s="724"/>
      <c r="CD103" s="724"/>
      <c r="CE103" s="724"/>
      <c r="CF103" s="724"/>
      <c r="CG103" s="724"/>
      <c r="CH103" s="724"/>
      <c r="CI103" s="724"/>
      <c r="CJ103" s="724"/>
      <c r="CK103" s="724"/>
      <c r="CL103" s="724"/>
      <c r="CM103" s="724"/>
      <c r="CN103" s="724"/>
      <c r="CO103" s="724"/>
      <c r="CP103" s="724"/>
      <c r="CQ103" s="724"/>
      <c r="CR103" s="724"/>
      <c r="CS103" s="724"/>
      <c r="CT103" s="724"/>
      <c r="CU103" s="724"/>
      <c r="CV103" s="724"/>
      <c r="CW103" s="724"/>
      <c r="CX103" s="724"/>
      <c r="CY103" s="724"/>
      <c r="CZ103" s="724"/>
      <c r="DA103" s="724"/>
      <c r="DB103" s="724"/>
      <c r="DC103" s="724"/>
      <c r="DD103" s="724"/>
      <c r="DE103" s="724"/>
      <c r="DF103" s="724"/>
      <c r="DG103" s="724"/>
      <c r="DH103" s="724"/>
      <c r="DI103" s="724"/>
      <c r="DJ103" s="724"/>
      <c r="DK103" s="724"/>
      <c r="DL103" s="724"/>
      <c r="DM103" s="724"/>
      <c r="DN103" s="724"/>
      <c r="DO103" s="724"/>
      <c r="DP103" s="724"/>
      <c r="DQ103" s="724"/>
      <c r="DR103" s="724"/>
      <c r="DS103" s="724"/>
      <c r="DT103" s="730" t="str">
        <f t="shared" ca="1" si="242"/>
        <v>1E-3ABCDF</v>
      </c>
      <c r="DU103" s="724"/>
      <c r="DV103" s="724"/>
      <c r="DW103" s="11"/>
    </row>
    <row r="104" spans="1:127" ht="16.05" customHeight="1">
      <c r="A104" s="724" t="s">
        <v>651</v>
      </c>
      <c r="B104" s="724" t="s">
        <v>665</v>
      </c>
      <c r="C104" s="725"/>
      <c r="D104" s="733" t="str">
        <f t="shared" si="302"/>
        <v>W75</v>
      </c>
      <c r="E104" s="725" t="s">
        <v>2</v>
      </c>
      <c r="F104" s="725" t="s">
        <v>4</v>
      </c>
      <c r="G104" s="734" t="s">
        <v>73</v>
      </c>
      <c r="H104" s="735">
        <f t="shared" ca="1" si="303"/>
        <v>2</v>
      </c>
      <c r="I104" s="730"/>
      <c r="J104" s="724">
        <v>76</v>
      </c>
      <c r="K104" s="724">
        <v>46202.75</v>
      </c>
      <c r="L104" s="724" t="s">
        <v>688</v>
      </c>
      <c r="M104" s="724" t="str">
        <f t="shared" ca="1" si="304"/>
        <v>1C</v>
      </c>
      <c r="N104" s="724"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24"/>
      <c r="P104" s="724"/>
      <c r="Q104" s="724"/>
      <c r="R104" s="724"/>
      <c r="S104" s="724"/>
      <c r="T104" s="724"/>
      <c r="U104" s="724"/>
      <c r="V104" s="170"/>
      <c r="W104" s="884"/>
      <c r="X104" s="187">
        <f ca="1">Horarios!C104</f>
        <v>46202.875</v>
      </c>
      <c r="Y104" s="188">
        <f ca="1">Horarios!C104</f>
        <v>46202.875</v>
      </c>
      <c r="Z104" s="274">
        <f t="shared" si="309"/>
        <v>75</v>
      </c>
      <c r="AA104" s="275" t="str">
        <f t="shared" ca="1" si="305"/>
        <v>1F</v>
      </c>
      <c r="AB104" s="276"/>
      <c r="AC104" s="279"/>
      <c r="AD104" s="279"/>
      <c r="AE104" s="276"/>
      <c r="AF104" s="278" t="str">
        <f t="shared" ca="1" si="306"/>
        <v>2C</v>
      </c>
      <c r="AG104" s="415">
        <f t="shared" si="307"/>
        <v>0</v>
      </c>
      <c r="AH104" s="194">
        <v>75</v>
      </c>
      <c r="AI104" s="215">
        <v>3</v>
      </c>
      <c r="AJ104" s="219">
        <v>3</v>
      </c>
      <c r="AK104" s="483" t="str" cm="1">
        <f t="array" aca="1" ref="AK104" ca="1">Ver_flag_visit</f>
        <v/>
      </c>
      <c r="AL104" s="287" t="str">
        <f t="shared" ca="1" si="310"/>
        <v>3C</v>
      </c>
      <c r="AM104" s="288" t="str">
        <f t="shared" ref="AM104:AT104" ca="1" si="319">+IF($H$113&gt;=48,INDEX($BE$58:$BN$69,MATCH($AL104,$BD$58:$BD$69,0),MATCH(AM$5,$BE$57:$BN$57,0)),$BB60)</f>
        <v>3C</v>
      </c>
      <c r="AN104" s="289" t="str">
        <f t="shared" ca="1" si="319"/>
        <v>3C</v>
      </c>
      <c r="AO104" s="289" t="str">
        <f t="shared" ca="1" si="319"/>
        <v>3C</v>
      </c>
      <c r="AP104" s="289" t="str">
        <f t="shared" ca="1" si="319"/>
        <v>3C</v>
      </c>
      <c r="AQ104" s="289" t="str">
        <f t="shared" ca="1" si="319"/>
        <v>3C</v>
      </c>
      <c r="AR104" s="289" t="str">
        <f t="shared" ca="1" si="319"/>
        <v>3C</v>
      </c>
      <c r="AS104" s="289" t="str">
        <f t="shared" ca="1" si="319"/>
        <v>3C</v>
      </c>
      <c r="AT104" s="290" t="str">
        <f t="shared" ca="1" si="319"/>
        <v>3C</v>
      </c>
      <c r="AU104" s="418" t="str">
        <f t="shared" ca="1" si="312"/>
        <v/>
      </c>
      <c r="AV104" s="215" t="str">
        <f t="shared" ca="1" si="313"/>
        <v>Catar</v>
      </c>
      <c r="AW104" s="425"/>
      <c r="AX104" s="286"/>
      <c r="AY104" s="291"/>
      <c r="AZ104" s="292" t="str">
        <f t="shared" ca="1" si="315"/>
        <v/>
      </c>
      <c r="BA104" s="173"/>
      <c r="BB104" s="724"/>
      <c r="BC104" s="730"/>
      <c r="BD104" s="724"/>
      <c r="BE104" s="724"/>
      <c r="BF104" s="724" t="str">
        <f t="shared" ca="1" si="316"/>
        <v/>
      </c>
      <c r="BG104" s="724">
        <f t="shared" ca="1" si="317"/>
        <v>0</v>
      </c>
      <c r="BH104" s="724"/>
      <c r="BI104" s="730">
        <v>2</v>
      </c>
      <c r="BJ104" s="724" t="str">
        <f t="shared" ca="1" si="318"/>
        <v>Grupo</v>
      </c>
      <c r="BK104" s="730"/>
      <c r="BL104" s="730"/>
      <c r="BM104" s="724"/>
      <c r="BN104" s="724"/>
      <c r="BO104" s="724"/>
      <c r="BP104" s="724"/>
      <c r="BQ104" s="724"/>
      <c r="BR104" s="724"/>
      <c r="BS104" s="724"/>
      <c r="BT104" s="724"/>
      <c r="BU104" s="724"/>
      <c r="BV104" s="724"/>
      <c r="BW104" s="724"/>
      <c r="BX104" s="724"/>
      <c r="BY104" s="724"/>
      <c r="BZ104" s="724"/>
      <c r="CA104" s="724"/>
      <c r="CB104" s="724"/>
      <c r="CC104" s="724"/>
      <c r="CD104" s="724"/>
      <c r="CE104" s="724"/>
      <c r="CF104" s="724"/>
      <c r="CG104" s="724"/>
      <c r="CH104" s="724"/>
      <c r="CI104" s="724"/>
      <c r="CJ104" s="724"/>
      <c r="CK104" s="724"/>
      <c r="CL104" s="724"/>
      <c r="CM104" s="724"/>
      <c r="CN104" s="724"/>
      <c r="CO104" s="724"/>
      <c r="CP104" s="724"/>
      <c r="CQ104" s="724"/>
      <c r="CR104" s="724"/>
      <c r="CS104" s="724"/>
      <c r="CT104" s="724"/>
      <c r="CU104" s="724"/>
      <c r="CV104" s="724"/>
      <c r="CW104" s="724"/>
      <c r="CX104" s="724"/>
      <c r="CY104" s="724"/>
      <c r="CZ104" s="724"/>
      <c r="DA104" s="724"/>
      <c r="DB104" s="724"/>
      <c r="DC104" s="724"/>
      <c r="DD104" s="724"/>
      <c r="DE104" s="724"/>
      <c r="DF104" s="724"/>
      <c r="DG104" s="724"/>
      <c r="DH104" s="724"/>
      <c r="DI104" s="724"/>
      <c r="DJ104" s="724"/>
      <c r="DK104" s="724"/>
      <c r="DL104" s="724"/>
      <c r="DM104" s="724"/>
      <c r="DN104" s="724"/>
      <c r="DO104" s="724"/>
      <c r="DP104" s="724"/>
      <c r="DQ104" s="724"/>
      <c r="DR104" s="724"/>
      <c r="DS104" s="724"/>
      <c r="DT104" s="730" t="str">
        <f t="shared" ca="1" si="242"/>
        <v>1F-2C</v>
      </c>
      <c r="DU104" s="724"/>
      <c r="DV104" s="724"/>
      <c r="DW104" s="11"/>
    </row>
    <row r="105" spans="1:127" ht="16.05" customHeight="1">
      <c r="A105" s="724" t="s">
        <v>673</v>
      </c>
      <c r="B105" s="724" t="s">
        <v>723</v>
      </c>
      <c r="C105" s="725"/>
      <c r="D105" s="733" t="str">
        <f t="shared" si="302"/>
        <v>W78</v>
      </c>
      <c r="E105" s="725" t="s">
        <v>438</v>
      </c>
      <c r="F105" s="725" t="s">
        <v>721</v>
      </c>
      <c r="G105" s="734" t="s">
        <v>3</v>
      </c>
      <c r="H105" s="735">
        <f t="shared" ca="1" si="303"/>
        <v>0</v>
      </c>
      <c r="I105" s="730"/>
      <c r="J105" s="724">
        <v>77</v>
      </c>
      <c r="K105" s="724">
        <v>46203.75</v>
      </c>
      <c r="L105" s="724" t="s">
        <v>689</v>
      </c>
      <c r="M105" s="724" t="str">
        <f t="shared" ca="1" si="304"/>
        <v>1I</v>
      </c>
      <c r="N105" s="724"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24"/>
      <c r="P105" s="724"/>
      <c r="Q105" s="724"/>
      <c r="R105" s="724"/>
      <c r="S105" s="724"/>
      <c r="T105" s="724"/>
      <c r="U105" s="724"/>
      <c r="V105" s="170"/>
      <c r="W105" s="884"/>
      <c r="X105" s="187">
        <f ca="1">Horarios!C105</f>
        <v>46203.541666666664</v>
      </c>
      <c r="Y105" s="188">
        <f ca="1">Horarios!C105</f>
        <v>46203.541666666664</v>
      </c>
      <c r="Z105" s="274">
        <f t="shared" si="309"/>
        <v>78</v>
      </c>
      <c r="AA105" s="275" t="str">
        <f t="shared" ca="1" si="305"/>
        <v>2E</v>
      </c>
      <c r="AB105" s="276"/>
      <c r="AC105" s="279"/>
      <c r="AD105" s="279"/>
      <c r="AE105" s="276"/>
      <c r="AF105" s="278" t="str">
        <f t="shared" ca="1" si="306"/>
        <v>2I</v>
      </c>
      <c r="AG105" s="415">
        <f t="shared" si="307"/>
        <v>0</v>
      </c>
      <c r="AH105" s="194">
        <v>78</v>
      </c>
      <c r="AI105" s="215">
        <v>4</v>
      </c>
      <c r="AJ105" s="219">
        <v>4</v>
      </c>
      <c r="AK105" s="483" t="str" cm="1">
        <f t="array" aca="1" ref="AK105" ca="1">Ver_flag_visit</f>
        <v/>
      </c>
      <c r="AL105" s="287" t="str">
        <f t="shared" ca="1" si="310"/>
        <v>3D</v>
      </c>
      <c r="AM105" s="288" t="str">
        <f t="shared" ref="AM105:AT105" ca="1" si="320">+IF($H$113&gt;=48,INDEX($BE$58:$BN$69,MATCH($AL105,$BD$58:$BD$69,0),MATCH(AM$5,$BE$57:$BN$57,0)),$BB61)</f>
        <v>3D</v>
      </c>
      <c r="AN105" s="289" t="str">
        <f t="shared" ca="1" si="320"/>
        <v>3D</v>
      </c>
      <c r="AO105" s="289" t="str">
        <f t="shared" ca="1" si="320"/>
        <v>3D</v>
      </c>
      <c r="AP105" s="289" t="str">
        <f t="shared" ca="1" si="320"/>
        <v>3D</v>
      </c>
      <c r="AQ105" s="289" t="str">
        <f t="shared" ca="1" si="320"/>
        <v>3D</v>
      </c>
      <c r="AR105" s="289" t="str">
        <f t="shared" ca="1" si="320"/>
        <v>3D</v>
      </c>
      <c r="AS105" s="289" t="str">
        <f t="shared" ca="1" si="320"/>
        <v>3D</v>
      </c>
      <c r="AT105" s="290" t="str">
        <f t="shared" ca="1" si="320"/>
        <v>3D</v>
      </c>
      <c r="AU105" s="418" t="str">
        <f t="shared" ca="1" si="312"/>
        <v/>
      </c>
      <c r="AV105" s="215" t="str">
        <f t="shared" ca="1" si="313"/>
        <v>Costa de Marfil</v>
      </c>
      <c r="AW105" s="425"/>
      <c r="AX105" s="286"/>
      <c r="AY105" s="291"/>
      <c r="AZ105" s="292" t="str">
        <f t="shared" ca="1" si="315"/>
        <v/>
      </c>
      <c r="BA105" s="173"/>
      <c r="BB105" s="724"/>
      <c r="BC105" s="730"/>
      <c r="BD105" s="724"/>
      <c r="BE105" s="724"/>
      <c r="BF105" s="724" t="str">
        <f t="shared" ca="1" si="316"/>
        <v/>
      </c>
      <c r="BG105" s="724">
        <f t="shared" ca="1" si="317"/>
        <v>0</v>
      </c>
      <c r="BH105" s="724"/>
      <c r="BI105" s="730">
        <v>3</v>
      </c>
      <c r="BJ105" s="724" t="str">
        <f t="shared" ca="1" si="318"/>
        <v>Grupo</v>
      </c>
      <c r="BK105" s="730"/>
      <c r="BL105" s="730"/>
      <c r="BM105" s="724"/>
      <c r="BN105" s="724"/>
      <c r="BO105" s="724"/>
      <c r="BP105" s="724"/>
      <c r="BQ105" s="724"/>
      <c r="BR105" s="724"/>
      <c r="BS105" s="724"/>
      <c r="BT105" s="724"/>
      <c r="BU105" s="724"/>
      <c r="BV105" s="724"/>
      <c r="BW105" s="724"/>
      <c r="BX105" s="724"/>
      <c r="BY105" s="724"/>
      <c r="BZ105" s="724"/>
      <c r="CA105" s="724"/>
      <c r="CB105" s="724"/>
      <c r="CC105" s="724"/>
      <c r="CD105" s="724"/>
      <c r="CE105" s="724"/>
      <c r="CF105" s="724"/>
      <c r="CG105" s="724"/>
      <c r="CH105" s="724"/>
      <c r="CI105" s="724"/>
      <c r="CJ105" s="724"/>
      <c r="CK105" s="724"/>
      <c r="CL105" s="724"/>
      <c r="CM105" s="724"/>
      <c r="CN105" s="724"/>
      <c r="CO105" s="724"/>
      <c r="CP105" s="724"/>
      <c r="CQ105" s="724"/>
      <c r="CR105" s="724"/>
      <c r="CS105" s="724"/>
      <c r="CT105" s="724"/>
      <c r="CU105" s="724"/>
      <c r="CV105" s="724"/>
      <c r="CW105" s="724"/>
      <c r="CX105" s="724"/>
      <c r="CY105" s="724"/>
      <c r="CZ105" s="724"/>
      <c r="DA105" s="724"/>
      <c r="DB105" s="724"/>
      <c r="DC105" s="724"/>
      <c r="DD105" s="724"/>
      <c r="DE105" s="724"/>
      <c r="DF105" s="724"/>
      <c r="DG105" s="724"/>
      <c r="DH105" s="724"/>
      <c r="DI105" s="724"/>
      <c r="DJ105" s="724"/>
      <c r="DK105" s="724"/>
      <c r="DL105" s="724"/>
      <c r="DM105" s="724"/>
      <c r="DN105" s="724"/>
      <c r="DO105" s="724"/>
      <c r="DP105" s="724"/>
      <c r="DQ105" s="724"/>
      <c r="DR105" s="724"/>
      <c r="DS105" s="724"/>
      <c r="DT105" s="730" t="str">
        <f t="shared" ca="1" si="242"/>
        <v>2E-2I</v>
      </c>
      <c r="DU105" s="724"/>
      <c r="DV105" s="724"/>
      <c r="DW105" s="11"/>
    </row>
    <row r="106" spans="1:127" ht="16.05" customHeight="1">
      <c r="A106" s="724" t="s">
        <v>662</v>
      </c>
      <c r="B106" s="724" t="s">
        <v>674</v>
      </c>
      <c r="C106" s="725"/>
      <c r="D106" s="733" t="str">
        <f t="shared" si="302"/>
        <v>W77</v>
      </c>
      <c r="E106" s="725" t="s">
        <v>3</v>
      </c>
      <c r="F106" s="725" t="s">
        <v>438</v>
      </c>
      <c r="G106" s="734" t="s">
        <v>4</v>
      </c>
      <c r="H106" s="735">
        <f t="shared" ca="1" si="303"/>
        <v>0</v>
      </c>
      <c r="I106" s="730"/>
      <c r="J106" s="724">
        <v>78</v>
      </c>
      <c r="K106" s="724">
        <v>46203.75</v>
      </c>
      <c r="L106" s="724" t="s">
        <v>690</v>
      </c>
      <c r="M106" s="724" t="str">
        <f t="shared" ca="1" si="304"/>
        <v>2E</v>
      </c>
      <c r="N106" s="724"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24"/>
      <c r="P106" s="724"/>
      <c r="Q106" s="724"/>
      <c r="R106" s="724"/>
      <c r="S106" s="724"/>
      <c r="T106" s="724"/>
      <c r="U106" s="724"/>
      <c r="V106" s="170"/>
      <c r="W106" s="884"/>
      <c r="X106" s="187">
        <f ca="1">Horarios!C106</f>
        <v>46203.708333333336</v>
      </c>
      <c r="Y106" s="188">
        <f ca="1">Horarios!C106</f>
        <v>46203.708333333336</v>
      </c>
      <c r="Z106" s="274">
        <f t="shared" si="309"/>
        <v>77</v>
      </c>
      <c r="AA106" s="275" t="str">
        <f t="shared" ca="1" si="305"/>
        <v>1I</v>
      </c>
      <c r="AB106" s="276"/>
      <c r="AC106" s="279"/>
      <c r="AD106" s="279"/>
      <c r="AE106" s="276"/>
      <c r="AF106" s="278" t="str">
        <f t="shared" ca="1" si="306"/>
        <v>3CDFGH</v>
      </c>
      <c r="AG106" s="415">
        <f t="shared" si="307"/>
        <v>0</v>
      </c>
      <c r="AH106" s="194">
        <v>77</v>
      </c>
      <c r="AI106" s="215">
        <v>5</v>
      </c>
      <c r="AJ106" s="219">
        <v>5</v>
      </c>
      <c r="AK106" s="483" t="str" cm="1">
        <f t="array" aca="1" ref="AK106" ca="1">Ver_flag_visit</f>
        <v/>
      </c>
      <c r="AL106" s="287" t="str">
        <f t="shared" ca="1" si="310"/>
        <v>3E</v>
      </c>
      <c r="AM106" s="288" t="str">
        <f t="shared" ref="AM106:AT106" ca="1" si="321">+IF($H$113&gt;=48,INDEX($BE$58:$BN$69,MATCH($AL106,$BD$58:$BD$69,0),MATCH(AM$5,$BE$57:$BN$57,0)),$BB62)</f>
        <v>3E</v>
      </c>
      <c r="AN106" s="289" t="str">
        <f t="shared" ca="1" si="321"/>
        <v>3E</v>
      </c>
      <c r="AO106" s="289" t="str">
        <f t="shared" ca="1" si="321"/>
        <v>3E</v>
      </c>
      <c r="AP106" s="289" t="str">
        <f t="shared" ca="1" si="321"/>
        <v>3E</v>
      </c>
      <c r="AQ106" s="289" t="str">
        <f t="shared" ca="1" si="321"/>
        <v>3E</v>
      </c>
      <c r="AR106" s="289" t="str">
        <f t="shared" ca="1" si="321"/>
        <v>3E</v>
      </c>
      <c r="AS106" s="289" t="str">
        <f t="shared" ca="1" si="321"/>
        <v>3E</v>
      </c>
      <c r="AT106" s="290" t="str">
        <f t="shared" ca="1" si="321"/>
        <v>3E</v>
      </c>
      <c r="AU106" s="418" t="str">
        <f t="shared" ca="1" si="312"/>
        <v/>
      </c>
      <c r="AV106" s="215" t="str">
        <f t="shared" ca="1" si="313"/>
        <v>Ghana</v>
      </c>
      <c r="AW106" s="425"/>
      <c r="AX106" s="286"/>
      <c r="AY106" s="291"/>
      <c r="AZ106" s="292" t="str">
        <f t="shared" ca="1" si="315"/>
        <v/>
      </c>
      <c r="BA106" s="173"/>
      <c r="BB106" s="724"/>
      <c r="BC106" s="730"/>
      <c r="BD106" s="724"/>
      <c r="BE106" s="724"/>
      <c r="BF106" s="724" t="str">
        <f t="shared" ca="1" si="316"/>
        <v/>
      </c>
      <c r="BG106" s="724">
        <f t="shared" ca="1" si="317"/>
        <v>0</v>
      </c>
      <c r="BH106" s="724"/>
      <c r="BI106" s="730">
        <v>4</v>
      </c>
      <c r="BJ106" s="724" t="str">
        <f t="shared" ca="1" si="318"/>
        <v>Grupo</v>
      </c>
      <c r="BK106" s="730"/>
      <c r="BL106" s="730"/>
      <c r="BM106" s="724"/>
      <c r="BN106" s="724"/>
      <c r="BO106" s="724"/>
      <c r="BP106" s="724"/>
      <c r="BQ106" s="724"/>
      <c r="BR106" s="724"/>
      <c r="BS106" s="724"/>
      <c r="BT106" s="724"/>
      <c r="BU106" s="724"/>
      <c r="BV106" s="724"/>
      <c r="BW106" s="724"/>
      <c r="BX106" s="724"/>
      <c r="BY106" s="724"/>
      <c r="BZ106" s="724"/>
      <c r="CA106" s="724"/>
      <c r="CB106" s="724"/>
      <c r="CC106" s="724"/>
      <c r="CD106" s="724"/>
      <c r="CE106" s="724"/>
      <c r="CF106" s="724"/>
      <c r="CG106" s="724"/>
      <c r="CH106" s="724"/>
      <c r="CI106" s="724"/>
      <c r="CJ106" s="724"/>
      <c r="CK106" s="724"/>
      <c r="CL106" s="724"/>
      <c r="CM106" s="724"/>
      <c r="CN106" s="724"/>
      <c r="CO106" s="724"/>
      <c r="CP106" s="724"/>
      <c r="CQ106" s="724"/>
      <c r="CR106" s="724"/>
      <c r="CS106" s="724"/>
      <c r="CT106" s="724"/>
      <c r="CU106" s="724"/>
      <c r="CV106" s="724"/>
      <c r="CW106" s="724"/>
      <c r="CX106" s="724"/>
      <c r="CY106" s="724"/>
      <c r="CZ106" s="724"/>
      <c r="DA106" s="724"/>
      <c r="DB106" s="724"/>
      <c r="DC106" s="724"/>
      <c r="DD106" s="724"/>
      <c r="DE106" s="724"/>
      <c r="DF106" s="724"/>
      <c r="DG106" s="724"/>
      <c r="DH106" s="724"/>
      <c r="DI106" s="724"/>
      <c r="DJ106" s="724"/>
      <c r="DK106" s="724"/>
      <c r="DL106" s="724"/>
      <c r="DM106" s="724"/>
      <c r="DN106" s="724"/>
      <c r="DO106" s="724"/>
      <c r="DP106" s="724"/>
      <c r="DQ106" s="724"/>
      <c r="DR106" s="724"/>
      <c r="DS106" s="724"/>
      <c r="DT106" s="730" t="str">
        <f t="shared" ca="1" si="242"/>
        <v>1I-3CDFGH</v>
      </c>
      <c r="DU106" s="724"/>
      <c r="DV106" s="724"/>
      <c r="DW106" s="11"/>
    </row>
    <row r="107" spans="1:127" ht="16.05" customHeight="1">
      <c r="A107" s="724" t="s">
        <v>645</v>
      </c>
      <c r="B107" s="724" t="s">
        <v>724</v>
      </c>
      <c r="C107" s="725"/>
      <c r="D107" s="733" t="str">
        <f t="shared" si="302"/>
        <v>W79</v>
      </c>
      <c r="E107" s="725" t="s">
        <v>0</v>
      </c>
      <c r="F107" s="725" t="s">
        <v>721</v>
      </c>
      <c r="G107" s="734" t="s">
        <v>6</v>
      </c>
      <c r="H107" s="735">
        <f t="shared" ca="1" si="303"/>
        <v>0</v>
      </c>
      <c r="I107" s="730"/>
      <c r="J107" s="724">
        <v>79</v>
      </c>
      <c r="K107" s="724">
        <v>46203.75</v>
      </c>
      <c r="L107" s="724" t="s">
        <v>691</v>
      </c>
      <c r="M107" s="724" t="str">
        <f t="shared" ca="1" si="304"/>
        <v>1A</v>
      </c>
      <c r="N107" s="724"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24"/>
      <c r="P107" s="724"/>
      <c r="Q107" s="724"/>
      <c r="R107" s="724"/>
      <c r="S107" s="724"/>
      <c r="T107" s="724"/>
      <c r="U107" s="724"/>
      <c r="V107" s="170"/>
      <c r="W107" s="884"/>
      <c r="X107" s="187">
        <f ca="1">Horarios!C107</f>
        <v>46203.875</v>
      </c>
      <c r="Y107" s="188">
        <f ca="1">Horarios!C107</f>
        <v>46203.875</v>
      </c>
      <c r="Z107" s="274">
        <f t="shared" si="309"/>
        <v>79</v>
      </c>
      <c r="AA107" s="275" t="str">
        <f t="shared" ca="1" si="305"/>
        <v>1A</v>
      </c>
      <c r="AB107" s="276"/>
      <c r="AC107" s="279"/>
      <c r="AD107" s="279"/>
      <c r="AE107" s="276"/>
      <c r="AF107" s="278" t="str">
        <f t="shared" ca="1" si="306"/>
        <v>3CEFHI</v>
      </c>
      <c r="AG107" s="415">
        <f t="shared" si="307"/>
        <v>0</v>
      </c>
      <c r="AH107" s="194">
        <v>79</v>
      </c>
      <c r="AI107" s="215">
        <v>6</v>
      </c>
      <c r="AJ107" s="219">
        <v>6</v>
      </c>
      <c r="AK107" s="483" t="str" cm="1">
        <f t="array" aca="1" ref="AK107" ca="1">Ver_flag_visit</f>
        <v/>
      </c>
      <c r="AL107" s="287" t="str">
        <f t="shared" ca="1" si="310"/>
        <v>3F</v>
      </c>
      <c r="AM107" s="288" t="str">
        <f t="shared" ref="AM107:AT107" ca="1" si="322">+IF($H$113&gt;=48,INDEX($BE$58:$BN$69,MATCH($AL107,$BD$58:$BD$69,0),MATCH(AM$5,$BE$57:$BN$57,0)),$BB63)</f>
        <v>3F</v>
      </c>
      <c r="AN107" s="289" t="str">
        <f t="shared" ca="1" si="322"/>
        <v>3F</v>
      </c>
      <c r="AO107" s="289" t="str">
        <f t="shared" ca="1" si="322"/>
        <v>3F</v>
      </c>
      <c r="AP107" s="289" t="str">
        <f t="shared" ca="1" si="322"/>
        <v>3F</v>
      </c>
      <c r="AQ107" s="289" t="str">
        <f t="shared" ca="1" si="322"/>
        <v>3F</v>
      </c>
      <c r="AR107" s="289" t="str">
        <f t="shared" ca="1" si="322"/>
        <v>3F</v>
      </c>
      <c r="AS107" s="289" t="str">
        <f t="shared" ca="1" si="322"/>
        <v>3F</v>
      </c>
      <c r="AT107" s="290" t="str">
        <f t="shared" ca="1" si="322"/>
        <v>3F</v>
      </c>
      <c r="AU107" s="418" t="str">
        <f t="shared" ca="1" si="312"/>
        <v/>
      </c>
      <c r="AV107" s="215" t="str">
        <f ca="1">INDEX($BD$58:$BD$69,MATCH(AI107,$BM$58:$BM$69,0))</f>
        <v>Haití</v>
      </c>
      <c r="AW107" s="425"/>
      <c r="AX107" s="286"/>
      <c r="AY107" s="291"/>
      <c r="AZ107" s="292" t="str">
        <f t="shared" ca="1" si="315"/>
        <v/>
      </c>
      <c r="BA107" s="173"/>
      <c r="BB107" s="724"/>
      <c r="BC107" s="730"/>
      <c r="BD107" s="724"/>
      <c r="BE107" s="730"/>
      <c r="BF107" s="724" t="str">
        <f t="shared" ca="1" si="316"/>
        <v/>
      </c>
      <c r="BG107" s="724">
        <f t="shared" ca="1" si="317"/>
        <v>0</v>
      </c>
      <c r="BH107" s="724"/>
      <c r="BI107" s="724">
        <v>5</v>
      </c>
      <c r="BJ107" s="724" t="str">
        <f t="shared" ca="1" si="318"/>
        <v>Grupo</v>
      </c>
      <c r="BK107" s="730"/>
      <c r="BL107" s="730"/>
      <c r="BM107" s="724"/>
      <c r="BN107" s="724"/>
      <c r="BO107" s="724"/>
      <c r="BP107" s="724"/>
      <c r="BQ107" s="724"/>
      <c r="BR107" s="724"/>
      <c r="BS107" s="724"/>
      <c r="BT107" s="724"/>
      <c r="BU107" s="724"/>
      <c r="BV107" s="724"/>
      <c r="BW107" s="724"/>
      <c r="BX107" s="724"/>
      <c r="BY107" s="724"/>
      <c r="BZ107" s="724"/>
      <c r="CA107" s="724"/>
      <c r="CB107" s="724"/>
      <c r="CC107" s="724"/>
      <c r="CD107" s="724"/>
      <c r="CE107" s="724"/>
      <c r="CF107" s="724"/>
      <c r="CG107" s="724"/>
      <c r="CH107" s="724"/>
      <c r="CI107" s="724"/>
      <c r="CJ107" s="724"/>
      <c r="CK107" s="724"/>
      <c r="CL107" s="724"/>
      <c r="CM107" s="724"/>
      <c r="CN107" s="724"/>
      <c r="CO107" s="724"/>
      <c r="CP107" s="724"/>
      <c r="CQ107" s="724"/>
      <c r="CR107" s="724"/>
      <c r="CS107" s="724"/>
      <c r="CT107" s="724"/>
      <c r="CU107" s="724"/>
      <c r="CV107" s="724"/>
      <c r="CW107" s="724"/>
      <c r="CX107" s="724"/>
      <c r="CY107" s="724"/>
      <c r="CZ107" s="724"/>
      <c r="DA107" s="724"/>
      <c r="DB107" s="724"/>
      <c r="DC107" s="724"/>
      <c r="DD107" s="724"/>
      <c r="DE107" s="724"/>
      <c r="DF107" s="724"/>
      <c r="DG107" s="724"/>
      <c r="DH107" s="724"/>
      <c r="DI107" s="724"/>
      <c r="DJ107" s="724"/>
      <c r="DK107" s="724"/>
      <c r="DL107" s="724"/>
      <c r="DM107" s="724"/>
      <c r="DN107" s="724"/>
      <c r="DO107" s="724"/>
      <c r="DP107" s="724"/>
      <c r="DQ107" s="724"/>
      <c r="DR107" s="724"/>
      <c r="DS107" s="724"/>
      <c r="DT107" s="730" t="str">
        <f t="shared" ca="1" si="242"/>
        <v>1A-3CEFHI</v>
      </c>
      <c r="DU107" s="724"/>
      <c r="DV107" s="724"/>
      <c r="DW107" s="11"/>
    </row>
    <row r="108" spans="1:127" ht="16.05" customHeight="1">
      <c r="A108" s="724" t="s">
        <v>682</v>
      </c>
      <c r="B108" s="724" t="s">
        <v>725</v>
      </c>
      <c r="C108" s="725"/>
      <c r="D108" s="733" t="str">
        <f t="shared" si="302"/>
        <v>W80</v>
      </c>
      <c r="E108" s="725" t="s">
        <v>238</v>
      </c>
      <c r="F108" s="725" t="s">
        <v>721</v>
      </c>
      <c r="G108" s="734" t="s">
        <v>437</v>
      </c>
      <c r="H108" s="735">
        <f t="shared" ca="1" si="303"/>
        <v>0</v>
      </c>
      <c r="I108" s="730"/>
      <c r="J108" s="724">
        <v>80</v>
      </c>
      <c r="K108" s="724">
        <v>46204.75</v>
      </c>
      <c r="L108" s="724" t="s">
        <v>692</v>
      </c>
      <c r="M108" s="724" t="str">
        <f t="shared" ca="1" si="304"/>
        <v>1L</v>
      </c>
      <c r="N108" s="724"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24"/>
      <c r="P108" s="724"/>
      <c r="Q108" s="724"/>
      <c r="R108" s="724"/>
      <c r="S108" s="724"/>
      <c r="T108" s="724"/>
      <c r="U108" s="724"/>
      <c r="V108" s="170"/>
      <c r="W108" s="884"/>
      <c r="X108" s="187">
        <f ca="1">Horarios!C108</f>
        <v>46204.5</v>
      </c>
      <c r="Y108" s="188">
        <f ca="1">Horarios!C108</f>
        <v>46204.5</v>
      </c>
      <c r="Z108" s="274">
        <f t="shared" si="309"/>
        <v>80</v>
      </c>
      <c r="AA108" s="275" t="str">
        <f t="shared" ca="1" si="305"/>
        <v>1L</v>
      </c>
      <c r="AB108" s="276"/>
      <c r="AC108" s="279"/>
      <c r="AD108" s="279"/>
      <c r="AE108" s="276"/>
      <c r="AF108" s="278" t="str">
        <f t="shared" ca="1" si="306"/>
        <v>3EHIJK</v>
      </c>
      <c r="AG108" s="415">
        <f t="shared" si="307"/>
        <v>0</v>
      </c>
      <c r="AH108" s="194">
        <v>80</v>
      </c>
      <c r="AI108" s="215">
        <v>7</v>
      </c>
      <c r="AJ108" s="219">
        <v>7</v>
      </c>
      <c r="AK108" s="483" t="str" cm="1">
        <f t="array" aca="1" ref="AK108" ca="1">Ver_flag_visit</f>
        <v/>
      </c>
      <c r="AL108" s="287" t="str">
        <f t="shared" ca="1" si="310"/>
        <v>3G</v>
      </c>
      <c r="AM108" s="288" t="str">
        <f t="shared" ref="AM108:AT108" ca="1" si="323">+IF($H$113&gt;=48,INDEX($BE$58:$BN$69,MATCH($AL108,$BD$58:$BD$69,0),MATCH(AM$5,$BE$57:$BN$57,0)),$BB64)</f>
        <v>3G</v>
      </c>
      <c r="AN108" s="289" t="str">
        <f t="shared" ca="1" si="323"/>
        <v>3G</v>
      </c>
      <c r="AO108" s="289" t="str">
        <f t="shared" ca="1" si="323"/>
        <v>3G</v>
      </c>
      <c r="AP108" s="289" t="str">
        <f t="shared" ca="1" si="323"/>
        <v>3G</v>
      </c>
      <c r="AQ108" s="289" t="str">
        <f t="shared" ca="1" si="323"/>
        <v>3G</v>
      </c>
      <c r="AR108" s="289" t="str">
        <f t="shared" ca="1" si="323"/>
        <v>3G</v>
      </c>
      <c r="AS108" s="289" t="str">
        <f t="shared" ca="1" si="323"/>
        <v>3G</v>
      </c>
      <c r="AT108" s="290" t="str">
        <f t="shared" ca="1" si="323"/>
        <v>3G</v>
      </c>
      <c r="AU108" s="418" t="str">
        <f t="shared" ca="1" si="312"/>
        <v/>
      </c>
      <c r="AV108" s="215" t="str">
        <f t="shared" ca="1" si="313"/>
        <v>Irak</v>
      </c>
      <c r="AW108" s="425"/>
      <c r="AX108" s="286"/>
      <c r="AY108" s="291"/>
      <c r="AZ108" s="292" t="str">
        <f t="shared" ca="1" si="315"/>
        <v/>
      </c>
      <c r="BA108" s="173"/>
      <c r="BB108" s="724"/>
      <c r="BC108" s="724"/>
      <c r="BD108" s="724"/>
      <c r="BE108" s="730"/>
      <c r="BF108" s="724" t="str">
        <f t="shared" ca="1" si="316"/>
        <v/>
      </c>
      <c r="BG108" s="724">
        <f t="shared" ca="1" si="317"/>
        <v>0</v>
      </c>
      <c r="BH108" s="724"/>
      <c r="BI108" s="724">
        <v>6</v>
      </c>
      <c r="BJ108" s="724" t="str">
        <f t="shared" ca="1" si="318"/>
        <v>Grupo</v>
      </c>
      <c r="BK108" s="730"/>
      <c r="BL108" s="724"/>
      <c r="BM108" s="724"/>
      <c r="BN108" s="724"/>
      <c r="BO108" s="724"/>
      <c r="BP108" s="724"/>
      <c r="BQ108" s="724"/>
      <c r="BR108" s="724"/>
      <c r="BS108" s="724"/>
      <c r="BT108" s="724"/>
      <c r="BU108" s="724"/>
      <c r="BV108" s="724"/>
      <c r="BW108" s="724"/>
      <c r="BX108" s="724"/>
      <c r="BY108" s="724"/>
      <c r="BZ108" s="724"/>
      <c r="CA108" s="724"/>
      <c r="CB108" s="724"/>
      <c r="CC108" s="724"/>
      <c r="CD108" s="724"/>
      <c r="CE108" s="724"/>
      <c r="CF108" s="724"/>
      <c r="CG108" s="724"/>
      <c r="CH108" s="724"/>
      <c r="CI108" s="724"/>
      <c r="CJ108" s="724"/>
      <c r="CK108" s="724"/>
      <c r="CL108" s="724"/>
      <c r="CM108" s="724"/>
      <c r="CN108" s="724"/>
      <c r="CO108" s="724"/>
      <c r="CP108" s="724"/>
      <c r="CQ108" s="724"/>
      <c r="CR108" s="724"/>
      <c r="CS108" s="724"/>
      <c r="CT108" s="724"/>
      <c r="CU108" s="724"/>
      <c r="CV108" s="724"/>
      <c r="CW108" s="724"/>
      <c r="CX108" s="724"/>
      <c r="CY108" s="724"/>
      <c r="CZ108" s="724"/>
      <c r="DA108" s="724"/>
      <c r="DB108" s="724"/>
      <c r="DC108" s="724"/>
      <c r="DD108" s="724"/>
      <c r="DE108" s="724"/>
      <c r="DF108" s="724"/>
      <c r="DG108" s="724"/>
      <c r="DH108" s="724"/>
      <c r="DI108" s="724"/>
      <c r="DJ108" s="724"/>
      <c r="DK108" s="724"/>
      <c r="DL108" s="724"/>
      <c r="DM108" s="724"/>
      <c r="DN108" s="724"/>
      <c r="DO108" s="724"/>
      <c r="DP108" s="724"/>
      <c r="DQ108" s="724"/>
      <c r="DR108" s="724"/>
      <c r="DS108" s="724"/>
      <c r="DT108" s="730" t="str">
        <f t="shared" ca="1" si="242"/>
        <v>1L-3EHIJK</v>
      </c>
      <c r="DU108" s="724"/>
      <c r="DV108" s="724"/>
      <c r="DW108" s="11"/>
    </row>
    <row r="109" spans="1:127" ht="16.05" customHeight="1">
      <c r="A109" s="724" t="s">
        <v>658</v>
      </c>
      <c r="B109" s="724" t="s">
        <v>726</v>
      </c>
      <c r="C109" s="725"/>
      <c r="D109" s="733" t="str">
        <f t="shared" si="302"/>
        <v>W82</v>
      </c>
      <c r="E109" s="725" t="s">
        <v>73</v>
      </c>
      <c r="F109" s="725" t="s">
        <v>721</v>
      </c>
      <c r="G109" s="734" t="s">
        <v>438</v>
      </c>
      <c r="H109" s="735">
        <f t="shared" ca="1" si="303"/>
        <v>0</v>
      </c>
      <c r="I109" s="730"/>
      <c r="J109" s="724">
        <v>81</v>
      </c>
      <c r="K109" s="724">
        <v>46204.75</v>
      </c>
      <c r="L109" s="724" t="s">
        <v>693</v>
      </c>
      <c r="M109" s="724" t="str">
        <f t="shared" ca="1" si="304"/>
        <v>1D</v>
      </c>
      <c r="N109" s="724"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24"/>
      <c r="P109" s="724"/>
      <c r="Q109" s="724"/>
      <c r="R109" s="724"/>
      <c r="S109" s="724"/>
      <c r="T109" s="724"/>
      <c r="U109" s="724"/>
      <c r="V109" s="170"/>
      <c r="W109" s="884"/>
      <c r="X109" s="187">
        <f ca="1">Horarios!C109</f>
        <v>46204.666666666664</v>
      </c>
      <c r="Y109" s="188">
        <f ca="1">Horarios!C109</f>
        <v>46204.666666666664</v>
      </c>
      <c r="Z109" s="274">
        <f t="shared" si="309"/>
        <v>82</v>
      </c>
      <c r="AA109" s="275" t="str">
        <f t="shared" ca="1" si="305"/>
        <v>1G</v>
      </c>
      <c r="AB109" s="276"/>
      <c r="AC109" s="279"/>
      <c r="AD109" s="279"/>
      <c r="AE109" s="276"/>
      <c r="AF109" s="278" t="str">
        <f t="shared" ca="1" si="306"/>
        <v>3AEHIJ</v>
      </c>
      <c r="AG109" s="415">
        <f t="shared" si="307"/>
        <v>0</v>
      </c>
      <c r="AH109" s="194">
        <v>82</v>
      </c>
      <c r="AI109" s="215">
        <v>8</v>
      </c>
      <c r="AJ109" s="219">
        <v>8</v>
      </c>
      <c r="AK109" s="483" t="str" cm="1">
        <f t="array" aca="1" ref="AK109" ca="1">Ver_flag_visit</f>
        <v/>
      </c>
      <c r="AL109" s="287" t="str">
        <f t="shared" ca="1" si="310"/>
        <v>3H</v>
      </c>
      <c r="AM109" s="288" t="str">
        <f t="shared" ref="AM109:AT109" ca="1" si="324">+IF($H$113&gt;=48,INDEX($BE$58:$BN$69,MATCH($AL109,$BD$58:$BD$69,0),MATCH(AM$5,$BE$57:$BN$57,0)),$BB65)</f>
        <v>3H</v>
      </c>
      <c r="AN109" s="289" t="str">
        <f t="shared" ca="1" si="324"/>
        <v>3H</v>
      </c>
      <c r="AO109" s="289" t="str">
        <f t="shared" ca="1" si="324"/>
        <v>3H</v>
      </c>
      <c r="AP109" s="289" t="str">
        <f t="shared" ca="1" si="324"/>
        <v>3H</v>
      </c>
      <c r="AQ109" s="289" t="str">
        <f t="shared" ca="1" si="324"/>
        <v>3H</v>
      </c>
      <c r="AR109" s="289" t="str">
        <f t="shared" ca="1" si="324"/>
        <v>3H</v>
      </c>
      <c r="AS109" s="289" t="str">
        <f t="shared" ca="1" si="324"/>
        <v>3H</v>
      </c>
      <c r="AT109" s="290" t="str">
        <f t="shared" ca="1" si="324"/>
        <v>3H</v>
      </c>
      <c r="AU109" s="418" t="str">
        <f t="shared" ca="1" si="312"/>
        <v/>
      </c>
      <c r="AV109" s="215" t="str">
        <f t="shared" ca="1" si="313"/>
        <v>Irán</v>
      </c>
      <c r="AW109" s="425"/>
      <c r="AX109" s="286"/>
      <c r="AY109" s="291"/>
      <c r="AZ109" s="292" t="str">
        <f t="shared" ca="1" si="315"/>
        <v/>
      </c>
      <c r="BA109" s="173"/>
      <c r="BB109" s="724"/>
      <c r="BC109" s="724"/>
      <c r="BD109" s="724"/>
      <c r="BE109" s="730"/>
      <c r="BF109" s="724" t="str">
        <f t="shared" ca="1" si="316"/>
        <v/>
      </c>
      <c r="BG109" s="724">
        <f t="shared" ca="1" si="317"/>
        <v>0</v>
      </c>
      <c r="BH109" s="724"/>
      <c r="BI109" s="724">
        <v>7</v>
      </c>
      <c r="BJ109" s="724" t="str">
        <f t="shared" ca="1" si="318"/>
        <v>Grupo</v>
      </c>
      <c r="BK109" s="730"/>
      <c r="BL109" s="724"/>
      <c r="BM109" s="724"/>
      <c r="BN109" s="724"/>
      <c r="BO109" s="724"/>
      <c r="BP109" s="724"/>
      <c r="BQ109" s="724"/>
      <c r="BR109" s="724"/>
      <c r="BS109" s="724"/>
      <c r="BT109" s="724"/>
      <c r="BU109" s="724"/>
      <c r="BV109" s="724"/>
      <c r="BW109" s="724"/>
      <c r="BX109" s="724"/>
      <c r="BY109" s="724"/>
      <c r="BZ109" s="724"/>
      <c r="CA109" s="724"/>
      <c r="CB109" s="724"/>
      <c r="CC109" s="724"/>
      <c r="CD109" s="724"/>
      <c r="CE109" s="724"/>
      <c r="CF109" s="724"/>
      <c r="CG109" s="724"/>
      <c r="CH109" s="724"/>
      <c r="CI109" s="724"/>
      <c r="CJ109" s="724"/>
      <c r="CK109" s="724"/>
      <c r="CL109" s="724"/>
      <c r="CM109" s="724"/>
      <c r="CN109" s="724"/>
      <c r="CO109" s="724"/>
      <c r="CP109" s="724"/>
      <c r="CQ109" s="724"/>
      <c r="CR109" s="724"/>
      <c r="CS109" s="724"/>
      <c r="CT109" s="724"/>
      <c r="CU109" s="724"/>
      <c r="CV109" s="724"/>
      <c r="CW109" s="724"/>
      <c r="CX109" s="724"/>
      <c r="CY109" s="724"/>
      <c r="CZ109" s="724"/>
      <c r="DA109" s="724"/>
      <c r="DB109" s="724"/>
      <c r="DC109" s="724"/>
      <c r="DD109" s="724"/>
      <c r="DE109" s="724"/>
      <c r="DF109" s="724"/>
      <c r="DG109" s="724"/>
      <c r="DH109" s="724"/>
      <c r="DI109" s="724"/>
      <c r="DJ109" s="724"/>
      <c r="DK109" s="724"/>
      <c r="DL109" s="724"/>
      <c r="DM109" s="724"/>
      <c r="DN109" s="724"/>
      <c r="DO109" s="724"/>
      <c r="DP109" s="724"/>
      <c r="DQ109" s="724"/>
      <c r="DR109" s="724"/>
      <c r="DS109" s="724"/>
      <c r="DT109" s="730" t="str">
        <f t="shared" ca="1" si="242"/>
        <v>1G-3AEHIJ</v>
      </c>
      <c r="DU109" s="724"/>
      <c r="DV109" s="724"/>
      <c r="DW109" s="11"/>
    </row>
    <row r="110" spans="1:127" ht="16.05" customHeight="1">
      <c r="A110" s="724" t="s">
        <v>667</v>
      </c>
      <c r="B110" s="724" t="s">
        <v>727</v>
      </c>
      <c r="C110" s="725"/>
      <c r="D110" s="733" t="str">
        <f t="shared" si="302"/>
        <v>W81</v>
      </c>
      <c r="E110" s="725" t="s">
        <v>6</v>
      </c>
      <c r="F110" s="725" t="s">
        <v>721</v>
      </c>
      <c r="G110" s="734" t="s">
        <v>5</v>
      </c>
      <c r="H110" s="735">
        <f t="shared" ca="1" si="303"/>
        <v>0</v>
      </c>
      <c r="I110" s="730"/>
      <c r="J110" s="724">
        <v>82</v>
      </c>
      <c r="K110" s="724">
        <v>46204.75</v>
      </c>
      <c r="L110" s="724" t="s">
        <v>694</v>
      </c>
      <c r="M110" s="724" t="str">
        <f t="shared" ca="1" si="304"/>
        <v>1G</v>
      </c>
      <c r="N110" s="724"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24"/>
      <c r="P110" s="724"/>
      <c r="Q110" s="724"/>
      <c r="R110" s="724"/>
      <c r="S110" s="724"/>
      <c r="T110" s="724"/>
      <c r="U110" s="724"/>
      <c r="V110" s="170"/>
      <c r="W110" s="884"/>
      <c r="X110" s="187">
        <f ca="1">Horarios!C110</f>
        <v>46204.833333333336</v>
      </c>
      <c r="Y110" s="188">
        <f ca="1">Horarios!C110</f>
        <v>46204.833333333336</v>
      </c>
      <c r="Z110" s="274">
        <f t="shared" si="309"/>
        <v>81</v>
      </c>
      <c r="AA110" s="275" t="str">
        <f t="shared" ca="1" si="305"/>
        <v>1D</v>
      </c>
      <c r="AB110" s="276"/>
      <c r="AC110" s="279"/>
      <c r="AD110" s="279"/>
      <c r="AE110" s="276"/>
      <c r="AF110" s="278" t="str">
        <f t="shared" ca="1" si="306"/>
        <v>3BEFIJ</v>
      </c>
      <c r="AG110" s="415">
        <f t="shared" si="307"/>
        <v>0</v>
      </c>
      <c r="AH110" s="194">
        <v>81</v>
      </c>
      <c r="AI110" s="215">
        <v>9</v>
      </c>
      <c r="AJ110" s="219">
        <v>9</v>
      </c>
      <c r="AK110" s="483" t="str" cm="1">
        <f t="array" aca="1" ref="AK110" ca="1">Ver_flag_visit</f>
        <v/>
      </c>
      <c r="AL110" s="287" t="str">
        <f t="shared" ca="1" si="310"/>
        <v>3I</v>
      </c>
      <c r="AM110" s="288" t="str">
        <f t="shared" ref="AM110:AT110" ca="1" si="325">+IF($H$113&gt;=48,INDEX($BE$58:$BN$69,MATCH($AL110,$BD$58:$BD$69,0),MATCH(AM$5,$BE$57:$BN$57,0)),$BB66)</f>
        <v>3I</v>
      </c>
      <c r="AN110" s="289" t="str">
        <f t="shared" ca="1" si="325"/>
        <v>3I</v>
      </c>
      <c r="AO110" s="289" t="str">
        <f t="shared" ca="1" si="325"/>
        <v>3I</v>
      </c>
      <c r="AP110" s="289" t="str">
        <f t="shared" ca="1" si="325"/>
        <v>3I</v>
      </c>
      <c r="AQ110" s="289" t="str">
        <f t="shared" ca="1" si="325"/>
        <v>3I</v>
      </c>
      <c r="AR110" s="289" t="str">
        <f t="shared" ca="1" si="325"/>
        <v>3I</v>
      </c>
      <c r="AS110" s="289" t="str">
        <f t="shared" ca="1" si="325"/>
        <v>3I</v>
      </c>
      <c r="AT110" s="290" t="str">
        <f t="shared" ca="1" si="325"/>
        <v>3I</v>
      </c>
      <c r="AU110" s="418" t="str">
        <f t="shared" ca="1" si="312"/>
        <v/>
      </c>
      <c r="AV110" s="215" t="str">
        <f t="shared" ca="1" si="313"/>
        <v>Suecia</v>
      </c>
      <c r="AW110" s="425"/>
      <c r="AX110" s="286"/>
      <c r="AY110" s="291"/>
      <c r="AZ110" s="292" t="str">
        <f t="shared" ca="1" si="315"/>
        <v/>
      </c>
      <c r="BA110" s="173"/>
      <c r="BB110" s="724"/>
      <c r="BC110" s="724"/>
      <c r="BD110" s="724"/>
      <c r="BE110" s="730"/>
      <c r="BF110" s="724" t="str">
        <f t="shared" ca="1" si="316"/>
        <v/>
      </c>
      <c r="BG110" s="724">
        <f t="shared" ca="1" si="317"/>
        <v>0</v>
      </c>
      <c r="BH110" s="724"/>
      <c r="BI110" s="730">
        <v>8</v>
      </c>
      <c r="BJ110" s="724" t="str">
        <f t="shared" ca="1" si="318"/>
        <v>Grupo</v>
      </c>
      <c r="BK110" s="730"/>
      <c r="BL110" s="724"/>
      <c r="BM110" s="724"/>
      <c r="BN110" s="724"/>
      <c r="BO110" s="724"/>
      <c r="BP110" s="724"/>
      <c r="BQ110" s="724"/>
      <c r="BR110" s="724"/>
      <c r="BS110" s="724"/>
      <c r="BT110" s="724"/>
      <c r="BU110" s="724"/>
      <c r="BV110" s="724"/>
      <c r="BW110" s="724"/>
      <c r="BX110" s="724"/>
      <c r="BY110" s="724"/>
      <c r="BZ110" s="724"/>
      <c r="CA110" s="724"/>
      <c r="CB110" s="724"/>
      <c r="CC110" s="724"/>
      <c r="CD110" s="724"/>
      <c r="CE110" s="724"/>
      <c r="CF110" s="724"/>
      <c r="CG110" s="724"/>
      <c r="CH110" s="724"/>
      <c r="CI110" s="724"/>
      <c r="CJ110" s="724"/>
      <c r="CK110" s="724"/>
      <c r="CL110" s="724"/>
      <c r="CM110" s="724"/>
      <c r="CN110" s="724"/>
      <c r="CO110" s="724"/>
      <c r="CP110" s="724"/>
      <c r="CQ110" s="724"/>
      <c r="CR110" s="724"/>
      <c r="CS110" s="724"/>
      <c r="CT110" s="724"/>
      <c r="CU110" s="724"/>
      <c r="CV110" s="724"/>
      <c r="CW110" s="724"/>
      <c r="CX110" s="724"/>
      <c r="CY110" s="724"/>
      <c r="CZ110" s="724"/>
      <c r="DA110" s="724"/>
      <c r="DB110" s="724"/>
      <c r="DC110" s="724"/>
      <c r="DD110" s="724"/>
      <c r="DE110" s="724"/>
      <c r="DF110" s="724"/>
      <c r="DG110" s="724"/>
      <c r="DH110" s="724"/>
      <c r="DI110" s="724"/>
      <c r="DJ110" s="724"/>
      <c r="DK110" s="724"/>
      <c r="DL110" s="724"/>
      <c r="DM110" s="724"/>
      <c r="DN110" s="724"/>
      <c r="DO110" s="724"/>
      <c r="DP110" s="724"/>
      <c r="DQ110" s="724"/>
      <c r="DR110" s="724"/>
      <c r="DS110" s="724"/>
      <c r="DT110" s="730" t="str">
        <f t="shared" ca="1" si="242"/>
        <v>1D-3BEFIJ</v>
      </c>
      <c r="DU110" s="724"/>
      <c r="DV110" s="724"/>
      <c r="DW110" s="11"/>
    </row>
    <row r="111" spans="1:127" ht="16.05" customHeight="1">
      <c r="A111" s="724" t="s">
        <v>680</v>
      </c>
      <c r="B111" s="724" t="s">
        <v>683</v>
      </c>
      <c r="C111" s="725"/>
      <c r="D111" s="733" t="str">
        <f t="shared" si="302"/>
        <v>W84</v>
      </c>
      <c r="E111" s="725" t="s">
        <v>439</v>
      </c>
      <c r="F111" s="725" t="s">
        <v>238</v>
      </c>
      <c r="G111" s="734" t="s">
        <v>439</v>
      </c>
      <c r="H111" s="735">
        <f t="shared" ca="1" si="303"/>
        <v>0</v>
      </c>
      <c r="I111" s="730"/>
      <c r="J111" s="724">
        <v>83</v>
      </c>
      <c r="K111" s="724">
        <v>46205.75</v>
      </c>
      <c r="L111" s="724" t="s">
        <v>695</v>
      </c>
      <c r="M111" s="724" t="str">
        <f t="shared" ca="1" si="304"/>
        <v>2K</v>
      </c>
      <c r="N111" s="724"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24"/>
      <c r="P111" s="724"/>
      <c r="Q111" s="724"/>
      <c r="R111" s="724"/>
      <c r="S111" s="724"/>
      <c r="T111" s="724"/>
      <c r="U111" s="724"/>
      <c r="V111" s="170"/>
      <c r="W111" s="884"/>
      <c r="X111" s="187">
        <f ca="1">Horarios!C111</f>
        <v>46205.625</v>
      </c>
      <c r="Y111" s="188">
        <f ca="1">Horarios!C111</f>
        <v>46205.625</v>
      </c>
      <c r="Z111" s="274">
        <f t="shared" si="309"/>
        <v>84</v>
      </c>
      <c r="AA111" s="275" t="str">
        <f t="shared" ca="1" si="305"/>
        <v>1H</v>
      </c>
      <c r="AB111" s="276"/>
      <c r="AC111" s="279"/>
      <c r="AD111" s="279"/>
      <c r="AE111" s="276"/>
      <c r="AF111" s="278" t="str">
        <f t="shared" ca="1" si="306"/>
        <v>2J</v>
      </c>
      <c r="AG111" s="415">
        <f t="shared" si="307"/>
        <v>0</v>
      </c>
      <c r="AH111" s="194">
        <v>84</v>
      </c>
      <c r="AI111" s="215">
        <v>10</v>
      </c>
      <c r="AJ111" s="219">
        <v>10</v>
      </c>
      <c r="AK111" s="483" t="str" cm="1">
        <f t="array" aca="1" ref="AK111" ca="1">Ver_flag_visit</f>
        <v/>
      </c>
      <c r="AL111" s="287" t="str">
        <f t="shared" ca="1" si="310"/>
        <v>3J</v>
      </c>
      <c r="AM111" s="288" t="str">
        <f t="shared" ref="AM111:AT111" ca="1" si="326">+IF($H$113&gt;=48,INDEX($BE$58:$BN$69,MATCH($AL111,$BD$58:$BD$69,0),MATCH(AM$5,$BE$57:$BN$57,0)),$BB67)</f>
        <v>3J</v>
      </c>
      <c r="AN111" s="289" t="str">
        <f t="shared" ca="1" si="326"/>
        <v>3J</v>
      </c>
      <c r="AO111" s="289" t="str">
        <f t="shared" ca="1" si="326"/>
        <v>3J</v>
      </c>
      <c r="AP111" s="289" t="str">
        <f t="shared" ca="1" si="326"/>
        <v>3J</v>
      </c>
      <c r="AQ111" s="289" t="str">
        <f t="shared" ca="1" si="326"/>
        <v>3J</v>
      </c>
      <c r="AR111" s="289" t="str">
        <f t="shared" ca="1" si="326"/>
        <v>3J</v>
      </c>
      <c r="AS111" s="289" t="str">
        <f t="shared" ca="1" si="326"/>
        <v>3J</v>
      </c>
      <c r="AT111" s="290" t="str">
        <f t="shared" ca="1" si="326"/>
        <v>3J</v>
      </c>
      <c r="AU111" s="418" t="str">
        <f t="shared" ca="1" si="312"/>
        <v/>
      </c>
      <c r="AV111" s="215" t="str">
        <f t="shared" ca="1" si="313"/>
        <v>Turquía</v>
      </c>
      <c r="AW111" s="425"/>
      <c r="AX111" s="286"/>
      <c r="AY111" s="293"/>
      <c r="AZ111" s="293"/>
      <c r="BA111" s="173"/>
      <c r="BB111" s="724"/>
      <c r="BC111" s="724"/>
      <c r="BD111" s="732"/>
      <c r="BE111" s="724"/>
      <c r="BF111" s="724"/>
      <c r="BG111" s="724"/>
      <c r="BH111" s="724"/>
      <c r="BI111" s="724" t="s">
        <v>86</v>
      </c>
      <c r="BJ111" s="724"/>
      <c r="BK111" s="730"/>
      <c r="BL111" s="724"/>
      <c r="BM111" s="724"/>
      <c r="BN111" s="724"/>
      <c r="BO111" s="724"/>
      <c r="BP111" s="724"/>
      <c r="BQ111" s="724"/>
      <c r="BR111" s="724"/>
      <c r="BS111" s="724"/>
      <c r="BT111" s="724"/>
      <c r="BU111" s="724"/>
      <c r="BV111" s="724"/>
      <c r="BW111" s="724"/>
      <c r="BX111" s="724"/>
      <c r="BY111" s="724"/>
      <c r="BZ111" s="724"/>
      <c r="CA111" s="724"/>
      <c r="CB111" s="724"/>
      <c r="CC111" s="724"/>
      <c r="CD111" s="724"/>
      <c r="CE111" s="724"/>
      <c r="CF111" s="724"/>
      <c r="CG111" s="724"/>
      <c r="CH111" s="724"/>
      <c r="CI111" s="724"/>
      <c r="CJ111" s="724"/>
      <c r="CK111" s="724"/>
      <c r="CL111" s="724"/>
      <c r="CM111" s="724"/>
      <c r="CN111" s="724"/>
      <c r="CO111" s="724"/>
      <c r="CP111" s="724"/>
      <c r="CQ111" s="724"/>
      <c r="CR111" s="724"/>
      <c r="CS111" s="724"/>
      <c r="CT111" s="724"/>
      <c r="CU111" s="724"/>
      <c r="CV111" s="724"/>
      <c r="CW111" s="724"/>
      <c r="CX111" s="724"/>
      <c r="CY111" s="724"/>
      <c r="CZ111" s="724"/>
      <c r="DA111" s="724"/>
      <c r="DB111" s="724"/>
      <c r="DC111" s="724"/>
      <c r="DD111" s="724"/>
      <c r="DE111" s="724"/>
      <c r="DF111" s="724"/>
      <c r="DG111" s="724"/>
      <c r="DH111" s="724"/>
      <c r="DI111" s="724"/>
      <c r="DJ111" s="724"/>
      <c r="DK111" s="724"/>
      <c r="DL111" s="724"/>
      <c r="DM111" s="724"/>
      <c r="DN111" s="724"/>
      <c r="DO111" s="724"/>
      <c r="DP111" s="724"/>
      <c r="DQ111" s="724"/>
      <c r="DR111" s="724"/>
      <c r="DS111" s="724"/>
      <c r="DT111" s="730" t="str">
        <f t="shared" ca="1" si="242"/>
        <v>1H-2J</v>
      </c>
      <c r="DU111" s="724"/>
      <c r="DV111" s="724"/>
      <c r="DW111" s="11"/>
    </row>
    <row r="112" spans="1:127" ht="16.05" customHeight="1">
      <c r="A112" s="724" t="s">
        <v>670</v>
      </c>
      <c r="B112" s="724" t="s">
        <v>677</v>
      </c>
      <c r="C112" s="725"/>
      <c r="D112" s="733" t="str">
        <f t="shared" si="302"/>
        <v>W83</v>
      </c>
      <c r="E112" s="725" t="s">
        <v>437</v>
      </c>
      <c r="F112" s="725" t="s">
        <v>5</v>
      </c>
      <c r="G112" s="734" t="s">
        <v>238</v>
      </c>
      <c r="H112" s="735">
        <f t="shared" ca="1" si="303"/>
        <v>0</v>
      </c>
      <c r="I112" s="730"/>
      <c r="J112" s="724">
        <v>84</v>
      </c>
      <c r="K112" s="724">
        <v>46205.75</v>
      </c>
      <c r="L112" s="724" t="s">
        <v>696</v>
      </c>
      <c r="M112" s="724" t="str">
        <f t="shared" ca="1" si="304"/>
        <v>1H</v>
      </c>
      <c r="N112" s="724"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24"/>
      <c r="P112" s="724"/>
      <c r="Q112" s="724"/>
      <c r="R112" s="724"/>
      <c r="S112" s="724"/>
      <c r="T112" s="724"/>
      <c r="U112" s="724"/>
      <c r="V112" s="170"/>
      <c r="W112" s="884"/>
      <c r="X112" s="187">
        <f ca="1">Horarios!C112</f>
        <v>46205.791666666664</v>
      </c>
      <c r="Y112" s="188">
        <f ca="1">Horarios!C112</f>
        <v>46205.791666666664</v>
      </c>
      <c r="Z112" s="274">
        <f t="shared" si="309"/>
        <v>83</v>
      </c>
      <c r="AA112" s="275" t="str">
        <f t="shared" ca="1" si="305"/>
        <v>2K</v>
      </c>
      <c r="AB112" s="276"/>
      <c r="AC112" s="279"/>
      <c r="AD112" s="279"/>
      <c r="AE112" s="276"/>
      <c r="AF112" s="278" t="str">
        <f t="shared" ca="1" si="306"/>
        <v>2L</v>
      </c>
      <c r="AG112" s="415">
        <f t="shared" si="307"/>
        <v>0</v>
      </c>
      <c r="AH112" s="194">
        <v>83</v>
      </c>
      <c r="AI112" s="215">
        <v>11</v>
      </c>
      <c r="AJ112" s="219">
        <v>11</v>
      </c>
      <c r="AK112" s="483" t="str" cm="1">
        <f t="array" aca="1" ref="AK112" ca="1">Ver_flag_visit</f>
        <v/>
      </c>
      <c r="AL112" s="287" t="str">
        <f t="shared" ca="1" si="310"/>
        <v>3K</v>
      </c>
      <c r="AM112" s="288" t="str">
        <f t="shared" ref="AM112:AT112" ca="1" si="327">+IF($H$113&gt;=48,INDEX($BE$58:$BN$69,MATCH($AL112,$BD$58:$BD$69,0),MATCH(AM$5,$BE$57:$BN$57,0)),$BB68)</f>
        <v>3K</v>
      </c>
      <c r="AN112" s="289" t="str">
        <f t="shared" ca="1" si="327"/>
        <v>3K</v>
      </c>
      <c r="AO112" s="289" t="str">
        <f t="shared" ca="1" si="327"/>
        <v>3K</v>
      </c>
      <c r="AP112" s="289" t="str">
        <f t="shared" ca="1" si="327"/>
        <v>3K</v>
      </c>
      <c r="AQ112" s="289" t="str">
        <f t="shared" ca="1" si="327"/>
        <v>3K</v>
      </c>
      <c r="AR112" s="289" t="str">
        <f t="shared" ca="1" si="327"/>
        <v>3K</v>
      </c>
      <c r="AS112" s="289" t="str">
        <f t="shared" ca="1" si="327"/>
        <v>3K</v>
      </c>
      <c r="AT112" s="290" t="str">
        <f t="shared" ca="1" si="327"/>
        <v>3K</v>
      </c>
      <c r="AU112" s="418" t="str">
        <f t="shared" ca="1" si="312"/>
        <v/>
      </c>
      <c r="AV112" s="215" t="str">
        <f t="shared" ca="1" si="313"/>
        <v>Uzbekistán</v>
      </c>
      <c r="AW112" s="425"/>
      <c r="AX112" s="286"/>
      <c r="AY112" s="293"/>
      <c r="AZ112" s="293"/>
      <c r="BA112" s="173"/>
      <c r="BB112" s="724"/>
      <c r="BC112" s="724"/>
      <c r="BD112" s="732"/>
      <c r="BE112" s="724"/>
      <c r="BF112" s="724"/>
      <c r="BG112" s="724"/>
      <c r="BH112" s="724"/>
      <c r="BI112" s="724" t="str">
        <f ca="1">IFERROR(CONCATENATE(BJ103,BJ104,BJ105,BJ106,BJ107,BJ108,BJ109,BJ110),"¿A/B/C/D/E/F/G/H/I/J/K/L?")</f>
        <v>GrupoGrupoGrupoGrupoGrupoGrupoGrupoGrupo</v>
      </c>
      <c r="BJ112" s="724"/>
      <c r="BK112" s="730"/>
      <c r="BL112" s="724"/>
      <c r="BM112" s="724"/>
      <c r="BN112" s="724"/>
      <c r="BO112" s="724"/>
      <c r="BP112" s="724"/>
      <c r="BQ112" s="724"/>
      <c r="BR112" s="724"/>
      <c r="BS112" s="724"/>
      <c r="BT112" s="724"/>
      <c r="BU112" s="724"/>
      <c r="BV112" s="724"/>
      <c r="BW112" s="724"/>
      <c r="BX112" s="724"/>
      <c r="BY112" s="724"/>
      <c r="BZ112" s="724"/>
      <c r="CA112" s="724"/>
      <c r="CB112" s="724"/>
      <c r="CC112" s="724"/>
      <c r="CD112" s="724"/>
      <c r="CE112" s="724"/>
      <c r="CF112" s="724"/>
      <c r="CG112" s="724"/>
      <c r="CH112" s="724"/>
      <c r="CI112" s="724"/>
      <c r="CJ112" s="724"/>
      <c r="CK112" s="724"/>
      <c r="CL112" s="724"/>
      <c r="CM112" s="724"/>
      <c r="CN112" s="724"/>
      <c r="CO112" s="724"/>
      <c r="CP112" s="724"/>
      <c r="CQ112" s="724"/>
      <c r="CR112" s="724"/>
      <c r="CS112" s="724"/>
      <c r="CT112" s="724"/>
      <c r="CU112" s="724"/>
      <c r="CV112" s="724"/>
      <c r="CW112" s="724"/>
      <c r="CX112" s="724"/>
      <c r="CY112" s="724"/>
      <c r="CZ112" s="724"/>
      <c r="DA112" s="724"/>
      <c r="DB112" s="724"/>
      <c r="DC112" s="724"/>
      <c r="DD112" s="724"/>
      <c r="DE112" s="724"/>
      <c r="DF112" s="724"/>
      <c r="DG112" s="724"/>
      <c r="DH112" s="724"/>
      <c r="DI112" s="724"/>
      <c r="DJ112" s="724"/>
      <c r="DK112" s="724"/>
      <c r="DL112" s="724"/>
      <c r="DM112" s="724"/>
      <c r="DN112" s="724"/>
      <c r="DO112" s="724"/>
      <c r="DP112" s="724"/>
      <c r="DQ112" s="724"/>
      <c r="DR112" s="724"/>
      <c r="DS112" s="724"/>
      <c r="DT112" s="730" t="str">
        <f t="shared" ca="1" si="242"/>
        <v>2K-2L</v>
      </c>
      <c r="DU112" s="724"/>
      <c r="DV112" s="724"/>
      <c r="DW112" s="11"/>
    </row>
    <row r="113" spans="1:127" ht="16.05" customHeight="1" thickBot="1">
      <c r="A113" s="724" t="s">
        <v>648</v>
      </c>
      <c r="B113" s="724" t="s">
        <v>728</v>
      </c>
      <c r="C113" s="725"/>
      <c r="D113" s="733" t="str">
        <f t="shared" si="302"/>
        <v>W85</v>
      </c>
      <c r="E113" s="725" t="s">
        <v>1</v>
      </c>
      <c r="F113" s="725" t="s">
        <v>721</v>
      </c>
      <c r="G113" s="734" t="s">
        <v>721</v>
      </c>
      <c r="H113" s="735">
        <f ca="1">+IF(AJ99&lt;&gt;144,SUM(H101:H112),AJ99)</f>
        <v>8</v>
      </c>
      <c r="I113" s="730"/>
      <c r="J113" s="724">
        <v>85</v>
      </c>
      <c r="K113" s="724">
        <v>46205.75</v>
      </c>
      <c r="L113" s="724" t="s">
        <v>697</v>
      </c>
      <c r="M113" s="724" t="str">
        <f t="shared" ca="1" si="304"/>
        <v>1B</v>
      </c>
      <c r="N113" s="724"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24"/>
      <c r="P113" s="724"/>
      <c r="Q113" s="724"/>
      <c r="R113" s="724"/>
      <c r="S113" s="724"/>
      <c r="T113" s="724"/>
      <c r="U113" s="724"/>
      <c r="V113" s="170"/>
      <c r="W113" s="884"/>
      <c r="X113" s="187">
        <f ca="1">Horarios!C113</f>
        <v>46205.958333333336</v>
      </c>
      <c r="Y113" s="188">
        <f ca="1">Horarios!C113</f>
        <v>46205.958333333336</v>
      </c>
      <c r="Z113" s="274">
        <f t="shared" si="309"/>
        <v>85</v>
      </c>
      <c r="AA113" s="275" t="str">
        <f t="shared" ca="1" si="305"/>
        <v>1B</v>
      </c>
      <c r="AB113" s="276"/>
      <c r="AC113" s="279"/>
      <c r="AD113" s="279"/>
      <c r="AE113" s="277"/>
      <c r="AF113" s="278" t="str">
        <f t="shared" ca="1" si="306"/>
        <v>3EFGIJ</v>
      </c>
      <c r="AG113" s="415">
        <f t="shared" si="307"/>
        <v>0</v>
      </c>
      <c r="AH113" s="194">
        <v>85</v>
      </c>
      <c r="AI113" s="215">
        <v>12</v>
      </c>
      <c r="AJ113" s="233">
        <v>12</v>
      </c>
      <c r="AK113" s="484" t="str" cm="1">
        <f t="array" aca="1" ref="AK113" ca="1">Ver_flag_visit</f>
        <v/>
      </c>
      <c r="AL113" s="234" t="str">
        <f t="shared" ca="1" si="310"/>
        <v>3L</v>
      </c>
      <c r="AM113" s="235" t="str">
        <f t="shared" ref="AM113:AT113" ca="1" si="328">+IF($H$113&gt;=48,INDEX($BE$58:$BN$69,MATCH($AL113,$BD$58:$BD$69,0),MATCH(AM$5,$BE$57:$BN$57,0)),$BB69)</f>
        <v>3L</v>
      </c>
      <c r="AN113" s="236" t="str">
        <f t="shared" ca="1" si="328"/>
        <v>3L</v>
      </c>
      <c r="AO113" s="236" t="str">
        <f t="shared" ca="1" si="328"/>
        <v>3L</v>
      </c>
      <c r="AP113" s="236" t="str">
        <f t="shared" ca="1" si="328"/>
        <v>3L</v>
      </c>
      <c r="AQ113" s="236" t="str">
        <f t="shared" ca="1" si="328"/>
        <v>3L</v>
      </c>
      <c r="AR113" s="236" t="str">
        <f t="shared" ca="1" si="328"/>
        <v>3L</v>
      </c>
      <c r="AS113" s="236" t="str">
        <f t="shared" ca="1" si="328"/>
        <v>3L</v>
      </c>
      <c r="AT113" s="237" t="str">
        <f t="shared" ca="1" si="328"/>
        <v>3L</v>
      </c>
      <c r="AU113" s="418" t="str">
        <f t="shared" ca="1" si="312"/>
        <v/>
      </c>
      <c r="AV113" s="215" t="str">
        <f t="shared" ca="1" si="313"/>
        <v>República Checa</v>
      </c>
      <c r="AW113" s="425"/>
      <c r="AX113" s="286"/>
      <c r="AY113" s="240"/>
      <c r="AZ113" s="241"/>
      <c r="BA113" s="173"/>
      <c r="BB113" s="724"/>
      <c r="BC113" s="724"/>
      <c r="BD113" s="724"/>
      <c r="BE113" s="724"/>
      <c r="BF113" s="724"/>
      <c r="BG113" s="724"/>
      <c r="BH113" s="724"/>
      <c r="BI113" s="724"/>
      <c r="BJ113" s="724"/>
      <c r="BK113" s="724"/>
      <c r="BL113" s="724"/>
      <c r="BM113" s="724"/>
      <c r="BN113" s="724"/>
      <c r="BO113" s="724"/>
      <c r="BP113" s="724"/>
      <c r="BQ113" s="724"/>
      <c r="BR113" s="724"/>
      <c r="BS113" s="724"/>
      <c r="BT113" s="724"/>
      <c r="BU113" s="724"/>
      <c r="BV113" s="724"/>
      <c r="BW113" s="724"/>
      <c r="BX113" s="724"/>
      <c r="BY113" s="724"/>
      <c r="BZ113" s="724"/>
      <c r="CA113" s="724"/>
      <c r="CB113" s="724"/>
      <c r="CC113" s="724"/>
      <c r="CD113" s="724"/>
      <c r="CE113" s="724"/>
      <c r="CF113" s="724"/>
      <c r="CG113" s="724"/>
      <c r="CH113" s="724"/>
      <c r="CI113" s="724"/>
      <c r="CJ113" s="724"/>
      <c r="CK113" s="724"/>
      <c r="CL113" s="724"/>
      <c r="CM113" s="724"/>
      <c r="CN113" s="724"/>
      <c r="CO113" s="724"/>
      <c r="CP113" s="724"/>
      <c r="CQ113" s="724"/>
      <c r="CR113" s="724"/>
      <c r="CS113" s="724"/>
      <c r="CT113" s="724"/>
      <c r="CU113" s="724"/>
      <c r="CV113" s="724"/>
      <c r="CW113" s="724"/>
      <c r="CX113" s="724"/>
      <c r="CY113" s="724"/>
      <c r="CZ113" s="724"/>
      <c r="DA113" s="724"/>
      <c r="DB113" s="724"/>
      <c r="DC113" s="724"/>
      <c r="DD113" s="724"/>
      <c r="DE113" s="724"/>
      <c r="DF113" s="724"/>
      <c r="DG113" s="724"/>
      <c r="DH113" s="724"/>
      <c r="DI113" s="724"/>
      <c r="DJ113" s="724"/>
      <c r="DK113" s="724"/>
      <c r="DL113" s="724"/>
      <c r="DM113" s="724"/>
      <c r="DN113" s="724"/>
      <c r="DO113" s="724"/>
      <c r="DP113" s="724"/>
      <c r="DQ113" s="724"/>
      <c r="DR113" s="724"/>
      <c r="DS113" s="724"/>
      <c r="DT113" s="730" t="str">
        <f t="shared" ca="1" si="242"/>
        <v>1B-3EFGIJ</v>
      </c>
      <c r="DU113" s="724"/>
      <c r="DV113" s="724"/>
      <c r="DW113" s="11"/>
    </row>
    <row r="114" spans="1:127" ht="16.05" customHeight="1">
      <c r="A114" s="724" t="s">
        <v>676</v>
      </c>
      <c r="B114" s="724" t="s">
        <v>671</v>
      </c>
      <c r="C114" s="725"/>
      <c r="D114" s="733" t="str">
        <f t="shared" si="302"/>
        <v>W88</v>
      </c>
      <c r="E114" s="725" t="s">
        <v>5</v>
      </c>
      <c r="F114" s="725" t="s">
        <v>437</v>
      </c>
      <c r="G114" s="730"/>
      <c r="H114" s="730"/>
      <c r="I114" s="730"/>
      <c r="J114" s="724">
        <v>86</v>
      </c>
      <c r="K114" s="724">
        <v>46206.75</v>
      </c>
      <c r="L114" s="724" t="s">
        <v>698</v>
      </c>
      <c r="M114" s="724" t="str">
        <f t="shared" ca="1" si="304"/>
        <v>1J</v>
      </c>
      <c r="N114" s="724"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24"/>
      <c r="P114" s="724"/>
      <c r="Q114" s="724"/>
      <c r="R114" s="724"/>
      <c r="S114" s="724"/>
      <c r="T114" s="724"/>
      <c r="U114" s="724"/>
      <c r="V114" s="170"/>
      <c r="W114" s="884"/>
      <c r="X114" s="187">
        <f ca="1">Horarios!C114</f>
        <v>46206.583333333336</v>
      </c>
      <c r="Y114" s="188">
        <f ca="1">Horarios!C114</f>
        <v>46206.583333333336</v>
      </c>
      <c r="Z114" s="274">
        <f t="shared" si="309"/>
        <v>88</v>
      </c>
      <c r="AA114" s="275" t="str">
        <f t="shared" ca="1" si="305"/>
        <v>2D</v>
      </c>
      <c r="AB114" s="276"/>
      <c r="AC114" s="279"/>
      <c r="AD114" s="279"/>
      <c r="AE114" s="276"/>
      <c r="AF114" s="278" t="str">
        <f t="shared" ca="1" si="306"/>
        <v>2G</v>
      </c>
      <c r="AG114" s="415">
        <f t="shared" si="307"/>
        <v>0</v>
      </c>
      <c r="AH114" s="194">
        <v>88</v>
      </c>
      <c r="AI114" s="215"/>
      <c r="AJ114" s="247"/>
      <c r="AK114" s="248"/>
      <c r="AL114" s="184"/>
      <c r="AM114" s="249"/>
      <c r="AN114" s="247"/>
      <c r="AO114" s="247"/>
      <c r="AP114" s="247"/>
      <c r="AQ114" s="247"/>
      <c r="AR114" s="247"/>
      <c r="AS114" s="247"/>
      <c r="AT114" s="247"/>
      <c r="AU114" s="214"/>
      <c r="AV114" s="214"/>
      <c r="AW114" s="294"/>
      <c r="AX114" s="294"/>
      <c r="AY114" s="240"/>
      <c r="AZ114" s="241"/>
      <c r="BA114" s="173"/>
      <c r="BB114" s="730"/>
      <c r="BC114" s="730"/>
      <c r="BD114" s="730"/>
      <c r="BE114" s="730"/>
      <c r="BF114" s="730"/>
      <c r="BG114" s="730"/>
      <c r="BH114" s="730"/>
      <c r="BI114" s="730"/>
      <c r="BJ114" s="730"/>
      <c r="BK114" s="730"/>
      <c r="BL114" s="730"/>
      <c r="BM114" s="730"/>
      <c r="BN114" s="730"/>
      <c r="BO114" s="730"/>
      <c r="BP114" s="730"/>
      <c r="BQ114" s="730"/>
      <c r="BR114" s="730"/>
      <c r="BS114" s="730"/>
      <c r="BT114" s="730"/>
      <c r="BU114" s="730"/>
      <c r="BV114" s="730"/>
      <c r="BW114" s="730"/>
      <c r="BX114" s="730"/>
      <c r="BY114" s="730"/>
      <c r="BZ114" s="730"/>
      <c r="CA114" s="730"/>
      <c r="CB114" s="730"/>
      <c r="CC114" s="730"/>
      <c r="CD114" s="730"/>
      <c r="CE114" s="730"/>
      <c r="CF114" s="730"/>
      <c r="CG114" s="730"/>
      <c r="CH114" s="730"/>
      <c r="CI114" s="730"/>
      <c r="CJ114" s="730"/>
      <c r="CK114" s="730"/>
      <c r="CL114" s="730"/>
      <c r="CM114" s="730"/>
      <c r="CN114" s="730"/>
      <c r="CO114" s="730"/>
      <c r="CP114" s="730"/>
      <c r="CQ114" s="730"/>
      <c r="CR114" s="730"/>
      <c r="CS114" s="730"/>
      <c r="CT114" s="730"/>
      <c r="CU114" s="730"/>
      <c r="CV114" s="730"/>
      <c r="CW114" s="730"/>
      <c r="CX114" s="730"/>
      <c r="CY114" s="730"/>
      <c r="CZ114" s="730"/>
      <c r="DA114" s="730"/>
      <c r="DB114" s="730"/>
      <c r="DC114" s="730"/>
      <c r="DD114" s="730"/>
      <c r="DE114" s="730"/>
      <c r="DF114" s="730"/>
      <c r="DG114" s="730"/>
      <c r="DH114" s="730"/>
      <c r="DI114" s="730"/>
      <c r="DJ114" s="730"/>
      <c r="DK114" s="730"/>
      <c r="DL114" s="730"/>
      <c r="DM114" s="730"/>
      <c r="DN114" s="730"/>
      <c r="DO114" s="730"/>
      <c r="DP114" s="730"/>
      <c r="DQ114" s="730"/>
      <c r="DR114" s="730"/>
      <c r="DS114" s="730"/>
      <c r="DT114" s="730" t="str">
        <f t="shared" ca="1" si="242"/>
        <v>2D-2G</v>
      </c>
      <c r="DU114" s="730"/>
      <c r="DV114" s="730"/>
      <c r="DW114" s="8"/>
    </row>
    <row r="115" spans="1:127" ht="16.05" customHeight="1">
      <c r="A115" s="724" t="s">
        <v>679</v>
      </c>
      <c r="B115" s="724" t="s">
        <v>729</v>
      </c>
      <c r="C115" s="725"/>
      <c r="D115" s="733" t="str">
        <f t="shared" si="302"/>
        <v>W86</v>
      </c>
      <c r="E115" s="725" t="s">
        <v>439</v>
      </c>
      <c r="F115" s="725" t="s">
        <v>721</v>
      </c>
      <c r="G115" s="730"/>
      <c r="H115" s="730"/>
      <c r="I115" s="730"/>
      <c r="J115" s="724">
        <v>87</v>
      </c>
      <c r="K115" s="724">
        <v>46206.75</v>
      </c>
      <c r="L115" s="724" t="s">
        <v>699</v>
      </c>
      <c r="M115" s="724" t="str">
        <f t="shared" ca="1" si="304"/>
        <v>1K</v>
      </c>
      <c r="N115" s="724"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24"/>
      <c r="P115" s="724"/>
      <c r="Q115" s="724"/>
      <c r="R115" s="724"/>
      <c r="S115" s="724"/>
      <c r="T115" s="724"/>
      <c r="U115" s="724"/>
      <c r="V115" s="170"/>
      <c r="W115" s="884"/>
      <c r="X115" s="187">
        <f ca="1">Horarios!C115</f>
        <v>46206.75</v>
      </c>
      <c r="Y115" s="188">
        <f ca="1">Horarios!C115</f>
        <v>46206.75</v>
      </c>
      <c r="Z115" s="274">
        <f t="shared" si="309"/>
        <v>86</v>
      </c>
      <c r="AA115" s="275" t="str">
        <f t="shared" ca="1" si="305"/>
        <v>1J</v>
      </c>
      <c r="AB115" s="276"/>
      <c r="AC115" s="279"/>
      <c r="AD115" s="279"/>
      <c r="AE115" s="276"/>
      <c r="AF115" s="278" t="str">
        <f t="shared" ca="1" si="306"/>
        <v>2H</v>
      </c>
      <c r="AG115" s="415">
        <f t="shared" si="307"/>
        <v>0</v>
      </c>
      <c r="AH115" s="194">
        <v>86</v>
      </c>
      <c r="AI115" s="215"/>
      <c r="AJ115" s="184"/>
      <c r="AK115" s="250"/>
      <c r="AL115" s="19" t="str">
        <f>+IF($AJ$99&gt;=48,Idiomas!D78,"")</f>
        <v/>
      </c>
      <c r="AM115" s="184"/>
      <c r="AN115" s="184"/>
      <c r="AO115" s="184"/>
      <c r="AP115" s="184"/>
      <c r="AQ115" s="184"/>
      <c r="AR115" s="184"/>
      <c r="AS115" s="184"/>
      <c r="AT115" s="184"/>
      <c r="AU115" s="22"/>
      <c r="AV115" s="22"/>
      <c r="AW115" s="296"/>
      <c r="AX115" s="296"/>
      <c r="AY115" s="240"/>
      <c r="AZ115" s="241"/>
      <c r="BA115" s="173"/>
      <c r="BB115" s="730"/>
      <c r="BC115" s="730"/>
      <c r="BD115" s="730"/>
      <c r="BE115" s="730"/>
      <c r="BF115" s="730"/>
      <c r="BG115" s="730"/>
      <c r="BH115" s="730"/>
      <c r="BI115" s="730"/>
      <c r="BJ115" s="730"/>
      <c r="BK115" s="730"/>
      <c r="BL115" s="730"/>
      <c r="BM115" s="730"/>
      <c r="BN115" s="730"/>
      <c r="BO115" s="730"/>
      <c r="BP115" s="730"/>
      <c r="BQ115" s="730"/>
      <c r="BR115" s="730"/>
      <c r="BS115" s="730"/>
      <c r="BT115" s="730"/>
      <c r="BU115" s="730"/>
      <c r="BV115" s="730"/>
      <c r="BW115" s="730"/>
      <c r="BX115" s="730"/>
      <c r="BY115" s="730"/>
      <c r="BZ115" s="730"/>
      <c r="CA115" s="730"/>
      <c r="CB115" s="730"/>
      <c r="CC115" s="730"/>
      <c r="CD115" s="730"/>
      <c r="CE115" s="730"/>
      <c r="CF115" s="730"/>
      <c r="CG115" s="730"/>
      <c r="CH115" s="730"/>
      <c r="CI115" s="730"/>
      <c r="CJ115" s="730"/>
      <c r="CK115" s="730"/>
      <c r="CL115" s="730"/>
      <c r="CM115" s="730"/>
      <c r="CN115" s="730"/>
      <c r="CO115" s="730"/>
      <c r="CP115" s="730"/>
      <c r="CQ115" s="730"/>
      <c r="CR115" s="730"/>
      <c r="CS115" s="730"/>
      <c r="CT115" s="730"/>
      <c r="CU115" s="730"/>
      <c r="CV115" s="730"/>
      <c r="CW115" s="730"/>
      <c r="CX115" s="730"/>
      <c r="CY115" s="730"/>
      <c r="CZ115" s="730"/>
      <c r="DA115" s="730"/>
      <c r="DB115" s="730"/>
      <c r="DC115" s="730"/>
      <c r="DD115" s="730"/>
      <c r="DE115" s="730"/>
      <c r="DF115" s="730"/>
      <c r="DG115" s="730"/>
      <c r="DH115" s="730"/>
      <c r="DI115" s="730"/>
      <c r="DJ115" s="730"/>
      <c r="DK115" s="730"/>
      <c r="DL115" s="730"/>
      <c r="DM115" s="730"/>
      <c r="DN115" s="730"/>
      <c r="DO115" s="730"/>
      <c r="DP115" s="730"/>
      <c r="DQ115" s="730"/>
      <c r="DR115" s="730"/>
      <c r="DS115" s="730"/>
      <c r="DT115" s="730" t="str">
        <f t="shared" ca="1" si="242"/>
        <v>1J-2H</v>
      </c>
      <c r="DU115" s="730"/>
      <c r="DV115" s="730"/>
      <c r="DW115" s="8"/>
    </row>
    <row r="116" spans="1:127" ht="16.05" customHeight="1" thickBot="1">
      <c r="A116" s="724" t="s">
        <v>659</v>
      </c>
      <c r="B116" s="724" t="s">
        <v>668</v>
      </c>
      <c r="C116" s="725"/>
      <c r="D116" s="733" t="str">
        <f t="shared" si="302"/>
        <v>W87</v>
      </c>
      <c r="E116" s="725" t="s">
        <v>73</v>
      </c>
      <c r="F116" s="725" t="s">
        <v>6</v>
      </c>
      <c r="G116" s="730"/>
      <c r="H116" s="730"/>
      <c r="I116" s="730"/>
      <c r="J116" s="724">
        <v>88</v>
      </c>
      <c r="K116" s="724">
        <v>46206.75</v>
      </c>
      <c r="L116" s="724" t="s">
        <v>700</v>
      </c>
      <c r="M116" s="724" t="str">
        <f t="shared" ca="1" si="304"/>
        <v>2D</v>
      </c>
      <c r="N116" s="724"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24"/>
      <c r="P116" s="724"/>
      <c r="Q116" s="724"/>
      <c r="R116" s="724"/>
      <c r="S116" s="724"/>
      <c r="T116" s="724"/>
      <c r="U116" s="724"/>
      <c r="V116" s="170"/>
      <c r="W116" s="885"/>
      <c r="X116" s="226">
        <f ca="1">Horarios!C116</f>
        <v>46206.895833333336</v>
      </c>
      <c r="Y116" s="227">
        <f ca="1">Horarios!C116</f>
        <v>46206.895833333336</v>
      </c>
      <c r="Z116" s="297">
        <f t="shared" si="309"/>
        <v>87</v>
      </c>
      <c r="AA116" s="298" t="str">
        <f t="shared" ca="1" si="305"/>
        <v>1K</v>
      </c>
      <c r="AB116" s="299"/>
      <c r="AC116" s="300"/>
      <c r="AD116" s="300"/>
      <c r="AE116" s="299"/>
      <c r="AF116" s="301" t="str">
        <f t="shared" ca="1" si="306"/>
        <v>3DEIJL</v>
      </c>
      <c r="AG116" s="415">
        <f t="shared" si="307"/>
        <v>0</v>
      </c>
      <c r="AH116" s="194">
        <v>87</v>
      </c>
      <c r="AI116" s="215"/>
      <c r="AJ116" s="176"/>
      <c r="AK116" s="176"/>
      <c r="AL116" s="492" t="s">
        <v>1808</v>
      </c>
      <c r="AM116" s="295"/>
      <c r="AN116" s="295"/>
      <c r="AO116" s="295"/>
      <c r="AP116" s="295"/>
      <c r="AQ116" s="295"/>
      <c r="AR116" s="295"/>
      <c r="AS116" s="295"/>
      <c r="AT116" s="295"/>
      <c r="AU116" s="19"/>
      <c r="AV116" s="19"/>
      <c r="AW116" s="295"/>
      <c r="AX116" s="295"/>
      <c r="AY116" s="240"/>
      <c r="AZ116" s="241"/>
      <c r="BA116" s="173"/>
      <c r="BB116" s="730"/>
      <c r="BC116" s="730"/>
      <c r="BD116" s="730"/>
      <c r="BE116" s="730"/>
      <c r="BF116" s="730"/>
      <c r="BG116" s="730"/>
      <c r="BH116" s="730"/>
      <c r="BI116" s="730"/>
      <c r="BJ116" s="730"/>
      <c r="BK116" s="730"/>
      <c r="BL116" s="730"/>
      <c r="BM116" s="730"/>
      <c r="BN116" s="730"/>
      <c r="BO116" s="730"/>
      <c r="BP116" s="730"/>
      <c r="BQ116" s="730"/>
      <c r="BR116" s="730"/>
      <c r="BS116" s="730"/>
      <c r="BT116" s="730"/>
      <c r="BU116" s="730"/>
      <c r="BV116" s="730"/>
      <c r="BW116" s="730"/>
      <c r="BX116" s="730"/>
      <c r="BY116" s="730"/>
      <c r="BZ116" s="730"/>
      <c r="CA116" s="730"/>
      <c r="CB116" s="730"/>
      <c r="CC116" s="730"/>
      <c r="CD116" s="730"/>
      <c r="CE116" s="730"/>
      <c r="CF116" s="730"/>
      <c r="CG116" s="730"/>
      <c r="CH116" s="730"/>
      <c r="CI116" s="730"/>
      <c r="CJ116" s="730"/>
      <c r="CK116" s="730"/>
      <c r="CL116" s="730"/>
      <c r="CM116" s="730"/>
      <c r="CN116" s="730"/>
      <c r="CO116" s="730"/>
      <c r="CP116" s="730"/>
      <c r="CQ116" s="730"/>
      <c r="CR116" s="730"/>
      <c r="CS116" s="730"/>
      <c r="CT116" s="730"/>
      <c r="CU116" s="730"/>
      <c r="CV116" s="730"/>
      <c r="CW116" s="730"/>
      <c r="CX116" s="730"/>
      <c r="CY116" s="730"/>
      <c r="CZ116" s="730"/>
      <c r="DA116" s="730"/>
      <c r="DB116" s="730"/>
      <c r="DC116" s="730"/>
      <c r="DD116" s="730"/>
      <c r="DE116" s="730"/>
      <c r="DF116" s="730"/>
      <c r="DG116" s="730"/>
      <c r="DH116" s="730"/>
      <c r="DI116" s="730"/>
      <c r="DJ116" s="730"/>
      <c r="DK116" s="730"/>
      <c r="DL116" s="730"/>
      <c r="DM116" s="730"/>
      <c r="DN116" s="730"/>
      <c r="DO116" s="730"/>
      <c r="DP116" s="730"/>
      <c r="DQ116" s="730"/>
      <c r="DR116" s="730"/>
      <c r="DS116" s="730"/>
      <c r="DT116" s="730" t="str">
        <f t="shared" ca="1" si="242"/>
        <v>1K-3DEIJL</v>
      </c>
      <c r="DU116" s="730"/>
      <c r="DV116" s="730"/>
      <c r="DW116" s="8"/>
    </row>
    <row r="117" spans="1:127" ht="16.05" customHeight="1" thickBot="1">
      <c r="A117" s="725"/>
      <c r="B117" s="725"/>
      <c r="C117" s="725"/>
      <c r="D117" s="736"/>
      <c r="E117" s="730"/>
      <c r="F117" s="730"/>
      <c r="G117" s="730"/>
      <c r="H117" s="730"/>
      <c r="I117" s="730"/>
      <c r="J117" s="730"/>
      <c r="K117" s="730"/>
      <c r="L117" s="730"/>
      <c r="M117" s="730"/>
      <c r="N117" s="730"/>
      <c r="O117" s="730"/>
      <c r="P117" s="730"/>
      <c r="Q117" s="730"/>
      <c r="R117" s="730"/>
      <c r="S117" s="730"/>
      <c r="T117" s="730"/>
      <c r="U117" s="730"/>
      <c r="V117" s="170"/>
      <c r="W117" s="240"/>
      <c r="X117" s="241"/>
      <c r="Y117" s="240"/>
      <c r="Z117" s="242"/>
      <c r="AA117" s="243"/>
      <c r="AB117" s="244"/>
      <c r="AC117" s="245"/>
      <c r="AD117" s="245"/>
      <c r="AE117" s="244"/>
      <c r="AF117" s="246"/>
      <c r="AG117" s="414"/>
      <c r="AH117" s="194"/>
      <c r="AI117" s="215"/>
      <c r="AJ117" s="176"/>
      <c r="AK117" s="176"/>
      <c r="AL117" s="176"/>
      <c r="AM117" s="295"/>
      <c r="AN117" s="295"/>
      <c r="AO117" s="295"/>
      <c r="AP117" s="295"/>
      <c r="AQ117" s="295"/>
      <c r="AR117" s="295"/>
      <c r="AS117" s="295"/>
      <c r="AT117" s="295"/>
      <c r="AU117" s="19"/>
      <c r="AV117" s="19"/>
      <c r="AW117" s="295"/>
      <c r="AX117" s="295"/>
      <c r="AY117" s="240"/>
      <c r="AZ117" s="241"/>
      <c r="BA117" s="173"/>
      <c r="BB117" s="730"/>
      <c r="BC117" s="730"/>
      <c r="BD117" s="730"/>
      <c r="BE117" s="730"/>
      <c r="BF117" s="747" t="s">
        <v>645</v>
      </c>
      <c r="BG117" s="730" t="e">
        <f ca="1">+INDEX(Combinaciones3!$P$2:$W$496,MATCH(1,Combinaciones3!$B$2:$B$497,0),MATCH(WORLDCUP!BF117,Combinaciones3!$P$1:$W$1,0))</f>
        <v>#N/A</v>
      </c>
      <c r="BH117" s="730"/>
      <c r="BI117" s="730"/>
      <c r="BJ117" s="730"/>
      <c r="BK117" s="730"/>
      <c r="BL117" s="730"/>
      <c r="BM117" s="730"/>
      <c r="BN117" s="730"/>
      <c r="BO117" s="730"/>
      <c r="BP117" s="730"/>
      <c r="BQ117" s="730"/>
      <c r="BR117" s="730"/>
      <c r="BS117" s="730"/>
      <c r="BT117" s="730"/>
      <c r="BU117" s="730"/>
      <c r="BV117" s="730"/>
      <c r="BW117" s="730"/>
      <c r="BX117" s="730"/>
      <c r="BY117" s="730"/>
      <c r="BZ117" s="730"/>
      <c r="CA117" s="730"/>
      <c r="CB117" s="730"/>
      <c r="CC117" s="730"/>
      <c r="CD117" s="730"/>
      <c r="CE117" s="730"/>
      <c r="CF117" s="730"/>
      <c r="CG117" s="730"/>
      <c r="CH117" s="730"/>
      <c r="CI117" s="730"/>
      <c r="CJ117" s="730"/>
      <c r="CK117" s="730"/>
      <c r="CL117" s="730"/>
      <c r="CM117" s="730"/>
      <c r="CN117" s="730"/>
      <c r="CO117" s="730"/>
      <c r="CP117" s="730"/>
      <c r="CQ117" s="730"/>
      <c r="CR117" s="730"/>
      <c r="CS117" s="730"/>
      <c r="CT117" s="730"/>
      <c r="CU117" s="730"/>
      <c r="CV117" s="730"/>
      <c r="CW117" s="730"/>
      <c r="CX117" s="730"/>
      <c r="CY117" s="730"/>
      <c r="CZ117" s="730"/>
      <c r="DA117" s="730"/>
      <c r="DB117" s="730"/>
      <c r="DC117" s="730"/>
      <c r="DD117" s="730"/>
      <c r="DE117" s="730"/>
      <c r="DF117" s="730"/>
      <c r="DG117" s="730"/>
      <c r="DH117" s="730"/>
      <c r="DI117" s="730"/>
      <c r="DJ117" s="730"/>
      <c r="DK117" s="730"/>
      <c r="DL117" s="730"/>
      <c r="DM117" s="730"/>
      <c r="DN117" s="730"/>
      <c r="DO117" s="730"/>
      <c r="DP117" s="730"/>
      <c r="DQ117" s="730"/>
      <c r="DR117" s="730"/>
      <c r="DS117" s="730"/>
      <c r="DT117" s="730" t="str">
        <f t="shared" si="242"/>
        <v>-</v>
      </c>
      <c r="DU117" s="730"/>
      <c r="DV117" s="730"/>
      <c r="DW117" s="8"/>
    </row>
    <row r="118" spans="1:127" ht="16.05" customHeight="1" thickBot="1">
      <c r="A118" s="725"/>
      <c r="B118" s="725"/>
      <c r="C118" s="725"/>
      <c r="D118" s="736"/>
      <c r="E118" s="730"/>
      <c r="F118" s="730"/>
      <c r="G118" s="730"/>
      <c r="H118" s="730"/>
      <c r="I118" s="730"/>
      <c r="J118" s="730"/>
      <c r="K118" s="730"/>
      <c r="L118" s="730"/>
      <c r="M118" s="730"/>
      <c r="N118" s="730"/>
      <c r="O118" s="730"/>
      <c r="P118" s="730"/>
      <c r="Q118" s="730"/>
      <c r="R118" s="730"/>
      <c r="S118" s="730"/>
      <c r="T118" s="730"/>
      <c r="U118" s="730"/>
      <c r="V118" s="170"/>
      <c r="W118" s="267" t="str">
        <f>Idiomas!D26</f>
        <v>Octavos de final</v>
      </c>
      <c r="X118" s="268"/>
      <c r="Y118" s="269"/>
      <c r="Z118" s="269"/>
      <c r="AA118" s="269"/>
      <c r="AB118" s="269"/>
      <c r="AC118" s="269"/>
      <c r="AD118" s="269"/>
      <c r="AE118" s="269"/>
      <c r="AF118" s="270"/>
      <c r="AG118" s="414"/>
      <c r="AH118" s="194"/>
      <c r="AI118" s="215"/>
      <c r="AJ118" s="295"/>
      <c r="AK118" s="176"/>
      <c r="AL118" s="302"/>
      <c r="AM118" s="295"/>
      <c r="AN118" s="295"/>
      <c r="AO118" s="295"/>
      <c r="AP118" s="295"/>
      <c r="AQ118" s="295"/>
      <c r="AR118" s="295"/>
      <c r="AS118" s="295"/>
      <c r="AT118" s="295"/>
      <c r="AU118" s="19"/>
      <c r="AV118" s="19"/>
      <c r="AW118" s="295"/>
      <c r="AX118" s="295"/>
      <c r="AY118" s="240"/>
      <c r="AZ118" s="241"/>
      <c r="BA118" s="17"/>
      <c r="BB118" s="730"/>
      <c r="BC118" s="730"/>
      <c r="BD118" s="730"/>
      <c r="BE118" s="730"/>
      <c r="BF118" s="747" t="s">
        <v>648</v>
      </c>
      <c r="BG118" s="730" t="e">
        <f ca="1">+INDEX(Combinaciones3!$P$2:$W$496,MATCH(1,Combinaciones3!$B$2:$B$497,0),MATCH(WORLDCUP!BF118,Combinaciones3!$P$1:$W$1,0))</f>
        <v>#N/A</v>
      </c>
      <c r="BH118" s="730"/>
      <c r="BI118" s="730"/>
      <c r="BJ118" s="730"/>
      <c r="BK118" s="730"/>
      <c r="BL118" s="730"/>
      <c r="BM118" s="730"/>
      <c r="BN118" s="730"/>
      <c r="BO118" s="730"/>
      <c r="BP118" s="730"/>
      <c r="BQ118" s="730"/>
      <c r="BR118" s="730"/>
      <c r="BS118" s="730"/>
      <c r="BT118" s="730"/>
      <c r="BU118" s="730"/>
      <c r="BV118" s="730"/>
      <c r="BW118" s="730"/>
      <c r="BX118" s="730"/>
      <c r="BY118" s="730"/>
      <c r="BZ118" s="730"/>
      <c r="CA118" s="730"/>
      <c r="CB118" s="730"/>
      <c r="CC118" s="730"/>
      <c r="CD118" s="730"/>
      <c r="CE118" s="730"/>
      <c r="CF118" s="730"/>
      <c r="CG118" s="730"/>
      <c r="CH118" s="730"/>
      <c r="CI118" s="730"/>
      <c r="CJ118" s="730"/>
      <c r="CK118" s="730"/>
      <c r="CL118" s="730"/>
      <c r="CM118" s="730"/>
      <c r="CN118" s="730"/>
      <c r="CO118" s="730"/>
      <c r="CP118" s="730"/>
      <c r="CQ118" s="730"/>
      <c r="CR118" s="730"/>
      <c r="CS118" s="730"/>
      <c r="CT118" s="730"/>
      <c r="CU118" s="730"/>
      <c r="CV118" s="730"/>
      <c r="CW118" s="730"/>
      <c r="CX118" s="730"/>
      <c r="CY118" s="730"/>
      <c r="CZ118" s="730"/>
      <c r="DA118" s="730"/>
      <c r="DB118" s="730"/>
      <c r="DC118" s="730"/>
      <c r="DD118" s="730"/>
      <c r="DE118" s="730"/>
      <c r="DF118" s="730"/>
      <c r="DG118" s="730"/>
      <c r="DH118" s="730"/>
      <c r="DI118" s="730"/>
      <c r="DJ118" s="730"/>
      <c r="DK118" s="730"/>
      <c r="DL118" s="730"/>
      <c r="DM118" s="730"/>
      <c r="DN118" s="730"/>
      <c r="DO118" s="730"/>
      <c r="DP118" s="730"/>
      <c r="DQ118" s="730"/>
      <c r="DR118" s="730"/>
      <c r="DS118" s="730"/>
      <c r="DT118" s="730" t="str">
        <f t="shared" si="242"/>
        <v>-</v>
      </c>
      <c r="DU118" s="730"/>
      <c r="DV118" s="730"/>
      <c r="DW118" s="8"/>
    </row>
    <row r="119" spans="1:127" ht="16.05" customHeight="1">
      <c r="A119" s="725"/>
      <c r="B119" s="725"/>
      <c r="C119" s="725"/>
      <c r="D119" s="736"/>
      <c r="E119" s="730"/>
      <c r="F119" s="730"/>
      <c r="G119" s="730"/>
      <c r="H119" s="730"/>
      <c r="I119" s="730"/>
      <c r="J119" s="730"/>
      <c r="K119" s="730"/>
      <c r="L119" s="730"/>
      <c r="M119" s="730"/>
      <c r="N119" s="730"/>
      <c r="O119" s="730"/>
      <c r="P119" s="730"/>
      <c r="Q119" s="730"/>
      <c r="R119" s="730"/>
      <c r="S119" s="730"/>
      <c r="T119" s="730"/>
      <c r="U119" s="730"/>
      <c r="V119" s="170"/>
      <c r="W119" s="177"/>
      <c r="X119" s="178" t="str">
        <f>X3</f>
        <v>Fecha</v>
      </c>
      <c r="Y119" s="178" t="str">
        <f>Y3</f>
        <v>Hora</v>
      </c>
      <c r="Z119" s="263"/>
      <c r="AA119" s="264" t="str">
        <f>AA3</f>
        <v>Casa</v>
      </c>
      <c r="AB119" s="263" t="s">
        <v>13</v>
      </c>
      <c r="AC119" s="178" t="str">
        <f>AC3</f>
        <v>Gol</v>
      </c>
      <c r="AD119" s="178" t="str">
        <f>AD3</f>
        <v>Gol</v>
      </c>
      <c r="AE119" s="263" t="s">
        <v>13</v>
      </c>
      <c r="AF119" s="265" t="str">
        <f>AF3</f>
        <v>Fuera</v>
      </c>
      <c r="AG119" s="414"/>
      <c r="AH119" s="194"/>
      <c r="AI119" s="215"/>
      <c r="AJ119" s="176"/>
      <c r="AK119" s="176"/>
      <c r="AL119" s="176"/>
      <c r="AM119" s="295"/>
      <c r="AN119" s="295"/>
      <c r="AO119" s="295"/>
      <c r="AP119" s="295"/>
      <c r="AQ119" s="295"/>
      <c r="AR119" s="295"/>
      <c r="AS119" s="295"/>
      <c r="AT119" s="295"/>
      <c r="AU119" s="19"/>
      <c r="AV119" s="19"/>
      <c r="AW119" s="295"/>
      <c r="AX119" s="295"/>
      <c r="AY119" s="240"/>
      <c r="AZ119" s="241"/>
      <c r="BA119" s="173"/>
      <c r="BB119" s="730"/>
      <c r="BC119" s="730"/>
      <c r="BD119" s="730"/>
      <c r="BE119" s="730"/>
      <c r="BF119" s="747" t="s">
        <v>658</v>
      </c>
      <c r="BG119" s="730" t="e">
        <f ca="1">+INDEX(Combinaciones3!$P$2:$W$496,MATCH(1,Combinaciones3!$B$2:$B$497,0),MATCH(WORLDCUP!BF119,Combinaciones3!$P$1:$W$1,0))</f>
        <v>#N/A</v>
      </c>
      <c r="BH119" s="730"/>
      <c r="BI119" s="730"/>
      <c r="BJ119" s="730"/>
      <c r="BK119" s="730"/>
      <c r="BL119" s="730"/>
      <c r="BM119" s="730"/>
      <c r="BN119" s="730"/>
      <c r="BO119" s="730"/>
      <c r="BP119" s="730"/>
      <c r="BQ119" s="730"/>
      <c r="BR119" s="730"/>
      <c r="BS119" s="730"/>
      <c r="BT119" s="730"/>
      <c r="BU119" s="730"/>
      <c r="BV119" s="730"/>
      <c r="BW119" s="730"/>
      <c r="BX119" s="730"/>
      <c r="BY119" s="730"/>
      <c r="BZ119" s="730"/>
      <c r="CA119" s="730"/>
      <c r="CB119" s="730"/>
      <c r="CC119" s="730"/>
      <c r="CD119" s="730"/>
      <c r="CE119" s="730"/>
      <c r="CF119" s="730"/>
      <c r="CG119" s="730"/>
      <c r="CH119" s="730"/>
      <c r="CI119" s="730"/>
      <c r="CJ119" s="730"/>
      <c r="CK119" s="730"/>
      <c r="CL119" s="730"/>
      <c r="CM119" s="730"/>
      <c r="CN119" s="730"/>
      <c r="CO119" s="730"/>
      <c r="CP119" s="730"/>
      <c r="CQ119" s="730"/>
      <c r="CR119" s="730"/>
      <c r="CS119" s="730"/>
      <c r="CT119" s="730"/>
      <c r="CU119" s="730"/>
      <c r="CV119" s="730"/>
      <c r="CW119" s="730"/>
      <c r="CX119" s="730"/>
      <c r="CY119" s="730"/>
      <c r="CZ119" s="730"/>
      <c r="DA119" s="730"/>
      <c r="DB119" s="730"/>
      <c r="DC119" s="730"/>
      <c r="DD119" s="730"/>
      <c r="DE119" s="730"/>
      <c r="DF119" s="730"/>
      <c r="DG119" s="730"/>
      <c r="DH119" s="730"/>
      <c r="DI119" s="730"/>
      <c r="DJ119" s="730"/>
      <c r="DK119" s="730"/>
      <c r="DL119" s="730"/>
      <c r="DM119" s="730"/>
      <c r="DN119" s="730"/>
      <c r="DO119" s="730"/>
      <c r="DP119" s="730"/>
      <c r="DQ119" s="730"/>
      <c r="DR119" s="730"/>
      <c r="DS119" s="730"/>
      <c r="DT119" s="730" t="str">
        <f t="shared" si="242"/>
        <v>Casa-Fuera</v>
      </c>
      <c r="DU119" s="730"/>
      <c r="DV119" s="730"/>
      <c r="DW119" s="8"/>
    </row>
    <row r="120" spans="1:127" ht="16.05" customHeight="1">
      <c r="A120" s="724" t="s">
        <v>730</v>
      </c>
      <c r="B120" s="724" t="s">
        <v>731</v>
      </c>
      <c r="C120" s="725"/>
      <c r="D120" s="733" t="str">
        <f t="shared" ref="D120:D127" si="329">IF(AND(OR(AC120="",AD120="")),"W"&amp;AH120,IF(AC120&gt;AD120,AA120,IF(AC120&lt;AD120,AF120,IF(AND(AC120=AD120,AB120=AE120),"W"&amp;AH120,IF(AND(AC120=AD120,OR(AB120="",AE120="")),"W"&amp;AH120,IF(AND(AC120=AD120,AB120&gt;AE120),AA120,AF120))))))</f>
        <v>W90</v>
      </c>
      <c r="E120" s="730">
        <v>74</v>
      </c>
      <c r="F120" s="730">
        <v>77</v>
      </c>
      <c r="G120" s="730"/>
      <c r="H120" s="730"/>
      <c r="I120" s="730"/>
      <c r="J120" s="724">
        <v>89</v>
      </c>
      <c r="K120" s="724">
        <v>46207.75</v>
      </c>
      <c r="L120" s="724" t="s">
        <v>701</v>
      </c>
      <c r="M120" s="730" t="str">
        <f t="shared" ref="M120:N127" si="330">+INDEX($D$101:$D$147,MATCH(E120,$AH$101:$AH$147,0))</f>
        <v>W74</v>
      </c>
      <c r="N120" s="730" t="str">
        <f t="shared" si="330"/>
        <v>W77</v>
      </c>
      <c r="O120" s="730"/>
      <c r="P120" s="730"/>
      <c r="Q120" s="730"/>
      <c r="R120" s="730"/>
      <c r="S120" s="730"/>
      <c r="T120" s="730"/>
      <c r="U120" s="730"/>
      <c r="V120" s="170"/>
      <c r="W120" s="886" t="s">
        <v>88</v>
      </c>
      <c r="X120" s="187">
        <f ca="1">Horarios!C120</f>
        <v>46207.541666666664</v>
      </c>
      <c r="Y120" s="188">
        <f ca="1">Horarios!C120</f>
        <v>46207.541666666664</v>
      </c>
      <c r="Z120" s="274">
        <f t="shared" ref="Z120:Z127" si="331">AH120</f>
        <v>90</v>
      </c>
      <c r="AA120" s="275" t="str">
        <f t="shared" ref="AA120:AA127" si="332">+INDEX($M$101:$M$147,MATCH(AH120,$J$101:$J$147,0))</f>
        <v>W73</v>
      </c>
      <c r="AB120" s="276"/>
      <c r="AC120" s="303"/>
      <c r="AD120" s="303"/>
      <c r="AE120" s="276"/>
      <c r="AF120" s="278" t="str">
        <f t="shared" ref="AF120:AF127" si="333">+INDEX($N$101:$N$147,MATCH(AH120,$J$101:$J$147,0))</f>
        <v>W75</v>
      </c>
      <c r="AG120" s="415">
        <f t="shared" ref="AG120:AG127" si="334">IF(D120="W"&amp;AH120,0,1)</f>
        <v>0</v>
      </c>
      <c r="AH120" s="194">
        <v>90</v>
      </c>
      <c r="AI120" s="215"/>
      <c r="AJ120" s="176"/>
      <c r="AK120" s="176"/>
      <c r="AL120" s="304"/>
      <c r="AM120" s="295"/>
      <c r="AN120" s="295"/>
      <c r="AO120" s="295"/>
      <c r="AP120" s="295"/>
      <c r="AQ120" s="295"/>
      <c r="AR120" s="295"/>
      <c r="AS120" s="295"/>
      <c r="AT120" s="295"/>
      <c r="AU120" s="19"/>
      <c r="AV120" s="19"/>
      <c r="AW120" s="295"/>
      <c r="AX120" s="295"/>
      <c r="AY120" s="240"/>
      <c r="AZ120" s="241"/>
      <c r="BA120" s="173"/>
      <c r="BB120" s="730"/>
      <c r="BC120" s="730"/>
      <c r="BD120" s="730"/>
      <c r="BE120" s="730"/>
      <c r="BF120" s="747" t="s">
        <v>661</v>
      </c>
      <c r="BG120" s="730" t="e">
        <f ca="1">+INDEX(Combinaciones3!$P$2:$W$496,MATCH(1,Combinaciones3!$B$2:$B$497,0),MATCH(WORLDCUP!BF120,Combinaciones3!$P$1:$W$1,0))</f>
        <v>#N/A</v>
      </c>
      <c r="BH120" s="730"/>
      <c r="BI120" s="730"/>
      <c r="BJ120" s="730"/>
      <c r="BK120" s="730"/>
      <c r="BL120" s="730"/>
      <c r="BM120" s="730"/>
      <c r="BN120" s="730"/>
      <c r="BO120" s="730"/>
      <c r="BP120" s="730"/>
      <c r="BQ120" s="730"/>
      <c r="BR120" s="730"/>
      <c r="BS120" s="730"/>
      <c r="BT120" s="730"/>
      <c r="BU120" s="730"/>
      <c r="BV120" s="730"/>
      <c r="BW120" s="730"/>
      <c r="BX120" s="730"/>
      <c r="BY120" s="730"/>
      <c r="BZ120" s="730"/>
      <c r="CA120" s="730"/>
      <c r="CB120" s="730"/>
      <c r="CC120" s="730"/>
      <c r="CD120" s="730"/>
      <c r="CE120" s="730"/>
      <c r="CF120" s="730"/>
      <c r="CG120" s="730"/>
      <c r="CH120" s="730"/>
      <c r="CI120" s="730"/>
      <c r="CJ120" s="730"/>
      <c r="CK120" s="730"/>
      <c r="CL120" s="730"/>
      <c r="CM120" s="730"/>
      <c r="CN120" s="730"/>
      <c r="CO120" s="730"/>
      <c r="CP120" s="730"/>
      <c r="CQ120" s="730"/>
      <c r="CR120" s="730"/>
      <c r="CS120" s="730"/>
      <c r="CT120" s="730"/>
      <c r="CU120" s="730"/>
      <c r="CV120" s="730"/>
      <c r="CW120" s="730"/>
      <c r="CX120" s="730"/>
      <c r="CY120" s="730"/>
      <c r="CZ120" s="730"/>
      <c r="DA120" s="730"/>
      <c r="DB120" s="730"/>
      <c r="DC120" s="730"/>
      <c r="DD120" s="730"/>
      <c r="DE120" s="730"/>
      <c r="DF120" s="730"/>
      <c r="DG120" s="730"/>
      <c r="DH120" s="730"/>
      <c r="DI120" s="730"/>
      <c r="DJ120" s="730"/>
      <c r="DK120" s="730"/>
      <c r="DL120" s="730"/>
      <c r="DM120" s="730"/>
      <c r="DN120" s="730"/>
      <c r="DO120" s="730"/>
      <c r="DP120" s="730"/>
      <c r="DQ120" s="730"/>
      <c r="DR120" s="730"/>
      <c r="DS120" s="730"/>
      <c r="DT120" s="730" t="str">
        <f t="shared" si="242"/>
        <v>W73-W75</v>
      </c>
      <c r="DU120" s="730"/>
      <c r="DV120" s="730"/>
      <c r="DW120" s="8"/>
    </row>
    <row r="121" spans="1:127" ht="16.05" customHeight="1">
      <c r="A121" s="724" t="s">
        <v>732</v>
      </c>
      <c r="B121" s="724" t="s">
        <v>733</v>
      </c>
      <c r="C121" s="725"/>
      <c r="D121" s="733" t="str">
        <f t="shared" si="329"/>
        <v>W89</v>
      </c>
      <c r="E121" s="730">
        <v>73</v>
      </c>
      <c r="F121" s="730">
        <v>75</v>
      </c>
      <c r="G121" s="730"/>
      <c r="H121" s="730"/>
      <c r="I121" s="730"/>
      <c r="J121" s="724">
        <v>90</v>
      </c>
      <c r="K121" s="724">
        <v>46207.875</v>
      </c>
      <c r="L121" s="724" t="s">
        <v>702</v>
      </c>
      <c r="M121" s="730" t="str">
        <f t="shared" si="330"/>
        <v>W73</v>
      </c>
      <c r="N121" s="730" t="str">
        <f t="shared" si="330"/>
        <v>W75</v>
      </c>
      <c r="O121" s="730"/>
      <c r="P121" s="730"/>
      <c r="Q121" s="730"/>
      <c r="R121" s="730"/>
      <c r="S121" s="730"/>
      <c r="T121" s="730"/>
      <c r="U121" s="730"/>
      <c r="V121" s="170"/>
      <c r="W121" s="886"/>
      <c r="X121" s="187">
        <f ca="1">Horarios!C121</f>
        <v>46207.708333333336</v>
      </c>
      <c r="Y121" s="188">
        <f ca="1">Horarios!C121</f>
        <v>46207.708333333336</v>
      </c>
      <c r="Z121" s="274">
        <f t="shared" si="331"/>
        <v>89</v>
      </c>
      <c r="AA121" s="275" t="str">
        <f t="shared" si="332"/>
        <v>W74</v>
      </c>
      <c r="AB121" s="276"/>
      <c r="AC121" s="305"/>
      <c r="AD121" s="305"/>
      <c r="AE121" s="276"/>
      <c r="AF121" s="278" t="str">
        <f t="shared" si="333"/>
        <v>W77</v>
      </c>
      <c r="AG121" s="415">
        <f t="shared" si="334"/>
        <v>0</v>
      </c>
      <c r="AH121" s="194">
        <v>89</v>
      </c>
      <c r="AI121" s="215"/>
      <c r="AJ121" s="176"/>
      <c r="AK121" s="176"/>
      <c r="AL121" s="176"/>
      <c r="AM121" s="295"/>
      <c r="AN121" s="295"/>
      <c r="AO121" s="295"/>
      <c r="AP121" s="295"/>
      <c r="AQ121" s="295"/>
      <c r="AR121" s="295"/>
      <c r="AS121" s="295"/>
      <c r="AT121" s="295"/>
      <c r="AU121" s="19"/>
      <c r="AV121" s="19"/>
      <c r="AW121" s="295"/>
      <c r="AX121" s="295"/>
      <c r="AY121" s="240"/>
      <c r="AZ121" s="241"/>
      <c r="BA121" s="173"/>
      <c r="BB121" s="730"/>
      <c r="BC121" s="730"/>
      <c r="BD121" s="730"/>
      <c r="BE121" s="730"/>
      <c r="BF121" s="747" t="s">
        <v>667</v>
      </c>
      <c r="BG121" s="730" t="e">
        <f ca="1">+INDEX(Combinaciones3!$P$2:$W$496,MATCH(1,Combinaciones3!$B$2:$B$497,0),MATCH(WORLDCUP!BF121,Combinaciones3!$P$1:$W$1,0))</f>
        <v>#N/A</v>
      </c>
      <c r="BH121" s="730"/>
      <c r="BI121" s="730"/>
      <c r="BJ121" s="730"/>
      <c r="BK121" s="730"/>
      <c r="BL121" s="730"/>
      <c r="BM121" s="730"/>
      <c r="BN121" s="730"/>
      <c r="BO121" s="730"/>
      <c r="BP121" s="730"/>
      <c r="BQ121" s="730"/>
      <c r="BR121" s="730"/>
      <c r="BS121" s="730"/>
      <c r="BT121" s="730"/>
      <c r="BU121" s="730"/>
      <c r="BV121" s="730"/>
      <c r="BW121" s="730"/>
      <c r="BX121" s="730"/>
      <c r="BY121" s="730"/>
      <c r="BZ121" s="730"/>
      <c r="CA121" s="730"/>
      <c r="CB121" s="730"/>
      <c r="CC121" s="730"/>
      <c r="CD121" s="730"/>
      <c r="CE121" s="730"/>
      <c r="CF121" s="730"/>
      <c r="CG121" s="730"/>
      <c r="CH121" s="730"/>
      <c r="CI121" s="730"/>
      <c r="CJ121" s="730"/>
      <c r="CK121" s="730"/>
      <c r="CL121" s="730"/>
      <c r="CM121" s="730"/>
      <c r="CN121" s="730"/>
      <c r="CO121" s="730"/>
      <c r="CP121" s="730"/>
      <c r="CQ121" s="730"/>
      <c r="CR121" s="730"/>
      <c r="CS121" s="730"/>
      <c r="CT121" s="730"/>
      <c r="CU121" s="730"/>
      <c r="CV121" s="730"/>
      <c r="CW121" s="730"/>
      <c r="CX121" s="730"/>
      <c r="CY121" s="730"/>
      <c r="CZ121" s="730"/>
      <c r="DA121" s="730"/>
      <c r="DB121" s="730"/>
      <c r="DC121" s="730"/>
      <c r="DD121" s="730"/>
      <c r="DE121" s="730"/>
      <c r="DF121" s="730"/>
      <c r="DG121" s="730"/>
      <c r="DH121" s="730"/>
      <c r="DI121" s="730"/>
      <c r="DJ121" s="730"/>
      <c r="DK121" s="730"/>
      <c r="DL121" s="730"/>
      <c r="DM121" s="730"/>
      <c r="DN121" s="730"/>
      <c r="DO121" s="730"/>
      <c r="DP121" s="730"/>
      <c r="DQ121" s="730"/>
      <c r="DR121" s="730"/>
      <c r="DS121" s="730"/>
      <c r="DT121" s="730" t="str">
        <f t="shared" si="242"/>
        <v>W74-W77</v>
      </c>
      <c r="DU121" s="730"/>
      <c r="DV121" s="730"/>
      <c r="DW121" s="8"/>
    </row>
    <row r="122" spans="1:127" ht="16.05" customHeight="1">
      <c r="A122" s="724" t="s">
        <v>734</v>
      </c>
      <c r="B122" s="724" t="s">
        <v>735</v>
      </c>
      <c r="C122" s="725"/>
      <c r="D122" s="733" t="str">
        <f t="shared" si="329"/>
        <v>W91</v>
      </c>
      <c r="E122" s="730">
        <v>76</v>
      </c>
      <c r="F122" s="730">
        <v>78</v>
      </c>
      <c r="G122" s="730"/>
      <c r="H122" s="730"/>
      <c r="I122" s="730"/>
      <c r="J122" s="724">
        <v>91</v>
      </c>
      <c r="K122" s="724">
        <v>46208.75</v>
      </c>
      <c r="L122" s="724" t="s">
        <v>703</v>
      </c>
      <c r="M122" s="730" t="str">
        <f t="shared" si="330"/>
        <v>W76</v>
      </c>
      <c r="N122" s="730" t="str">
        <f t="shared" si="330"/>
        <v>W78</v>
      </c>
      <c r="O122" s="730"/>
      <c r="P122" s="730"/>
      <c r="Q122" s="730"/>
      <c r="R122" s="730"/>
      <c r="S122" s="730"/>
      <c r="T122" s="730"/>
      <c r="U122" s="730"/>
      <c r="V122" s="170"/>
      <c r="W122" s="886"/>
      <c r="X122" s="187">
        <f ca="1">Horarios!C122</f>
        <v>46208.666666666664</v>
      </c>
      <c r="Y122" s="188">
        <f ca="1">Horarios!C122</f>
        <v>46208.666666666664</v>
      </c>
      <c r="Z122" s="274">
        <f t="shared" si="331"/>
        <v>91</v>
      </c>
      <c r="AA122" s="275" t="str">
        <f t="shared" si="332"/>
        <v>W76</v>
      </c>
      <c r="AB122" s="276"/>
      <c r="AC122" s="305"/>
      <c r="AD122" s="305"/>
      <c r="AE122" s="276"/>
      <c r="AF122" s="278" t="str">
        <f t="shared" si="333"/>
        <v>W78</v>
      </c>
      <c r="AG122" s="415">
        <f t="shared" si="334"/>
        <v>0</v>
      </c>
      <c r="AH122" s="194">
        <v>91</v>
      </c>
      <c r="AI122" s="215"/>
      <c r="AJ122" s="176"/>
      <c r="AK122" s="176"/>
      <c r="AL122" s="176"/>
      <c r="AM122" s="295"/>
      <c r="AN122" s="295"/>
      <c r="AO122" s="295"/>
      <c r="AP122" s="295"/>
      <c r="AQ122" s="295"/>
      <c r="AR122" s="295"/>
      <c r="AS122" s="295"/>
      <c r="AT122" s="295"/>
      <c r="AU122" s="19"/>
      <c r="AV122" s="19"/>
      <c r="AW122" s="295"/>
      <c r="AX122" s="295"/>
      <c r="AY122" s="240"/>
      <c r="AZ122" s="241"/>
      <c r="BA122" s="173"/>
      <c r="BB122" s="730"/>
      <c r="BC122" s="730"/>
      <c r="BD122" s="730"/>
      <c r="BE122" s="730"/>
      <c r="BF122" s="738" t="s">
        <v>673</v>
      </c>
      <c r="BG122" s="730" t="e">
        <f ca="1">+INDEX(Combinaciones3!$P$2:$W$496,MATCH(1,Combinaciones3!$B$2:$B$497,0),MATCH(WORLDCUP!BF122,Combinaciones3!$P$1:$W$1,0))</f>
        <v>#N/A</v>
      </c>
      <c r="BH122" s="730"/>
      <c r="BI122" s="730"/>
      <c r="BJ122" s="730"/>
      <c r="BK122" s="730"/>
      <c r="BL122" s="730"/>
      <c r="BM122" s="730"/>
      <c r="BN122" s="730"/>
      <c r="BO122" s="730"/>
      <c r="BP122" s="730"/>
      <c r="BQ122" s="730"/>
      <c r="BR122" s="730"/>
      <c r="BS122" s="730"/>
      <c r="BT122" s="730"/>
      <c r="BU122" s="730"/>
      <c r="BV122" s="730"/>
      <c r="BW122" s="730"/>
      <c r="BX122" s="730"/>
      <c r="BY122" s="730"/>
      <c r="BZ122" s="730"/>
      <c r="CA122" s="730"/>
      <c r="CB122" s="730"/>
      <c r="CC122" s="730"/>
      <c r="CD122" s="730"/>
      <c r="CE122" s="730"/>
      <c r="CF122" s="730"/>
      <c r="CG122" s="730"/>
      <c r="CH122" s="730"/>
      <c r="CI122" s="730"/>
      <c r="CJ122" s="730"/>
      <c r="CK122" s="730"/>
      <c r="CL122" s="730"/>
      <c r="CM122" s="730"/>
      <c r="CN122" s="730"/>
      <c r="CO122" s="730"/>
      <c r="CP122" s="730"/>
      <c r="CQ122" s="730"/>
      <c r="CR122" s="730"/>
      <c r="CS122" s="730"/>
      <c r="CT122" s="730"/>
      <c r="CU122" s="730"/>
      <c r="CV122" s="730"/>
      <c r="CW122" s="730"/>
      <c r="CX122" s="730"/>
      <c r="CY122" s="730"/>
      <c r="CZ122" s="730"/>
      <c r="DA122" s="730"/>
      <c r="DB122" s="730"/>
      <c r="DC122" s="730"/>
      <c r="DD122" s="730"/>
      <c r="DE122" s="730"/>
      <c r="DF122" s="730"/>
      <c r="DG122" s="730"/>
      <c r="DH122" s="730"/>
      <c r="DI122" s="730"/>
      <c r="DJ122" s="730"/>
      <c r="DK122" s="730"/>
      <c r="DL122" s="730"/>
      <c r="DM122" s="730"/>
      <c r="DN122" s="730"/>
      <c r="DO122" s="730"/>
      <c r="DP122" s="730"/>
      <c r="DQ122" s="730"/>
      <c r="DR122" s="730"/>
      <c r="DS122" s="730"/>
      <c r="DT122" s="730" t="str">
        <f t="shared" si="242"/>
        <v>W76-W78</v>
      </c>
      <c r="DU122" s="730"/>
      <c r="DV122" s="730"/>
      <c r="DW122" s="8"/>
    </row>
    <row r="123" spans="1:127" ht="16.05" customHeight="1">
      <c r="A123" s="724" t="s">
        <v>736</v>
      </c>
      <c r="B123" s="724" t="s">
        <v>737</v>
      </c>
      <c r="C123" s="725"/>
      <c r="D123" s="733" t="str">
        <f t="shared" si="329"/>
        <v>W92</v>
      </c>
      <c r="E123" s="730">
        <v>79</v>
      </c>
      <c r="F123" s="730">
        <v>80</v>
      </c>
      <c r="G123" s="730"/>
      <c r="H123" s="730"/>
      <c r="I123" s="730"/>
      <c r="J123" s="724">
        <v>92</v>
      </c>
      <c r="K123" s="724">
        <v>46208.875</v>
      </c>
      <c r="L123" s="724" t="s">
        <v>704</v>
      </c>
      <c r="M123" s="730" t="str">
        <f t="shared" si="330"/>
        <v>W79</v>
      </c>
      <c r="N123" s="730" t="str">
        <f t="shared" si="330"/>
        <v>W80</v>
      </c>
      <c r="O123" s="730"/>
      <c r="P123" s="730"/>
      <c r="Q123" s="730"/>
      <c r="R123" s="730"/>
      <c r="S123" s="730"/>
      <c r="T123" s="730"/>
      <c r="U123" s="730"/>
      <c r="V123" s="170"/>
      <c r="W123" s="886"/>
      <c r="X123" s="187">
        <f ca="1">Horarios!C123</f>
        <v>46208.833333333336</v>
      </c>
      <c r="Y123" s="188">
        <f ca="1">Horarios!C123</f>
        <v>46208.833333333336</v>
      </c>
      <c r="Z123" s="274">
        <f t="shared" si="331"/>
        <v>92</v>
      </c>
      <c r="AA123" s="275" t="str">
        <f t="shared" si="332"/>
        <v>W79</v>
      </c>
      <c r="AB123" s="276"/>
      <c r="AC123" s="305"/>
      <c r="AD123" s="305"/>
      <c r="AE123" s="276"/>
      <c r="AF123" s="278" t="str">
        <f t="shared" si="333"/>
        <v>W80</v>
      </c>
      <c r="AG123" s="415">
        <f t="shared" si="334"/>
        <v>0</v>
      </c>
      <c r="AH123" s="194">
        <v>92</v>
      </c>
      <c r="AI123" s="215"/>
      <c r="AJ123" s="176"/>
      <c r="AK123" s="176"/>
      <c r="AL123" s="176"/>
      <c r="AM123" s="295"/>
      <c r="AN123" s="295"/>
      <c r="AO123" s="295"/>
      <c r="AP123" s="295"/>
      <c r="AQ123" s="295"/>
      <c r="AR123" s="295"/>
      <c r="AS123" s="295"/>
      <c r="AT123" s="295"/>
      <c r="AU123" s="19"/>
      <c r="AV123" s="19"/>
      <c r="AW123" s="295"/>
      <c r="AX123" s="295"/>
      <c r="AY123" s="240"/>
      <c r="AZ123" s="241"/>
      <c r="BA123" s="173"/>
      <c r="BB123" s="730"/>
      <c r="BC123" s="730"/>
      <c r="BD123" s="730"/>
      <c r="BE123" s="730"/>
      <c r="BF123" s="738" t="s">
        <v>679</v>
      </c>
      <c r="BG123" s="730" t="e">
        <f ca="1">+INDEX(Combinaciones3!$P$2:$W$496,MATCH(1,Combinaciones3!$B$2:$B$497,0),MATCH(WORLDCUP!BF123,Combinaciones3!$P$1:$W$1,0))</f>
        <v>#N/A</v>
      </c>
      <c r="BH123" s="730"/>
      <c r="BI123" s="730"/>
      <c r="BJ123" s="730"/>
      <c r="BK123" s="730"/>
      <c r="BL123" s="730"/>
      <c r="BM123" s="730"/>
      <c r="BN123" s="730"/>
      <c r="BO123" s="730"/>
      <c r="BP123" s="730"/>
      <c r="BQ123" s="730"/>
      <c r="BR123" s="730"/>
      <c r="BS123" s="730"/>
      <c r="BT123" s="730"/>
      <c r="BU123" s="730"/>
      <c r="BV123" s="730"/>
      <c r="BW123" s="730"/>
      <c r="BX123" s="730"/>
      <c r="BY123" s="730"/>
      <c r="BZ123" s="730"/>
      <c r="CA123" s="730"/>
      <c r="CB123" s="730"/>
      <c r="CC123" s="730"/>
      <c r="CD123" s="730"/>
      <c r="CE123" s="730"/>
      <c r="CF123" s="730"/>
      <c r="CG123" s="730"/>
      <c r="CH123" s="730"/>
      <c r="CI123" s="730"/>
      <c r="CJ123" s="730"/>
      <c r="CK123" s="730"/>
      <c r="CL123" s="730"/>
      <c r="CM123" s="730"/>
      <c r="CN123" s="730"/>
      <c r="CO123" s="730"/>
      <c r="CP123" s="730"/>
      <c r="CQ123" s="730"/>
      <c r="CR123" s="730"/>
      <c r="CS123" s="730"/>
      <c r="CT123" s="730"/>
      <c r="CU123" s="730"/>
      <c r="CV123" s="730"/>
      <c r="CW123" s="730"/>
      <c r="CX123" s="730"/>
      <c r="CY123" s="730"/>
      <c r="CZ123" s="730"/>
      <c r="DA123" s="730"/>
      <c r="DB123" s="730"/>
      <c r="DC123" s="730"/>
      <c r="DD123" s="730"/>
      <c r="DE123" s="730"/>
      <c r="DF123" s="730"/>
      <c r="DG123" s="730"/>
      <c r="DH123" s="730"/>
      <c r="DI123" s="730"/>
      <c r="DJ123" s="730"/>
      <c r="DK123" s="730"/>
      <c r="DL123" s="730"/>
      <c r="DM123" s="730"/>
      <c r="DN123" s="730"/>
      <c r="DO123" s="730"/>
      <c r="DP123" s="730"/>
      <c r="DQ123" s="730"/>
      <c r="DR123" s="730"/>
      <c r="DS123" s="730"/>
      <c r="DT123" s="730" t="str">
        <f t="shared" si="242"/>
        <v>W79-W80</v>
      </c>
      <c r="DU123" s="730"/>
      <c r="DV123" s="730"/>
      <c r="DW123" s="8"/>
    </row>
    <row r="124" spans="1:127" ht="16.05" customHeight="1">
      <c r="A124" s="724" t="s">
        <v>738</v>
      </c>
      <c r="B124" s="724" t="s">
        <v>739</v>
      </c>
      <c r="C124" s="725"/>
      <c r="D124" s="733" t="str">
        <f t="shared" si="329"/>
        <v>W93</v>
      </c>
      <c r="E124" s="730">
        <v>83</v>
      </c>
      <c r="F124" s="730">
        <v>84</v>
      </c>
      <c r="G124" s="730"/>
      <c r="H124" s="730"/>
      <c r="I124" s="730"/>
      <c r="J124" s="724">
        <v>93</v>
      </c>
      <c r="K124" s="724">
        <v>46209.75</v>
      </c>
      <c r="L124" s="724" t="s">
        <v>705</v>
      </c>
      <c r="M124" s="730" t="str">
        <f t="shared" si="330"/>
        <v>W83</v>
      </c>
      <c r="N124" s="730" t="str">
        <f t="shared" si="330"/>
        <v>W84</v>
      </c>
      <c r="O124" s="730"/>
      <c r="P124" s="730"/>
      <c r="Q124" s="730"/>
      <c r="R124" s="730"/>
      <c r="S124" s="730"/>
      <c r="T124" s="730"/>
      <c r="U124" s="730"/>
      <c r="V124" s="170"/>
      <c r="W124" s="886"/>
      <c r="X124" s="187">
        <f ca="1">Horarios!C124</f>
        <v>46209.625</v>
      </c>
      <c r="Y124" s="188">
        <f ca="1">Horarios!C124</f>
        <v>46209.625</v>
      </c>
      <c r="Z124" s="274">
        <f t="shared" si="331"/>
        <v>93</v>
      </c>
      <c r="AA124" s="275" t="str">
        <f t="shared" si="332"/>
        <v>W83</v>
      </c>
      <c r="AB124" s="306"/>
      <c r="AC124" s="305"/>
      <c r="AD124" s="305"/>
      <c r="AE124" s="277"/>
      <c r="AF124" s="278" t="str">
        <f t="shared" si="333"/>
        <v>W84</v>
      </c>
      <c r="AG124" s="415">
        <f t="shared" si="334"/>
        <v>0</v>
      </c>
      <c r="AH124" s="194">
        <v>93</v>
      </c>
      <c r="AI124" s="215"/>
      <c r="AJ124" s="176"/>
      <c r="AK124" s="176"/>
      <c r="AL124" s="176"/>
      <c r="AM124" s="295"/>
      <c r="AN124" s="295"/>
      <c r="AO124" s="295"/>
      <c r="AP124" s="295"/>
      <c r="AQ124" s="295"/>
      <c r="AR124" s="295"/>
      <c r="AS124" s="295"/>
      <c r="AT124" s="295"/>
      <c r="AU124" s="19"/>
      <c r="AV124" s="19"/>
      <c r="AW124" s="295"/>
      <c r="AX124" s="295"/>
      <c r="AY124" s="240"/>
      <c r="AZ124" s="241"/>
      <c r="BA124" s="173"/>
      <c r="BB124" s="730"/>
      <c r="BC124" s="730"/>
      <c r="BD124" s="730"/>
      <c r="BE124" s="730"/>
      <c r="BF124" s="738" t="s">
        <v>682</v>
      </c>
      <c r="BG124" s="730" t="e">
        <f ca="1">+INDEX(Combinaciones3!$P$2:$W$496,MATCH(1,Combinaciones3!$B$2:$B$497,0),MATCH(WORLDCUP!BF124,Combinaciones3!$P$1:$W$1,0))</f>
        <v>#N/A</v>
      </c>
      <c r="BH124" s="730"/>
      <c r="BI124" s="730"/>
      <c r="BJ124" s="730"/>
      <c r="BK124" s="730"/>
      <c r="BL124" s="730"/>
      <c r="BM124" s="730"/>
      <c r="BN124" s="730"/>
      <c r="BO124" s="730"/>
      <c r="BP124" s="730"/>
      <c r="BQ124" s="730"/>
      <c r="BR124" s="730"/>
      <c r="BS124" s="730"/>
      <c r="BT124" s="730"/>
      <c r="BU124" s="730"/>
      <c r="BV124" s="730"/>
      <c r="BW124" s="730"/>
      <c r="BX124" s="730"/>
      <c r="BY124" s="730"/>
      <c r="BZ124" s="730"/>
      <c r="CA124" s="730"/>
      <c r="CB124" s="730"/>
      <c r="CC124" s="730"/>
      <c r="CD124" s="730"/>
      <c r="CE124" s="730"/>
      <c r="CF124" s="730"/>
      <c r="CG124" s="730"/>
      <c r="CH124" s="730"/>
      <c r="CI124" s="730"/>
      <c r="CJ124" s="730"/>
      <c r="CK124" s="730"/>
      <c r="CL124" s="730"/>
      <c r="CM124" s="730"/>
      <c r="CN124" s="730"/>
      <c r="CO124" s="730"/>
      <c r="CP124" s="730"/>
      <c r="CQ124" s="730"/>
      <c r="CR124" s="730"/>
      <c r="CS124" s="730"/>
      <c r="CT124" s="730"/>
      <c r="CU124" s="730"/>
      <c r="CV124" s="730"/>
      <c r="CW124" s="730"/>
      <c r="CX124" s="730"/>
      <c r="CY124" s="730"/>
      <c r="CZ124" s="730"/>
      <c r="DA124" s="730"/>
      <c r="DB124" s="730"/>
      <c r="DC124" s="730"/>
      <c r="DD124" s="730"/>
      <c r="DE124" s="730"/>
      <c r="DF124" s="730"/>
      <c r="DG124" s="730"/>
      <c r="DH124" s="730"/>
      <c r="DI124" s="730"/>
      <c r="DJ124" s="730"/>
      <c r="DK124" s="730"/>
      <c r="DL124" s="730"/>
      <c r="DM124" s="730"/>
      <c r="DN124" s="730"/>
      <c r="DO124" s="730"/>
      <c r="DP124" s="730"/>
      <c r="DQ124" s="730"/>
      <c r="DR124" s="730"/>
      <c r="DS124" s="730"/>
      <c r="DT124" s="730" t="str">
        <f t="shared" si="242"/>
        <v>W83-W84</v>
      </c>
      <c r="DU124" s="730"/>
      <c r="DV124" s="730"/>
      <c r="DW124" s="8"/>
    </row>
    <row r="125" spans="1:127" ht="16.05" customHeight="1">
      <c r="A125" s="724" t="s">
        <v>740</v>
      </c>
      <c r="B125" s="724" t="s">
        <v>741</v>
      </c>
      <c r="C125" s="725"/>
      <c r="D125" s="733" t="str">
        <f t="shared" si="329"/>
        <v>W94</v>
      </c>
      <c r="E125" s="730">
        <v>81</v>
      </c>
      <c r="F125" s="730">
        <v>82</v>
      </c>
      <c r="G125" s="730"/>
      <c r="H125" s="730"/>
      <c r="I125" s="730"/>
      <c r="J125" s="724">
        <v>94</v>
      </c>
      <c r="K125" s="724">
        <v>46209.875</v>
      </c>
      <c r="L125" s="724" t="s">
        <v>706</v>
      </c>
      <c r="M125" s="730" t="str">
        <f t="shared" si="330"/>
        <v>W81</v>
      </c>
      <c r="N125" s="730" t="str">
        <f t="shared" si="330"/>
        <v>W82</v>
      </c>
      <c r="O125" s="730"/>
      <c r="P125" s="730"/>
      <c r="Q125" s="730"/>
      <c r="R125" s="730"/>
      <c r="S125" s="730"/>
      <c r="T125" s="730"/>
      <c r="U125" s="730"/>
      <c r="V125" s="170"/>
      <c r="W125" s="886"/>
      <c r="X125" s="187">
        <f ca="1">Horarios!C125</f>
        <v>46209.833333333336</v>
      </c>
      <c r="Y125" s="188">
        <f ca="1">Horarios!C125</f>
        <v>46209.833333333336</v>
      </c>
      <c r="Z125" s="274">
        <f t="shared" si="331"/>
        <v>94</v>
      </c>
      <c r="AA125" s="275" t="str">
        <f t="shared" si="332"/>
        <v>W81</v>
      </c>
      <c r="AB125" s="276"/>
      <c r="AC125" s="307"/>
      <c r="AD125" s="307"/>
      <c r="AE125" s="276"/>
      <c r="AF125" s="278" t="str">
        <f t="shared" si="333"/>
        <v>W82</v>
      </c>
      <c r="AG125" s="415">
        <f t="shared" si="334"/>
        <v>0</v>
      </c>
      <c r="AH125" s="194">
        <v>94</v>
      </c>
      <c r="AI125" s="215"/>
      <c r="AJ125" s="176"/>
      <c r="AK125" s="176"/>
      <c r="AL125" s="176"/>
      <c r="AM125" s="295"/>
      <c r="AN125" s="295"/>
      <c r="AO125" s="295"/>
      <c r="AP125" s="295"/>
      <c r="AQ125" s="295"/>
      <c r="AR125" s="295"/>
      <c r="AS125" s="295"/>
      <c r="AT125" s="295"/>
      <c r="AU125" s="19"/>
      <c r="AV125" s="19"/>
      <c r="AW125" s="295"/>
      <c r="AX125" s="295"/>
      <c r="AY125" s="240"/>
      <c r="AZ125" s="241"/>
      <c r="BA125" s="173"/>
      <c r="BB125" s="730"/>
      <c r="BC125" s="730"/>
      <c r="BD125" s="730"/>
      <c r="BE125" s="730"/>
      <c r="BF125" s="730"/>
      <c r="BG125" s="730"/>
      <c r="BH125" s="730"/>
      <c r="BI125" s="730"/>
      <c r="BJ125" s="730"/>
      <c r="BK125" s="730"/>
      <c r="BL125" s="730"/>
      <c r="BM125" s="730"/>
      <c r="BN125" s="730"/>
      <c r="BO125" s="730"/>
      <c r="BP125" s="730"/>
      <c r="BQ125" s="730"/>
      <c r="BR125" s="730"/>
      <c r="BS125" s="730"/>
      <c r="BT125" s="730"/>
      <c r="BU125" s="730"/>
      <c r="BV125" s="730"/>
      <c r="BW125" s="730"/>
      <c r="BX125" s="730"/>
      <c r="BY125" s="730"/>
      <c r="BZ125" s="730"/>
      <c r="CA125" s="730"/>
      <c r="CB125" s="730"/>
      <c r="CC125" s="730"/>
      <c r="CD125" s="730"/>
      <c r="CE125" s="730"/>
      <c r="CF125" s="730"/>
      <c r="CG125" s="730"/>
      <c r="CH125" s="730"/>
      <c r="CI125" s="730"/>
      <c r="CJ125" s="730"/>
      <c r="CK125" s="730"/>
      <c r="CL125" s="730"/>
      <c r="CM125" s="730"/>
      <c r="CN125" s="730"/>
      <c r="CO125" s="730"/>
      <c r="CP125" s="730"/>
      <c r="CQ125" s="730"/>
      <c r="CR125" s="730"/>
      <c r="CS125" s="730"/>
      <c r="CT125" s="730"/>
      <c r="CU125" s="730"/>
      <c r="CV125" s="730"/>
      <c r="CW125" s="730"/>
      <c r="CX125" s="730"/>
      <c r="CY125" s="730"/>
      <c r="CZ125" s="730"/>
      <c r="DA125" s="730"/>
      <c r="DB125" s="730"/>
      <c r="DC125" s="730"/>
      <c r="DD125" s="730"/>
      <c r="DE125" s="730"/>
      <c r="DF125" s="730"/>
      <c r="DG125" s="730"/>
      <c r="DH125" s="730"/>
      <c r="DI125" s="730"/>
      <c r="DJ125" s="730"/>
      <c r="DK125" s="730"/>
      <c r="DL125" s="730"/>
      <c r="DM125" s="730"/>
      <c r="DN125" s="730"/>
      <c r="DO125" s="730"/>
      <c r="DP125" s="730"/>
      <c r="DQ125" s="730"/>
      <c r="DR125" s="730"/>
      <c r="DS125" s="730"/>
      <c r="DT125" s="730" t="str">
        <f t="shared" si="242"/>
        <v>W81-W82</v>
      </c>
      <c r="DU125" s="730"/>
      <c r="DV125" s="730"/>
      <c r="DW125" s="8"/>
    </row>
    <row r="126" spans="1:127" ht="16.05" customHeight="1">
      <c r="A126" s="724" t="s">
        <v>742</v>
      </c>
      <c r="B126" s="724" t="s">
        <v>743</v>
      </c>
      <c r="C126" s="725"/>
      <c r="D126" s="733" t="str">
        <f t="shared" si="329"/>
        <v>W95</v>
      </c>
      <c r="E126" s="730">
        <v>86</v>
      </c>
      <c r="F126" s="730">
        <v>88</v>
      </c>
      <c r="G126" s="730"/>
      <c r="H126" s="730"/>
      <c r="I126" s="730"/>
      <c r="J126" s="724">
        <v>95</v>
      </c>
      <c r="K126" s="724">
        <v>46210.75</v>
      </c>
      <c r="L126" s="724" t="s">
        <v>707</v>
      </c>
      <c r="M126" s="730" t="str">
        <f t="shared" si="330"/>
        <v>W86</v>
      </c>
      <c r="N126" s="730" t="str">
        <f t="shared" si="330"/>
        <v>W88</v>
      </c>
      <c r="O126" s="730"/>
      <c r="P126" s="730"/>
      <c r="Q126" s="730"/>
      <c r="R126" s="730"/>
      <c r="S126" s="730"/>
      <c r="T126" s="730"/>
      <c r="U126" s="730"/>
      <c r="V126" s="170"/>
      <c r="W126" s="886"/>
      <c r="X126" s="187">
        <f ca="1">Horarios!C126</f>
        <v>46210.5</v>
      </c>
      <c r="Y126" s="188">
        <f ca="1">Horarios!C126</f>
        <v>46210.5</v>
      </c>
      <c r="Z126" s="274">
        <f t="shared" si="331"/>
        <v>95</v>
      </c>
      <c r="AA126" s="275" t="str">
        <f t="shared" si="332"/>
        <v>W86</v>
      </c>
      <c r="AB126" s="276"/>
      <c r="AC126" s="307"/>
      <c r="AD126" s="307"/>
      <c r="AE126" s="276"/>
      <c r="AF126" s="278" t="str">
        <f t="shared" si="333"/>
        <v>W88</v>
      </c>
      <c r="AG126" s="415">
        <f t="shared" si="334"/>
        <v>0</v>
      </c>
      <c r="AH126" s="194">
        <v>95</v>
      </c>
      <c r="AI126" s="215"/>
      <c r="AJ126" s="176"/>
      <c r="AK126" s="176"/>
      <c r="AL126" s="176"/>
      <c r="AM126" s="295"/>
      <c r="AN126" s="295"/>
      <c r="AO126" s="295"/>
      <c r="AP126" s="295"/>
      <c r="AQ126" s="295"/>
      <c r="AR126" s="295"/>
      <c r="AS126" s="295"/>
      <c r="AT126" s="295"/>
      <c r="AU126" s="19"/>
      <c r="AV126" s="19"/>
      <c r="AW126" s="295"/>
      <c r="AX126" s="295"/>
      <c r="AY126" s="240"/>
      <c r="AZ126" s="241"/>
      <c r="BA126" s="173"/>
      <c r="BB126" s="730"/>
      <c r="BC126" s="730"/>
      <c r="BD126" s="730"/>
      <c r="BE126" s="730"/>
      <c r="BF126" s="730"/>
      <c r="BG126" s="730"/>
      <c r="BH126" s="730"/>
      <c r="BI126" s="730"/>
      <c r="BJ126" s="730"/>
      <c r="BK126" s="730"/>
      <c r="BL126" s="730"/>
      <c r="BM126" s="730"/>
      <c r="BN126" s="730"/>
      <c r="BO126" s="730"/>
      <c r="BP126" s="730"/>
      <c r="BQ126" s="730"/>
      <c r="BR126" s="730"/>
      <c r="BS126" s="730"/>
      <c r="BT126" s="730"/>
      <c r="BU126" s="730"/>
      <c r="BV126" s="730"/>
      <c r="BW126" s="730"/>
      <c r="BX126" s="730"/>
      <c r="BY126" s="730"/>
      <c r="BZ126" s="730"/>
      <c r="CA126" s="730"/>
      <c r="CB126" s="730"/>
      <c r="CC126" s="730"/>
      <c r="CD126" s="730"/>
      <c r="CE126" s="730"/>
      <c r="CF126" s="730"/>
      <c r="CG126" s="730"/>
      <c r="CH126" s="730"/>
      <c r="CI126" s="730"/>
      <c r="CJ126" s="730"/>
      <c r="CK126" s="730"/>
      <c r="CL126" s="730"/>
      <c r="CM126" s="730"/>
      <c r="CN126" s="730"/>
      <c r="CO126" s="730"/>
      <c r="CP126" s="730"/>
      <c r="CQ126" s="730"/>
      <c r="CR126" s="730"/>
      <c r="CS126" s="730"/>
      <c r="CT126" s="730"/>
      <c r="CU126" s="730"/>
      <c r="CV126" s="730"/>
      <c r="CW126" s="730"/>
      <c r="CX126" s="730"/>
      <c r="CY126" s="730"/>
      <c r="CZ126" s="730"/>
      <c r="DA126" s="730"/>
      <c r="DB126" s="730"/>
      <c r="DC126" s="730"/>
      <c r="DD126" s="730"/>
      <c r="DE126" s="730"/>
      <c r="DF126" s="730"/>
      <c r="DG126" s="730"/>
      <c r="DH126" s="730"/>
      <c r="DI126" s="730"/>
      <c r="DJ126" s="730"/>
      <c r="DK126" s="730"/>
      <c r="DL126" s="730"/>
      <c r="DM126" s="730"/>
      <c r="DN126" s="730"/>
      <c r="DO126" s="730"/>
      <c r="DP126" s="730"/>
      <c r="DQ126" s="730"/>
      <c r="DR126" s="730"/>
      <c r="DS126" s="730"/>
      <c r="DT126" s="730" t="str">
        <f t="shared" si="242"/>
        <v>W86-W88</v>
      </c>
      <c r="DU126" s="730"/>
      <c r="DV126" s="730"/>
      <c r="DW126" s="8"/>
    </row>
    <row r="127" spans="1:127" ht="16.05" customHeight="1" thickBot="1">
      <c r="A127" s="724" t="s">
        <v>744</v>
      </c>
      <c r="B127" s="724" t="s">
        <v>745</v>
      </c>
      <c r="C127" s="725"/>
      <c r="D127" s="733" t="str">
        <f t="shared" si="329"/>
        <v>W96</v>
      </c>
      <c r="E127" s="730">
        <v>85</v>
      </c>
      <c r="F127" s="730">
        <v>87</v>
      </c>
      <c r="G127" s="730"/>
      <c r="H127" s="730"/>
      <c r="I127" s="730"/>
      <c r="J127" s="724">
        <v>96</v>
      </c>
      <c r="K127" s="724">
        <v>46210.875</v>
      </c>
      <c r="L127" s="724" t="s">
        <v>708</v>
      </c>
      <c r="M127" s="730" t="str">
        <f t="shared" si="330"/>
        <v>W85</v>
      </c>
      <c r="N127" s="730" t="str">
        <f t="shared" si="330"/>
        <v>W87</v>
      </c>
      <c r="O127" s="730"/>
      <c r="P127" s="730"/>
      <c r="Q127" s="730"/>
      <c r="R127" s="730"/>
      <c r="S127" s="730"/>
      <c r="T127" s="730"/>
      <c r="U127" s="730"/>
      <c r="V127" s="170"/>
      <c r="W127" s="887"/>
      <c r="X127" s="226">
        <f ca="1">Horarios!C127</f>
        <v>46210.666666666664</v>
      </c>
      <c r="Y127" s="227">
        <f ca="1">Horarios!C127</f>
        <v>46210.666666666664</v>
      </c>
      <c r="Z127" s="297">
        <f t="shared" si="331"/>
        <v>96</v>
      </c>
      <c r="AA127" s="298" t="str">
        <f t="shared" si="332"/>
        <v>W85</v>
      </c>
      <c r="AB127" s="299"/>
      <c r="AC127" s="308"/>
      <c r="AD127" s="308"/>
      <c r="AE127" s="299"/>
      <c r="AF127" s="301" t="str">
        <f t="shared" si="333"/>
        <v>W87</v>
      </c>
      <c r="AG127" s="415">
        <f t="shared" si="334"/>
        <v>0</v>
      </c>
      <c r="AH127" s="194">
        <v>96</v>
      </c>
      <c r="AI127" s="215"/>
      <c r="AJ127" s="176"/>
      <c r="AK127" s="176"/>
      <c r="AL127" s="176"/>
      <c r="AM127" s="295"/>
      <c r="AN127" s="295"/>
      <c r="AO127" s="295"/>
      <c r="AP127" s="295"/>
      <c r="AQ127" s="295"/>
      <c r="AR127" s="295"/>
      <c r="AS127" s="295"/>
      <c r="AT127" s="295"/>
      <c r="AU127" s="19"/>
      <c r="AV127" s="19"/>
      <c r="AW127" s="295"/>
      <c r="AX127" s="295"/>
      <c r="AY127" s="240"/>
      <c r="AZ127" s="241"/>
      <c r="BA127" s="173"/>
      <c r="BB127" s="730"/>
      <c r="BC127" s="730"/>
      <c r="BD127" s="730"/>
      <c r="BE127" s="730"/>
      <c r="BF127" s="730"/>
      <c r="BG127" s="730"/>
      <c r="BH127" s="730"/>
      <c r="BI127" s="730"/>
      <c r="BJ127" s="730"/>
      <c r="BK127" s="730"/>
      <c r="BL127" s="730"/>
      <c r="BM127" s="730"/>
      <c r="BN127" s="730"/>
      <c r="BO127" s="730"/>
      <c r="BP127" s="730"/>
      <c r="BQ127" s="730"/>
      <c r="BR127" s="730"/>
      <c r="BS127" s="730"/>
      <c r="BT127" s="730"/>
      <c r="BU127" s="730"/>
      <c r="BV127" s="730"/>
      <c r="BW127" s="730"/>
      <c r="BX127" s="730"/>
      <c r="BY127" s="730"/>
      <c r="BZ127" s="730"/>
      <c r="CA127" s="730"/>
      <c r="CB127" s="730"/>
      <c r="CC127" s="730"/>
      <c r="CD127" s="730"/>
      <c r="CE127" s="730"/>
      <c r="CF127" s="730"/>
      <c r="CG127" s="730"/>
      <c r="CH127" s="730"/>
      <c r="CI127" s="730"/>
      <c r="CJ127" s="730"/>
      <c r="CK127" s="730"/>
      <c r="CL127" s="730"/>
      <c r="CM127" s="730"/>
      <c r="CN127" s="730"/>
      <c r="CO127" s="730"/>
      <c r="CP127" s="730"/>
      <c r="CQ127" s="730"/>
      <c r="CR127" s="730"/>
      <c r="CS127" s="730"/>
      <c r="CT127" s="730"/>
      <c r="CU127" s="730"/>
      <c r="CV127" s="730"/>
      <c r="CW127" s="730"/>
      <c r="CX127" s="730"/>
      <c r="CY127" s="730"/>
      <c r="CZ127" s="730"/>
      <c r="DA127" s="730"/>
      <c r="DB127" s="730"/>
      <c r="DC127" s="730"/>
      <c r="DD127" s="730"/>
      <c r="DE127" s="730"/>
      <c r="DF127" s="730"/>
      <c r="DG127" s="730"/>
      <c r="DH127" s="730"/>
      <c r="DI127" s="730"/>
      <c r="DJ127" s="730"/>
      <c r="DK127" s="730"/>
      <c r="DL127" s="730"/>
      <c r="DM127" s="730"/>
      <c r="DN127" s="730"/>
      <c r="DO127" s="730"/>
      <c r="DP127" s="730"/>
      <c r="DQ127" s="730"/>
      <c r="DR127" s="730"/>
      <c r="DS127" s="730"/>
      <c r="DT127" s="730" t="str">
        <f t="shared" si="242"/>
        <v>W85-W87</v>
      </c>
      <c r="DU127" s="730"/>
      <c r="DV127" s="730"/>
      <c r="DW127" s="8"/>
    </row>
    <row r="128" spans="1:127" ht="16.05" customHeight="1" thickBot="1">
      <c r="A128" s="725"/>
      <c r="B128" s="725"/>
      <c r="C128" s="725"/>
      <c r="D128" s="733"/>
      <c r="E128" s="730"/>
      <c r="F128" s="730"/>
      <c r="G128" s="730"/>
      <c r="H128" s="730"/>
      <c r="I128" s="730"/>
      <c r="J128" s="730"/>
      <c r="K128" s="730"/>
      <c r="L128" s="730"/>
      <c r="M128" s="730"/>
      <c r="N128" s="730"/>
      <c r="O128" s="730"/>
      <c r="P128" s="730"/>
      <c r="Q128" s="730"/>
      <c r="R128" s="730"/>
      <c r="S128" s="730"/>
      <c r="T128" s="730"/>
      <c r="U128" s="730"/>
      <c r="V128" s="170"/>
      <c r="W128" s="240"/>
      <c r="X128" s="241"/>
      <c r="Y128" s="240"/>
      <c r="Z128" s="242"/>
      <c r="AA128" s="243"/>
      <c r="AB128" s="244"/>
      <c r="AC128" s="245"/>
      <c r="AD128" s="245"/>
      <c r="AE128" s="244"/>
      <c r="AF128" s="246"/>
      <c r="AG128" s="414"/>
      <c r="AH128" s="194"/>
      <c r="AI128" s="215"/>
      <c r="AJ128" s="176"/>
      <c r="AK128" s="176"/>
      <c r="AL128" s="176"/>
      <c r="AM128" s="295"/>
      <c r="AN128" s="295"/>
      <c r="AO128" s="295"/>
      <c r="AP128" s="295"/>
      <c r="AQ128" s="295"/>
      <c r="AR128" s="295"/>
      <c r="AS128" s="295"/>
      <c r="AT128" s="295"/>
      <c r="AU128" s="19"/>
      <c r="AV128" s="19"/>
      <c r="AW128" s="295"/>
      <c r="AX128" s="295"/>
      <c r="AY128" s="240"/>
      <c r="AZ128" s="241"/>
      <c r="BA128" s="173"/>
      <c r="BB128" s="730"/>
      <c r="BC128" s="730"/>
      <c r="BD128" s="730"/>
      <c r="BE128" s="730"/>
      <c r="BF128" s="730"/>
      <c r="BG128" s="730"/>
      <c r="BH128" s="730"/>
      <c r="BI128" s="730"/>
      <c r="BJ128" s="730"/>
      <c r="BK128" s="730"/>
      <c r="BL128" s="730"/>
      <c r="BM128" s="730"/>
      <c r="BN128" s="730"/>
      <c r="BO128" s="730"/>
      <c r="BP128" s="730"/>
      <c r="BQ128" s="730"/>
      <c r="BR128" s="730"/>
      <c r="BS128" s="730"/>
      <c r="BT128" s="730"/>
      <c r="BU128" s="730"/>
      <c r="BV128" s="730"/>
      <c r="BW128" s="730"/>
      <c r="BX128" s="730"/>
      <c r="BY128" s="730"/>
      <c r="BZ128" s="730"/>
      <c r="CA128" s="730"/>
      <c r="CB128" s="730"/>
      <c r="CC128" s="730"/>
      <c r="CD128" s="730"/>
      <c r="CE128" s="730"/>
      <c r="CF128" s="730"/>
      <c r="CG128" s="730"/>
      <c r="CH128" s="730"/>
      <c r="CI128" s="730"/>
      <c r="CJ128" s="730"/>
      <c r="CK128" s="730"/>
      <c r="CL128" s="730"/>
      <c r="CM128" s="730"/>
      <c r="CN128" s="730"/>
      <c r="CO128" s="730"/>
      <c r="CP128" s="730"/>
      <c r="CQ128" s="730"/>
      <c r="CR128" s="730"/>
      <c r="CS128" s="730"/>
      <c r="CT128" s="730"/>
      <c r="CU128" s="730"/>
      <c r="CV128" s="730"/>
      <c r="CW128" s="730"/>
      <c r="CX128" s="730"/>
      <c r="CY128" s="730"/>
      <c r="CZ128" s="730"/>
      <c r="DA128" s="730"/>
      <c r="DB128" s="730"/>
      <c r="DC128" s="730"/>
      <c r="DD128" s="730"/>
      <c r="DE128" s="730"/>
      <c r="DF128" s="730"/>
      <c r="DG128" s="730"/>
      <c r="DH128" s="730"/>
      <c r="DI128" s="730"/>
      <c r="DJ128" s="730"/>
      <c r="DK128" s="730"/>
      <c r="DL128" s="730"/>
      <c r="DM128" s="730"/>
      <c r="DN128" s="730"/>
      <c r="DO128" s="730"/>
      <c r="DP128" s="730"/>
      <c r="DQ128" s="730"/>
      <c r="DR128" s="730"/>
      <c r="DS128" s="730"/>
      <c r="DT128" s="730" t="str">
        <f t="shared" si="242"/>
        <v>-</v>
      </c>
      <c r="DU128" s="730"/>
      <c r="DV128" s="730"/>
      <c r="DW128" s="8"/>
    </row>
    <row r="129" spans="1:127" ht="16.05" customHeight="1" thickBot="1">
      <c r="A129" s="725"/>
      <c r="B129" s="725"/>
      <c r="C129" s="725"/>
      <c r="D129" s="733"/>
      <c r="E129" s="730"/>
      <c r="F129" s="730"/>
      <c r="G129" s="730"/>
      <c r="H129" s="730"/>
      <c r="I129" s="730"/>
      <c r="J129" s="730"/>
      <c r="K129" s="730"/>
      <c r="L129" s="730"/>
      <c r="M129" s="730"/>
      <c r="N129" s="730"/>
      <c r="O129" s="730"/>
      <c r="P129" s="730"/>
      <c r="Q129" s="730"/>
      <c r="R129" s="730"/>
      <c r="S129" s="730"/>
      <c r="T129" s="730"/>
      <c r="U129" s="730"/>
      <c r="V129" s="170"/>
      <c r="W129" s="267" t="str">
        <f>Idiomas!D27</f>
        <v>Cuartos de final</v>
      </c>
      <c r="X129" s="268"/>
      <c r="Y129" s="269"/>
      <c r="Z129" s="269"/>
      <c r="AA129" s="269"/>
      <c r="AB129" s="269"/>
      <c r="AC129" s="269"/>
      <c r="AD129" s="269"/>
      <c r="AE129" s="269"/>
      <c r="AF129" s="270"/>
      <c r="AG129" s="412"/>
      <c r="AH129" s="19"/>
      <c r="AI129" s="215"/>
      <c r="AJ129" s="176"/>
      <c r="AK129" s="176"/>
      <c r="AL129" s="176"/>
      <c r="AM129" s="295"/>
      <c r="AN129" s="295"/>
      <c r="AO129" s="295"/>
      <c r="AP129" s="295"/>
      <c r="AQ129" s="295"/>
      <c r="AR129" s="295"/>
      <c r="AS129" s="295"/>
      <c r="AT129" s="295"/>
      <c r="AU129" s="19"/>
      <c r="AV129" s="19"/>
      <c r="AW129" s="295"/>
      <c r="AX129" s="295"/>
      <c r="AY129" s="240"/>
      <c r="AZ129" s="241"/>
      <c r="BA129" s="173"/>
      <c r="BB129" s="730"/>
      <c r="BC129" s="730"/>
      <c r="BD129" s="730"/>
      <c r="BE129" s="730"/>
      <c r="BF129" s="730"/>
      <c r="BG129" s="730"/>
      <c r="BH129" s="730"/>
      <c r="BI129" s="730"/>
      <c r="BJ129" s="730"/>
      <c r="BK129" s="730"/>
      <c r="BL129" s="730"/>
      <c r="BM129" s="730"/>
      <c r="BN129" s="730"/>
      <c r="BO129" s="730"/>
      <c r="BP129" s="730"/>
      <c r="BQ129" s="730"/>
      <c r="BR129" s="730"/>
      <c r="BS129" s="730"/>
      <c r="BT129" s="730"/>
      <c r="BU129" s="730"/>
      <c r="BV129" s="730"/>
      <c r="BW129" s="730"/>
      <c r="BX129" s="730"/>
      <c r="BY129" s="730"/>
      <c r="BZ129" s="730"/>
      <c r="CA129" s="730"/>
      <c r="CB129" s="730"/>
      <c r="CC129" s="730"/>
      <c r="CD129" s="730"/>
      <c r="CE129" s="730"/>
      <c r="CF129" s="730"/>
      <c r="CG129" s="730"/>
      <c r="CH129" s="730"/>
      <c r="CI129" s="730"/>
      <c r="CJ129" s="730"/>
      <c r="CK129" s="730"/>
      <c r="CL129" s="730"/>
      <c r="CM129" s="730"/>
      <c r="CN129" s="730"/>
      <c r="CO129" s="730"/>
      <c r="CP129" s="730"/>
      <c r="CQ129" s="730"/>
      <c r="CR129" s="730"/>
      <c r="CS129" s="730"/>
      <c r="CT129" s="730"/>
      <c r="CU129" s="730"/>
      <c r="CV129" s="730"/>
      <c r="CW129" s="730"/>
      <c r="CX129" s="730"/>
      <c r="CY129" s="730"/>
      <c r="CZ129" s="730"/>
      <c r="DA129" s="730"/>
      <c r="DB129" s="730"/>
      <c r="DC129" s="730"/>
      <c r="DD129" s="730"/>
      <c r="DE129" s="730"/>
      <c r="DF129" s="730"/>
      <c r="DG129" s="730"/>
      <c r="DH129" s="730"/>
      <c r="DI129" s="730"/>
      <c r="DJ129" s="730"/>
      <c r="DK129" s="730"/>
      <c r="DL129" s="730"/>
      <c r="DM129" s="730"/>
      <c r="DN129" s="730"/>
      <c r="DO129" s="730"/>
      <c r="DP129" s="730"/>
      <c r="DQ129" s="730"/>
      <c r="DR129" s="730"/>
      <c r="DS129" s="730"/>
      <c r="DT129" s="730" t="str">
        <f t="shared" si="242"/>
        <v>-</v>
      </c>
      <c r="DU129" s="730"/>
      <c r="DV129" s="730"/>
      <c r="DW129" s="8"/>
    </row>
    <row r="130" spans="1:127" ht="16.05" customHeight="1">
      <c r="A130" s="725"/>
      <c r="B130" s="725"/>
      <c r="C130" s="725"/>
      <c r="D130" s="733"/>
      <c r="E130" s="730"/>
      <c r="F130" s="730"/>
      <c r="G130" s="730"/>
      <c r="H130" s="730"/>
      <c r="I130" s="730"/>
      <c r="J130" s="730"/>
      <c r="K130" s="730"/>
      <c r="L130" s="730"/>
      <c r="M130" s="730"/>
      <c r="N130" s="730"/>
      <c r="O130" s="730"/>
      <c r="P130" s="730"/>
      <c r="Q130" s="730"/>
      <c r="R130" s="730"/>
      <c r="S130" s="730"/>
      <c r="T130" s="730"/>
      <c r="U130" s="730"/>
      <c r="V130" s="170"/>
      <c r="W130" s="177"/>
      <c r="X130" s="178" t="str">
        <f>X3</f>
        <v>Fecha</v>
      </c>
      <c r="Y130" s="178" t="str">
        <f>Y3</f>
        <v>Hora</v>
      </c>
      <c r="Z130" s="263"/>
      <c r="AA130" s="264" t="str">
        <f>AA3</f>
        <v>Casa</v>
      </c>
      <c r="AB130" s="263" t="s">
        <v>13</v>
      </c>
      <c r="AC130" s="178" t="str">
        <f>AC3</f>
        <v>Gol</v>
      </c>
      <c r="AD130" s="178" t="str">
        <f>AD3</f>
        <v>Gol</v>
      </c>
      <c r="AE130" s="263" t="s">
        <v>13</v>
      </c>
      <c r="AF130" s="265" t="str">
        <f>AF3</f>
        <v>Fuera</v>
      </c>
      <c r="AG130" s="412"/>
      <c r="AH130" s="19"/>
      <c r="AI130" s="215"/>
      <c r="AJ130" s="176"/>
      <c r="AK130" s="176"/>
      <c r="AL130" s="176"/>
      <c r="AM130" s="295"/>
      <c r="AN130" s="295"/>
      <c r="AO130" s="295"/>
      <c r="AP130" s="295"/>
      <c r="AQ130" s="295"/>
      <c r="AR130" s="295"/>
      <c r="AS130" s="295"/>
      <c r="AT130" s="295"/>
      <c r="AU130" s="19"/>
      <c r="AV130" s="19"/>
      <c r="AW130" s="295"/>
      <c r="AX130" s="295"/>
      <c r="AY130" s="240"/>
      <c r="AZ130" s="241"/>
      <c r="BA130" s="173"/>
      <c r="BB130" s="730"/>
      <c r="BC130" s="730"/>
      <c r="BD130" s="730"/>
      <c r="BE130" s="730"/>
      <c r="BF130" s="730"/>
      <c r="BG130" s="730"/>
      <c r="BH130" s="730"/>
      <c r="BI130" s="730"/>
      <c r="BJ130" s="730"/>
      <c r="BK130" s="730"/>
      <c r="BL130" s="730"/>
      <c r="BM130" s="730"/>
      <c r="BN130" s="730"/>
      <c r="BO130" s="730"/>
      <c r="BP130" s="730"/>
      <c r="BQ130" s="730"/>
      <c r="BR130" s="730"/>
      <c r="BS130" s="730"/>
      <c r="BT130" s="730"/>
      <c r="BU130" s="730"/>
      <c r="BV130" s="730"/>
      <c r="BW130" s="730"/>
      <c r="BX130" s="730"/>
      <c r="BY130" s="730"/>
      <c r="BZ130" s="730"/>
      <c r="CA130" s="730"/>
      <c r="CB130" s="730"/>
      <c r="CC130" s="730"/>
      <c r="CD130" s="730"/>
      <c r="CE130" s="730"/>
      <c r="CF130" s="730"/>
      <c r="CG130" s="730"/>
      <c r="CH130" s="730"/>
      <c r="CI130" s="730"/>
      <c r="CJ130" s="730"/>
      <c r="CK130" s="730"/>
      <c r="CL130" s="730"/>
      <c r="CM130" s="730"/>
      <c r="CN130" s="730"/>
      <c r="CO130" s="730"/>
      <c r="CP130" s="730"/>
      <c r="CQ130" s="730"/>
      <c r="CR130" s="730"/>
      <c r="CS130" s="730"/>
      <c r="CT130" s="730"/>
      <c r="CU130" s="730"/>
      <c r="CV130" s="730"/>
      <c r="CW130" s="730"/>
      <c r="CX130" s="730"/>
      <c r="CY130" s="730"/>
      <c r="CZ130" s="730"/>
      <c r="DA130" s="730"/>
      <c r="DB130" s="730"/>
      <c r="DC130" s="730"/>
      <c r="DD130" s="730"/>
      <c r="DE130" s="730"/>
      <c r="DF130" s="730"/>
      <c r="DG130" s="730"/>
      <c r="DH130" s="730"/>
      <c r="DI130" s="730"/>
      <c r="DJ130" s="730"/>
      <c r="DK130" s="730"/>
      <c r="DL130" s="730"/>
      <c r="DM130" s="730"/>
      <c r="DN130" s="730"/>
      <c r="DO130" s="730"/>
      <c r="DP130" s="730"/>
      <c r="DQ130" s="730"/>
      <c r="DR130" s="730"/>
      <c r="DS130" s="730"/>
      <c r="DT130" s="730" t="str">
        <f t="shared" si="242"/>
        <v>Casa-Fuera</v>
      </c>
      <c r="DU130" s="730"/>
      <c r="DV130" s="730"/>
      <c r="DW130" s="8"/>
    </row>
    <row r="131" spans="1:127" ht="16.05" customHeight="1">
      <c r="A131" s="724" t="s">
        <v>746</v>
      </c>
      <c r="B131" s="724" t="s">
        <v>747</v>
      </c>
      <c r="C131" s="725"/>
      <c r="D131" s="733" t="str">
        <f>IF(AND(OR(AC131="",AD131="")),"W"&amp;AH131,IF(AC131&gt;AD131,AA131,IF(AC131&lt;AD131,AF131,IF(AND(AC131=AD131,AB131=AE131),"W"&amp;AH131,IF(AND(AC131=AD131,OR(AB131="",AE131="")),"W"&amp;AH131,IF(AND(AC131=AD131,AB131&gt;AE131),AA131,AF131))))))</f>
        <v>W97</v>
      </c>
      <c r="E131" s="730">
        <v>89</v>
      </c>
      <c r="F131" s="730">
        <v>90</v>
      </c>
      <c r="G131" s="730"/>
      <c r="H131" s="730"/>
      <c r="I131" s="730"/>
      <c r="J131" s="724">
        <v>97</v>
      </c>
      <c r="K131" s="724">
        <v>46212.75</v>
      </c>
      <c r="L131" s="724" t="s">
        <v>709</v>
      </c>
      <c r="M131" s="730" t="str">
        <f t="shared" ref="M131:N134" si="335">+INDEX($D$101:$D$147,MATCH(E131,$AH$101:$AH$147,0))</f>
        <v>W89</v>
      </c>
      <c r="N131" s="730" t="str">
        <f t="shared" si="335"/>
        <v>W90</v>
      </c>
      <c r="O131" s="730"/>
      <c r="P131" s="730"/>
      <c r="Q131" s="730"/>
      <c r="R131" s="730"/>
      <c r="S131" s="730"/>
      <c r="T131" s="730"/>
      <c r="U131" s="730"/>
      <c r="V131" s="170"/>
      <c r="W131" s="888" t="s">
        <v>34</v>
      </c>
      <c r="X131" s="187">
        <f ca="1">Horarios!C131</f>
        <v>46212.666666666664</v>
      </c>
      <c r="Y131" s="188">
        <f ca="1">Horarios!C131</f>
        <v>46212.666666666664</v>
      </c>
      <c r="Z131" s="309">
        <f t="shared" ref="Z131:Z134" si="336">AH131</f>
        <v>97</v>
      </c>
      <c r="AA131" s="275" t="str">
        <f t="shared" ref="AA131:AA134" si="337">+INDEX($M$101:$M$147,MATCH(AH131,$J$101:$J$147,0))</f>
        <v>W89</v>
      </c>
      <c r="AB131" s="306"/>
      <c r="AC131" s="303"/>
      <c r="AD131" s="303"/>
      <c r="AE131" s="277"/>
      <c r="AF131" s="310" t="str">
        <f>+INDEX($N$101:$N$147,MATCH(AH131,$J$101:$J$147,0))</f>
        <v>W90</v>
      </c>
      <c r="AG131" s="415">
        <f>IF(D131="W"&amp;AH131,0,1)</f>
        <v>0</v>
      </c>
      <c r="AH131" s="311">
        <v>97</v>
      </c>
      <c r="AI131" s="215"/>
      <c r="AJ131" s="176"/>
      <c r="AK131" s="176"/>
      <c r="AL131" s="176"/>
      <c r="AM131" s="295"/>
      <c r="AN131" s="295"/>
      <c r="AO131" s="295"/>
      <c r="AP131" s="295"/>
      <c r="AQ131" s="295"/>
      <c r="AR131" s="295"/>
      <c r="AS131" s="295"/>
      <c r="AT131" s="295"/>
      <c r="AU131" s="19"/>
      <c r="AV131" s="19"/>
      <c r="AW131" s="295"/>
      <c r="AX131" s="295"/>
      <c r="AY131" s="240"/>
      <c r="AZ131" s="241"/>
      <c r="BA131" s="17"/>
      <c r="BB131" s="730"/>
      <c r="BC131" s="733"/>
      <c r="BD131" s="730"/>
      <c r="BE131" s="730"/>
      <c r="BF131" s="730"/>
      <c r="BG131" s="730"/>
      <c r="BH131" s="730"/>
      <c r="BI131" s="730"/>
      <c r="BJ131" s="730"/>
      <c r="BK131" s="730"/>
      <c r="BL131" s="730"/>
      <c r="BM131" s="730"/>
      <c r="BN131" s="730"/>
      <c r="BO131" s="730"/>
      <c r="BP131" s="730"/>
      <c r="BQ131" s="730"/>
      <c r="BR131" s="730"/>
      <c r="BS131" s="730"/>
      <c r="BT131" s="730"/>
      <c r="BU131" s="730"/>
      <c r="BV131" s="730"/>
      <c r="BW131" s="730"/>
      <c r="BX131" s="730"/>
      <c r="BY131" s="730"/>
      <c r="BZ131" s="730"/>
      <c r="CA131" s="730"/>
      <c r="CB131" s="730"/>
      <c r="CC131" s="730"/>
      <c r="CD131" s="730"/>
      <c r="CE131" s="730"/>
      <c r="CF131" s="730"/>
      <c r="CG131" s="730"/>
      <c r="CH131" s="730"/>
      <c r="CI131" s="730"/>
      <c r="CJ131" s="730"/>
      <c r="CK131" s="730"/>
      <c r="CL131" s="730"/>
      <c r="CM131" s="730"/>
      <c r="CN131" s="730"/>
      <c r="CO131" s="730"/>
      <c r="CP131" s="730"/>
      <c r="CQ131" s="730"/>
      <c r="CR131" s="730"/>
      <c r="CS131" s="730"/>
      <c r="CT131" s="730"/>
      <c r="CU131" s="730"/>
      <c r="CV131" s="730"/>
      <c r="CW131" s="730"/>
      <c r="CX131" s="730"/>
      <c r="CY131" s="730"/>
      <c r="CZ131" s="730"/>
      <c r="DA131" s="730"/>
      <c r="DB131" s="730"/>
      <c r="DC131" s="730"/>
      <c r="DD131" s="730"/>
      <c r="DE131" s="730"/>
      <c r="DF131" s="730"/>
      <c r="DG131" s="730"/>
      <c r="DH131" s="730"/>
      <c r="DI131" s="730"/>
      <c r="DJ131" s="730"/>
      <c r="DK131" s="730"/>
      <c r="DL131" s="730"/>
      <c r="DM131" s="730"/>
      <c r="DN131" s="730"/>
      <c r="DO131" s="730"/>
      <c r="DP131" s="730"/>
      <c r="DQ131" s="730"/>
      <c r="DR131" s="730"/>
      <c r="DS131" s="730"/>
      <c r="DT131" s="730" t="str">
        <f t="shared" si="242"/>
        <v>W89-W90</v>
      </c>
      <c r="DU131" s="730"/>
      <c r="DV131" s="730"/>
      <c r="DW131" s="8"/>
    </row>
    <row r="132" spans="1:127" ht="16.05" customHeight="1">
      <c r="A132" s="724" t="s">
        <v>748</v>
      </c>
      <c r="B132" s="724" t="s">
        <v>749</v>
      </c>
      <c r="C132" s="725"/>
      <c r="D132" s="733" t="str">
        <f>IF(AND(OR(AC132="",AD132="")),"W"&amp;AH132,IF(AC132&gt;AD132,AA132,IF(AC132&lt;AD132,AF132,IF(AND(AC132=AD132,AB132=AE132),"W"&amp;AH132,IF(AND(AC132=AD132,OR(AB132="",AE132="")),"W"&amp;AH132,IF(AND(AC132=AD132,AB132&gt;AE132),AA132,AF132))))))</f>
        <v>W98</v>
      </c>
      <c r="E132" s="730">
        <v>93</v>
      </c>
      <c r="F132" s="730">
        <v>94</v>
      </c>
      <c r="G132" s="730"/>
      <c r="H132" s="730"/>
      <c r="I132" s="730"/>
      <c r="J132" s="724">
        <v>98</v>
      </c>
      <c r="K132" s="724">
        <v>46213.875</v>
      </c>
      <c r="L132" s="724" t="s">
        <v>710</v>
      </c>
      <c r="M132" s="730" t="str">
        <f t="shared" si="335"/>
        <v>W93</v>
      </c>
      <c r="N132" s="730" t="str">
        <f t="shared" si="335"/>
        <v>W94</v>
      </c>
      <c r="O132" s="730"/>
      <c r="P132" s="730"/>
      <c r="Q132" s="730"/>
      <c r="R132" s="730"/>
      <c r="S132" s="730"/>
      <c r="T132" s="730"/>
      <c r="U132" s="730"/>
      <c r="V132" s="170"/>
      <c r="W132" s="888"/>
      <c r="X132" s="187">
        <f ca="1">Horarios!C132</f>
        <v>46213.625</v>
      </c>
      <c r="Y132" s="188">
        <f ca="1">Horarios!C132</f>
        <v>46213.625</v>
      </c>
      <c r="Z132" s="309">
        <f t="shared" si="336"/>
        <v>98</v>
      </c>
      <c r="AA132" s="275" t="str">
        <f t="shared" si="337"/>
        <v>W93</v>
      </c>
      <c r="AB132" s="276"/>
      <c r="AC132" s="307"/>
      <c r="AD132" s="307"/>
      <c r="AE132" s="276"/>
      <c r="AF132" s="310" t="str">
        <f>+INDEX($N$101:$N$147,MATCH(AH132,$J$101:$J$147,0))</f>
        <v>W94</v>
      </c>
      <c r="AG132" s="415">
        <f>IF(D132="W"&amp;AH132,0,1)</f>
        <v>0</v>
      </c>
      <c r="AH132" s="311">
        <v>98</v>
      </c>
      <c r="AI132" s="215"/>
      <c r="AJ132" s="176"/>
      <c r="AK132" s="176"/>
      <c r="AL132" s="176"/>
      <c r="AM132" s="295"/>
      <c r="AN132" s="295"/>
      <c r="AO132" s="295"/>
      <c r="AP132" s="295"/>
      <c r="AQ132" s="295"/>
      <c r="AR132" s="295"/>
      <c r="AS132" s="295"/>
      <c r="AT132" s="295"/>
      <c r="AU132" s="19"/>
      <c r="AV132" s="19"/>
      <c r="AW132" s="295"/>
      <c r="AX132" s="295"/>
      <c r="AY132" s="240"/>
      <c r="AZ132" s="241"/>
      <c r="BA132" s="17"/>
      <c r="BB132" s="730"/>
      <c r="BC132" s="733"/>
      <c r="BD132" s="730"/>
      <c r="BE132" s="730"/>
      <c r="BF132" s="730"/>
      <c r="BG132" s="730"/>
      <c r="BH132" s="730"/>
      <c r="BI132" s="730"/>
      <c r="BJ132" s="730"/>
      <c r="BK132" s="730"/>
      <c r="BL132" s="730"/>
      <c r="BM132" s="730"/>
      <c r="BN132" s="730"/>
      <c r="BO132" s="730"/>
      <c r="BP132" s="730"/>
      <c r="BQ132" s="730"/>
      <c r="BR132" s="730"/>
      <c r="BS132" s="730"/>
      <c r="BT132" s="730"/>
      <c r="BU132" s="730"/>
      <c r="BV132" s="730"/>
      <c r="BW132" s="730"/>
      <c r="BX132" s="730"/>
      <c r="BY132" s="730"/>
      <c r="BZ132" s="730"/>
      <c r="CA132" s="730"/>
      <c r="CB132" s="730"/>
      <c r="CC132" s="730"/>
      <c r="CD132" s="730"/>
      <c r="CE132" s="730"/>
      <c r="CF132" s="730"/>
      <c r="CG132" s="730"/>
      <c r="CH132" s="730"/>
      <c r="CI132" s="730"/>
      <c r="CJ132" s="730"/>
      <c r="CK132" s="730"/>
      <c r="CL132" s="730"/>
      <c r="CM132" s="730"/>
      <c r="CN132" s="730"/>
      <c r="CO132" s="730"/>
      <c r="CP132" s="730"/>
      <c r="CQ132" s="730"/>
      <c r="CR132" s="730"/>
      <c r="CS132" s="730"/>
      <c r="CT132" s="730"/>
      <c r="CU132" s="730"/>
      <c r="CV132" s="730"/>
      <c r="CW132" s="730"/>
      <c r="CX132" s="730"/>
      <c r="CY132" s="730"/>
      <c r="CZ132" s="730"/>
      <c r="DA132" s="730"/>
      <c r="DB132" s="730"/>
      <c r="DC132" s="730"/>
      <c r="DD132" s="730"/>
      <c r="DE132" s="730"/>
      <c r="DF132" s="730"/>
      <c r="DG132" s="730"/>
      <c r="DH132" s="730"/>
      <c r="DI132" s="730"/>
      <c r="DJ132" s="730"/>
      <c r="DK132" s="730"/>
      <c r="DL132" s="730"/>
      <c r="DM132" s="730"/>
      <c r="DN132" s="730"/>
      <c r="DO132" s="730"/>
      <c r="DP132" s="730"/>
      <c r="DQ132" s="730"/>
      <c r="DR132" s="730"/>
      <c r="DS132" s="730"/>
      <c r="DT132" s="730" t="str">
        <f t="shared" si="242"/>
        <v>W93-W94</v>
      </c>
      <c r="DU132" s="730"/>
      <c r="DV132" s="730"/>
      <c r="DW132" s="8"/>
    </row>
    <row r="133" spans="1:127" ht="16.05" customHeight="1">
      <c r="A133" s="724" t="s">
        <v>750</v>
      </c>
      <c r="B133" s="724" t="s">
        <v>751</v>
      </c>
      <c r="C133" s="725"/>
      <c r="D133" s="733" t="str">
        <f>IF(AND(OR(AC133="",AD133="")),"W"&amp;AH133,IF(AC133&gt;AD133,AA133,IF(AC133&lt;AD133,AF133,IF(AND(AC133=AD133,AB133=AE133),"W"&amp;AH133,IF(AND(AC133=AD133,OR(AB133="",AE133="")),"W"&amp;AH133,IF(AND(AC133=AD133,AB133&gt;AE133),AA133,AF133))))))</f>
        <v>W99</v>
      </c>
      <c r="E133" s="730">
        <v>91</v>
      </c>
      <c r="F133" s="730">
        <v>92</v>
      </c>
      <c r="G133" s="730"/>
      <c r="H133" s="730"/>
      <c r="I133" s="730"/>
      <c r="J133" s="724">
        <v>99</v>
      </c>
      <c r="K133" s="724">
        <v>46214.75</v>
      </c>
      <c r="L133" s="724" t="s">
        <v>711</v>
      </c>
      <c r="M133" s="730" t="str">
        <f t="shared" si="335"/>
        <v>W91</v>
      </c>
      <c r="N133" s="730" t="str">
        <f t="shared" si="335"/>
        <v>W92</v>
      </c>
      <c r="O133" s="730"/>
      <c r="P133" s="730"/>
      <c r="Q133" s="730"/>
      <c r="R133" s="730"/>
      <c r="S133" s="730"/>
      <c r="T133" s="730"/>
      <c r="U133" s="730"/>
      <c r="V133" s="170"/>
      <c r="W133" s="888"/>
      <c r="X133" s="187">
        <f ca="1">Horarios!C133</f>
        <v>46214.708333333336</v>
      </c>
      <c r="Y133" s="188">
        <f ca="1">Horarios!C133</f>
        <v>46214.708333333336</v>
      </c>
      <c r="Z133" s="309">
        <f t="shared" si="336"/>
        <v>99</v>
      </c>
      <c r="AA133" s="275" t="str">
        <f t="shared" si="337"/>
        <v>W91</v>
      </c>
      <c r="AB133" s="276"/>
      <c r="AC133" s="307"/>
      <c r="AD133" s="307"/>
      <c r="AE133" s="276"/>
      <c r="AF133" s="310" t="str">
        <f>+INDEX($N$101:$N$147,MATCH(AH133,$J$101:$J$147,0))</f>
        <v>W92</v>
      </c>
      <c r="AG133" s="415">
        <f>IF(D133="W"&amp;AH133,0,1)</f>
        <v>0</v>
      </c>
      <c r="AH133" s="311">
        <v>99</v>
      </c>
      <c r="AI133" s="215"/>
      <c r="AJ133" s="176"/>
      <c r="AK133" s="176"/>
      <c r="AL133" s="176"/>
      <c r="AM133" s="295"/>
      <c r="AN133" s="295"/>
      <c r="AO133" s="295"/>
      <c r="AP133" s="295"/>
      <c r="AQ133" s="295"/>
      <c r="AR133" s="295"/>
      <c r="AS133" s="295"/>
      <c r="AT133" s="295"/>
      <c r="AU133" s="19"/>
      <c r="AV133" s="19"/>
      <c r="AW133" s="295"/>
      <c r="AX133" s="295"/>
      <c r="AY133" s="240"/>
      <c r="AZ133" s="241"/>
      <c r="BA133" s="17"/>
      <c r="BB133" s="730"/>
      <c r="BC133" s="733"/>
      <c r="BD133" s="730"/>
      <c r="BE133" s="730"/>
      <c r="BF133" s="730"/>
      <c r="BG133" s="730"/>
      <c r="BH133" s="730"/>
      <c r="BI133" s="730"/>
      <c r="BJ133" s="730"/>
      <c r="BK133" s="730"/>
      <c r="BL133" s="730"/>
      <c r="BM133" s="730"/>
      <c r="BN133" s="730"/>
      <c r="BO133" s="730"/>
      <c r="BP133" s="730"/>
      <c r="BQ133" s="730"/>
      <c r="BR133" s="730"/>
      <c r="BS133" s="730"/>
      <c r="BT133" s="730"/>
      <c r="BU133" s="730"/>
      <c r="BV133" s="730"/>
      <c r="BW133" s="730"/>
      <c r="BX133" s="730"/>
      <c r="BY133" s="730"/>
      <c r="BZ133" s="730"/>
      <c r="CA133" s="730"/>
      <c r="CB133" s="730"/>
      <c r="CC133" s="730"/>
      <c r="CD133" s="730"/>
      <c r="CE133" s="730"/>
      <c r="CF133" s="730"/>
      <c r="CG133" s="730"/>
      <c r="CH133" s="730"/>
      <c r="CI133" s="730"/>
      <c r="CJ133" s="730"/>
      <c r="CK133" s="730"/>
      <c r="CL133" s="730"/>
      <c r="CM133" s="730"/>
      <c r="CN133" s="730"/>
      <c r="CO133" s="730"/>
      <c r="CP133" s="730"/>
      <c r="CQ133" s="730"/>
      <c r="CR133" s="730"/>
      <c r="CS133" s="730"/>
      <c r="CT133" s="730"/>
      <c r="CU133" s="730"/>
      <c r="CV133" s="730"/>
      <c r="CW133" s="730"/>
      <c r="CX133" s="730"/>
      <c r="CY133" s="730"/>
      <c r="CZ133" s="730"/>
      <c r="DA133" s="730"/>
      <c r="DB133" s="730"/>
      <c r="DC133" s="730"/>
      <c r="DD133" s="730"/>
      <c r="DE133" s="730"/>
      <c r="DF133" s="730"/>
      <c r="DG133" s="730"/>
      <c r="DH133" s="730"/>
      <c r="DI133" s="730"/>
      <c r="DJ133" s="730"/>
      <c r="DK133" s="730"/>
      <c r="DL133" s="730"/>
      <c r="DM133" s="730"/>
      <c r="DN133" s="730"/>
      <c r="DO133" s="730"/>
      <c r="DP133" s="730"/>
      <c r="DQ133" s="730"/>
      <c r="DR133" s="730"/>
      <c r="DS133" s="730"/>
      <c r="DT133" s="730" t="str">
        <f t="shared" ref="DT133:DT147" si="338">AA133&amp;"-"&amp;AF133</f>
        <v>W91-W92</v>
      </c>
      <c r="DU133" s="730"/>
      <c r="DV133" s="730"/>
      <c r="DW133" s="8"/>
    </row>
    <row r="134" spans="1:127" ht="16.05" customHeight="1" thickBot="1">
      <c r="A134" s="724" t="s">
        <v>752</v>
      </c>
      <c r="B134" s="724" t="s">
        <v>753</v>
      </c>
      <c r="C134" s="725"/>
      <c r="D134" s="733" t="str">
        <f>IF(AND(OR(AC134="",AD134="")),"W"&amp;AH134,IF(AC134&gt;AD134,AA134,IF(AC134&lt;AD134,AF134,IF(AND(AC134=AD134,AB134=AE134),"W"&amp;AH134,IF(AND(AC134=AD134,OR(AB134="",AE134="")),"W"&amp;AH134,IF(AND(AC134=AD134,AB134&gt;AE134),AA134,AF134))))))</f>
        <v>W100</v>
      </c>
      <c r="E134" s="730">
        <v>95</v>
      </c>
      <c r="F134" s="730">
        <v>96</v>
      </c>
      <c r="G134" s="730"/>
      <c r="H134" s="730"/>
      <c r="I134" s="730"/>
      <c r="J134" s="724">
        <v>100</v>
      </c>
      <c r="K134" s="724">
        <v>46214.875</v>
      </c>
      <c r="L134" s="724" t="s">
        <v>712</v>
      </c>
      <c r="M134" s="730" t="str">
        <f t="shared" si="335"/>
        <v>W95</v>
      </c>
      <c r="N134" s="730" t="str">
        <f t="shared" si="335"/>
        <v>W96</v>
      </c>
      <c r="O134" s="730"/>
      <c r="P134" s="730"/>
      <c r="Q134" s="730"/>
      <c r="R134" s="730"/>
      <c r="S134" s="730"/>
      <c r="T134" s="730"/>
      <c r="U134" s="730"/>
      <c r="V134" s="170"/>
      <c r="W134" s="889"/>
      <c r="X134" s="226">
        <f ca="1">Horarios!C134</f>
        <v>46214.875</v>
      </c>
      <c r="Y134" s="227">
        <f ca="1">Horarios!C134</f>
        <v>46214.875</v>
      </c>
      <c r="Z134" s="312">
        <f t="shared" si="336"/>
        <v>100</v>
      </c>
      <c r="AA134" s="298" t="str">
        <f t="shared" si="337"/>
        <v>W95</v>
      </c>
      <c r="AB134" s="299"/>
      <c r="AC134" s="308"/>
      <c r="AD134" s="308"/>
      <c r="AE134" s="299"/>
      <c r="AF134" s="313" t="str">
        <f>+INDEX($N$101:$N$147,MATCH(AH134,$J$101:$J$147,0))</f>
        <v>W96</v>
      </c>
      <c r="AG134" s="415">
        <f>IF(D134="W"&amp;AH134,0,1)</f>
        <v>0</v>
      </c>
      <c r="AH134" s="311">
        <v>100</v>
      </c>
      <c r="AI134" s="215"/>
      <c r="AJ134" s="176"/>
      <c r="AK134" s="176"/>
      <c r="AL134" s="176"/>
      <c r="AM134" s="295"/>
      <c r="AN134" s="295"/>
      <c r="AO134" s="295"/>
      <c r="AP134" s="295"/>
      <c r="AQ134" s="295"/>
      <c r="AR134" s="295"/>
      <c r="AS134" s="295"/>
      <c r="AT134" s="295"/>
      <c r="AU134" s="19"/>
      <c r="AV134" s="19"/>
      <c r="AW134" s="295"/>
      <c r="AX134" s="295"/>
      <c r="AY134" s="240"/>
      <c r="AZ134" s="241"/>
      <c r="BA134" s="17"/>
      <c r="BB134" s="730"/>
      <c r="BC134" s="733"/>
      <c r="BD134" s="730"/>
      <c r="BE134" s="730"/>
      <c r="BF134" s="730"/>
      <c r="BG134" s="730"/>
      <c r="BH134" s="730"/>
      <c r="BI134" s="730"/>
      <c r="BJ134" s="730"/>
      <c r="BK134" s="730"/>
      <c r="BL134" s="730"/>
      <c r="BM134" s="730"/>
      <c r="BN134" s="730"/>
      <c r="BO134" s="730"/>
      <c r="BP134" s="730"/>
      <c r="BQ134" s="730"/>
      <c r="BR134" s="730"/>
      <c r="BS134" s="730"/>
      <c r="BT134" s="730"/>
      <c r="BU134" s="730"/>
      <c r="BV134" s="730"/>
      <c r="BW134" s="730"/>
      <c r="BX134" s="730"/>
      <c r="BY134" s="730"/>
      <c r="BZ134" s="730"/>
      <c r="CA134" s="730"/>
      <c r="CB134" s="730"/>
      <c r="CC134" s="730"/>
      <c r="CD134" s="730"/>
      <c r="CE134" s="730"/>
      <c r="CF134" s="730"/>
      <c r="CG134" s="730"/>
      <c r="CH134" s="730"/>
      <c r="CI134" s="730"/>
      <c r="CJ134" s="730"/>
      <c r="CK134" s="730"/>
      <c r="CL134" s="730"/>
      <c r="CM134" s="730"/>
      <c r="CN134" s="730"/>
      <c r="CO134" s="730"/>
      <c r="CP134" s="730"/>
      <c r="CQ134" s="730"/>
      <c r="CR134" s="730"/>
      <c r="CS134" s="730"/>
      <c r="CT134" s="730"/>
      <c r="CU134" s="730"/>
      <c r="CV134" s="730"/>
      <c r="CW134" s="730"/>
      <c r="CX134" s="730"/>
      <c r="CY134" s="730"/>
      <c r="CZ134" s="730"/>
      <c r="DA134" s="730"/>
      <c r="DB134" s="730"/>
      <c r="DC134" s="730"/>
      <c r="DD134" s="730"/>
      <c r="DE134" s="730"/>
      <c r="DF134" s="730"/>
      <c r="DG134" s="730"/>
      <c r="DH134" s="730"/>
      <c r="DI134" s="730"/>
      <c r="DJ134" s="730"/>
      <c r="DK134" s="730"/>
      <c r="DL134" s="730"/>
      <c r="DM134" s="730"/>
      <c r="DN134" s="730"/>
      <c r="DO134" s="730"/>
      <c r="DP134" s="730"/>
      <c r="DQ134" s="730"/>
      <c r="DR134" s="730"/>
      <c r="DS134" s="730"/>
      <c r="DT134" s="730" t="str">
        <f t="shared" si="338"/>
        <v>W95-W96</v>
      </c>
      <c r="DU134" s="730"/>
      <c r="DV134" s="730"/>
      <c r="DW134" s="8"/>
    </row>
    <row r="135" spans="1:127" ht="16.05" customHeight="1" thickBot="1">
      <c r="A135" s="725"/>
      <c r="B135" s="725"/>
      <c r="C135" s="725"/>
      <c r="D135" s="733"/>
      <c r="E135" s="730"/>
      <c r="F135" s="730"/>
      <c r="G135" s="730"/>
      <c r="H135" s="730"/>
      <c r="I135" s="730"/>
      <c r="J135" s="730"/>
      <c r="K135" s="730"/>
      <c r="L135" s="730"/>
      <c r="M135" s="730"/>
      <c r="N135" s="730"/>
      <c r="O135" s="730"/>
      <c r="P135" s="730"/>
      <c r="Q135" s="730"/>
      <c r="R135" s="730"/>
      <c r="S135" s="730"/>
      <c r="T135" s="730"/>
      <c r="U135" s="730"/>
      <c r="V135" s="170"/>
      <c r="W135" s="240"/>
      <c r="X135" s="241"/>
      <c r="Y135" s="240"/>
      <c r="Z135" s="242"/>
      <c r="AA135" s="243"/>
      <c r="AB135" s="244"/>
      <c r="AC135" s="245"/>
      <c r="AD135" s="245"/>
      <c r="AE135" s="244"/>
      <c r="AF135" s="246"/>
      <c r="AG135" s="416"/>
      <c r="AH135" s="314"/>
      <c r="AI135" s="215"/>
      <c r="AJ135" s="176"/>
      <c r="AK135" s="176"/>
      <c r="AL135" s="176"/>
      <c r="AM135" s="295"/>
      <c r="AN135" s="295"/>
      <c r="AO135" s="295"/>
      <c r="AP135" s="295"/>
      <c r="AQ135" s="295"/>
      <c r="AR135" s="295"/>
      <c r="AS135" s="295"/>
      <c r="AT135" s="295"/>
      <c r="AU135" s="19"/>
      <c r="AV135" s="19"/>
      <c r="AW135" s="295"/>
      <c r="AX135" s="295"/>
      <c r="AY135" s="240"/>
      <c r="AZ135" s="241"/>
      <c r="BA135" s="17"/>
      <c r="BB135" s="730"/>
      <c r="BC135" s="733"/>
      <c r="BD135" s="730"/>
      <c r="BE135" s="730"/>
      <c r="BF135" s="730"/>
      <c r="BG135" s="730"/>
      <c r="BH135" s="730"/>
      <c r="BI135" s="730"/>
      <c r="BJ135" s="730"/>
      <c r="BK135" s="730"/>
      <c r="BL135" s="730"/>
      <c r="BM135" s="730"/>
      <c r="BN135" s="730"/>
      <c r="BO135" s="730"/>
      <c r="BP135" s="730"/>
      <c r="BQ135" s="730"/>
      <c r="BR135" s="730"/>
      <c r="BS135" s="730"/>
      <c r="BT135" s="730"/>
      <c r="BU135" s="730"/>
      <c r="BV135" s="730"/>
      <c r="BW135" s="730"/>
      <c r="BX135" s="730"/>
      <c r="BY135" s="730"/>
      <c r="BZ135" s="730"/>
      <c r="CA135" s="730"/>
      <c r="CB135" s="730"/>
      <c r="CC135" s="730"/>
      <c r="CD135" s="730"/>
      <c r="CE135" s="730"/>
      <c r="CF135" s="730"/>
      <c r="CG135" s="730"/>
      <c r="CH135" s="730"/>
      <c r="CI135" s="730"/>
      <c r="CJ135" s="730"/>
      <c r="CK135" s="730"/>
      <c r="CL135" s="730"/>
      <c r="CM135" s="730"/>
      <c r="CN135" s="730"/>
      <c r="CO135" s="730"/>
      <c r="CP135" s="730"/>
      <c r="CQ135" s="730"/>
      <c r="CR135" s="730"/>
      <c r="CS135" s="730"/>
      <c r="CT135" s="730"/>
      <c r="CU135" s="730"/>
      <c r="CV135" s="730"/>
      <c r="CW135" s="730"/>
      <c r="CX135" s="730"/>
      <c r="CY135" s="730"/>
      <c r="CZ135" s="730"/>
      <c r="DA135" s="730"/>
      <c r="DB135" s="730"/>
      <c r="DC135" s="730"/>
      <c r="DD135" s="730"/>
      <c r="DE135" s="730"/>
      <c r="DF135" s="730"/>
      <c r="DG135" s="730"/>
      <c r="DH135" s="730"/>
      <c r="DI135" s="730"/>
      <c r="DJ135" s="730"/>
      <c r="DK135" s="730"/>
      <c r="DL135" s="730"/>
      <c r="DM135" s="730"/>
      <c r="DN135" s="730"/>
      <c r="DO135" s="730"/>
      <c r="DP135" s="730"/>
      <c r="DQ135" s="730"/>
      <c r="DR135" s="730"/>
      <c r="DS135" s="730"/>
      <c r="DT135" s="730" t="str">
        <f t="shared" si="338"/>
        <v>-</v>
      </c>
      <c r="DU135" s="730"/>
      <c r="DV135" s="730"/>
      <c r="DW135" s="8"/>
    </row>
    <row r="136" spans="1:127" ht="16.05" customHeight="1" thickBot="1">
      <c r="A136" s="725"/>
      <c r="B136" s="725"/>
      <c r="C136" s="725"/>
      <c r="D136" s="733"/>
      <c r="E136" s="730"/>
      <c r="F136" s="730" t="s">
        <v>1194</v>
      </c>
      <c r="G136" s="730"/>
      <c r="H136" s="730"/>
      <c r="I136" s="730"/>
      <c r="J136" s="730"/>
      <c r="K136" s="730"/>
      <c r="L136" s="730"/>
      <c r="M136" s="730"/>
      <c r="N136" s="730"/>
      <c r="O136" s="730"/>
      <c r="P136" s="730"/>
      <c r="Q136" s="730"/>
      <c r="R136" s="730"/>
      <c r="S136" s="730"/>
      <c r="T136" s="730"/>
      <c r="U136" s="730"/>
      <c r="V136" s="170"/>
      <c r="W136" s="315" t="str">
        <f>Idiomas!D28</f>
        <v>Semifinales</v>
      </c>
      <c r="X136" s="316"/>
      <c r="Y136" s="317"/>
      <c r="Z136" s="317"/>
      <c r="AA136" s="317"/>
      <c r="AB136" s="317"/>
      <c r="AC136" s="317"/>
      <c r="AD136" s="317"/>
      <c r="AE136" s="317"/>
      <c r="AF136" s="318"/>
      <c r="AG136" s="416"/>
      <c r="AH136" s="314"/>
      <c r="AI136" s="215"/>
      <c r="AJ136" s="176"/>
      <c r="AK136" s="176"/>
      <c r="AL136" s="176"/>
      <c r="AM136" s="295"/>
      <c r="AN136" s="295"/>
      <c r="AO136" s="295"/>
      <c r="AP136" s="295"/>
      <c r="AQ136" s="295"/>
      <c r="AR136" s="295"/>
      <c r="AS136" s="295"/>
      <c r="AT136" s="295"/>
      <c r="AU136" s="19"/>
      <c r="AV136" s="19"/>
      <c r="AW136" s="295"/>
      <c r="AX136" s="295"/>
      <c r="AY136" s="240"/>
      <c r="AZ136" s="241"/>
      <c r="BA136" s="17"/>
      <c r="BB136" s="730"/>
      <c r="BC136" s="733"/>
      <c r="BD136" s="730"/>
      <c r="BE136" s="730"/>
      <c r="BF136" s="730"/>
      <c r="BG136" s="730"/>
      <c r="BH136" s="730"/>
      <c r="BI136" s="730"/>
      <c r="BJ136" s="730"/>
      <c r="BK136" s="730"/>
      <c r="BL136" s="730"/>
      <c r="BM136" s="730"/>
      <c r="BN136" s="730"/>
      <c r="BO136" s="730"/>
      <c r="BP136" s="730"/>
      <c r="BQ136" s="730"/>
      <c r="BR136" s="730"/>
      <c r="BS136" s="730"/>
      <c r="BT136" s="730"/>
      <c r="BU136" s="730"/>
      <c r="BV136" s="730"/>
      <c r="BW136" s="730"/>
      <c r="BX136" s="730"/>
      <c r="BY136" s="730"/>
      <c r="BZ136" s="730"/>
      <c r="CA136" s="730"/>
      <c r="CB136" s="730"/>
      <c r="CC136" s="730"/>
      <c r="CD136" s="730"/>
      <c r="CE136" s="730"/>
      <c r="CF136" s="730"/>
      <c r="CG136" s="730"/>
      <c r="CH136" s="730"/>
      <c r="CI136" s="730"/>
      <c r="CJ136" s="730"/>
      <c r="CK136" s="730"/>
      <c r="CL136" s="730"/>
      <c r="CM136" s="730"/>
      <c r="CN136" s="730"/>
      <c r="CO136" s="730"/>
      <c r="CP136" s="730"/>
      <c r="CQ136" s="730"/>
      <c r="CR136" s="730"/>
      <c r="CS136" s="730"/>
      <c r="CT136" s="730"/>
      <c r="CU136" s="730"/>
      <c r="CV136" s="730"/>
      <c r="CW136" s="730"/>
      <c r="CX136" s="730"/>
      <c r="CY136" s="730"/>
      <c r="CZ136" s="730"/>
      <c r="DA136" s="730"/>
      <c r="DB136" s="730"/>
      <c r="DC136" s="730"/>
      <c r="DD136" s="730"/>
      <c r="DE136" s="730"/>
      <c r="DF136" s="730"/>
      <c r="DG136" s="730"/>
      <c r="DH136" s="730"/>
      <c r="DI136" s="730"/>
      <c r="DJ136" s="730"/>
      <c r="DK136" s="730"/>
      <c r="DL136" s="730"/>
      <c r="DM136" s="730"/>
      <c r="DN136" s="730"/>
      <c r="DO136" s="730"/>
      <c r="DP136" s="730"/>
      <c r="DQ136" s="730"/>
      <c r="DR136" s="730"/>
      <c r="DS136" s="730"/>
      <c r="DT136" s="730" t="str">
        <f t="shared" si="338"/>
        <v>-</v>
      </c>
      <c r="DU136" s="730"/>
      <c r="DV136" s="730"/>
      <c r="DW136" s="8"/>
    </row>
    <row r="137" spans="1:127" ht="16.05" customHeight="1">
      <c r="A137" s="725"/>
      <c r="B137" s="725"/>
      <c r="C137" s="725"/>
      <c r="D137" s="733"/>
      <c r="E137" s="730"/>
      <c r="F137" s="730"/>
      <c r="G137" s="730"/>
      <c r="H137" s="730" t="s">
        <v>1371</v>
      </c>
      <c r="I137" s="730"/>
      <c r="J137" s="730"/>
      <c r="K137" s="730"/>
      <c r="L137" s="730"/>
      <c r="M137" s="730"/>
      <c r="N137" s="730"/>
      <c r="O137" s="730"/>
      <c r="P137" s="730"/>
      <c r="Q137" s="730"/>
      <c r="R137" s="730"/>
      <c r="S137" s="730"/>
      <c r="T137" s="730"/>
      <c r="U137" s="730"/>
      <c r="V137" s="170"/>
      <c r="W137" s="319"/>
      <c r="X137" s="178" t="str">
        <f>X3</f>
        <v>Fecha</v>
      </c>
      <c r="Y137" s="178" t="str">
        <f>Y3</f>
        <v>Hora</v>
      </c>
      <c r="Z137" s="263"/>
      <c r="AA137" s="264" t="str">
        <f>AA3</f>
        <v>Casa</v>
      </c>
      <c r="AB137" s="263" t="s">
        <v>13</v>
      </c>
      <c r="AC137" s="178" t="s">
        <v>17</v>
      </c>
      <c r="AD137" s="178" t="s">
        <v>17</v>
      </c>
      <c r="AE137" s="263" t="s">
        <v>13</v>
      </c>
      <c r="AF137" s="320" t="str">
        <f>AF3</f>
        <v>Fuera</v>
      </c>
      <c r="AG137" s="416"/>
      <c r="AH137" s="314"/>
      <c r="AI137" s="215"/>
      <c r="AJ137" s="176"/>
      <c r="AK137" s="176"/>
      <c r="AL137" s="176"/>
      <c r="AM137" s="295"/>
      <c r="AN137" s="295"/>
      <c r="AO137" s="295"/>
      <c r="AP137" s="295"/>
      <c r="AQ137" s="295"/>
      <c r="AR137" s="295"/>
      <c r="AS137" s="295"/>
      <c r="AT137" s="295"/>
      <c r="AU137" s="19"/>
      <c r="AV137" s="19"/>
      <c r="AW137" s="295"/>
      <c r="AX137" s="295"/>
      <c r="AY137" s="240"/>
      <c r="AZ137" s="241"/>
      <c r="BA137" s="17"/>
      <c r="BB137" s="730"/>
      <c r="BC137" s="733"/>
      <c r="BD137" s="730"/>
      <c r="BE137" s="730"/>
      <c r="BF137" s="730"/>
      <c r="BG137" s="730"/>
      <c r="BH137" s="730"/>
      <c r="BI137" s="730"/>
      <c r="BJ137" s="730"/>
      <c r="BK137" s="730"/>
      <c r="BL137" s="730"/>
      <c r="BM137" s="730"/>
      <c r="BN137" s="730"/>
      <c r="BO137" s="730"/>
      <c r="BP137" s="730"/>
      <c r="BQ137" s="730"/>
      <c r="BR137" s="730"/>
      <c r="BS137" s="730"/>
      <c r="BT137" s="730"/>
      <c r="BU137" s="730"/>
      <c r="BV137" s="730"/>
      <c r="BW137" s="730"/>
      <c r="BX137" s="730"/>
      <c r="BY137" s="730"/>
      <c r="BZ137" s="730"/>
      <c r="CA137" s="730"/>
      <c r="CB137" s="730"/>
      <c r="CC137" s="730"/>
      <c r="CD137" s="730"/>
      <c r="CE137" s="730"/>
      <c r="CF137" s="730"/>
      <c r="CG137" s="730"/>
      <c r="CH137" s="730"/>
      <c r="CI137" s="730"/>
      <c r="CJ137" s="730"/>
      <c r="CK137" s="730"/>
      <c r="CL137" s="730"/>
      <c r="CM137" s="730"/>
      <c r="CN137" s="730"/>
      <c r="CO137" s="730"/>
      <c r="CP137" s="730"/>
      <c r="CQ137" s="730"/>
      <c r="CR137" s="730"/>
      <c r="CS137" s="730"/>
      <c r="CT137" s="730"/>
      <c r="CU137" s="730"/>
      <c r="CV137" s="730"/>
      <c r="CW137" s="730"/>
      <c r="CX137" s="730"/>
      <c r="CY137" s="730"/>
      <c r="CZ137" s="730"/>
      <c r="DA137" s="730"/>
      <c r="DB137" s="730"/>
      <c r="DC137" s="730"/>
      <c r="DD137" s="730"/>
      <c r="DE137" s="730"/>
      <c r="DF137" s="730"/>
      <c r="DG137" s="730"/>
      <c r="DH137" s="730"/>
      <c r="DI137" s="730"/>
      <c r="DJ137" s="730"/>
      <c r="DK137" s="730"/>
      <c r="DL137" s="730"/>
      <c r="DM137" s="730"/>
      <c r="DN137" s="730"/>
      <c r="DO137" s="730"/>
      <c r="DP137" s="730"/>
      <c r="DQ137" s="730"/>
      <c r="DR137" s="730"/>
      <c r="DS137" s="730"/>
      <c r="DT137" s="730" t="str">
        <f t="shared" si="338"/>
        <v>Casa-Fuera</v>
      </c>
      <c r="DU137" s="730"/>
      <c r="DV137" s="730"/>
      <c r="DW137" s="8"/>
    </row>
    <row r="138" spans="1:127" ht="16.05" customHeight="1">
      <c r="A138" s="724" t="s">
        <v>754</v>
      </c>
      <c r="B138" s="724" t="s">
        <v>755</v>
      </c>
      <c r="C138" s="725"/>
      <c r="D138" s="733" t="str">
        <f>IF(AND(OR(AC138="",AD138="")),"W"&amp;AH138,IF(AC138&gt;AD138,AA138,IF(AC138&lt;AD138,AF138,IF(AND(AC138=AD138,AB138=AE138),"W"&amp;AH138,IF(AND(AC138=AD138,OR(AB138="",AE138="")),"W"&amp;AH138,IF(AND(AC138=AD138,AB138&gt;AE138),AA138,AF138))))))</f>
        <v>W101</v>
      </c>
      <c r="E138" s="730">
        <v>97</v>
      </c>
      <c r="F138" s="730">
        <v>98</v>
      </c>
      <c r="G138" s="730"/>
      <c r="H138" s="730" t="str">
        <f>IF(AND(OR(AC138="",AD138="")),"L101",IF(AC138&gt;AD138,AF138,IF(AC138&lt;AD138,AA138,IF(AND(AC138=AD138,AB138=AE138),"L101",IF(AND(AC138=AD138,OR(AB138="",AE138="")),"L101",IF(AND(AC138=AD138,AB138&gt;AE138),AF138,AA138))))))</f>
        <v>L101</v>
      </c>
      <c r="I138" s="730"/>
      <c r="J138" s="724">
        <v>101</v>
      </c>
      <c r="K138" s="724">
        <v>46217.875</v>
      </c>
      <c r="L138" s="724" t="s">
        <v>713</v>
      </c>
      <c r="M138" s="724" t="str">
        <f>+INDEX($D$101:$D$147,MATCH(E138,$AH$101:$AH$147,0))</f>
        <v>W97</v>
      </c>
      <c r="N138" s="724" t="str">
        <f>+INDEX($D$101:$D$147,MATCH(F138,$AH$101:$AH$147,0))</f>
        <v>W98</v>
      </c>
      <c r="O138" s="724"/>
      <c r="P138" s="724"/>
      <c r="Q138" s="724"/>
      <c r="R138" s="724"/>
      <c r="S138" s="724"/>
      <c r="T138" s="724"/>
      <c r="U138" s="724"/>
      <c r="V138" s="170"/>
      <c r="W138" s="890" t="s">
        <v>35</v>
      </c>
      <c r="X138" s="187">
        <f ca="1">Horarios!C138</f>
        <v>46217.625</v>
      </c>
      <c r="Y138" s="188">
        <f ca="1">Horarios!C138</f>
        <v>46217.625</v>
      </c>
      <c r="Z138" s="309">
        <f t="shared" ref="Z138:Z139" si="339">AH138</f>
        <v>101</v>
      </c>
      <c r="AA138" s="275" t="str">
        <f t="shared" ref="AA138:AA139" si="340">+INDEX($M$101:$M$147,MATCH(AH138,$J$101:$J$147,0))</f>
        <v>W97</v>
      </c>
      <c r="AB138" s="276"/>
      <c r="AC138" s="321"/>
      <c r="AD138" s="321"/>
      <c r="AE138" s="276"/>
      <c r="AF138" s="310" t="str">
        <f>+INDEX($N$101:$N$147,MATCH(AH138,$J$101:$J$147,0))</f>
        <v>W98</v>
      </c>
      <c r="AG138" s="415">
        <f>IF(D138="W"&amp;AH138,0,1)</f>
        <v>0</v>
      </c>
      <c r="AH138" s="311">
        <v>101</v>
      </c>
      <c r="AI138" s="215"/>
      <c r="AJ138" s="176"/>
      <c r="AK138" s="176"/>
      <c r="AL138" s="176"/>
      <c r="AM138" s="295"/>
      <c r="AN138" s="295"/>
      <c r="AO138" s="295"/>
      <c r="AP138" s="295"/>
      <c r="AQ138" s="295"/>
      <c r="AR138" s="295"/>
      <c r="AS138" s="295"/>
      <c r="AT138" s="295"/>
      <c r="AU138" s="19"/>
      <c r="AV138" s="19"/>
      <c r="AW138" s="295"/>
      <c r="AX138" s="295"/>
      <c r="AY138" s="240"/>
      <c r="AZ138" s="241"/>
      <c r="BA138" s="17"/>
      <c r="BB138" s="730"/>
      <c r="BC138" s="733"/>
      <c r="BD138" s="730"/>
      <c r="BE138" s="730"/>
      <c r="BF138" s="730"/>
      <c r="BG138" s="730"/>
      <c r="BH138" s="730"/>
      <c r="BI138" s="730"/>
      <c r="BJ138" s="730"/>
      <c r="BK138" s="730"/>
      <c r="BL138" s="730"/>
      <c r="BM138" s="730"/>
      <c r="BN138" s="730"/>
      <c r="BO138" s="730"/>
      <c r="BP138" s="730"/>
      <c r="BQ138" s="730"/>
      <c r="BR138" s="730"/>
      <c r="BS138" s="730"/>
      <c r="BT138" s="730"/>
      <c r="BU138" s="730"/>
      <c r="BV138" s="730"/>
      <c r="BW138" s="730"/>
      <c r="BX138" s="730"/>
      <c r="BY138" s="730"/>
      <c r="BZ138" s="730"/>
      <c r="CA138" s="730"/>
      <c r="CB138" s="730"/>
      <c r="CC138" s="730"/>
      <c r="CD138" s="730"/>
      <c r="CE138" s="730"/>
      <c r="CF138" s="730"/>
      <c r="CG138" s="730"/>
      <c r="CH138" s="730"/>
      <c r="CI138" s="730"/>
      <c r="CJ138" s="730"/>
      <c r="CK138" s="730"/>
      <c r="CL138" s="730"/>
      <c r="CM138" s="730"/>
      <c r="CN138" s="730"/>
      <c r="CO138" s="730"/>
      <c r="CP138" s="730"/>
      <c r="CQ138" s="730"/>
      <c r="CR138" s="730"/>
      <c r="CS138" s="730"/>
      <c r="CT138" s="730"/>
      <c r="CU138" s="730"/>
      <c r="CV138" s="730"/>
      <c r="CW138" s="730"/>
      <c r="CX138" s="730"/>
      <c r="CY138" s="730"/>
      <c r="CZ138" s="730"/>
      <c r="DA138" s="730"/>
      <c r="DB138" s="730"/>
      <c r="DC138" s="730"/>
      <c r="DD138" s="730"/>
      <c r="DE138" s="730"/>
      <c r="DF138" s="730"/>
      <c r="DG138" s="730"/>
      <c r="DH138" s="730"/>
      <c r="DI138" s="730"/>
      <c r="DJ138" s="730"/>
      <c r="DK138" s="730"/>
      <c r="DL138" s="730"/>
      <c r="DM138" s="730"/>
      <c r="DN138" s="730"/>
      <c r="DO138" s="730"/>
      <c r="DP138" s="730"/>
      <c r="DQ138" s="730"/>
      <c r="DR138" s="730"/>
      <c r="DS138" s="730"/>
      <c r="DT138" s="730" t="str">
        <f t="shared" si="338"/>
        <v>W97-W98</v>
      </c>
      <c r="DU138" s="730"/>
      <c r="DV138" s="730"/>
      <c r="DW138" s="8"/>
    </row>
    <row r="139" spans="1:127" ht="16.05" customHeight="1" thickBot="1">
      <c r="A139" s="724" t="s">
        <v>756</v>
      </c>
      <c r="B139" s="724" t="s">
        <v>757</v>
      </c>
      <c r="C139" s="725"/>
      <c r="D139" s="733" t="str">
        <f>IF(AND(OR(AC139="",AD139="")),"W"&amp;AH139,IF(AC139&gt;AD139,AA139,IF(AC139&lt;AD139,AF139,IF(AND(AC139=AD139,AB139=AE139),"W"&amp;AH139,IF(AND(AC139=AD139,OR(AB139="",AE139="")),"W"&amp;AH139,IF(AND(AC139=AD139,AB139&gt;AE139),AA139,AF139))))))</f>
        <v>W102</v>
      </c>
      <c r="E139" s="730">
        <v>99</v>
      </c>
      <c r="F139" s="730">
        <v>100</v>
      </c>
      <c r="G139" s="730"/>
      <c r="H139" s="730" t="str">
        <f>IF(AND(OR(AC139="",AD139="")),"L102",IF(AC139&gt;AD139,AF139,IF(AC139&lt;AD139,AA139,IF(AND(AC139=AD139,AB139=AE139),"W102",IF(AND(AC139=AD139,OR(AB139="",AE139="")),"L102",IF(AND(AC139=AD139,AB139&gt;AE139),AF139,AA139))))))</f>
        <v>L102</v>
      </c>
      <c r="I139" s="730"/>
      <c r="J139" s="724">
        <v>102</v>
      </c>
      <c r="K139" s="724">
        <v>46218.875</v>
      </c>
      <c r="L139" s="724" t="s">
        <v>714</v>
      </c>
      <c r="M139" s="724" t="str">
        <f>+INDEX($D$101:$D$147,MATCH(E139,$AH$101:$AH$147,0))</f>
        <v>W99</v>
      </c>
      <c r="N139" s="724" t="str">
        <f>+INDEX($D$101:$D$147,MATCH(F139,$AH$101:$AH$147,0))</f>
        <v>W100</v>
      </c>
      <c r="O139" s="724"/>
      <c r="P139" s="724"/>
      <c r="Q139" s="724"/>
      <c r="R139" s="724"/>
      <c r="S139" s="724"/>
      <c r="T139" s="724"/>
      <c r="U139" s="724"/>
      <c r="V139" s="170"/>
      <c r="W139" s="891"/>
      <c r="X139" s="322">
        <f ca="1">Horarios!C139</f>
        <v>46218.625</v>
      </c>
      <c r="Y139" s="323">
        <f ca="1">Horarios!C139</f>
        <v>46218.625</v>
      </c>
      <c r="Z139" s="324">
        <f t="shared" si="339"/>
        <v>102</v>
      </c>
      <c r="AA139" s="325" t="str">
        <f t="shared" si="340"/>
        <v>W99</v>
      </c>
      <c r="AB139" s="326"/>
      <c r="AC139" s="308"/>
      <c r="AD139" s="308"/>
      <c r="AE139" s="326"/>
      <c r="AF139" s="327" t="str">
        <f>+INDEX($N$101:$N$147,MATCH(AH139,$J$101:$J$147,0))</f>
        <v>W100</v>
      </c>
      <c r="AG139" s="415">
        <f>IF(D139="W"&amp;AH139,0,1)</f>
        <v>0</v>
      </c>
      <c r="AH139" s="311">
        <v>102</v>
      </c>
      <c r="AI139" s="215"/>
      <c r="AJ139" s="176"/>
      <c r="AK139" s="176"/>
      <c r="AL139" s="176"/>
      <c r="AM139" s="295"/>
      <c r="AN139" s="295"/>
      <c r="AO139" s="295"/>
      <c r="AP139" s="295"/>
      <c r="AQ139" s="295"/>
      <c r="AR139" s="295"/>
      <c r="AS139" s="295"/>
      <c r="AT139" s="295"/>
      <c r="AU139" s="19"/>
      <c r="AV139" s="19"/>
      <c r="AW139" s="295"/>
      <c r="AX139" s="295"/>
      <c r="AY139" s="240"/>
      <c r="AZ139" s="241"/>
      <c r="BA139" s="17"/>
      <c r="BB139" s="730"/>
      <c r="BC139" s="733"/>
      <c r="BD139" s="730"/>
      <c r="BE139" s="730"/>
      <c r="BF139" s="730"/>
      <c r="BG139" s="730"/>
      <c r="BH139" s="730"/>
      <c r="BI139" s="730"/>
      <c r="BJ139" s="730"/>
      <c r="BK139" s="730"/>
      <c r="BL139" s="730"/>
      <c r="BM139" s="730"/>
      <c r="BN139" s="730"/>
      <c r="BO139" s="730"/>
      <c r="BP139" s="730"/>
      <c r="BQ139" s="730"/>
      <c r="BR139" s="730"/>
      <c r="BS139" s="730"/>
      <c r="BT139" s="730"/>
      <c r="BU139" s="730"/>
      <c r="BV139" s="730"/>
      <c r="BW139" s="730"/>
      <c r="BX139" s="730"/>
      <c r="BY139" s="730"/>
      <c r="BZ139" s="730"/>
      <c r="CA139" s="730"/>
      <c r="CB139" s="730"/>
      <c r="CC139" s="730"/>
      <c r="CD139" s="730"/>
      <c r="CE139" s="730"/>
      <c r="CF139" s="730"/>
      <c r="CG139" s="730"/>
      <c r="CH139" s="730"/>
      <c r="CI139" s="730"/>
      <c r="CJ139" s="730"/>
      <c r="CK139" s="730"/>
      <c r="CL139" s="730"/>
      <c r="CM139" s="730"/>
      <c r="CN139" s="730"/>
      <c r="CO139" s="730"/>
      <c r="CP139" s="730"/>
      <c r="CQ139" s="730"/>
      <c r="CR139" s="730"/>
      <c r="CS139" s="730"/>
      <c r="CT139" s="730"/>
      <c r="CU139" s="730"/>
      <c r="CV139" s="730"/>
      <c r="CW139" s="730"/>
      <c r="CX139" s="730"/>
      <c r="CY139" s="730"/>
      <c r="CZ139" s="730"/>
      <c r="DA139" s="730"/>
      <c r="DB139" s="730"/>
      <c r="DC139" s="730"/>
      <c r="DD139" s="730"/>
      <c r="DE139" s="730"/>
      <c r="DF139" s="730"/>
      <c r="DG139" s="730"/>
      <c r="DH139" s="730"/>
      <c r="DI139" s="730"/>
      <c r="DJ139" s="730"/>
      <c r="DK139" s="730"/>
      <c r="DL139" s="730"/>
      <c r="DM139" s="730"/>
      <c r="DN139" s="730"/>
      <c r="DO139" s="730"/>
      <c r="DP139" s="730"/>
      <c r="DQ139" s="730"/>
      <c r="DR139" s="730"/>
      <c r="DS139" s="730"/>
      <c r="DT139" s="730" t="str">
        <f t="shared" si="338"/>
        <v>W99-W100</v>
      </c>
      <c r="DU139" s="730"/>
      <c r="DV139" s="730"/>
      <c r="DW139" s="8"/>
    </row>
    <row r="140" spans="1:127" ht="16.05" customHeight="1" thickBot="1">
      <c r="A140" s="725"/>
      <c r="B140" s="725"/>
      <c r="C140" s="725"/>
      <c r="D140" s="733"/>
      <c r="E140" s="730"/>
      <c r="F140" s="730"/>
      <c r="G140" s="730"/>
      <c r="H140" s="730"/>
      <c r="I140" s="730"/>
      <c r="J140" s="730"/>
      <c r="K140" s="730"/>
      <c r="L140" s="730"/>
      <c r="M140" s="730"/>
      <c r="N140" s="730"/>
      <c r="O140" s="730"/>
      <c r="P140" s="730"/>
      <c r="Q140" s="730"/>
      <c r="R140" s="730"/>
      <c r="S140" s="730"/>
      <c r="T140" s="730"/>
      <c r="U140" s="730"/>
      <c r="V140" s="170"/>
      <c r="W140" s="240"/>
      <c r="X140" s="241"/>
      <c r="Y140" s="240"/>
      <c r="Z140" s="242"/>
      <c r="AA140" s="243"/>
      <c r="AB140" s="244"/>
      <c r="AC140" s="245"/>
      <c r="AD140" s="245"/>
      <c r="AE140" s="244"/>
      <c r="AF140" s="246"/>
      <c r="AG140" s="416"/>
      <c r="AH140" s="314"/>
      <c r="AI140" s="215"/>
      <c r="AJ140" s="176"/>
      <c r="AK140" s="176"/>
      <c r="AL140" s="176"/>
      <c r="AM140" s="295"/>
      <c r="AN140" s="295"/>
      <c r="AO140" s="295"/>
      <c r="AP140" s="295"/>
      <c r="AQ140" s="295"/>
      <c r="AR140" s="295"/>
      <c r="AS140" s="295"/>
      <c r="AT140" s="295"/>
      <c r="AU140" s="19"/>
      <c r="AV140" s="19"/>
      <c r="AW140" s="295"/>
      <c r="AX140" s="295"/>
      <c r="AY140" s="240"/>
      <c r="AZ140" s="241"/>
      <c r="BA140" s="17"/>
      <c r="BB140" s="730"/>
      <c r="BC140" s="733"/>
      <c r="BD140" s="730"/>
      <c r="BE140" s="730"/>
      <c r="BF140" s="730"/>
      <c r="BG140" s="730"/>
      <c r="BH140" s="730"/>
      <c r="BI140" s="730"/>
      <c r="BJ140" s="730"/>
      <c r="BK140" s="730"/>
      <c r="BL140" s="730"/>
      <c r="BM140" s="730"/>
      <c r="BN140" s="730"/>
      <c r="BO140" s="730"/>
      <c r="BP140" s="730"/>
      <c r="BQ140" s="730"/>
      <c r="BR140" s="730"/>
      <c r="BS140" s="730"/>
      <c r="BT140" s="730"/>
      <c r="BU140" s="730"/>
      <c r="BV140" s="730"/>
      <c r="BW140" s="730"/>
      <c r="BX140" s="730"/>
      <c r="BY140" s="730"/>
      <c r="BZ140" s="730"/>
      <c r="CA140" s="730"/>
      <c r="CB140" s="730"/>
      <c r="CC140" s="730"/>
      <c r="CD140" s="730"/>
      <c r="CE140" s="730"/>
      <c r="CF140" s="730"/>
      <c r="CG140" s="730"/>
      <c r="CH140" s="730"/>
      <c r="CI140" s="730"/>
      <c r="CJ140" s="730"/>
      <c r="CK140" s="730"/>
      <c r="CL140" s="730"/>
      <c r="CM140" s="730"/>
      <c r="CN140" s="730"/>
      <c r="CO140" s="730"/>
      <c r="CP140" s="730"/>
      <c r="CQ140" s="730"/>
      <c r="CR140" s="730"/>
      <c r="CS140" s="730"/>
      <c r="CT140" s="730"/>
      <c r="CU140" s="730"/>
      <c r="CV140" s="730"/>
      <c r="CW140" s="730"/>
      <c r="CX140" s="730"/>
      <c r="CY140" s="730"/>
      <c r="CZ140" s="730"/>
      <c r="DA140" s="730"/>
      <c r="DB140" s="730"/>
      <c r="DC140" s="730"/>
      <c r="DD140" s="730"/>
      <c r="DE140" s="730"/>
      <c r="DF140" s="730"/>
      <c r="DG140" s="730"/>
      <c r="DH140" s="730"/>
      <c r="DI140" s="730"/>
      <c r="DJ140" s="730"/>
      <c r="DK140" s="730"/>
      <c r="DL140" s="730"/>
      <c r="DM140" s="730"/>
      <c r="DN140" s="730"/>
      <c r="DO140" s="730"/>
      <c r="DP140" s="730"/>
      <c r="DQ140" s="730"/>
      <c r="DR140" s="730"/>
      <c r="DS140" s="730"/>
      <c r="DT140" s="730" t="str">
        <f t="shared" si="338"/>
        <v>-</v>
      </c>
      <c r="DU140" s="730"/>
      <c r="DV140" s="730"/>
      <c r="DW140" s="8"/>
    </row>
    <row r="141" spans="1:127" ht="16.05" customHeight="1" thickBot="1">
      <c r="A141" s="725"/>
      <c r="B141" s="725"/>
      <c r="C141" s="725"/>
      <c r="D141" s="733"/>
      <c r="E141" s="730"/>
      <c r="F141" s="730"/>
      <c r="G141" s="730"/>
      <c r="H141" s="730"/>
      <c r="I141" s="730"/>
      <c r="J141" s="730"/>
      <c r="K141" s="730"/>
      <c r="L141" s="730"/>
      <c r="M141" s="730"/>
      <c r="N141" s="730"/>
      <c r="O141" s="730"/>
      <c r="P141" s="730"/>
      <c r="Q141" s="730"/>
      <c r="R141" s="730"/>
      <c r="S141" s="730"/>
      <c r="T141" s="730"/>
      <c r="U141" s="730"/>
      <c r="V141" s="170"/>
      <c r="W141" s="315" t="str">
        <f>Idiomas!D29</f>
        <v>3º y 4º puesto</v>
      </c>
      <c r="X141" s="316"/>
      <c r="Y141" s="317"/>
      <c r="Z141" s="317"/>
      <c r="AA141" s="317"/>
      <c r="AB141" s="317"/>
      <c r="AC141" s="317"/>
      <c r="AD141" s="317"/>
      <c r="AE141" s="317"/>
      <c r="AF141" s="318"/>
      <c r="AG141" s="416"/>
      <c r="AH141" s="314"/>
      <c r="AI141" s="215"/>
      <c r="AJ141" s="176"/>
      <c r="AK141" s="176"/>
      <c r="AL141" s="176"/>
      <c r="AM141" s="295"/>
      <c r="AN141" s="295"/>
      <c r="AO141" s="295"/>
      <c r="AP141" s="295"/>
      <c r="AQ141" s="17"/>
      <c r="AR141" s="295"/>
      <c r="AS141" s="295"/>
      <c r="AT141" s="295"/>
      <c r="AU141" s="19"/>
      <c r="AV141" s="19"/>
      <c r="AW141" s="295"/>
      <c r="AX141" s="295"/>
      <c r="AY141" s="240"/>
      <c r="AZ141" s="241"/>
      <c r="BA141" s="17"/>
      <c r="BB141" s="730"/>
      <c r="BC141" s="733"/>
      <c r="BD141" s="730"/>
      <c r="BE141" s="730"/>
      <c r="BF141" s="730"/>
      <c r="BG141" s="730"/>
      <c r="BH141" s="730"/>
      <c r="BI141" s="730"/>
      <c r="BJ141" s="730"/>
      <c r="BK141" s="730"/>
      <c r="BL141" s="730"/>
      <c r="BM141" s="730"/>
      <c r="BN141" s="730"/>
      <c r="BO141" s="730"/>
      <c r="BP141" s="730"/>
      <c r="BQ141" s="730"/>
      <c r="BR141" s="730"/>
      <c r="BS141" s="730"/>
      <c r="BT141" s="730"/>
      <c r="BU141" s="730"/>
      <c r="BV141" s="730"/>
      <c r="BW141" s="730"/>
      <c r="BX141" s="730"/>
      <c r="BY141" s="730"/>
      <c r="BZ141" s="730"/>
      <c r="CA141" s="730"/>
      <c r="CB141" s="730"/>
      <c r="CC141" s="730"/>
      <c r="CD141" s="730"/>
      <c r="CE141" s="730"/>
      <c r="CF141" s="730"/>
      <c r="CG141" s="730"/>
      <c r="CH141" s="730"/>
      <c r="CI141" s="730"/>
      <c r="CJ141" s="730"/>
      <c r="CK141" s="730"/>
      <c r="CL141" s="730"/>
      <c r="CM141" s="730"/>
      <c r="CN141" s="730"/>
      <c r="CO141" s="730"/>
      <c r="CP141" s="730"/>
      <c r="CQ141" s="730"/>
      <c r="CR141" s="730"/>
      <c r="CS141" s="730"/>
      <c r="CT141" s="730"/>
      <c r="CU141" s="730"/>
      <c r="CV141" s="730"/>
      <c r="CW141" s="730"/>
      <c r="CX141" s="730"/>
      <c r="CY141" s="730"/>
      <c r="CZ141" s="730"/>
      <c r="DA141" s="730"/>
      <c r="DB141" s="730"/>
      <c r="DC141" s="730"/>
      <c r="DD141" s="730"/>
      <c r="DE141" s="730"/>
      <c r="DF141" s="730"/>
      <c r="DG141" s="730"/>
      <c r="DH141" s="730"/>
      <c r="DI141" s="730"/>
      <c r="DJ141" s="730"/>
      <c r="DK141" s="730"/>
      <c r="DL141" s="730"/>
      <c r="DM141" s="730"/>
      <c r="DN141" s="730"/>
      <c r="DO141" s="730"/>
      <c r="DP141" s="730"/>
      <c r="DQ141" s="730"/>
      <c r="DR141" s="730"/>
      <c r="DS141" s="730"/>
      <c r="DT141" s="730" t="str">
        <f t="shared" si="338"/>
        <v>-</v>
      </c>
      <c r="DU141" s="730"/>
      <c r="DV141" s="730"/>
      <c r="DW141" s="8"/>
    </row>
    <row r="142" spans="1:127" ht="16.05" customHeight="1">
      <c r="A142" s="725"/>
      <c r="B142" s="725"/>
      <c r="C142" s="725"/>
      <c r="D142" s="733"/>
      <c r="E142" s="730"/>
      <c r="F142" s="730"/>
      <c r="G142" s="730"/>
      <c r="H142" s="730"/>
      <c r="I142" s="730"/>
      <c r="J142" s="730"/>
      <c r="K142" s="730"/>
      <c r="L142" s="730"/>
      <c r="M142" s="730"/>
      <c r="N142" s="730"/>
      <c r="O142" s="730"/>
      <c r="P142" s="730"/>
      <c r="Q142" s="730"/>
      <c r="R142" s="730"/>
      <c r="S142" s="730"/>
      <c r="T142" s="730"/>
      <c r="U142" s="730"/>
      <c r="V142" s="170"/>
      <c r="W142" s="328"/>
      <c r="X142" s="178" t="str">
        <f>X3</f>
        <v>Fecha</v>
      </c>
      <c r="Y142" s="178" t="str">
        <f>Y3</f>
        <v>Hora</v>
      </c>
      <c r="Z142" s="263"/>
      <c r="AA142" s="264" t="str">
        <f>AA3</f>
        <v>Casa</v>
      </c>
      <c r="AB142" s="263" t="s">
        <v>13</v>
      </c>
      <c r="AC142" s="178" t="str">
        <f>AC3</f>
        <v>Gol</v>
      </c>
      <c r="AD142" s="178" t="str">
        <f>AD3</f>
        <v>Gol</v>
      </c>
      <c r="AE142" s="263" t="s">
        <v>13</v>
      </c>
      <c r="AF142" s="320" t="str">
        <f>AF3</f>
        <v>Fuera</v>
      </c>
      <c r="AG142" s="416"/>
      <c r="AH142" s="314"/>
      <c r="AI142" s="215"/>
      <c r="AJ142" s="176"/>
      <c r="AK142" s="176"/>
      <c r="AL142" s="176"/>
      <c r="AM142" s="295"/>
      <c r="AN142" s="295"/>
      <c r="AO142" s="295"/>
      <c r="AP142" s="295"/>
      <c r="AQ142" s="295"/>
      <c r="AR142" s="295"/>
      <c r="AS142" s="295"/>
      <c r="AT142" s="295"/>
      <c r="AU142" s="19"/>
      <c r="AV142" s="19"/>
      <c r="AW142" s="295"/>
      <c r="AX142" s="295"/>
      <c r="AY142" s="240"/>
      <c r="AZ142" s="241"/>
      <c r="BA142" s="173"/>
      <c r="BB142" s="730"/>
      <c r="BC142" s="730"/>
      <c r="BD142" s="730"/>
      <c r="BE142" s="730"/>
      <c r="BF142" s="730"/>
      <c r="BG142" s="730"/>
      <c r="BH142" s="730"/>
      <c r="BI142" s="730"/>
      <c r="BJ142" s="730"/>
      <c r="BK142" s="730"/>
      <c r="BL142" s="730"/>
      <c r="BM142" s="730"/>
      <c r="BN142" s="730"/>
      <c r="BO142" s="730"/>
      <c r="BP142" s="730"/>
      <c r="BQ142" s="730"/>
      <c r="BR142" s="730"/>
      <c r="BS142" s="730"/>
      <c r="BT142" s="730"/>
      <c r="BU142" s="730"/>
      <c r="BV142" s="730"/>
      <c r="BW142" s="730"/>
      <c r="BX142" s="730"/>
      <c r="BY142" s="730"/>
      <c r="BZ142" s="730"/>
      <c r="CA142" s="730"/>
      <c r="CB142" s="730"/>
      <c r="CC142" s="730"/>
      <c r="CD142" s="730"/>
      <c r="CE142" s="730"/>
      <c r="CF142" s="730"/>
      <c r="CG142" s="730"/>
      <c r="CH142" s="730"/>
      <c r="CI142" s="730"/>
      <c r="CJ142" s="730"/>
      <c r="CK142" s="730"/>
      <c r="CL142" s="730"/>
      <c r="CM142" s="730"/>
      <c r="CN142" s="730"/>
      <c r="CO142" s="730"/>
      <c r="CP142" s="730"/>
      <c r="CQ142" s="730"/>
      <c r="CR142" s="730"/>
      <c r="CS142" s="730"/>
      <c r="CT142" s="730"/>
      <c r="CU142" s="730"/>
      <c r="CV142" s="730"/>
      <c r="CW142" s="730"/>
      <c r="CX142" s="730"/>
      <c r="CY142" s="730"/>
      <c r="CZ142" s="730"/>
      <c r="DA142" s="730"/>
      <c r="DB142" s="730"/>
      <c r="DC142" s="730"/>
      <c r="DD142" s="730"/>
      <c r="DE142" s="730"/>
      <c r="DF142" s="730"/>
      <c r="DG142" s="730"/>
      <c r="DH142" s="730"/>
      <c r="DI142" s="730"/>
      <c r="DJ142" s="730"/>
      <c r="DK142" s="730"/>
      <c r="DL142" s="730"/>
      <c r="DM142" s="730"/>
      <c r="DN142" s="730"/>
      <c r="DO142" s="730"/>
      <c r="DP142" s="730"/>
      <c r="DQ142" s="730"/>
      <c r="DR142" s="730"/>
      <c r="DS142" s="730"/>
      <c r="DT142" s="730" t="str">
        <f t="shared" si="338"/>
        <v>Casa-Fuera</v>
      </c>
      <c r="DU142" s="730"/>
      <c r="DV142" s="730"/>
      <c r="DW142" s="8"/>
    </row>
    <row r="143" spans="1:127" ht="16.05" customHeight="1" thickBot="1">
      <c r="A143" s="724" t="s">
        <v>758</v>
      </c>
      <c r="B143" s="724" t="s">
        <v>759</v>
      </c>
      <c r="C143" s="725"/>
      <c r="D143" s="733" t="str">
        <f>IF(AND(OR(AC143="",AD143="")),"W"&amp;AH143,IF(AC143&gt;AD143,AA143,IF(AC143&lt;AD143,AF143,IF(AND(AC143=AD143,AB143=AE143),"W"&amp;AH143,IF(AND(AC143=AD143,OR(AB143="",AE143="")),"W"&amp;AH143,IF(AND(AC143=AD143,AB143&gt;AE143),AA143,AF143))))))</f>
        <v>W103</v>
      </c>
      <c r="E143" s="730">
        <v>101</v>
      </c>
      <c r="F143" s="730">
        <v>102</v>
      </c>
      <c r="G143" s="730"/>
      <c r="H143" s="730"/>
      <c r="I143" s="730"/>
      <c r="J143" s="724">
        <v>103</v>
      </c>
      <c r="K143" s="724">
        <v>46221.875</v>
      </c>
      <c r="L143" s="724" t="s">
        <v>715</v>
      </c>
      <c r="M143" s="724" t="str">
        <f>+INDEX($D$101:$D$147,MATCH(E143,$AH$101:$AH$147,0))</f>
        <v>W101</v>
      </c>
      <c r="N143" s="724" t="str">
        <f>+INDEX($D$101:$D$147,MATCH(F143,$AH$101:$AH$147,0))</f>
        <v>W102</v>
      </c>
      <c r="O143" s="724"/>
      <c r="P143" s="724"/>
      <c r="Q143" s="724"/>
      <c r="R143" s="724"/>
      <c r="S143" s="724"/>
      <c r="T143" s="724"/>
      <c r="U143" s="724"/>
      <c r="V143" s="170"/>
      <c r="W143" s="329" t="s">
        <v>493</v>
      </c>
      <c r="X143" s="322">
        <f ca="1">Horarios!C143</f>
        <v>46221.708333333336</v>
      </c>
      <c r="Y143" s="323">
        <f ca="1">Horarios!C143</f>
        <v>46221.708333333336</v>
      </c>
      <c r="Z143" s="330">
        <f>AH143</f>
        <v>103</v>
      </c>
      <c r="AA143" s="331" t="str">
        <f>IF(AND(OR(AC138="",AD138="")),"L101",IF(AC138&gt;AD138,AF138,IF(AC138&lt;AD138,AA138,IF(AND(AC138=AD138,AB138=AE138),"L101",IF(AND(AC138=AD138,OR(AB138="",AE138="")),"L101",IF(AND(AC138=AD138,AB138&gt;AE138),AF138,AA138))))))</f>
        <v>L101</v>
      </c>
      <c r="AB143" s="332"/>
      <c r="AC143" s="333"/>
      <c r="AD143" s="333"/>
      <c r="AE143" s="332"/>
      <c r="AF143" s="334" t="str">
        <f>IF(AND(OR(AC139="",AD139="")),"L102",IF(AC139&gt;AD139,AF139,IF(AC139&lt;AD139,AA139,IF(AND(AC139=AD139,AB139=AE139),"L102",IF(AND(AC139=AD139,OR(AB139="",AE139="")),"L102",IF(AND(AC139=AD139,AB139&gt;AE139),AF139,AA139))))))</f>
        <v>L102</v>
      </c>
      <c r="AG143" s="415">
        <f>IF(D143="W"&amp;AH143,0,1)</f>
        <v>0</v>
      </c>
      <c r="AH143" s="311">
        <v>103</v>
      </c>
      <c r="AI143" s="215"/>
      <c r="AJ143" s="176"/>
      <c r="AK143" s="176"/>
      <c r="AL143" s="176"/>
      <c r="AM143" s="295"/>
      <c r="AN143" s="295"/>
      <c r="AO143" s="295"/>
      <c r="AP143" s="295"/>
      <c r="AQ143" s="295"/>
      <c r="AR143" s="295"/>
      <c r="AS143" s="295"/>
      <c r="AT143" s="295"/>
      <c r="AU143" s="19"/>
      <c r="AV143" s="19"/>
      <c r="AW143" s="295"/>
      <c r="AX143" s="295"/>
      <c r="AY143" s="240"/>
      <c r="AZ143" s="241"/>
      <c r="BA143" s="173"/>
      <c r="BB143" s="730"/>
      <c r="BC143" s="730"/>
      <c r="BD143" s="730"/>
      <c r="BE143" s="730"/>
      <c r="BF143" s="730"/>
      <c r="BG143" s="730"/>
      <c r="BH143" s="730"/>
      <c r="BI143" s="730"/>
      <c r="BJ143" s="730"/>
      <c r="BK143" s="730"/>
      <c r="BL143" s="730"/>
      <c r="BM143" s="730"/>
      <c r="BN143" s="730"/>
      <c r="BO143" s="730"/>
      <c r="BP143" s="730"/>
      <c r="BQ143" s="730"/>
      <c r="BR143" s="730"/>
      <c r="BS143" s="730"/>
      <c r="BT143" s="730"/>
      <c r="BU143" s="730"/>
      <c r="BV143" s="730"/>
      <c r="BW143" s="730"/>
      <c r="BX143" s="730"/>
      <c r="BY143" s="730"/>
      <c r="BZ143" s="730"/>
      <c r="CA143" s="730"/>
      <c r="CB143" s="730"/>
      <c r="CC143" s="730"/>
      <c r="CD143" s="730"/>
      <c r="CE143" s="730"/>
      <c r="CF143" s="730"/>
      <c r="CG143" s="730"/>
      <c r="CH143" s="730"/>
      <c r="CI143" s="730"/>
      <c r="CJ143" s="730"/>
      <c r="CK143" s="730"/>
      <c r="CL143" s="730"/>
      <c r="CM143" s="730"/>
      <c r="CN143" s="730"/>
      <c r="CO143" s="730"/>
      <c r="CP143" s="730"/>
      <c r="CQ143" s="730"/>
      <c r="CR143" s="730"/>
      <c r="CS143" s="730"/>
      <c r="CT143" s="730"/>
      <c r="CU143" s="730"/>
      <c r="CV143" s="730"/>
      <c r="CW143" s="730"/>
      <c r="CX143" s="730"/>
      <c r="CY143" s="730"/>
      <c r="CZ143" s="730"/>
      <c r="DA143" s="730"/>
      <c r="DB143" s="730"/>
      <c r="DC143" s="730"/>
      <c r="DD143" s="730"/>
      <c r="DE143" s="730"/>
      <c r="DF143" s="730"/>
      <c r="DG143" s="730"/>
      <c r="DH143" s="730"/>
      <c r="DI143" s="730"/>
      <c r="DJ143" s="730"/>
      <c r="DK143" s="730"/>
      <c r="DL143" s="730"/>
      <c r="DM143" s="730"/>
      <c r="DN143" s="730"/>
      <c r="DO143" s="730"/>
      <c r="DP143" s="730"/>
      <c r="DQ143" s="730"/>
      <c r="DR143" s="730"/>
      <c r="DS143" s="730"/>
      <c r="DT143" s="730" t="str">
        <f t="shared" si="338"/>
        <v>L101-L102</v>
      </c>
      <c r="DU143" s="730"/>
      <c r="DV143" s="730"/>
      <c r="DW143" s="8"/>
    </row>
    <row r="144" spans="1:127" ht="16.05" customHeight="1" thickBot="1">
      <c r="A144" s="725"/>
      <c r="B144" s="725"/>
      <c r="C144" s="725"/>
      <c r="D144" s="733"/>
      <c r="E144" s="730"/>
      <c r="F144" s="730"/>
      <c r="G144" s="730"/>
      <c r="H144" s="730"/>
      <c r="I144" s="730"/>
      <c r="J144" s="730"/>
      <c r="K144" s="730"/>
      <c r="L144" s="730"/>
      <c r="M144" s="730"/>
      <c r="N144" s="730"/>
      <c r="O144" s="730"/>
      <c r="P144" s="730"/>
      <c r="Q144" s="730"/>
      <c r="R144" s="730"/>
      <c r="S144" s="730"/>
      <c r="T144" s="730"/>
      <c r="U144" s="730"/>
      <c r="V144" s="170"/>
      <c r="W144" s="240"/>
      <c r="X144" s="241"/>
      <c r="Y144" s="240"/>
      <c r="Z144" s="242"/>
      <c r="AA144" s="243"/>
      <c r="AB144" s="244"/>
      <c r="AC144" s="245"/>
      <c r="AD144" s="245"/>
      <c r="AE144" s="244"/>
      <c r="AF144" s="246"/>
      <c r="AG144" s="416"/>
      <c r="AH144" s="311"/>
      <c r="AI144" s="215"/>
      <c r="AJ144" s="176"/>
      <c r="AK144" s="176"/>
      <c r="AL144" s="176"/>
      <c r="AM144" s="295"/>
      <c r="AN144" s="295"/>
      <c r="AO144" s="295"/>
      <c r="AP144" s="295"/>
      <c r="AQ144" s="295"/>
      <c r="AR144" s="295"/>
      <c r="AS144" s="295"/>
      <c r="AT144" s="295"/>
      <c r="AU144" s="19"/>
      <c r="AV144" s="19"/>
      <c r="AW144" s="295"/>
      <c r="AX144" s="295"/>
      <c r="AY144" s="240"/>
      <c r="AZ144" s="241"/>
      <c r="BA144" s="173"/>
      <c r="BB144" s="730"/>
      <c r="BC144" s="730"/>
      <c r="BD144" s="730"/>
      <c r="BE144" s="730"/>
      <c r="BF144" s="730"/>
      <c r="BG144" s="730"/>
      <c r="BH144" s="730"/>
      <c r="BI144" s="730"/>
      <c r="BJ144" s="730"/>
      <c r="BK144" s="730"/>
      <c r="BL144" s="730"/>
      <c r="BM144" s="730"/>
      <c r="BN144" s="730"/>
      <c r="BO144" s="730"/>
      <c r="BP144" s="730"/>
      <c r="BQ144" s="730"/>
      <c r="BR144" s="730"/>
      <c r="BS144" s="730"/>
      <c r="BT144" s="730"/>
      <c r="BU144" s="730"/>
      <c r="BV144" s="730"/>
      <c r="BW144" s="730"/>
      <c r="BX144" s="730"/>
      <c r="BY144" s="730"/>
      <c r="BZ144" s="730"/>
      <c r="CA144" s="730"/>
      <c r="CB144" s="730"/>
      <c r="CC144" s="730"/>
      <c r="CD144" s="730"/>
      <c r="CE144" s="730"/>
      <c r="CF144" s="730"/>
      <c r="CG144" s="730"/>
      <c r="CH144" s="730"/>
      <c r="CI144" s="730"/>
      <c r="CJ144" s="730"/>
      <c r="CK144" s="730"/>
      <c r="CL144" s="730"/>
      <c r="CM144" s="730"/>
      <c r="CN144" s="730"/>
      <c r="CO144" s="730"/>
      <c r="CP144" s="730"/>
      <c r="CQ144" s="730"/>
      <c r="CR144" s="730"/>
      <c r="CS144" s="730"/>
      <c r="CT144" s="730"/>
      <c r="CU144" s="730"/>
      <c r="CV144" s="730"/>
      <c r="CW144" s="730"/>
      <c r="CX144" s="730"/>
      <c r="CY144" s="730"/>
      <c r="CZ144" s="730"/>
      <c r="DA144" s="730"/>
      <c r="DB144" s="730"/>
      <c r="DC144" s="730"/>
      <c r="DD144" s="730"/>
      <c r="DE144" s="730"/>
      <c r="DF144" s="730"/>
      <c r="DG144" s="730"/>
      <c r="DH144" s="730"/>
      <c r="DI144" s="730"/>
      <c r="DJ144" s="730"/>
      <c r="DK144" s="730"/>
      <c r="DL144" s="730"/>
      <c r="DM144" s="730"/>
      <c r="DN144" s="730"/>
      <c r="DO144" s="730"/>
      <c r="DP144" s="730"/>
      <c r="DQ144" s="730"/>
      <c r="DR144" s="730"/>
      <c r="DS144" s="730"/>
      <c r="DT144" s="730" t="str">
        <f t="shared" si="338"/>
        <v>-</v>
      </c>
      <c r="DU144" s="730"/>
      <c r="DV144" s="730"/>
      <c r="DW144" s="8"/>
    </row>
    <row r="145" spans="1:127" ht="16.05" customHeight="1" thickBot="1">
      <c r="A145" s="725"/>
      <c r="B145" s="725"/>
      <c r="C145" s="725"/>
      <c r="D145" s="733"/>
      <c r="E145" s="730"/>
      <c r="F145" s="730"/>
      <c r="G145" s="730"/>
      <c r="H145" s="730"/>
      <c r="I145" s="730"/>
      <c r="J145" s="730"/>
      <c r="K145" s="730"/>
      <c r="L145" s="730"/>
      <c r="M145" s="730"/>
      <c r="N145" s="730"/>
      <c r="O145" s="730"/>
      <c r="P145" s="730"/>
      <c r="Q145" s="730"/>
      <c r="R145" s="730"/>
      <c r="S145" s="730"/>
      <c r="T145" s="730"/>
      <c r="U145" s="730"/>
      <c r="V145" s="170"/>
      <c r="W145" s="315" t="str">
        <f>Idiomas!D30</f>
        <v>Final</v>
      </c>
      <c r="X145" s="316"/>
      <c r="Y145" s="317"/>
      <c r="Z145" s="317"/>
      <c r="AA145" s="335"/>
      <c r="AB145" s="317"/>
      <c r="AC145" s="317"/>
      <c r="AD145" s="317"/>
      <c r="AE145" s="317"/>
      <c r="AF145" s="318"/>
      <c r="AG145" s="416"/>
      <c r="AH145" s="311"/>
      <c r="AI145" s="215"/>
      <c r="AJ145" s="176"/>
      <c r="AK145" s="176"/>
      <c r="AL145" s="176"/>
      <c r="AM145" s="295"/>
      <c r="AN145" s="295"/>
      <c r="AO145" s="295"/>
      <c r="AP145" s="295"/>
      <c r="AQ145" s="295"/>
      <c r="AR145" s="295"/>
      <c r="AS145" s="295"/>
      <c r="AT145" s="295"/>
      <c r="AU145" s="19"/>
      <c r="AV145" s="19"/>
      <c r="AW145" s="295"/>
      <c r="AX145" s="295"/>
      <c r="AY145" s="240"/>
      <c r="AZ145" s="241"/>
      <c r="BA145" s="173"/>
      <c r="BB145" s="730"/>
      <c r="BC145" s="730"/>
      <c r="BD145" s="730"/>
      <c r="BE145" s="730"/>
      <c r="BF145" s="730"/>
      <c r="BG145" s="730"/>
      <c r="BH145" s="730"/>
      <c r="BI145" s="730"/>
      <c r="BJ145" s="730"/>
      <c r="BK145" s="730"/>
      <c r="BL145" s="730"/>
      <c r="BM145" s="730"/>
      <c r="BN145" s="730"/>
      <c r="BO145" s="730"/>
      <c r="BP145" s="730"/>
      <c r="BQ145" s="730"/>
      <c r="BR145" s="730"/>
      <c r="BS145" s="730"/>
      <c r="BT145" s="730"/>
      <c r="BU145" s="730"/>
      <c r="BV145" s="730"/>
      <c r="BW145" s="730"/>
      <c r="BX145" s="730"/>
      <c r="BY145" s="730"/>
      <c r="BZ145" s="730"/>
      <c r="CA145" s="730"/>
      <c r="CB145" s="730"/>
      <c r="CC145" s="730"/>
      <c r="CD145" s="730"/>
      <c r="CE145" s="730"/>
      <c r="CF145" s="730"/>
      <c r="CG145" s="730"/>
      <c r="CH145" s="730"/>
      <c r="CI145" s="730"/>
      <c r="CJ145" s="730"/>
      <c r="CK145" s="730"/>
      <c r="CL145" s="730"/>
      <c r="CM145" s="730"/>
      <c r="CN145" s="730"/>
      <c r="CO145" s="730"/>
      <c r="CP145" s="730"/>
      <c r="CQ145" s="730"/>
      <c r="CR145" s="730"/>
      <c r="CS145" s="730"/>
      <c r="CT145" s="730"/>
      <c r="CU145" s="730"/>
      <c r="CV145" s="730"/>
      <c r="CW145" s="730"/>
      <c r="CX145" s="730"/>
      <c r="CY145" s="730"/>
      <c r="CZ145" s="730"/>
      <c r="DA145" s="730"/>
      <c r="DB145" s="730"/>
      <c r="DC145" s="730"/>
      <c r="DD145" s="730"/>
      <c r="DE145" s="730"/>
      <c r="DF145" s="730"/>
      <c r="DG145" s="730"/>
      <c r="DH145" s="730"/>
      <c r="DI145" s="730"/>
      <c r="DJ145" s="730"/>
      <c r="DK145" s="730"/>
      <c r="DL145" s="730"/>
      <c r="DM145" s="730"/>
      <c r="DN145" s="730"/>
      <c r="DO145" s="730"/>
      <c r="DP145" s="730"/>
      <c r="DQ145" s="730"/>
      <c r="DR145" s="730"/>
      <c r="DS145" s="730"/>
      <c r="DT145" s="730" t="str">
        <f t="shared" si="338"/>
        <v>-</v>
      </c>
      <c r="DU145" s="730"/>
      <c r="DV145" s="730"/>
      <c r="DW145" s="8"/>
    </row>
    <row r="146" spans="1:127" ht="16.05" customHeight="1">
      <c r="A146" s="725"/>
      <c r="B146" s="725"/>
      <c r="C146" s="725"/>
      <c r="D146" s="733"/>
      <c r="E146" s="730"/>
      <c r="F146" s="730"/>
      <c r="G146" s="730"/>
      <c r="H146" s="730"/>
      <c r="I146" s="730"/>
      <c r="J146" s="730"/>
      <c r="K146" s="730"/>
      <c r="L146" s="730"/>
      <c r="M146" s="730"/>
      <c r="N146" s="730"/>
      <c r="O146" s="730"/>
      <c r="P146" s="730"/>
      <c r="Q146" s="730"/>
      <c r="R146" s="730"/>
      <c r="S146" s="730"/>
      <c r="T146" s="730"/>
      <c r="U146" s="730"/>
      <c r="V146" s="170"/>
      <c r="W146" s="319"/>
      <c r="X146" s="178" t="str">
        <f>X3</f>
        <v>Fecha</v>
      </c>
      <c r="Y146" s="178" t="str">
        <f>Y3</f>
        <v>Hora</v>
      </c>
      <c r="Z146" s="263"/>
      <c r="AA146" s="264" t="str">
        <f>AA3</f>
        <v>Casa</v>
      </c>
      <c r="AB146" s="263" t="s">
        <v>13</v>
      </c>
      <c r="AC146" s="178" t="s">
        <v>17</v>
      </c>
      <c r="AD146" s="178" t="s">
        <v>17</v>
      </c>
      <c r="AE146" s="263" t="s">
        <v>13</v>
      </c>
      <c r="AF146" s="320" t="str">
        <f>AF3</f>
        <v>Fuera</v>
      </c>
      <c r="AG146" s="416"/>
      <c r="AH146" s="311"/>
      <c r="AI146" s="18"/>
      <c r="AJ146" s="171"/>
      <c r="AK146" s="171"/>
      <c r="AL146" s="176"/>
      <c r="AM146" s="295"/>
      <c r="AN146" s="295"/>
      <c r="AO146" s="295"/>
      <c r="AP146" s="295"/>
      <c r="AQ146" s="295"/>
      <c r="AR146" s="295"/>
      <c r="AS146" s="295"/>
      <c r="AT146" s="295"/>
      <c r="AU146" s="19"/>
      <c r="AV146" s="19"/>
      <c r="AW146" s="295"/>
      <c r="AX146" s="295"/>
      <c r="AY146" s="240"/>
      <c r="AZ146" s="241"/>
      <c r="BA146" s="173"/>
      <c r="BB146" s="730"/>
      <c r="BC146" s="730"/>
      <c r="BD146" s="730"/>
      <c r="BE146" s="730"/>
      <c r="BF146" s="730"/>
      <c r="BG146" s="730"/>
      <c r="BH146" s="730"/>
      <c r="BI146" s="730"/>
      <c r="BJ146" s="730"/>
      <c r="BK146" s="730"/>
      <c r="BL146" s="730"/>
      <c r="BM146" s="730"/>
      <c r="BN146" s="730"/>
      <c r="BO146" s="730"/>
      <c r="BP146" s="730"/>
      <c r="BQ146" s="730"/>
      <c r="BR146" s="730"/>
      <c r="BS146" s="730"/>
      <c r="BT146" s="730"/>
      <c r="BU146" s="730"/>
      <c r="BV146" s="730"/>
      <c r="BW146" s="730"/>
      <c r="BX146" s="730"/>
      <c r="BY146" s="730"/>
      <c r="BZ146" s="730"/>
      <c r="CA146" s="730"/>
      <c r="CB146" s="730"/>
      <c r="CC146" s="730"/>
      <c r="CD146" s="730"/>
      <c r="CE146" s="730"/>
      <c r="CF146" s="730"/>
      <c r="CG146" s="730"/>
      <c r="CH146" s="730"/>
      <c r="CI146" s="730"/>
      <c r="CJ146" s="730"/>
      <c r="CK146" s="730"/>
      <c r="CL146" s="730"/>
      <c r="CM146" s="730"/>
      <c r="CN146" s="730"/>
      <c r="CO146" s="730"/>
      <c r="CP146" s="730"/>
      <c r="CQ146" s="730"/>
      <c r="CR146" s="730"/>
      <c r="CS146" s="730"/>
      <c r="CT146" s="730"/>
      <c r="CU146" s="730"/>
      <c r="CV146" s="730"/>
      <c r="CW146" s="730"/>
      <c r="CX146" s="730"/>
      <c r="CY146" s="730"/>
      <c r="CZ146" s="730"/>
      <c r="DA146" s="730"/>
      <c r="DB146" s="730"/>
      <c r="DC146" s="730"/>
      <c r="DD146" s="730"/>
      <c r="DE146" s="730"/>
      <c r="DF146" s="730"/>
      <c r="DG146" s="730"/>
      <c r="DH146" s="730"/>
      <c r="DI146" s="730"/>
      <c r="DJ146" s="730"/>
      <c r="DK146" s="730"/>
      <c r="DL146" s="730"/>
      <c r="DM146" s="730"/>
      <c r="DN146" s="730"/>
      <c r="DO146" s="730"/>
      <c r="DP146" s="730"/>
      <c r="DQ146" s="730"/>
      <c r="DR146" s="730"/>
      <c r="DS146" s="730"/>
      <c r="DT146" s="730" t="str">
        <f t="shared" si="338"/>
        <v>Casa-Fuera</v>
      </c>
      <c r="DU146" s="730"/>
      <c r="DV146" s="730"/>
      <c r="DW146" s="8"/>
    </row>
    <row r="147" spans="1:127" ht="16.05" customHeight="1" thickBot="1">
      <c r="A147" s="724" t="s">
        <v>760</v>
      </c>
      <c r="B147" s="724" t="s">
        <v>761</v>
      </c>
      <c r="C147" s="725"/>
      <c r="D147" s="733" t="str">
        <f>IF(AND(OR(AC147="",AD147="")),"W"&amp;AH147,IF(AC147&gt;AD147,AA147,IF(AC147&lt;AD147,AF147,IF(AND(AC147=AD147,AB147=AE147),"W"&amp;AH147,IF(AND(AC147=AD147,OR(AB147="",AE147="")),"W"&amp;AH147,IF(AND(AC147=AD147,AB147&gt;AE147),AA147,AF147))))))</f>
        <v>W104</v>
      </c>
      <c r="E147" s="730">
        <v>101</v>
      </c>
      <c r="F147" s="730">
        <v>102</v>
      </c>
      <c r="G147" s="730"/>
      <c r="H147" s="730" t="str">
        <f>IF(AND(OR(AC147="",AD147="")),"LF",IF(AC147&gt;AD147,AF147,IF(AC147&lt;AD147,AA147,IF(AND(AC147=AD147,AB147=AE147),"LF",IF(AND(AC147=AD147,OR(AB147="",AE147="")),"LF",IF(AND(AC147=AD147,AB147&gt;AE147),AF147,AA147))))))</f>
        <v>LF</v>
      </c>
      <c r="I147" s="730"/>
      <c r="J147" s="724">
        <v>104</v>
      </c>
      <c r="K147" s="724">
        <v>46222.875</v>
      </c>
      <c r="L147" s="724" t="s">
        <v>716</v>
      </c>
      <c r="M147" s="724" t="str">
        <f>+INDEX($D$101:$D$147,MATCH(E147,$AH$101:$AH$147,0))</f>
        <v>W101</v>
      </c>
      <c r="N147" s="724" t="str">
        <f>+INDEX($D$101:$D$147,MATCH(F147,$AH$101:$AH$147,0))</f>
        <v>W102</v>
      </c>
      <c r="O147" s="724"/>
      <c r="P147" s="724"/>
      <c r="Q147" s="724"/>
      <c r="R147" s="724"/>
      <c r="S147" s="724"/>
      <c r="T147" s="724"/>
      <c r="U147" s="724"/>
      <c r="V147" s="170"/>
      <c r="W147" s="336" t="s">
        <v>4</v>
      </c>
      <c r="X147" s="322">
        <f ca="1">Horarios!C147</f>
        <v>46222.625</v>
      </c>
      <c r="Y147" s="323">
        <f ca="1">Horarios!C147</f>
        <v>46222.625</v>
      </c>
      <c r="Z147" s="330">
        <f>AH147</f>
        <v>104</v>
      </c>
      <c r="AA147" s="331" t="str">
        <f>IF(AND(OR(AC138="",AD138="")),"W"&amp;AH138,IF(AC138&gt;AD138,AA138,IF(AC138&lt;AD138,AF138,IF(AND(AC138=AD138,AB138=AE138),"W"&amp;AH138,IF(AND(AC138=AD138,OR(AB138="",AE138="")),"W"&amp;AH138,IF(AND(AC138=AD138,AB138&gt;AE138),AA138,AF138))))))</f>
        <v>W101</v>
      </c>
      <c r="AB147" s="332"/>
      <c r="AC147" s="333"/>
      <c r="AD147" s="333"/>
      <c r="AE147" s="332"/>
      <c r="AF147" s="334" t="str">
        <f>IF(AND(OR(AC139="",AD139="")),"W"&amp;AH139,IF(AC139&gt;AD139,AA139,IF(AC139&lt;AD139,AF139,IF(AND(AC139=AD139,AB139=AE139),"W"&amp;AH139,IF(AND(AC139=AD139,OR(AB139="",AE139="")),"W"&amp;AH139,IF(AND(AC139=AD139,AB139&gt;AE139),AA139,AF139))))))</f>
        <v>W102</v>
      </c>
      <c r="AG147" s="415">
        <f>IF(D147="W"&amp;AH147,0,1)</f>
        <v>0</v>
      </c>
      <c r="AH147" s="311">
        <v>104</v>
      </c>
      <c r="AI147" s="18"/>
      <c r="AJ147" s="171"/>
      <c r="AK147" s="171"/>
      <c r="AL147" s="176"/>
      <c r="AM147" s="171"/>
      <c r="AN147" s="171"/>
      <c r="AO147" s="171"/>
      <c r="AP147" s="172"/>
      <c r="AQ147" s="172"/>
      <c r="AR147" s="172"/>
      <c r="AS147" s="172"/>
      <c r="AT147" s="172"/>
      <c r="AU147" s="22"/>
      <c r="AV147" s="22"/>
      <c r="AW147" s="176"/>
      <c r="AX147" s="176"/>
      <c r="AY147" s="240"/>
      <c r="AZ147" s="241"/>
      <c r="BA147" s="173"/>
      <c r="BB147" s="730"/>
      <c r="BC147" s="730"/>
      <c r="BD147" s="730"/>
      <c r="BE147" s="730"/>
      <c r="BF147" s="730"/>
      <c r="BG147" s="730"/>
      <c r="BH147" s="730"/>
      <c r="BI147" s="730"/>
      <c r="BJ147" s="730"/>
      <c r="BK147" s="730"/>
      <c r="BL147" s="730"/>
      <c r="BM147" s="730"/>
      <c r="BN147" s="730"/>
      <c r="BO147" s="730"/>
      <c r="BP147" s="730"/>
      <c r="BQ147" s="730"/>
      <c r="BR147" s="730"/>
      <c r="BS147" s="730"/>
      <c r="BT147" s="730"/>
      <c r="BU147" s="730"/>
      <c r="BV147" s="730"/>
      <c r="BW147" s="730"/>
      <c r="BX147" s="730"/>
      <c r="BY147" s="730"/>
      <c r="BZ147" s="730"/>
      <c r="CA147" s="730"/>
      <c r="CB147" s="730"/>
      <c r="CC147" s="730"/>
      <c r="CD147" s="730"/>
      <c r="CE147" s="730"/>
      <c r="CF147" s="730"/>
      <c r="CG147" s="730"/>
      <c r="CH147" s="730"/>
      <c r="CI147" s="730"/>
      <c r="CJ147" s="730"/>
      <c r="CK147" s="730"/>
      <c r="CL147" s="730"/>
      <c r="CM147" s="730"/>
      <c r="CN147" s="730"/>
      <c r="CO147" s="730"/>
      <c r="CP147" s="730"/>
      <c r="CQ147" s="730"/>
      <c r="CR147" s="730"/>
      <c r="CS147" s="730"/>
      <c r="CT147" s="730"/>
      <c r="CU147" s="730"/>
      <c r="CV147" s="730"/>
      <c r="CW147" s="730"/>
      <c r="CX147" s="730"/>
      <c r="CY147" s="730"/>
      <c r="CZ147" s="730"/>
      <c r="DA147" s="730"/>
      <c r="DB147" s="730"/>
      <c r="DC147" s="730"/>
      <c r="DD147" s="730"/>
      <c r="DE147" s="730"/>
      <c r="DF147" s="730"/>
      <c r="DG147" s="730"/>
      <c r="DH147" s="730"/>
      <c r="DI147" s="730"/>
      <c r="DJ147" s="730"/>
      <c r="DK147" s="730"/>
      <c r="DL147" s="730"/>
      <c r="DM147" s="730"/>
      <c r="DN147" s="730"/>
      <c r="DO147" s="730"/>
      <c r="DP147" s="730"/>
      <c r="DQ147" s="730"/>
      <c r="DR147" s="730"/>
      <c r="DS147" s="730"/>
      <c r="DT147" s="730" t="str">
        <f t="shared" si="338"/>
        <v>W101-W102</v>
      </c>
      <c r="DU147" s="730"/>
      <c r="DV147" s="730"/>
      <c r="DW147" s="8"/>
    </row>
    <row r="148" spans="1:127" ht="16.05" customHeight="1" thickBot="1">
      <c r="C148" s="5"/>
      <c r="D148" s="5"/>
      <c r="E148" s="5"/>
      <c r="F148" s="5"/>
      <c r="G148" s="5"/>
      <c r="H148" s="5"/>
      <c r="I148" s="5"/>
      <c r="J148" s="5"/>
      <c r="K148" s="5"/>
      <c r="L148" s="5"/>
      <c r="M148" s="5"/>
      <c r="N148" s="5"/>
      <c r="O148" s="5"/>
      <c r="P148" s="5"/>
      <c r="Q148" s="5"/>
      <c r="R148" s="5"/>
      <c r="S148" s="5"/>
      <c r="T148" s="5"/>
      <c r="U148" s="5"/>
      <c r="V148" s="170"/>
      <c r="W148" s="240"/>
      <c r="X148" s="241"/>
      <c r="Y148" s="240"/>
      <c r="Z148" s="242"/>
      <c r="AA148" s="243"/>
      <c r="AB148" s="244"/>
      <c r="AC148" s="245"/>
      <c r="AD148" s="245"/>
      <c r="AE148" s="244"/>
      <c r="AF148" s="246"/>
      <c r="AG148" s="416"/>
      <c r="AH148" s="337"/>
      <c r="AI148" s="337"/>
      <c r="AJ148" s="295"/>
      <c r="AK148" s="295"/>
      <c r="AL148" s="19" t="str">
        <f>Idiomas!D49</f>
        <v>MUNDIAL EN CURSO</v>
      </c>
      <c r="AM148" s="19" t="str">
        <f>Idiomas!D50</f>
        <v>Todavía hay emoción</v>
      </c>
      <c r="AN148" s="295"/>
      <c r="AO148" s="295"/>
      <c r="AP148" s="295"/>
      <c r="AQ148" s="295"/>
      <c r="AR148" s="295"/>
      <c r="AS148" s="295"/>
      <c r="AT148" s="295"/>
      <c r="AU148" s="19"/>
      <c r="AV148" s="19"/>
      <c r="AW148" s="295"/>
      <c r="AX148" s="295"/>
      <c r="AY148" s="240"/>
      <c r="AZ148" s="241"/>
      <c r="BA148" s="173"/>
      <c r="BB148" s="730"/>
      <c r="BC148" s="730"/>
      <c r="BD148" s="730"/>
      <c r="BE148" s="730"/>
      <c r="BF148" s="730"/>
      <c r="BG148" s="730"/>
      <c r="BH148" s="730"/>
      <c r="BI148" s="730"/>
      <c r="BJ148" s="730"/>
      <c r="BK148" s="730"/>
      <c r="BL148" s="730"/>
      <c r="BM148" s="730"/>
      <c r="BN148" s="730"/>
      <c r="BO148" s="730"/>
      <c r="BP148" s="730"/>
      <c r="BQ148" s="730"/>
      <c r="BR148" s="730"/>
      <c r="BS148" s="730"/>
      <c r="BT148" s="730"/>
      <c r="BU148" s="730"/>
      <c r="BV148" s="730"/>
      <c r="BW148" s="730"/>
      <c r="BX148" s="730"/>
      <c r="BY148" s="730"/>
      <c r="BZ148" s="730"/>
      <c r="CA148" s="730"/>
      <c r="CB148" s="730"/>
      <c r="CC148" s="730"/>
      <c r="CD148" s="730"/>
      <c r="CE148" s="730"/>
      <c r="CF148" s="730"/>
      <c r="CG148" s="730"/>
      <c r="CH148" s="730"/>
      <c r="CI148" s="730"/>
      <c r="CJ148" s="730"/>
      <c r="CK148" s="730"/>
      <c r="CL148" s="730"/>
      <c r="CM148" s="730"/>
      <c r="CN148" s="730"/>
      <c r="CO148" s="730"/>
      <c r="CP148" s="730"/>
      <c r="CQ148" s="730"/>
      <c r="CR148" s="730"/>
      <c r="CS148" s="730"/>
      <c r="CT148" s="730"/>
      <c r="CU148" s="730"/>
      <c r="CV148" s="730"/>
      <c r="CW148" s="730"/>
      <c r="CX148" s="730"/>
      <c r="CY148" s="730"/>
      <c r="CZ148" s="730"/>
      <c r="DA148" s="730"/>
      <c r="DB148" s="730"/>
      <c r="DC148" s="730"/>
      <c r="DD148" s="730"/>
      <c r="DE148" s="730"/>
      <c r="DF148" s="730"/>
      <c r="DG148" s="730"/>
      <c r="DH148" s="730"/>
      <c r="DI148" s="730"/>
      <c r="DJ148" s="730"/>
      <c r="DK148" s="730"/>
      <c r="DL148" s="730"/>
      <c r="DM148" s="730"/>
      <c r="DN148" s="730"/>
      <c r="DO148" s="730"/>
      <c r="DP148" s="730"/>
      <c r="DQ148" s="730"/>
      <c r="DR148" s="730"/>
      <c r="DS148" s="730"/>
      <c r="DT148" s="730"/>
      <c r="DU148" s="730"/>
      <c r="DV148" s="730"/>
      <c r="DW148" s="8"/>
    </row>
    <row r="149" spans="1:127" ht="16.05" customHeight="1" thickBot="1">
      <c r="A149" s="719"/>
      <c r="B149" s="719"/>
      <c r="C149" s="719"/>
      <c r="D149" s="719"/>
      <c r="E149" s="719"/>
      <c r="F149" s="719"/>
      <c r="G149" s="719"/>
      <c r="H149" s="719"/>
      <c r="I149" s="719"/>
      <c r="J149" s="719"/>
      <c r="K149" s="719"/>
      <c r="L149" s="719"/>
      <c r="M149" s="719"/>
      <c r="N149" s="719"/>
      <c r="O149" s="719"/>
      <c r="P149" s="719"/>
      <c r="Q149" s="719"/>
      <c r="R149" s="719"/>
      <c r="S149" s="719"/>
      <c r="T149" s="719"/>
      <c r="U149" s="719"/>
      <c r="V149" s="170"/>
      <c r="W149" s="338"/>
      <c r="X149" s="339"/>
      <c r="Y149" s="340"/>
      <c r="Z149" s="340"/>
      <c r="AA149" s="341" t="str">
        <f>Idiomas!D31</f>
        <v>Cuadro de honor</v>
      </c>
      <c r="AB149" s="340"/>
      <c r="AC149" s="339"/>
      <c r="AD149" s="339"/>
      <c r="AE149" s="340"/>
      <c r="AF149" s="342"/>
      <c r="AG149" s="417"/>
      <c r="AH149" s="343"/>
      <c r="AI149" s="337"/>
      <c r="AJ149" s="295"/>
      <c r="AK149" s="295"/>
      <c r="AL149" s="19" t="str">
        <f>Idiomas!D51</f>
        <v>MUNDIAL FINALIZADO</v>
      </c>
      <c r="AM149" s="19" t="str">
        <f>Idiomas!D52</f>
        <v>¿Quién habrá ganado?</v>
      </c>
      <c r="AN149" s="295"/>
      <c r="AO149" s="295"/>
      <c r="AP149" s="295"/>
      <c r="AQ149" s="295"/>
      <c r="AR149" s="295"/>
      <c r="AS149" s="295"/>
      <c r="AT149" s="295"/>
      <c r="AU149" s="19"/>
      <c r="AV149" s="19"/>
      <c r="AW149" s="295"/>
      <c r="AX149" s="295"/>
      <c r="AY149" s="240"/>
      <c r="AZ149" s="241"/>
      <c r="BA149" s="173"/>
      <c r="BB149" s="730"/>
      <c r="BC149" s="730"/>
      <c r="BD149" s="730"/>
      <c r="BE149" s="730"/>
      <c r="BF149" s="730"/>
      <c r="BG149" s="730"/>
      <c r="BH149" s="730"/>
      <c r="BI149" s="730"/>
      <c r="BJ149" s="730"/>
      <c r="BK149" s="730"/>
      <c r="BL149" s="730"/>
      <c r="BM149" s="730"/>
      <c r="BN149" s="730"/>
      <c r="BO149" s="730"/>
      <c r="BP149" s="730"/>
      <c r="BQ149" s="730"/>
      <c r="BR149" s="730"/>
      <c r="BS149" s="730"/>
      <c r="BT149" s="730"/>
      <c r="BU149" s="730"/>
      <c r="BV149" s="730"/>
      <c r="BW149" s="730"/>
      <c r="BX149" s="730"/>
      <c r="BY149" s="730"/>
      <c r="BZ149" s="730"/>
      <c r="CA149" s="730"/>
      <c r="CB149" s="730"/>
      <c r="CC149" s="730"/>
      <c r="CD149" s="730"/>
      <c r="CE149" s="730"/>
      <c r="CF149" s="730"/>
      <c r="CG149" s="730"/>
      <c r="CH149" s="730"/>
      <c r="CI149" s="730"/>
      <c r="CJ149" s="730"/>
      <c r="CK149" s="730"/>
      <c r="CL149" s="730"/>
      <c r="CM149" s="730"/>
      <c r="CN149" s="730"/>
      <c r="CO149" s="730"/>
      <c r="CP149" s="730"/>
      <c r="CQ149" s="730"/>
      <c r="CR149" s="730"/>
      <c r="CS149" s="730"/>
      <c r="CT149" s="730"/>
      <c r="CU149" s="730"/>
      <c r="CV149" s="730"/>
      <c r="CW149" s="730"/>
      <c r="CX149" s="730"/>
      <c r="CY149" s="730"/>
      <c r="CZ149" s="730"/>
      <c r="DA149" s="730"/>
      <c r="DB149" s="730"/>
      <c r="DC149" s="730"/>
      <c r="DD149" s="730"/>
      <c r="DE149" s="730"/>
      <c r="DF149" s="730"/>
      <c r="DG149" s="730"/>
      <c r="DH149" s="730"/>
      <c r="DI149" s="730"/>
      <c r="DJ149" s="730"/>
      <c r="DK149" s="730"/>
      <c r="DL149" s="730"/>
      <c r="DM149" s="730"/>
      <c r="DN149" s="730"/>
      <c r="DO149" s="730"/>
      <c r="DP149" s="730"/>
      <c r="DQ149" s="730"/>
      <c r="DR149" s="730"/>
      <c r="DS149" s="730"/>
      <c r="DT149" s="730"/>
      <c r="DU149" s="730"/>
      <c r="DV149" s="730"/>
      <c r="DW149" s="8"/>
    </row>
    <row r="150" spans="1:127" ht="16.05" customHeight="1" thickBot="1">
      <c r="A150" s="719"/>
      <c r="B150" s="719"/>
      <c r="C150" s="719"/>
      <c r="D150" s="719"/>
      <c r="E150" s="719"/>
      <c r="F150" s="719"/>
      <c r="G150" s="719"/>
      <c r="H150" s="719"/>
      <c r="I150" s="719"/>
      <c r="J150" s="719"/>
      <c r="K150" s="719"/>
      <c r="L150" s="719"/>
      <c r="M150" s="719"/>
      <c r="N150" s="719"/>
      <c r="O150" s="719"/>
      <c r="P150" s="719"/>
      <c r="Q150" s="719"/>
      <c r="R150" s="719"/>
      <c r="S150" s="719"/>
      <c r="T150" s="719"/>
      <c r="U150" s="719"/>
      <c r="V150" s="170"/>
      <c r="W150" s="344" t="str">
        <f>"🥇"&amp;Idiomas!D32</f>
        <v>🥇Campeón</v>
      </c>
      <c r="X150" s="345"/>
      <c r="Y150" s="346"/>
      <c r="Z150" s="346"/>
      <c r="AA150" s="347" t="str">
        <f>IF(AND(OR(AC147="",AD147="")),"WF",IF(AC147&gt;AD147,AA147,IF(AC147&lt;AD147,AF147,IF(AND(AC147=AD147,AB147=AE147),"WF",IF(AND(AC147=AD147,OR(AB147="",AE147="")),"WF",IF(AND(AC147=AD147,AB147&gt;AE147),AA147,AF147))))))</f>
        <v>WF</v>
      </c>
      <c r="AB150" s="348"/>
      <c r="AC150" s="348"/>
      <c r="AD150" s="348"/>
      <c r="AE150" s="348"/>
      <c r="AF150" s="349"/>
      <c r="AG150" s="415">
        <f>IF(AA150="WF",0,1)</f>
        <v>0</v>
      </c>
      <c r="AH150" s="343"/>
      <c r="AI150" s="343"/>
      <c r="AJ150" s="171"/>
      <c r="AK150" s="171"/>
      <c r="AL150" s="171"/>
      <c r="AM150" s="171"/>
      <c r="AN150" s="171"/>
      <c r="AO150" s="171"/>
      <c r="AP150" s="171"/>
      <c r="AQ150" s="171"/>
      <c r="AR150" s="171"/>
      <c r="AS150" s="171"/>
      <c r="AT150" s="171"/>
      <c r="AU150" s="343"/>
      <c r="AV150" s="343"/>
      <c r="AW150" s="171"/>
      <c r="AX150" s="171"/>
      <c r="AY150" s="240"/>
      <c r="AZ150" s="241"/>
      <c r="BA150" s="173"/>
      <c r="BB150" s="730"/>
      <c r="BC150" s="730"/>
      <c r="BD150" s="730"/>
      <c r="BE150" s="730"/>
      <c r="BF150" s="730"/>
      <c r="BG150" s="730"/>
      <c r="BH150" s="730"/>
      <c r="BI150" s="730"/>
      <c r="BJ150" s="730"/>
      <c r="BK150" s="730"/>
      <c r="BL150" s="730"/>
      <c r="BM150" s="730"/>
      <c r="BN150" s="730"/>
      <c r="BO150" s="730"/>
      <c r="BP150" s="730"/>
      <c r="BQ150" s="730"/>
      <c r="BR150" s="730"/>
      <c r="BS150" s="730"/>
      <c r="BT150" s="730"/>
      <c r="BU150" s="730"/>
      <c r="BV150" s="730"/>
      <c r="BW150" s="730"/>
      <c r="BX150" s="730"/>
      <c r="BY150" s="730"/>
      <c r="BZ150" s="730"/>
      <c r="CA150" s="730"/>
      <c r="CB150" s="730"/>
      <c r="CC150" s="730"/>
      <c r="CD150" s="730"/>
      <c r="CE150" s="730"/>
      <c r="CF150" s="730"/>
      <c r="CG150" s="730"/>
      <c r="CH150" s="730"/>
      <c r="CI150" s="730"/>
      <c r="CJ150" s="730"/>
      <c r="CK150" s="730"/>
      <c r="CL150" s="730"/>
      <c r="CM150" s="730"/>
      <c r="CN150" s="730"/>
      <c r="CO150" s="730"/>
      <c r="CP150" s="730"/>
      <c r="CQ150" s="730"/>
      <c r="CR150" s="730"/>
      <c r="CS150" s="730"/>
      <c r="CT150" s="730"/>
      <c r="CU150" s="730"/>
      <c r="CV150" s="730"/>
      <c r="CW150" s="730"/>
      <c r="CX150" s="730"/>
      <c r="CY150" s="730"/>
      <c r="CZ150" s="730"/>
      <c r="DA150" s="730"/>
      <c r="DB150" s="730"/>
      <c r="DC150" s="730"/>
      <c r="DD150" s="730"/>
      <c r="DE150" s="730"/>
      <c r="DF150" s="730"/>
      <c r="DG150" s="730"/>
      <c r="DH150" s="730"/>
      <c r="DI150" s="730"/>
      <c r="DJ150" s="730"/>
      <c r="DK150" s="730"/>
      <c r="DL150" s="730"/>
      <c r="DM150" s="730"/>
      <c r="DN150" s="730"/>
      <c r="DO150" s="730"/>
      <c r="DP150" s="730"/>
      <c r="DQ150" s="730"/>
      <c r="DR150" s="730"/>
      <c r="DS150" s="730"/>
      <c r="DT150" s="730"/>
      <c r="DU150" s="730"/>
      <c r="DV150" s="730"/>
      <c r="DW150" s="8"/>
    </row>
    <row r="151" spans="1:127" ht="16.05" customHeight="1">
      <c r="A151" s="719"/>
      <c r="B151" s="719"/>
      <c r="C151" s="719"/>
      <c r="D151" s="719"/>
      <c r="E151" s="719"/>
      <c r="F151" s="719"/>
      <c r="G151" s="719"/>
      <c r="H151" s="719"/>
      <c r="I151" s="719"/>
      <c r="J151" s="719"/>
      <c r="K151" s="719"/>
      <c r="L151" s="719"/>
      <c r="M151" s="719"/>
      <c r="N151" s="719"/>
      <c r="O151" s="719"/>
      <c r="P151" s="719"/>
      <c r="Q151" s="719"/>
      <c r="R151" s="719"/>
      <c r="S151" s="719"/>
      <c r="T151" s="719"/>
      <c r="U151" s="719"/>
      <c r="V151" s="170"/>
      <c r="W151" s="344" t="str">
        <f>"🥈"&amp;Idiomas!D33</f>
        <v>🥈Subcampeón</v>
      </c>
      <c r="X151" s="345"/>
      <c r="Y151" s="346"/>
      <c r="Z151" s="346"/>
      <c r="AA151" s="350" t="str">
        <f>IF(AND(OR(AC147="",AD147="")),"LF",IF(AC147&gt;AD147,AF147,IF(AC147&lt;AD147,AA147,IF(AND(AC147=AD147,AB147=AE147),"LF",IF(AND(AC147=AD147,OR(AB147="",AE147="")),"LF",IF(AND(AC147=AD147,AB147&gt;AE147),AF147,AA147))))))</f>
        <v>LF</v>
      </c>
      <c r="AB151" s="351"/>
      <c r="AC151" s="351"/>
      <c r="AD151" s="351"/>
      <c r="AE151" s="351"/>
      <c r="AF151" s="352"/>
      <c r="AG151" s="415">
        <f>IF(AA151="LF",0,1)</f>
        <v>0</v>
      </c>
      <c r="AH151" s="343"/>
      <c r="AI151" s="343"/>
      <c r="AJ151" s="852" t="str">
        <f>IF(SUM(COUNTIF(AG4:AG97,0),COUNTIF(AG101:AG160,0)&gt;0),AL148,AL149)</f>
        <v>MUNDIAL EN CURSO</v>
      </c>
      <c r="AK151" s="853"/>
      <c r="AL151" s="853"/>
      <c r="AM151" s="853"/>
      <c r="AN151" s="853"/>
      <c r="AO151" s="853"/>
      <c r="AP151" s="853"/>
      <c r="AQ151" s="853"/>
      <c r="AR151" s="853"/>
      <c r="AS151" s="853"/>
      <c r="AT151" s="853"/>
      <c r="AU151" s="854"/>
      <c r="AV151" s="353"/>
      <c r="AW151" s="241"/>
      <c r="AX151" s="240"/>
      <c r="AY151" s="242"/>
      <c r="AZ151" s="243"/>
      <c r="BA151" s="173"/>
      <c r="DW151" s="8"/>
    </row>
    <row r="152" spans="1:127" ht="16.05" customHeight="1" thickBot="1">
      <c r="A152" s="719"/>
      <c r="B152" s="719"/>
      <c r="C152" s="719"/>
      <c r="D152" s="719"/>
      <c r="E152" s="719"/>
      <c r="F152" s="719"/>
      <c r="G152" s="719"/>
      <c r="H152" s="719"/>
      <c r="I152" s="719"/>
      <c r="J152" s="719"/>
      <c r="K152" s="719"/>
      <c r="L152" s="719"/>
      <c r="M152" s="719"/>
      <c r="N152" s="719"/>
      <c r="O152" s="719"/>
      <c r="P152" s="719"/>
      <c r="Q152" s="719"/>
      <c r="R152" s="719"/>
      <c r="S152" s="719"/>
      <c r="T152" s="719"/>
      <c r="U152" s="719"/>
      <c r="V152" s="170"/>
      <c r="W152" s="354" t="str">
        <f>"🥉"&amp;Idiomas!D34</f>
        <v>🥉3º puesto</v>
      </c>
      <c r="X152" s="355"/>
      <c r="Y152" s="356"/>
      <c r="Z152" s="356"/>
      <c r="AA152" s="357" t="str">
        <f>IF(AND(OR(AC143="",AD143="")),"W34",IF(AC143&gt;AD143,AA143,IF(AC143&lt;AD143,AF143,IF(AND(AC143=AD143,AB143=AE143),"W34",IF(AND(AC143=AD143,OR(AB143="",AE143="")),"W34",IF(AND(AC143=AD143,AB143&gt;AE143),AA143,AF143))))))</f>
        <v>W34</v>
      </c>
      <c r="AB152" s="358"/>
      <c r="AC152" s="358"/>
      <c r="AD152" s="358"/>
      <c r="AE152" s="358"/>
      <c r="AF152" s="359"/>
      <c r="AG152" s="415">
        <f>IF(AA152="W34",0,1)</f>
        <v>0</v>
      </c>
      <c r="AH152" s="343"/>
      <c r="AI152" s="343"/>
      <c r="AJ152" s="855"/>
      <c r="AK152" s="856"/>
      <c r="AL152" s="856"/>
      <c r="AM152" s="856"/>
      <c r="AN152" s="856"/>
      <c r="AO152" s="856"/>
      <c r="AP152" s="856"/>
      <c r="AQ152" s="856"/>
      <c r="AR152" s="856"/>
      <c r="AS152" s="856"/>
      <c r="AT152" s="856"/>
      <c r="AU152" s="857"/>
      <c r="AV152" s="353"/>
      <c r="AW152" s="241"/>
      <c r="AX152" s="240"/>
      <c r="AY152" s="242"/>
      <c r="AZ152" s="243"/>
      <c r="BA152" s="173"/>
      <c r="DW152" s="8"/>
    </row>
    <row r="153" spans="1:127" ht="16.05" customHeight="1" thickBot="1">
      <c r="A153" s="719"/>
      <c r="B153" s="719"/>
      <c r="C153" s="719"/>
      <c r="D153" s="719"/>
      <c r="E153" s="719"/>
      <c r="F153" s="719"/>
      <c r="G153" s="719"/>
      <c r="H153" s="719"/>
      <c r="I153" s="719"/>
      <c r="J153" s="719"/>
      <c r="K153" s="719"/>
      <c r="L153" s="719"/>
      <c r="M153" s="719"/>
      <c r="N153" s="719"/>
      <c r="O153" s="719"/>
      <c r="P153" s="719"/>
      <c r="Q153" s="719"/>
      <c r="R153" s="719"/>
      <c r="S153" s="719"/>
      <c r="T153" s="719"/>
      <c r="U153" s="719"/>
      <c r="V153" s="170"/>
      <c r="W153" s="240"/>
      <c r="X153" s="241"/>
      <c r="Y153" s="240"/>
      <c r="Z153" s="242"/>
      <c r="AA153" s="243"/>
      <c r="AB153" s="244"/>
      <c r="AC153" s="245"/>
      <c r="AD153" s="245"/>
      <c r="AE153" s="244"/>
      <c r="AF153" s="246"/>
      <c r="AG153" s="413"/>
      <c r="AH153" s="343"/>
      <c r="AI153" s="343"/>
      <c r="AJ153" s="855"/>
      <c r="AK153" s="856"/>
      <c r="AL153" s="856"/>
      <c r="AM153" s="856"/>
      <c r="AN153" s="856"/>
      <c r="AO153" s="856"/>
      <c r="AP153" s="856"/>
      <c r="AQ153" s="856"/>
      <c r="AR153" s="856"/>
      <c r="AS153" s="856"/>
      <c r="AT153" s="856"/>
      <c r="AU153" s="857"/>
      <c r="AV153" s="353"/>
      <c r="AW153" s="241"/>
      <c r="AX153" s="240"/>
      <c r="AY153" s="242"/>
      <c r="AZ153" s="243"/>
      <c r="BA153" s="173"/>
      <c r="DW153" s="8"/>
    </row>
    <row r="154" spans="1:127" ht="16.05" customHeight="1">
      <c r="A154" s="719"/>
      <c r="B154" s="719"/>
      <c r="C154" s="719"/>
      <c r="D154" s="719"/>
      <c r="E154" s="719"/>
      <c r="F154" s="719"/>
      <c r="G154" s="719"/>
      <c r="H154" s="719"/>
      <c r="I154" s="719"/>
      <c r="J154" s="719"/>
      <c r="K154" s="719"/>
      <c r="L154" s="719"/>
      <c r="M154" s="719"/>
      <c r="N154" s="719"/>
      <c r="O154" s="719"/>
      <c r="P154" s="719"/>
      <c r="Q154" s="719"/>
      <c r="R154" s="719"/>
      <c r="S154" s="719"/>
      <c r="T154" s="719"/>
      <c r="U154" s="719"/>
      <c r="V154" s="170"/>
      <c r="W154" s="360" t="str">
        <f>Idiomas!D35</f>
        <v>Bota de Oro  (máximo goleador)</v>
      </c>
      <c r="X154" s="361"/>
      <c r="Y154" s="361"/>
      <c r="Z154" s="362"/>
      <c r="AA154" s="363" t="str">
        <f>+Idiomas!D41</f>
        <v>Escribe el jugador Bota de Oro</v>
      </c>
      <c r="AB154" s="364"/>
      <c r="AC154" s="364"/>
      <c r="AD154" s="364"/>
      <c r="AE154" s="364"/>
      <c r="AF154" s="365"/>
      <c r="AG154" s="415">
        <f>IF(AA154=AH154,0,IF(AA154="",0,1))</f>
        <v>0</v>
      </c>
      <c r="AH154" s="366" t="str">
        <f>+Idiomas!D41</f>
        <v>Escribe el jugador Bota de Oro</v>
      </c>
      <c r="AI154" s="343"/>
      <c r="AJ154" s="855"/>
      <c r="AK154" s="856"/>
      <c r="AL154" s="856"/>
      <c r="AM154" s="856"/>
      <c r="AN154" s="856"/>
      <c r="AO154" s="856"/>
      <c r="AP154" s="856"/>
      <c r="AQ154" s="856"/>
      <c r="AR154" s="856"/>
      <c r="AS154" s="856"/>
      <c r="AT154" s="856"/>
      <c r="AU154" s="857"/>
      <c r="AV154" s="353"/>
      <c r="AW154" s="241"/>
      <c r="AX154" s="240"/>
      <c r="AY154" s="242"/>
      <c r="AZ154" s="243"/>
      <c r="BA154" s="173"/>
      <c r="DW154" s="8"/>
    </row>
    <row r="155" spans="1:127" ht="16.05" customHeight="1">
      <c r="A155" s="719"/>
      <c r="B155" s="719"/>
      <c r="C155" s="719"/>
      <c r="D155" s="719"/>
      <c r="E155" s="719"/>
      <c r="F155" s="719"/>
      <c r="G155" s="719"/>
      <c r="H155" s="719"/>
      <c r="I155" s="719"/>
      <c r="J155" s="719"/>
      <c r="K155" s="719"/>
      <c r="L155" s="719"/>
      <c r="M155" s="719"/>
      <c r="N155" s="719"/>
      <c r="O155" s="719"/>
      <c r="P155" s="719"/>
      <c r="Q155" s="719"/>
      <c r="R155" s="719"/>
      <c r="S155" s="719"/>
      <c r="T155" s="719"/>
      <c r="U155" s="719"/>
      <c r="V155" s="170"/>
      <c r="W155" s="344" t="str">
        <f>Idiomas!D36</f>
        <v>Bota de Plata (2º máximo goleador)</v>
      </c>
      <c r="X155" s="346"/>
      <c r="Y155" s="346"/>
      <c r="Z155" s="367"/>
      <c r="AA155" s="368" t="str">
        <f>+Idiomas!D42</f>
        <v>Escribe el jugador Bota de Plata</v>
      </c>
      <c r="AB155" s="369"/>
      <c r="AC155" s="369"/>
      <c r="AD155" s="369"/>
      <c r="AE155" s="369"/>
      <c r="AF155" s="370"/>
      <c r="AG155" s="415">
        <f t="shared" ref="AG155:AG156" si="341">IF(AA155=AH155,0,IF(AA155="",0,1))</f>
        <v>0</v>
      </c>
      <c r="AH155" s="343" t="str">
        <f>+Idiomas!D42</f>
        <v>Escribe el jugador Bota de Plata</v>
      </c>
      <c r="AI155" s="343"/>
      <c r="AJ155" s="866" t="str">
        <f>IF(SUM(COUNTIF(AG4:AG97,0),COUNTIF(AG101:AG160,0)&gt;0),AM148,AM149)</f>
        <v>Todavía hay emoción</v>
      </c>
      <c r="AK155" s="867"/>
      <c r="AL155" s="867"/>
      <c r="AM155" s="867"/>
      <c r="AN155" s="867"/>
      <c r="AO155" s="867"/>
      <c r="AP155" s="867"/>
      <c r="AQ155" s="867"/>
      <c r="AR155" s="867"/>
      <c r="AS155" s="867"/>
      <c r="AT155" s="867"/>
      <c r="AU155" s="868"/>
      <c r="AV155" s="353"/>
      <c r="AW155" s="241"/>
      <c r="AX155" s="240"/>
      <c r="AY155" s="242"/>
      <c r="AZ155" s="243"/>
      <c r="BA155" s="371"/>
      <c r="DW155" s="8"/>
    </row>
    <row r="156" spans="1:127" ht="16.05" customHeight="1" thickBot="1">
      <c r="A156" s="719"/>
      <c r="B156" s="719"/>
      <c r="C156" s="719"/>
      <c r="D156" s="719"/>
      <c r="E156" s="719"/>
      <c r="F156" s="719"/>
      <c r="G156" s="719"/>
      <c r="H156" s="719"/>
      <c r="I156" s="719"/>
      <c r="J156" s="719"/>
      <c r="K156" s="719"/>
      <c r="L156" s="719"/>
      <c r="M156" s="719"/>
      <c r="N156" s="719"/>
      <c r="O156" s="719"/>
      <c r="P156" s="719"/>
      <c r="Q156" s="719"/>
      <c r="R156" s="719"/>
      <c r="S156" s="719"/>
      <c r="T156" s="719"/>
      <c r="U156" s="719"/>
      <c r="V156" s="170"/>
      <c r="W156" s="354" t="str">
        <f>Idiomas!D37</f>
        <v>Bota de Bronce (3º máximo goleador)</v>
      </c>
      <c r="X156" s="356"/>
      <c r="Y156" s="356"/>
      <c r="Z156" s="372"/>
      <c r="AA156" s="373" t="str">
        <f>+Idiomas!D43</f>
        <v>Escribe el jugador Bota de Bronce</v>
      </c>
      <c r="AB156" s="374"/>
      <c r="AC156" s="374"/>
      <c r="AD156" s="374"/>
      <c r="AE156" s="374"/>
      <c r="AF156" s="375"/>
      <c r="AG156" s="415">
        <f t="shared" si="341"/>
        <v>0</v>
      </c>
      <c r="AH156" s="343" t="str">
        <f>+Idiomas!D43</f>
        <v>Escribe el jugador Bota de Bronce</v>
      </c>
      <c r="AI156" s="343"/>
      <c r="AJ156" s="866"/>
      <c r="AK156" s="867"/>
      <c r="AL156" s="867"/>
      <c r="AM156" s="867"/>
      <c r="AN156" s="867"/>
      <c r="AO156" s="867"/>
      <c r="AP156" s="867"/>
      <c r="AQ156" s="867"/>
      <c r="AR156" s="867"/>
      <c r="AS156" s="867"/>
      <c r="AT156" s="867"/>
      <c r="AU156" s="868"/>
      <c r="AV156" s="353"/>
      <c r="AW156" s="241"/>
      <c r="AX156" s="240"/>
      <c r="AY156" s="242"/>
      <c r="AZ156" s="243"/>
      <c r="BA156" s="371"/>
      <c r="DW156" s="8"/>
    </row>
    <row r="157" spans="1:127" ht="16.05" customHeight="1" thickBot="1">
      <c r="A157" s="719"/>
      <c r="B157" s="719"/>
      <c r="C157" s="719"/>
      <c r="D157" s="719"/>
      <c r="E157" s="719"/>
      <c r="F157" s="719"/>
      <c r="G157" s="719"/>
      <c r="H157" s="719"/>
      <c r="I157" s="719"/>
      <c r="J157" s="719"/>
      <c r="K157" s="719"/>
      <c r="L157" s="719"/>
      <c r="M157" s="719"/>
      <c r="N157" s="719"/>
      <c r="O157" s="719"/>
      <c r="P157" s="719"/>
      <c r="Q157" s="719"/>
      <c r="R157" s="719"/>
      <c r="S157" s="719"/>
      <c r="T157" s="719"/>
      <c r="U157" s="719"/>
      <c r="V157" s="170"/>
      <c r="W157" s="240"/>
      <c r="X157" s="241"/>
      <c r="Y157" s="240"/>
      <c r="Z157" s="242"/>
      <c r="AA157" s="243"/>
      <c r="AB157" s="244"/>
      <c r="AC157" s="245"/>
      <c r="AD157" s="245"/>
      <c r="AE157" s="244"/>
      <c r="AF157" s="246"/>
      <c r="AG157" s="413"/>
      <c r="AH157" s="343"/>
      <c r="AI157" s="343"/>
      <c r="AJ157" s="869"/>
      <c r="AK157" s="870"/>
      <c r="AL157" s="870"/>
      <c r="AM157" s="870"/>
      <c r="AN157" s="870"/>
      <c r="AO157" s="870"/>
      <c r="AP157" s="870"/>
      <c r="AQ157" s="870"/>
      <c r="AR157" s="870"/>
      <c r="AS157" s="870"/>
      <c r="AT157" s="870"/>
      <c r="AU157" s="871"/>
      <c r="AV157" s="353"/>
      <c r="AW157" s="241"/>
      <c r="AX157" s="240"/>
      <c r="AY157" s="242"/>
      <c r="AZ157" s="243"/>
      <c r="BA157" s="371"/>
      <c r="DW157" s="8"/>
    </row>
    <row r="158" spans="1:127" ht="16.05" customHeight="1">
      <c r="A158" s="719"/>
      <c r="B158" s="719"/>
      <c r="C158" s="719"/>
      <c r="D158" s="719"/>
      <c r="E158" s="719"/>
      <c r="F158" s="719"/>
      <c r="G158" s="719"/>
      <c r="H158" s="719"/>
      <c r="I158" s="719"/>
      <c r="J158" s="719"/>
      <c r="K158" s="719"/>
      <c r="L158" s="719"/>
      <c r="M158" s="719"/>
      <c r="N158" s="719"/>
      <c r="O158" s="719"/>
      <c r="P158" s="719"/>
      <c r="Q158" s="719"/>
      <c r="R158" s="719"/>
      <c r="S158" s="719"/>
      <c r="T158" s="719"/>
      <c r="U158" s="719"/>
      <c r="V158" s="170"/>
      <c r="W158" s="360" t="str">
        <f>Idiomas!D38</f>
        <v>Balón de Oro  (mejor jugador)</v>
      </c>
      <c r="X158" s="361"/>
      <c r="Y158" s="361"/>
      <c r="Z158" s="362"/>
      <c r="AA158" s="363" t="str">
        <f>+Idiomas!D44</f>
        <v>Escribe el jugador Balón de Oro</v>
      </c>
      <c r="AB158" s="364"/>
      <c r="AC158" s="364"/>
      <c r="AD158" s="364"/>
      <c r="AE158" s="364"/>
      <c r="AF158" s="365"/>
      <c r="AG158" s="415">
        <f t="shared" ref="AG158:AG160" si="342">IF(AA158=AH158,0,IF(AA158="",0,1))</f>
        <v>0</v>
      </c>
      <c r="AH158" s="25" t="str">
        <f>+Idiomas!D44</f>
        <v>Escribe el jugador Balón de Oro</v>
      </c>
      <c r="AI158" s="343"/>
      <c r="AJ158" s="171"/>
      <c r="AK158" s="171"/>
      <c r="AL158" s="171"/>
      <c r="AM158" s="171"/>
      <c r="AN158" s="171"/>
      <c r="AO158" s="171"/>
      <c r="AP158" s="171"/>
      <c r="AQ158" s="171"/>
      <c r="AR158" s="171"/>
      <c r="AS158" s="171"/>
      <c r="AT158" s="171"/>
      <c r="AU158" s="343"/>
      <c r="AV158" s="353"/>
      <c r="AW158" s="241"/>
      <c r="AX158" s="240"/>
      <c r="AY158" s="242"/>
      <c r="AZ158" s="243"/>
      <c r="BA158" s="371"/>
      <c r="DW158" s="8"/>
    </row>
    <row r="159" spans="1:127" ht="16.05" customHeight="1">
      <c r="A159" s="719"/>
      <c r="B159" s="719"/>
      <c r="C159" s="719"/>
      <c r="D159" s="719"/>
      <c r="E159" s="719"/>
      <c r="F159" s="719"/>
      <c r="G159" s="719"/>
      <c r="H159" s="719"/>
      <c r="I159" s="719"/>
      <c r="J159" s="719"/>
      <c r="K159" s="719"/>
      <c r="L159" s="719"/>
      <c r="M159" s="719"/>
      <c r="N159" s="719"/>
      <c r="O159" s="719"/>
      <c r="P159" s="719"/>
      <c r="Q159" s="719"/>
      <c r="R159" s="719"/>
      <c r="S159" s="719"/>
      <c r="T159" s="719"/>
      <c r="U159" s="719"/>
      <c r="V159" s="170"/>
      <c r="W159" s="344" t="str">
        <f>Idiomas!D39</f>
        <v>Balón de Plata (2º mejor jugador)</v>
      </c>
      <c r="X159" s="346"/>
      <c r="Y159" s="346"/>
      <c r="Z159" s="367"/>
      <c r="AA159" s="368" t="str">
        <f>+Idiomas!D45</f>
        <v>Escribe el jugador Balón de Plata</v>
      </c>
      <c r="AB159" s="369"/>
      <c r="AC159" s="369"/>
      <c r="AD159" s="369"/>
      <c r="AE159" s="369"/>
      <c r="AF159" s="370"/>
      <c r="AG159" s="415">
        <f t="shared" si="342"/>
        <v>0</v>
      </c>
      <c r="AH159" s="343" t="str">
        <f>+Idiomas!D45</f>
        <v>Escribe el jugador Balón de Plata</v>
      </c>
      <c r="AI159" s="376"/>
      <c r="AJ159" s="171"/>
      <c r="AK159" s="171"/>
      <c r="AL159" s="171"/>
      <c r="AM159" s="171"/>
      <c r="AN159" s="171"/>
      <c r="AO159" s="171"/>
      <c r="AP159" s="171"/>
      <c r="AQ159" s="171"/>
      <c r="AR159" s="171"/>
      <c r="AS159" s="171"/>
      <c r="AT159" s="171"/>
      <c r="AU159" s="343"/>
      <c r="AV159" s="353"/>
      <c r="AW159" s="241"/>
      <c r="AX159" s="240"/>
      <c r="AY159" s="242"/>
      <c r="AZ159" s="243"/>
      <c r="BA159" s="371"/>
      <c r="DW159" s="8"/>
    </row>
    <row r="160" spans="1:127" ht="16.05" customHeight="1" thickBot="1">
      <c r="A160" s="719"/>
      <c r="B160" s="719"/>
      <c r="C160" s="719"/>
      <c r="D160" s="719"/>
      <c r="E160" s="719"/>
      <c r="F160" s="719"/>
      <c r="G160" s="719"/>
      <c r="H160" s="719"/>
      <c r="I160" s="719"/>
      <c r="J160" s="719"/>
      <c r="K160" s="719"/>
      <c r="L160" s="719"/>
      <c r="M160" s="719"/>
      <c r="N160" s="719"/>
      <c r="O160" s="719"/>
      <c r="P160" s="719"/>
      <c r="Q160" s="719"/>
      <c r="R160" s="719"/>
      <c r="S160" s="719"/>
      <c r="T160" s="719"/>
      <c r="U160" s="719"/>
      <c r="V160" s="170"/>
      <c r="W160" s="354" t="str">
        <f>Idiomas!D40</f>
        <v>Balón de Bronce (3º mejor jugador)</v>
      </c>
      <c r="X160" s="356"/>
      <c r="Y160" s="356"/>
      <c r="Z160" s="372"/>
      <c r="AA160" s="373" t="str">
        <f>+Idiomas!D46</f>
        <v>Escribe el jugador Balón de Bronce</v>
      </c>
      <c r="AB160" s="374"/>
      <c r="AC160" s="374"/>
      <c r="AD160" s="374"/>
      <c r="AE160" s="374"/>
      <c r="AF160" s="375"/>
      <c r="AG160" s="415">
        <f t="shared" si="342"/>
        <v>0</v>
      </c>
      <c r="AH160" s="343" t="str">
        <f>+Idiomas!D46</f>
        <v>Escribe el jugador Balón de Bronce</v>
      </c>
      <c r="AI160" s="343"/>
      <c r="AJ160" s="171"/>
      <c r="AK160" s="171"/>
      <c r="AL160" s="171"/>
      <c r="AM160" s="171"/>
      <c r="AN160" s="171"/>
      <c r="AO160" s="171"/>
      <c r="AP160" s="171"/>
      <c r="AQ160" s="171"/>
      <c r="AR160" s="171"/>
      <c r="AS160" s="171"/>
      <c r="AT160" s="171"/>
      <c r="AU160" s="343"/>
      <c r="AV160" s="353"/>
      <c r="AW160" s="241"/>
      <c r="AX160" s="240"/>
      <c r="AY160" s="242"/>
      <c r="AZ160" s="243"/>
      <c r="BA160" s="371"/>
      <c r="DW160" s="8"/>
    </row>
    <row r="161" spans="1:127" ht="19.95" customHeight="1" thickBot="1">
      <c r="A161" s="719"/>
      <c r="B161" s="719"/>
      <c r="C161" s="719"/>
      <c r="D161" s="719"/>
      <c r="E161" s="719"/>
      <c r="F161" s="719"/>
      <c r="G161" s="719"/>
      <c r="H161" s="719"/>
      <c r="I161" s="719"/>
      <c r="J161" s="719"/>
      <c r="K161" s="719"/>
      <c r="L161" s="719"/>
      <c r="M161" s="719"/>
      <c r="N161" s="719"/>
      <c r="O161" s="719"/>
      <c r="P161" s="719"/>
      <c r="Q161" s="719"/>
      <c r="R161" s="719"/>
      <c r="S161" s="719"/>
      <c r="T161" s="719"/>
      <c r="U161" s="719"/>
      <c r="V161" s="170"/>
      <c r="W161" s="240"/>
      <c r="X161" s="240"/>
      <c r="Y161" s="241"/>
      <c r="Z161" s="240"/>
      <c r="AA161" s="242"/>
      <c r="AB161" s="243"/>
      <c r="AC161" s="244"/>
      <c r="AD161" s="245"/>
      <c r="AE161" s="245"/>
      <c r="AF161" s="244"/>
      <c r="AG161" s="171"/>
      <c r="AH161" s="343"/>
      <c r="AI161" s="343"/>
      <c r="AJ161" s="171"/>
      <c r="AK161" s="171"/>
      <c r="AL161" s="377" t="s">
        <v>1317</v>
      </c>
      <c r="AM161" s="378"/>
      <c r="AN161" s="379"/>
      <c r="AO161" s="864" t="str">
        <f>+Idiomas!D12</f>
        <v>Donar</v>
      </c>
      <c r="AP161" s="865"/>
      <c r="AQ161" s="171"/>
      <c r="AR161" s="171"/>
      <c r="AS161" s="171"/>
      <c r="AT161" s="171"/>
      <c r="AU161" s="343"/>
      <c r="AV161" s="353"/>
      <c r="AW161" s="241"/>
      <c r="AX161" s="240"/>
      <c r="AY161" s="242"/>
      <c r="AZ161" s="243"/>
      <c r="BA161" s="371"/>
      <c r="DW161" s="8"/>
    </row>
    <row r="162" spans="1:127" ht="16.05" customHeight="1" thickBot="1">
      <c r="A162" s="719"/>
      <c r="B162" s="719"/>
      <c r="C162" s="719"/>
      <c r="D162" s="719"/>
      <c r="E162" s="719"/>
      <c r="F162" s="719"/>
      <c r="G162" s="719"/>
      <c r="H162" s="719"/>
      <c r="I162" s="719"/>
      <c r="J162" s="719"/>
      <c r="K162" s="719"/>
      <c r="L162" s="719"/>
      <c r="M162" s="719"/>
      <c r="N162" s="719"/>
      <c r="O162" s="719"/>
      <c r="P162" s="719"/>
      <c r="Q162" s="719"/>
      <c r="R162" s="719"/>
      <c r="S162" s="719"/>
      <c r="T162" s="719"/>
      <c r="U162" s="719"/>
      <c r="V162" s="170"/>
      <c r="W162" s="240"/>
      <c r="X162" s="240"/>
      <c r="Y162" s="241"/>
      <c r="Z162" s="240"/>
      <c r="AA162" s="240"/>
      <c r="AB162" s="243"/>
      <c r="AC162" s="244"/>
      <c r="AD162" s="245"/>
      <c r="AE162" s="245"/>
      <c r="AF162" s="706" t="s">
        <v>1305</v>
      </c>
      <c r="AG162" s="380"/>
      <c r="AH162" s="343"/>
      <c r="AI162" s="343"/>
      <c r="AJ162" s="171"/>
      <c r="AK162" s="171"/>
      <c r="AL162" s="171"/>
      <c r="AM162" s="171"/>
      <c r="AN162" s="171"/>
      <c r="AO162" s="171"/>
      <c r="AP162" s="171"/>
      <c r="AQ162" s="171"/>
      <c r="AR162" s="171"/>
      <c r="AS162" s="171"/>
      <c r="AT162" s="171"/>
      <c r="AU162" s="343"/>
      <c r="AV162" s="353"/>
      <c r="AW162" s="241"/>
      <c r="AX162" s="240"/>
      <c r="AY162" s="242"/>
      <c r="AZ162" s="243"/>
      <c r="BA162" s="371"/>
      <c r="DW162" s="8"/>
    </row>
    <row r="163" spans="1:127" ht="16.05" customHeight="1">
      <c r="A163" s="719"/>
      <c r="B163" s="719"/>
      <c r="C163" s="719"/>
      <c r="D163" s="719"/>
      <c r="E163" s="719"/>
      <c r="F163" s="719"/>
      <c r="G163" s="719"/>
      <c r="H163" s="719"/>
      <c r="I163" s="719"/>
      <c r="J163" s="719"/>
      <c r="K163" s="719"/>
      <c r="L163" s="719"/>
      <c r="M163" s="719"/>
      <c r="N163" s="719"/>
      <c r="O163" s="719"/>
      <c r="P163" s="719"/>
      <c r="Q163" s="719"/>
      <c r="R163" s="719"/>
      <c r="S163" s="719"/>
      <c r="T163" s="719"/>
      <c r="U163" s="719"/>
      <c r="V163" s="170"/>
      <c r="W163" s="240"/>
      <c r="X163" s="240"/>
      <c r="Y163" s="241"/>
      <c r="Z163" s="240"/>
      <c r="AA163" s="242"/>
      <c r="AB163" s="243"/>
      <c r="AC163" s="244"/>
      <c r="AD163" s="245"/>
      <c r="AE163" s="245"/>
      <c r="AF163" s="244"/>
      <c r="AG163" s="380"/>
      <c r="AH163" s="381"/>
      <c r="AI163" s="343"/>
      <c r="AJ163" s="171"/>
      <c r="AK163" s="171"/>
      <c r="AL163" s="171"/>
      <c r="AM163" s="171"/>
      <c r="AN163" s="171"/>
      <c r="AO163" s="171"/>
      <c r="AP163" s="171"/>
      <c r="AQ163" s="171"/>
      <c r="AR163" s="171"/>
      <c r="AS163" s="171"/>
      <c r="AT163" s="171"/>
      <c r="AU163" s="343"/>
      <c r="AV163" s="353"/>
      <c r="AW163" s="241"/>
      <c r="AX163" s="240"/>
      <c r="AY163" s="242"/>
      <c r="AZ163" s="243"/>
      <c r="BA163" s="371"/>
      <c r="DW163" s="8"/>
    </row>
    <row r="164" spans="1:127" ht="16.05" customHeight="1">
      <c r="A164" s="719"/>
      <c r="B164" s="719"/>
      <c r="C164" s="719"/>
      <c r="D164" s="719"/>
      <c r="E164" s="719"/>
      <c r="F164" s="719"/>
      <c r="G164" s="719"/>
      <c r="H164" s="719"/>
      <c r="I164" s="719"/>
      <c r="J164" s="719"/>
      <c r="K164" s="719"/>
      <c r="L164" s="719"/>
      <c r="M164" s="719"/>
      <c r="N164" s="719"/>
      <c r="O164" s="719"/>
      <c r="P164" s="719"/>
      <c r="Q164" s="719"/>
      <c r="R164" s="719"/>
      <c r="S164" s="719"/>
      <c r="T164" s="719"/>
      <c r="U164" s="719"/>
      <c r="V164" s="170"/>
      <c r="W164" s="240"/>
      <c r="X164" s="240"/>
      <c r="Y164" s="241"/>
      <c r="Z164" s="240"/>
      <c r="AA164" s="242"/>
      <c r="AB164" s="243"/>
      <c r="AC164" s="244"/>
      <c r="AD164" s="245"/>
      <c r="AE164" s="245"/>
      <c r="AF164" s="244"/>
      <c r="AG164" s="171"/>
      <c r="AH164" s="343"/>
      <c r="AI164" s="343"/>
      <c r="AJ164" s="171"/>
      <c r="AK164" s="171"/>
      <c r="AL164" s="171"/>
      <c r="AM164" s="171"/>
      <c r="AN164" s="171"/>
      <c r="AO164" s="171"/>
      <c r="AP164" s="171"/>
      <c r="AQ164" s="171"/>
      <c r="AR164" s="171"/>
      <c r="AS164" s="171"/>
      <c r="AT164" s="171"/>
      <c r="AU164" s="343"/>
      <c r="AV164" s="353"/>
      <c r="AW164" s="241"/>
      <c r="AX164" s="240"/>
      <c r="AY164" s="242"/>
      <c r="AZ164" s="243"/>
      <c r="BA164" s="173"/>
      <c r="CA164" s="5" t="str">
        <f>+D170&amp;E170&amp;F170&amp;G170&amp;H170&amp;I170&amp;J170&amp;K170</f>
        <v>matejero</v>
      </c>
      <c r="DW164" s="8"/>
    </row>
    <row r="165" spans="1:127" ht="16.05" customHeight="1">
      <c r="V165" s="170"/>
      <c r="W165" s="240"/>
      <c r="X165" s="240"/>
      <c r="Y165" s="241"/>
      <c r="Z165" s="240"/>
      <c r="AA165" s="242"/>
      <c r="AB165" s="243"/>
      <c r="AC165" s="244"/>
      <c r="AD165" s="245"/>
      <c r="AE165" s="245"/>
      <c r="AF165" s="244"/>
      <c r="AG165" s="295"/>
      <c r="AH165" s="19"/>
      <c r="AI165" s="19"/>
      <c r="AJ165" s="295"/>
      <c r="AK165" s="295"/>
      <c r="AL165" s="295"/>
      <c r="AM165" s="295"/>
      <c r="AN165" s="295"/>
      <c r="AO165" s="295"/>
      <c r="AP165" s="295"/>
      <c r="AQ165" s="295"/>
      <c r="AR165" s="295"/>
      <c r="AS165" s="295"/>
      <c r="AT165" s="295"/>
      <c r="AU165" s="19"/>
      <c r="AV165" s="353"/>
      <c r="AW165" s="241"/>
      <c r="AX165" s="240"/>
      <c r="AY165" s="242"/>
      <c r="AZ165" s="243"/>
      <c r="BA165" s="295"/>
      <c r="DW165" s="8"/>
    </row>
    <row r="166" spans="1:127">
      <c r="V166" s="170"/>
      <c r="W166" s="240"/>
      <c r="X166" s="240"/>
      <c r="Y166" s="241"/>
      <c r="Z166" s="240"/>
      <c r="AA166" s="242"/>
      <c r="AB166" s="243"/>
      <c r="AC166" s="244"/>
      <c r="AD166" s="245"/>
      <c r="AE166" s="245"/>
      <c r="AF166" s="244"/>
      <c r="AG166" s="295"/>
      <c r="AH166" s="19"/>
      <c r="AI166" s="19"/>
      <c r="AJ166" s="295"/>
      <c r="AK166" s="295"/>
      <c r="AL166" s="295"/>
      <c r="AM166" s="295"/>
      <c r="AN166" s="295"/>
      <c r="AO166" s="295"/>
      <c r="AP166" s="295"/>
      <c r="AQ166" s="295"/>
      <c r="AR166" s="295"/>
      <c r="AS166" s="295"/>
      <c r="AT166" s="295"/>
      <c r="AU166" s="19"/>
      <c r="AV166" s="353"/>
      <c r="AW166" s="241"/>
      <c r="AX166" s="240"/>
      <c r="AY166" s="242"/>
      <c r="AZ166" s="243"/>
      <c r="BA166" s="17"/>
      <c r="DW166" s="8"/>
    </row>
    <row r="167" spans="1:127">
      <c r="V167" s="170"/>
      <c r="W167" s="240"/>
      <c r="X167" s="240"/>
      <c r="Y167" s="241"/>
      <c r="Z167" s="240"/>
      <c r="AA167" s="242"/>
      <c r="AB167" s="243"/>
      <c r="AC167" s="244"/>
      <c r="AD167" s="245"/>
      <c r="AE167" s="245"/>
      <c r="AF167" s="244"/>
      <c r="AG167" s="295"/>
      <c r="AH167" s="19"/>
      <c r="AI167" s="19"/>
      <c r="AJ167" s="295"/>
      <c r="AK167" s="295"/>
      <c r="AL167" s="295"/>
      <c r="AM167" s="295"/>
      <c r="AN167" s="295"/>
      <c r="AO167" s="295"/>
      <c r="AP167" s="295"/>
      <c r="AQ167" s="295"/>
      <c r="AR167" s="295"/>
      <c r="AS167" s="295"/>
      <c r="AT167" s="295"/>
      <c r="AU167" s="19"/>
      <c r="AV167" s="353"/>
      <c r="AW167" s="241"/>
      <c r="AX167" s="240"/>
      <c r="AY167" s="242"/>
      <c r="AZ167" s="243"/>
      <c r="BA167" s="295"/>
      <c r="DW167" s="8"/>
    </row>
    <row r="168" spans="1:127">
      <c r="V168" s="170"/>
      <c r="W168" s="240"/>
      <c r="X168" s="240"/>
      <c r="Y168" s="241"/>
      <c r="Z168" s="240"/>
      <c r="AA168" s="242"/>
      <c r="AB168" s="243"/>
      <c r="AC168" s="244"/>
      <c r="AD168" s="245"/>
      <c r="AE168" s="245"/>
      <c r="AF168" s="244"/>
      <c r="AG168" s="295"/>
      <c r="AH168" s="19"/>
      <c r="AI168" s="19"/>
      <c r="AJ168" s="295"/>
      <c r="AK168" s="295"/>
      <c r="AL168" s="295"/>
      <c r="AM168" s="295"/>
      <c r="AN168" s="295"/>
      <c r="AO168" s="295"/>
      <c r="AP168" s="295"/>
      <c r="AQ168" s="295"/>
      <c r="AR168" s="295"/>
      <c r="AS168" s="295"/>
      <c r="AT168" s="295"/>
      <c r="AU168" s="19"/>
      <c r="AV168" s="353"/>
      <c r="AW168" s="241"/>
      <c r="AX168" s="240"/>
      <c r="AY168" s="242"/>
      <c r="AZ168" s="243"/>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mergeCells count="20">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6"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5" priority="6" stopIfTrue="1">
      <formula>AC4=""</formula>
    </cfRule>
  </conditionalFormatting>
  <conditionalFormatting sqref="AJ8:AT8 AJ16:AT16 AJ24:AT24 AJ32:AT32 AJ40:AT40 AJ48:AT48 AJ56:AT56 AJ64:AT64 AJ72:AT72 AJ80:AT80 AJ88:AT88 AJ96:AT96 AJ110:AT113">
    <cfRule type="expression" dxfId="34" priority="3">
      <formula>AND(OR(SUM($AN$102:$AN$113)=36,$AJ$99=144),COUNTIF($AL$110:$AL$113,$AL8))</formula>
    </cfRule>
  </conditionalFormatting>
  <conditionalFormatting sqref="AJ9:AT9 AJ17:AT17 AJ25:AT25 AJ33:AT33 AJ41:AT41 AJ49:AT49 AJ57:AT57 AJ65:AT65 AJ73:AT73 AJ81:AT81 AJ89:AT89 AJ97:AT97">
    <cfRule type="expression" dxfId="33" priority="10" stopIfTrue="1">
      <formula>OR(SUM($AN6:$AN9)=12,$AJ$99=144)</formula>
    </cfRule>
  </conditionalFormatting>
  <conditionalFormatting sqref="AJ151:AU157">
    <cfRule type="expression" dxfId="32" priority="9">
      <formula>IF($AJ$151=$AL$149,1,0)</formula>
    </cfRule>
  </conditionalFormatting>
  <conditionalFormatting sqref="AL115">
    <cfRule type="expression" dxfId="31" priority="2">
      <formula>IF($AJ$99=144,1,0)</formula>
    </cfRule>
  </conditionalFormatting>
  <conditionalFormatting sqref="AL116">
    <cfRule type="expression" dxfId="30" priority="1">
      <formula>IF($AJ$99=144,1,0)</formula>
    </cfRule>
  </conditionalFormatting>
  <conditionalFormatting sqref="AM102:AM113 AR102:AT113">
    <cfRule type="expression" dxfId="29" priority="12" stopIfTrue="1">
      <formula>$BB$57=3</formula>
    </cfRule>
  </conditionalFormatting>
  <conditionalFormatting sqref="AV6:AV9 AV14:AV17 AV22:AV25 AV30:AV33 AV38:AV41 AV46:AV49 AV54:AV57 AV62:AV65 AV70:AV73 AV78:AV81 AV86:AV89 AV94:AV97">
    <cfRule type="expression" dxfId="28" priority="13" stopIfTrue="1">
      <formula>INDEX($DL$6:$DL$53,MATCH($AL6,$DQ$6:$DQ$53,0))&gt;1</formula>
    </cfRule>
  </conditionalFormatting>
  <conditionalFormatting sqref="AV102:AV113">
    <cfRule type="expression" dxfId="27" priority="14" stopIfTrue="1">
      <formula>AND(INDEX($DL$58:$DL$69,MATCH($AL102,$DQ$58:$DQ$69,0))&gt;1,$H$113=144)</formula>
    </cfRule>
  </conditionalFormatting>
  <conditionalFormatting sqref="AW6:AW9 AW14:AW17 AW22:AW25 AW30:AW33 AW38:AW41 AW46:AW49 AW54:AW57 AW62:AW65 AW70:AW73 AW78:AW81 AW86:AW89 AW94:AW97">
    <cfRule type="expression" dxfId="26" priority="15" stopIfTrue="1">
      <formula>INDEX($DL$6:$DL$53,MATCH($AL6,$DQ$6:$DQ$53,0))&gt;1</formula>
    </cfRule>
  </conditionalFormatting>
  <conditionalFormatting sqref="AW102:AW113">
    <cfRule type="expression" dxfId="25" priority="16">
      <formula>AND(INDEX($DL$58:$DL$69,MATCH($AL102,$DQ$58:$DQ$69,0))&gt;1,$H$113=144)</formula>
    </cfRule>
  </conditionalFormatting>
  <conditionalFormatting sqref="AY5:AZ97">
    <cfRule type="expression" dxfId="24" priority="4">
      <formula>IF($AZ$3="No",1,0)</formula>
    </cfRule>
  </conditionalFormatting>
  <conditionalFormatting sqref="AY101:AZ101">
    <cfRule type="expression" dxfId="23"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O161" r:id="rId1" display="https://www.paypal.com/donate?business=PJ2B6ZBH7ZHR4&amp;currency_code=EUR" xr:uid="{C850AAFB-82A0-0B47-803F-18D4A3F16B94}"/>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9"/>
  <sheetViews>
    <sheetView showGridLines="0" showRowColHeaders="0" zoomScale="90" zoomScaleNormal="90" workbookViewId="0">
      <selection activeCell="D13" sqref="D13"/>
    </sheetView>
  </sheetViews>
  <sheetFormatPr baseColWidth="10" defaultColWidth="0" defaultRowHeight="14.4"/>
  <cols>
    <col min="1" max="1" width="4.6640625" style="7" customWidth="1"/>
    <col min="2" max="2" width="4.6640625" style="1" bestFit="1" customWidth="1"/>
    <col min="3" max="3" width="22.6640625" style="1" customWidth="1"/>
    <col min="4" max="21" width="10.77734375" style="1" customWidth="1"/>
    <col min="22" max="16384" width="10.77734375" style="1" hidden="1"/>
  </cols>
  <sheetData>
    <row r="1" spans="1:21" ht="45" thickBot="1">
      <c r="A1" s="89"/>
      <c r="B1" s="836" t="str">
        <f>Idiomas!D451&amp;" "&amp;Home!C10</f>
        <v>CLASIFICACIÓN MUNDIAL 2026 QUINIELA VENECA</v>
      </c>
      <c r="C1" s="837"/>
      <c r="D1" s="837"/>
      <c r="E1" s="837"/>
      <c r="F1" s="837"/>
      <c r="G1" s="837"/>
      <c r="H1" s="837"/>
      <c r="I1" s="837"/>
      <c r="J1" s="837"/>
      <c r="K1" s="837"/>
      <c r="L1" s="837"/>
      <c r="M1" s="837"/>
      <c r="N1" s="837"/>
      <c r="O1" s="837"/>
      <c r="P1" s="837"/>
      <c r="Q1" s="837"/>
      <c r="R1" s="837"/>
      <c r="S1" s="837"/>
      <c r="T1" s="295"/>
      <c r="U1" s="295"/>
    </row>
    <row r="2" spans="1:21" ht="9" customHeight="1">
      <c r="A2" s="89"/>
      <c r="B2" s="105"/>
      <c r="C2" s="105"/>
      <c r="D2" s="105"/>
      <c r="E2" s="106">
        <f ca="1">MATCH(E$4,ADMIN!$K:$K,0)</f>
        <v>78</v>
      </c>
      <c r="F2" s="106">
        <f ca="1">MATCH(F$4,ADMIN!$K:$K,0)</f>
        <v>128</v>
      </c>
      <c r="G2" s="106">
        <f ca="1">MATCH(G$4,ADMIN!$K:$K,0)</f>
        <v>162</v>
      </c>
      <c r="H2" s="106">
        <f ca="1">MATCH(H$4,ADMIN!$K:$K,0)</f>
        <v>180</v>
      </c>
      <c r="I2" s="106">
        <f ca="1">MATCH(I$4,ADMIN!$K:$K,0)</f>
        <v>198</v>
      </c>
      <c r="J2" s="106">
        <f ca="1">MATCH(J$4,ADMIN!$K:$K,0)</f>
        <v>208</v>
      </c>
      <c r="K2" s="106">
        <f ca="1">MATCH(K$4,ADMIN!$K:$K,0)</f>
        <v>218</v>
      </c>
      <c r="L2" s="106">
        <f ca="1">MATCH(L$4,ADMIN!$K:$K,0)</f>
        <v>224</v>
      </c>
      <c r="M2" s="106">
        <f ca="1">MATCH(M$4,ADMIN!$K:$K,0)</f>
        <v>230</v>
      </c>
      <c r="N2" s="106">
        <f ca="1">MATCH(N$4,ADMIN!$K:$K,0)</f>
        <v>234</v>
      </c>
      <c r="O2" s="106">
        <f ca="1">MATCH(O$4,ADMIN!$K:$K,0)</f>
        <v>238</v>
      </c>
      <c r="P2" s="106">
        <f ca="1">MATCH(P$4,ADMIN!$K:$K,0)</f>
        <v>242</v>
      </c>
      <c r="Q2" s="106">
        <f ca="1">MATCH(Q$4,ADMIN!$K:$K,0)</f>
        <v>245</v>
      </c>
      <c r="R2" s="106">
        <f ca="1">MATCH(R$4,ADMIN!$K:$K,0)</f>
        <v>248</v>
      </c>
      <c r="S2" s="106">
        <f ca="1">MATCH(S$4,ADMIN!$K:$K,0)</f>
        <v>259</v>
      </c>
      <c r="T2" s="295"/>
      <c r="U2" s="295"/>
    </row>
    <row r="3" spans="1:21" ht="15" customHeight="1" thickBot="1">
      <c r="A3" s="89"/>
      <c r="B3" s="103"/>
      <c r="C3" s="103"/>
      <c r="D3" s="103"/>
      <c r="E3" s="104" t="str">
        <f ca="1">+INDEX(ADMIN!$M$5:$M$259,MATCH(CLAS!E4,ADMIN!$K$5:$K$259,0))</f>
        <v>Max: 1080</v>
      </c>
      <c r="F3" s="104" t="str">
        <f ca="1">+INDEX(ADMIN!$M$5:$M$259,MATCH(CLAS!F4,ADMIN!$K$5:$K$259,0))</f>
        <v>Max: 960</v>
      </c>
      <c r="G3" s="104" t="str">
        <f ca="1">+INDEX(ADMIN!$M$5:$M$259,MATCH(CLAS!G4,ADMIN!$K$5:$K$259,0))</f>
        <v>Max: 480</v>
      </c>
      <c r="H3" s="104" t="str">
        <f ca="1">+INDEX(ADMIN!$M$5:$M$259,MATCH(CLAS!H4,ADMIN!$K$5:$K$259,0))</f>
        <v>Max: 480</v>
      </c>
      <c r="I3" s="104" t="str">
        <f ca="1">+INDEX(ADMIN!$M$5:$M$259,MATCH(CLAS!I4,ADMIN!$K$5:$K$259,0))</f>
        <v>Max: 480</v>
      </c>
      <c r="J3" s="104" t="str">
        <f ca="1">+INDEX(ADMIN!$M$5:$M$259,MATCH(CLAS!J4,ADMIN!$K$5:$K$259,0))</f>
        <v>Max: 240</v>
      </c>
      <c r="K3" s="104" t="str">
        <f ca="1">+INDEX(ADMIN!$M$5:$M$259,MATCH(CLAS!K4,ADMIN!$K$5:$K$259,0))</f>
        <v>Max: 320</v>
      </c>
      <c r="L3" s="104" t="str">
        <f ca="1">+INDEX(ADMIN!$M$5:$M$259,MATCH(CLAS!L4,ADMIN!$K$5:$K$259,0))</f>
        <v>Max: 120</v>
      </c>
      <c r="M3" s="104" t="str">
        <f ca="1">+INDEX(ADMIN!$M$5:$M$259,MATCH(CLAS!M4,ADMIN!$K$5:$K$259,0))</f>
        <v>Max: 200</v>
      </c>
      <c r="N3" s="104" t="str">
        <f ca="1">+INDEX(ADMIN!$M$5:$M$259,MATCH(CLAS!N4,ADMIN!$K$5:$K$259,0))</f>
        <v>Max: 60</v>
      </c>
      <c r="O3" s="104" t="str">
        <f ca="1">+INDEX(ADMIN!$M$5:$M$259,MATCH(CLAS!O4,ADMIN!$K$5:$K$259,0))</f>
        <v>Max: 60</v>
      </c>
      <c r="P3" s="104" t="str">
        <f ca="1">+INDEX(ADMIN!$M$5:$M$259,MATCH(CLAS!P4,ADMIN!$K$5:$K$259,0))</f>
        <v>Max: 120</v>
      </c>
      <c r="Q3" s="104" t="str">
        <f ca="1">+INDEX(ADMIN!$M$5:$M$259,MATCH(CLAS!Q4,ADMIN!$K$5:$K$259,0))</f>
        <v>Max: 30</v>
      </c>
      <c r="R3" s="104" t="str">
        <f ca="1">+INDEX(ADMIN!$M$5:$M$259,MATCH(CLAS!R4,ADMIN!$K$5:$K$259,0))</f>
        <v>Max: 30</v>
      </c>
      <c r="S3" s="104" t="str">
        <f ca="1">+INDEX(ADMIN!$M$5:$M$259,MATCH(CLAS!S4,ADMIN!$K$5:$K$259,0))</f>
        <v>Max: 235</v>
      </c>
      <c r="T3" s="295"/>
      <c r="U3" s="295"/>
    </row>
    <row r="4" spans="1:21" ht="28.8" thickTop="1" thickBot="1">
      <c r="A4" s="89"/>
      <c r="B4" s="87" t="str">
        <f>Idiomas!$D$452</f>
        <v>Pos</v>
      </c>
      <c r="C4" s="107" t="str">
        <f>Idiomas!$D$453</f>
        <v>Jugador</v>
      </c>
      <c r="D4" s="87" t="str">
        <f>Idiomas!$D$454</f>
        <v>Puntos Totales</v>
      </c>
      <c r="E4" s="87" t="str">
        <f>Idiomas!$D$455</f>
        <v>F. Grupos</v>
      </c>
      <c r="F4" s="87" t="str">
        <f>Idiomas!$D$456</f>
        <v>Pos. Grupos</v>
      </c>
      <c r="G4" s="87" t="str">
        <f>Idiomas!$D$457</f>
        <v>Equipos 1/16</v>
      </c>
      <c r="H4" s="87" t="str">
        <f>Idiomas!$D$458</f>
        <v>Partidos 1/16</v>
      </c>
      <c r="I4" s="87" t="str">
        <f>Idiomas!$D$459</f>
        <v>Equipos 1/8</v>
      </c>
      <c r="J4" s="87" t="str">
        <f>Idiomas!$D$460</f>
        <v>Partidos 1/8</v>
      </c>
      <c r="K4" s="87" t="str">
        <f>Idiomas!$D$461</f>
        <v>Equipos 1/4</v>
      </c>
      <c r="L4" s="87" t="str">
        <f>Idiomas!$D$462</f>
        <v>Partidos 1/4</v>
      </c>
      <c r="M4" s="87" t="str">
        <f>Idiomas!$D$463</f>
        <v>Equipos 1/2</v>
      </c>
      <c r="N4" s="87" t="str">
        <f>Idiomas!$D$464</f>
        <v>Partidos 1/2</v>
      </c>
      <c r="O4" s="87" t="str">
        <f>Idiomas!$D$465</f>
        <v>Equipos 3-4</v>
      </c>
      <c r="P4" s="87" t="str">
        <f>Idiomas!$D$466</f>
        <v>Equipos Final</v>
      </c>
      <c r="Q4" s="87" t="str">
        <f>Idiomas!$D$467</f>
        <v>Partido 3-4</v>
      </c>
      <c r="R4" s="87" t="str">
        <f>Idiomas!$D$468</f>
        <v>Partido Final</v>
      </c>
      <c r="S4" s="87" t="str">
        <f>Idiomas!$D$469</f>
        <v xml:space="preserve">Cuadro de Honor </v>
      </c>
      <c r="T4" s="295"/>
      <c r="U4" s="295"/>
    </row>
    <row r="5" spans="1:21" ht="15" thickTop="1">
      <c r="A5" s="19">
        <f>ROW()-4</f>
        <v>1</v>
      </c>
      <c r="B5" s="810">
        <f ca="1">IFERROR(HLOOKUP(A5,Rango_Admin_Clas,3,FALSE),"-")</f>
        <v>1</v>
      </c>
      <c r="C5" s="830" t="str">
        <f ca="1">IFERROR(HLOOKUP(A5,Rango_Admin_Clas,5,FALSE),"-")</f>
        <v>YUTA</v>
      </c>
      <c r="D5" s="831">
        <f ca="1">IFERROR(HLOOKUP(A5,Rango_Admin_Clas,4,FALSE),"-")</f>
        <v>37</v>
      </c>
      <c r="E5" s="832" cm="1">
        <f t="array" aca="1" ref="E5" ca="1">IFERROR(INDEX(Rango_Admin_Clas_Total,E$2,MATCH($A5,Rango_Admin_Clas_Primera,0)+1),"-")</f>
        <v>37</v>
      </c>
      <c r="F5" s="832" cm="1">
        <f t="array" aca="1" ref="F5" ca="1">IFERROR(INDEX(Rango_Admin_Clas_Total,F$2,MATCH($A5,Rango_Admin_Clas_Primera,0)+1),"-")</f>
        <v>0</v>
      </c>
      <c r="G5" s="832" cm="1">
        <f t="array" aca="1" ref="G5" ca="1">IFERROR(INDEX(Rango_Admin_Clas_Total,G$2,MATCH($A5,Rango_Admin_Clas_Primera,0)+1),"-")</f>
        <v>0</v>
      </c>
      <c r="H5" s="832" cm="1">
        <f t="array" aca="1" ref="H5" ca="1">IFERROR(INDEX(Rango_Admin_Clas_Total,H$2,MATCH($A5,Rango_Admin_Clas_Primera,0)+1),"-")</f>
        <v>0</v>
      </c>
      <c r="I5" s="832" cm="1">
        <f t="array" aca="1" ref="I5" ca="1">IFERROR(INDEX(Rango_Admin_Clas_Total,I$2,MATCH($A5,Rango_Admin_Clas_Primera,0)+1),"-")</f>
        <v>0</v>
      </c>
      <c r="J5" s="832" cm="1">
        <f t="array" aca="1" ref="J5" ca="1">IFERROR(INDEX(Rango_Admin_Clas_Total,J$2,MATCH($A5,Rango_Admin_Clas_Primera,0)+1),"-")</f>
        <v>0</v>
      </c>
      <c r="K5" s="832" cm="1">
        <f t="array" aca="1" ref="K5" ca="1">IFERROR(INDEX(Rango_Admin_Clas_Total,K$2,MATCH($A5,Rango_Admin_Clas_Primera,0)+1),"-")</f>
        <v>0</v>
      </c>
      <c r="L5" s="832" cm="1">
        <f t="array" aca="1" ref="L5" ca="1">IFERROR(INDEX(Rango_Admin_Clas_Total,L$2,MATCH($A5,Rango_Admin_Clas_Primera,0)+1),"-")</f>
        <v>0</v>
      </c>
      <c r="M5" s="832" cm="1">
        <f t="array" aca="1" ref="M5" ca="1">IFERROR(INDEX(Rango_Admin_Clas_Total,M$2,MATCH($A5,Rango_Admin_Clas_Primera,0)+1),"-")</f>
        <v>0</v>
      </c>
      <c r="N5" s="832" cm="1">
        <f t="array" aca="1" ref="N5" ca="1">IFERROR(INDEX(Rango_Admin_Clas_Total,N$2,MATCH($A5,Rango_Admin_Clas_Primera,0)+1),"-")</f>
        <v>0</v>
      </c>
      <c r="O5" s="832" cm="1">
        <f t="array" aca="1" ref="O5" ca="1">IFERROR(INDEX(Rango_Admin_Clas_Total,O$2,MATCH($A5,Rango_Admin_Clas_Primera,0)+1),"-")</f>
        <v>0</v>
      </c>
      <c r="P5" s="832" cm="1">
        <f t="array" aca="1" ref="P5" ca="1">IFERROR(INDEX(Rango_Admin_Clas_Total,P$2,MATCH($A5,Rango_Admin_Clas_Primera,0)+1),"-")</f>
        <v>0</v>
      </c>
      <c r="Q5" s="832" cm="1">
        <f t="array" aca="1" ref="Q5" ca="1">IFERROR(INDEX(Rango_Admin_Clas_Total,Q$2,MATCH($A5,Rango_Admin_Clas_Primera,0)+1),"-")</f>
        <v>0</v>
      </c>
      <c r="R5" s="832" cm="1">
        <f t="array" aca="1" ref="R5" ca="1">IFERROR(INDEX(Rango_Admin_Clas_Total,R$2,MATCH($A5,Rango_Admin_Clas_Primera,0)+1),"-")</f>
        <v>0</v>
      </c>
      <c r="S5" s="832" cm="1">
        <f t="array" aca="1" ref="S5" ca="1">IFERROR(INDEX(Rango_Admin_Clas_Total,S$2,MATCH($A5,Rango_Admin_Clas_Primera,0)+1),"-")</f>
        <v>0</v>
      </c>
      <c r="T5" s="295"/>
      <c r="U5" s="295"/>
    </row>
    <row r="6" spans="1:21">
      <c r="A6" s="19">
        <f t="shared" ref="A6:A52" si="0">ROW()-4</f>
        <v>2</v>
      </c>
      <c r="B6" s="810">
        <f ca="1">IFERROR(HLOOKUP(A6,Rango_Admin_Clas,3,FALSE),"-")</f>
        <v>2</v>
      </c>
      <c r="C6" s="811" t="str">
        <f ca="1">IFERROR(HLOOKUP(A6,Rango_Admin_Clas,5,FALSE),"-")</f>
        <v>Carlos Quintero</v>
      </c>
      <c r="D6" s="770">
        <f ca="1">IFERROR(HLOOKUP(A6,Rango_Admin_Clas,4,FALSE),"-")</f>
        <v>30</v>
      </c>
      <c r="E6" s="771" cm="1">
        <f t="array" aca="1" ref="E6" ca="1">IFERROR(INDEX(Rango_Admin_Clas_Total,E$2,MATCH($A6,Rango_Admin_Clas_Primera,0)+1),"-")</f>
        <v>30</v>
      </c>
      <c r="F6" s="771" cm="1">
        <f t="array" aca="1" ref="F6" ca="1">IFERROR(INDEX(Rango_Admin_Clas_Total,F$2,MATCH($A6,Rango_Admin_Clas_Primera,0)+1),"-")</f>
        <v>0</v>
      </c>
      <c r="G6" s="771" cm="1">
        <f t="array" aca="1" ref="G6" ca="1">IFERROR(INDEX(Rango_Admin_Clas_Total,G$2,MATCH($A6,Rango_Admin_Clas_Primera,0)+1),"-")</f>
        <v>0</v>
      </c>
      <c r="H6" s="771" cm="1">
        <f t="array" aca="1" ref="H6" ca="1">IFERROR(INDEX(Rango_Admin_Clas_Total,H$2,MATCH($A6,Rango_Admin_Clas_Primera,0)+1),"-")</f>
        <v>0</v>
      </c>
      <c r="I6" s="771" cm="1">
        <f t="array" aca="1" ref="I6" ca="1">IFERROR(INDEX(Rango_Admin_Clas_Total,I$2,MATCH($A6,Rango_Admin_Clas_Primera,0)+1),"-")</f>
        <v>0</v>
      </c>
      <c r="J6" s="771" cm="1">
        <f t="array" aca="1" ref="J6" ca="1">IFERROR(INDEX(Rango_Admin_Clas_Total,J$2,MATCH($A6,Rango_Admin_Clas_Primera,0)+1),"-")</f>
        <v>0</v>
      </c>
      <c r="K6" s="771" cm="1">
        <f t="array" aca="1" ref="K6" ca="1">IFERROR(INDEX(Rango_Admin_Clas_Total,K$2,MATCH($A6,Rango_Admin_Clas_Primera,0)+1),"-")</f>
        <v>0</v>
      </c>
      <c r="L6" s="771" cm="1">
        <f t="array" aca="1" ref="L6" ca="1">IFERROR(INDEX(Rango_Admin_Clas_Total,L$2,MATCH($A6,Rango_Admin_Clas_Primera,0)+1),"-")</f>
        <v>0</v>
      </c>
      <c r="M6" s="771" cm="1">
        <f t="array" aca="1" ref="M6" ca="1">IFERROR(INDEX(Rango_Admin_Clas_Total,M$2,MATCH($A6,Rango_Admin_Clas_Primera,0)+1),"-")</f>
        <v>0</v>
      </c>
      <c r="N6" s="771" cm="1">
        <f t="array" aca="1" ref="N6" ca="1">IFERROR(INDEX(Rango_Admin_Clas_Total,N$2,MATCH($A6,Rango_Admin_Clas_Primera,0)+1),"-")</f>
        <v>0</v>
      </c>
      <c r="O6" s="771" cm="1">
        <f t="array" aca="1" ref="O6" ca="1">IFERROR(INDEX(Rango_Admin_Clas_Total,O$2,MATCH($A6,Rango_Admin_Clas_Primera,0)+1),"-")</f>
        <v>0</v>
      </c>
      <c r="P6" s="771" cm="1">
        <f t="array" aca="1" ref="P6" ca="1">IFERROR(INDEX(Rango_Admin_Clas_Total,P$2,MATCH($A6,Rango_Admin_Clas_Primera,0)+1),"-")</f>
        <v>0</v>
      </c>
      <c r="Q6" s="771" cm="1">
        <f t="array" aca="1" ref="Q6" ca="1">IFERROR(INDEX(Rango_Admin_Clas_Total,Q$2,MATCH($A6,Rango_Admin_Clas_Primera,0)+1),"-")</f>
        <v>0</v>
      </c>
      <c r="R6" s="771" cm="1">
        <f t="array" aca="1" ref="R6" ca="1">IFERROR(INDEX(Rango_Admin_Clas_Total,R$2,MATCH($A6,Rango_Admin_Clas_Primera,0)+1),"-")</f>
        <v>0</v>
      </c>
      <c r="S6" s="771" cm="1">
        <f t="array" aca="1" ref="S6" ca="1">IFERROR(INDEX(Rango_Admin_Clas_Total,S$2,MATCH($A6,Rango_Admin_Clas_Primera,0)+1),"-")</f>
        <v>0</v>
      </c>
      <c r="T6" s="295"/>
      <c r="U6" s="295"/>
    </row>
    <row r="7" spans="1:21">
      <c r="A7" s="19">
        <f t="shared" si="0"/>
        <v>3</v>
      </c>
      <c r="B7" s="829">
        <f ca="1">IFERROR(HLOOKUP(A7,Rango_Admin_Clas,3,FALSE),"-")</f>
        <v>3</v>
      </c>
      <c r="C7" s="830" t="str">
        <f ca="1">IFERROR(HLOOKUP(A7,Rango_Admin_Clas,5,FALSE),"-")</f>
        <v>Alvaro Gomes</v>
      </c>
      <c r="D7" s="831">
        <f ca="1">IFERROR(HLOOKUP(A7,Rango_Admin_Clas,4,FALSE),"-")</f>
        <v>29</v>
      </c>
      <c r="E7" s="832" cm="1">
        <f t="array" aca="1" ref="E7" ca="1">IFERROR(INDEX(Rango_Admin_Clas_Total,E$2,MATCH($A7,Rango_Admin_Clas_Primera,0)+1),"-")</f>
        <v>29</v>
      </c>
      <c r="F7" s="832" cm="1">
        <f t="array" aca="1" ref="F7" ca="1">IFERROR(INDEX(Rango_Admin_Clas_Total,F$2,MATCH($A7,Rango_Admin_Clas_Primera,0)+1),"-")</f>
        <v>0</v>
      </c>
      <c r="G7" s="832" cm="1">
        <f t="array" aca="1" ref="G7" ca="1">IFERROR(INDEX(Rango_Admin_Clas_Total,G$2,MATCH($A7,Rango_Admin_Clas_Primera,0)+1),"-")</f>
        <v>0</v>
      </c>
      <c r="H7" s="832" cm="1">
        <f t="array" aca="1" ref="H7" ca="1">IFERROR(INDEX(Rango_Admin_Clas_Total,H$2,MATCH($A7,Rango_Admin_Clas_Primera,0)+1),"-")</f>
        <v>0</v>
      </c>
      <c r="I7" s="832" cm="1">
        <f t="array" aca="1" ref="I7" ca="1">IFERROR(INDEX(Rango_Admin_Clas_Total,I$2,MATCH($A7,Rango_Admin_Clas_Primera,0)+1),"-")</f>
        <v>0</v>
      </c>
      <c r="J7" s="832" cm="1">
        <f t="array" aca="1" ref="J7" ca="1">IFERROR(INDEX(Rango_Admin_Clas_Total,J$2,MATCH($A7,Rango_Admin_Clas_Primera,0)+1),"-")</f>
        <v>0</v>
      </c>
      <c r="K7" s="832" cm="1">
        <f t="array" aca="1" ref="K7" ca="1">IFERROR(INDEX(Rango_Admin_Clas_Total,K$2,MATCH($A7,Rango_Admin_Clas_Primera,0)+1),"-")</f>
        <v>0</v>
      </c>
      <c r="L7" s="832" cm="1">
        <f t="array" aca="1" ref="L7" ca="1">IFERROR(INDEX(Rango_Admin_Clas_Total,L$2,MATCH($A7,Rango_Admin_Clas_Primera,0)+1),"-")</f>
        <v>0</v>
      </c>
      <c r="M7" s="832" cm="1">
        <f t="array" aca="1" ref="M7" ca="1">IFERROR(INDEX(Rango_Admin_Clas_Total,M$2,MATCH($A7,Rango_Admin_Clas_Primera,0)+1),"-")</f>
        <v>0</v>
      </c>
      <c r="N7" s="832" cm="1">
        <f t="array" aca="1" ref="N7" ca="1">IFERROR(INDEX(Rango_Admin_Clas_Total,N$2,MATCH($A7,Rango_Admin_Clas_Primera,0)+1),"-")</f>
        <v>0</v>
      </c>
      <c r="O7" s="832" cm="1">
        <f t="array" aca="1" ref="O7" ca="1">IFERROR(INDEX(Rango_Admin_Clas_Total,O$2,MATCH($A7,Rango_Admin_Clas_Primera,0)+1),"-")</f>
        <v>0</v>
      </c>
      <c r="P7" s="832" cm="1">
        <f t="array" aca="1" ref="P7" ca="1">IFERROR(INDEX(Rango_Admin_Clas_Total,P$2,MATCH($A7,Rango_Admin_Clas_Primera,0)+1),"-")</f>
        <v>0</v>
      </c>
      <c r="Q7" s="832" cm="1">
        <f t="array" aca="1" ref="Q7" ca="1">IFERROR(INDEX(Rango_Admin_Clas_Total,Q$2,MATCH($A7,Rango_Admin_Clas_Primera,0)+1),"-")</f>
        <v>0</v>
      </c>
      <c r="R7" s="832" cm="1">
        <f t="array" aca="1" ref="R7" ca="1">IFERROR(INDEX(Rango_Admin_Clas_Total,R$2,MATCH($A7,Rango_Admin_Clas_Primera,0)+1),"-")</f>
        <v>0</v>
      </c>
      <c r="S7" s="832" cm="1">
        <f t="array" aca="1" ref="S7" ca="1">IFERROR(INDEX(Rango_Admin_Clas_Total,S$2,MATCH($A7,Rango_Admin_Clas_Primera,0)+1),"-")</f>
        <v>0</v>
      </c>
      <c r="T7" s="295"/>
      <c r="U7" s="295"/>
    </row>
    <row r="8" spans="1:21">
      <c r="A8" s="19">
        <f t="shared" si="0"/>
        <v>4</v>
      </c>
      <c r="B8" s="810">
        <f ca="1">IFERROR(HLOOKUP(A8,Rango_Admin_Clas,3,FALSE),"-")</f>
        <v>3</v>
      </c>
      <c r="C8" s="811" t="str">
        <f ca="1">IFERROR(HLOOKUP(A8,Rango_Admin_Clas,5,FALSE),"-")</f>
        <v>fenix</v>
      </c>
      <c r="D8" s="770">
        <f ca="1">IFERROR(HLOOKUP(A8,Rango_Admin_Clas,4,FALSE),"-")</f>
        <v>29</v>
      </c>
      <c r="E8" s="771" cm="1">
        <f t="array" aca="1" ref="E8" ca="1">IFERROR(INDEX(Rango_Admin_Clas_Total,E$2,MATCH($A8,Rango_Admin_Clas_Primera,0)+1),"-")</f>
        <v>29</v>
      </c>
      <c r="F8" s="771" cm="1">
        <f t="array" aca="1" ref="F8" ca="1">IFERROR(INDEX(Rango_Admin_Clas_Total,F$2,MATCH($A8,Rango_Admin_Clas_Primera,0)+1),"-")</f>
        <v>0</v>
      </c>
      <c r="G8" s="771" cm="1">
        <f t="array" aca="1" ref="G8" ca="1">IFERROR(INDEX(Rango_Admin_Clas_Total,G$2,MATCH($A8,Rango_Admin_Clas_Primera,0)+1),"-")</f>
        <v>0</v>
      </c>
      <c r="H8" s="771" cm="1">
        <f t="array" aca="1" ref="H8" ca="1">IFERROR(INDEX(Rango_Admin_Clas_Total,H$2,MATCH($A8,Rango_Admin_Clas_Primera,0)+1),"-")</f>
        <v>0</v>
      </c>
      <c r="I8" s="771" cm="1">
        <f t="array" aca="1" ref="I8" ca="1">IFERROR(INDEX(Rango_Admin_Clas_Total,I$2,MATCH($A8,Rango_Admin_Clas_Primera,0)+1),"-")</f>
        <v>0</v>
      </c>
      <c r="J8" s="771" cm="1">
        <f t="array" aca="1" ref="J8" ca="1">IFERROR(INDEX(Rango_Admin_Clas_Total,J$2,MATCH($A8,Rango_Admin_Clas_Primera,0)+1),"-")</f>
        <v>0</v>
      </c>
      <c r="K8" s="771" cm="1">
        <f t="array" aca="1" ref="K8" ca="1">IFERROR(INDEX(Rango_Admin_Clas_Total,K$2,MATCH($A8,Rango_Admin_Clas_Primera,0)+1),"-")</f>
        <v>0</v>
      </c>
      <c r="L8" s="771" cm="1">
        <f t="array" aca="1" ref="L8" ca="1">IFERROR(INDEX(Rango_Admin_Clas_Total,L$2,MATCH($A8,Rango_Admin_Clas_Primera,0)+1),"-")</f>
        <v>0</v>
      </c>
      <c r="M8" s="771" cm="1">
        <f t="array" aca="1" ref="M8" ca="1">IFERROR(INDEX(Rango_Admin_Clas_Total,M$2,MATCH($A8,Rango_Admin_Clas_Primera,0)+1),"-")</f>
        <v>0</v>
      </c>
      <c r="N8" s="771" cm="1">
        <f t="array" aca="1" ref="N8" ca="1">IFERROR(INDEX(Rango_Admin_Clas_Total,N$2,MATCH($A8,Rango_Admin_Clas_Primera,0)+1),"-")</f>
        <v>0</v>
      </c>
      <c r="O8" s="771" cm="1">
        <f t="array" aca="1" ref="O8" ca="1">IFERROR(INDEX(Rango_Admin_Clas_Total,O$2,MATCH($A8,Rango_Admin_Clas_Primera,0)+1),"-")</f>
        <v>0</v>
      </c>
      <c r="P8" s="771" cm="1">
        <f t="array" aca="1" ref="P8" ca="1">IFERROR(INDEX(Rango_Admin_Clas_Total,P$2,MATCH($A8,Rango_Admin_Clas_Primera,0)+1),"-")</f>
        <v>0</v>
      </c>
      <c r="Q8" s="771" cm="1">
        <f t="array" aca="1" ref="Q8" ca="1">IFERROR(INDEX(Rango_Admin_Clas_Total,Q$2,MATCH($A8,Rango_Admin_Clas_Primera,0)+1),"-")</f>
        <v>0</v>
      </c>
      <c r="R8" s="771" cm="1">
        <f t="array" aca="1" ref="R8" ca="1">IFERROR(INDEX(Rango_Admin_Clas_Total,R$2,MATCH($A8,Rango_Admin_Clas_Primera,0)+1),"-")</f>
        <v>0</v>
      </c>
      <c r="S8" s="771" cm="1">
        <f t="array" aca="1" ref="S8" ca="1">IFERROR(INDEX(Rango_Admin_Clas_Total,S$2,MATCH($A8,Rango_Admin_Clas_Primera,0)+1),"-")</f>
        <v>0</v>
      </c>
      <c r="T8" s="295"/>
      <c r="U8" s="295"/>
    </row>
    <row r="9" spans="1:21">
      <c r="A9" s="19">
        <f t="shared" si="0"/>
        <v>5</v>
      </c>
      <c r="B9" s="829">
        <f ca="1">IFERROR(HLOOKUP(A9,Rango_Admin_Clas,3,FALSE),"-")</f>
        <v>3</v>
      </c>
      <c r="C9" s="830" t="str">
        <f ca="1">IFERROR(HLOOKUP(A9,Rango_Admin_Clas,5,FALSE),"-")</f>
        <v>José Arturo De Abreu</v>
      </c>
      <c r="D9" s="831">
        <f ca="1">IFERROR(HLOOKUP(A9,Rango_Admin_Clas,4,FALSE),"-")</f>
        <v>29</v>
      </c>
      <c r="E9" s="832" cm="1">
        <f t="array" aca="1" ref="E9" ca="1">IFERROR(INDEX(Rango_Admin_Clas_Total,E$2,MATCH($A9,Rango_Admin_Clas_Primera,0)+1),"-")</f>
        <v>29</v>
      </c>
      <c r="F9" s="832" cm="1">
        <f t="array" aca="1" ref="F9" ca="1">IFERROR(INDEX(Rango_Admin_Clas_Total,F$2,MATCH($A9,Rango_Admin_Clas_Primera,0)+1),"-")</f>
        <v>0</v>
      </c>
      <c r="G9" s="832" cm="1">
        <f t="array" aca="1" ref="G9" ca="1">IFERROR(INDEX(Rango_Admin_Clas_Total,G$2,MATCH($A9,Rango_Admin_Clas_Primera,0)+1),"-")</f>
        <v>0</v>
      </c>
      <c r="H9" s="832" cm="1">
        <f t="array" aca="1" ref="H9" ca="1">IFERROR(INDEX(Rango_Admin_Clas_Total,H$2,MATCH($A9,Rango_Admin_Clas_Primera,0)+1),"-")</f>
        <v>0</v>
      </c>
      <c r="I9" s="832" cm="1">
        <f t="array" aca="1" ref="I9" ca="1">IFERROR(INDEX(Rango_Admin_Clas_Total,I$2,MATCH($A9,Rango_Admin_Clas_Primera,0)+1),"-")</f>
        <v>0</v>
      </c>
      <c r="J9" s="832" cm="1">
        <f t="array" aca="1" ref="J9" ca="1">IFERROR(INDEX(Rango_Admin_Clas_Total,J$2,MATCH($A9,Rango_Admin_Clas_Primera,0)+1),"-")</f>
        <v>0</v>
      </c>
      <c r="K9" s="832" cm="1">
        <f t="array" aca="1" ref="K9" ca="1">IFERROR(INDEX(Rango_Admin_Clas_Total,K$2,MATCH($A9,Rango_Admin_Clas_Primera,0)+1),"-")</f>
        <v>0</v>
      </c>
      <c r="L9" s="832" cm="1">
        <f t="array" aca="1" ref="L9" ca="1">IFERROR(INDEX(Rango_Admin_Clas_Total,L$2,MATCH($A9,Rango_Admin_Clas_Primera,0)+1),"-")</f>
        <v>0</v>
      </c>
      <c r="M9" s="832" cm="1">
        <f t="array" aca="1" ref="M9" ca="1">IFERROR(INDEX(Rango_Admin_Clas_Total,M$2,MATCH($A9,Rango_Admin_Clas_Primera,0)+1),"-")</f>
        <v>0</v>
      </c>
      <c r="N9" s="832" cm="1">
        <f t="array" aca="1" ref="N9" ca="1">IFERROR(INDEX(Rango_Admin_Clas_Total,N$2,MATCH($A9,Rango_Admin_Clas_Primera,0)+1),"-")</f>
        <v>0</v>
      </c>
      <c r="O9" s="832" cm="1">
        <f t="array" aca="1" ref="O9" ca="1">IFERROR(INDEX(Rango_Admin_Clas_Total,O$2,MATCH($A9,Rango_Admin_Clas_Primera,0)+1),"-")</f>
        <v>0</v>
      </c>
      <c r="P9" s="832" cm="1">
        <f t="array" aca="1" ref="P9" ca="1">IFERROR(INDEX(Rango_Admin_Clas_Total,P$2,MATCH($A9,Rango_Admin_Clas_Primera,0)+1),"-")</f>
        <v>0</v>
      </c>
      <c r="Q9" s="832" cm="1">
        <f t="array" aca="1" ref="Q9" ca="1">IFERROR(INDEX(Rango_Admin_Clas_Total,Q$2,MATCH($A9,Rango_Admin_Clas_Primera,0)+1),"-")</f>
        <v>0</v>
      </c>
      <c r="R9" s="832" cm="1">
        <f t="array" aca="1" ref="R9" ca="1">IFERROR(INDEX(Rango_Admin_Clas_Total,R$2,MATCH($A9,Rango_Admin_Clas_Primera,0)+1),"-")</f>
        <v>0</v>
      </c>
      <c r="S9" s="832" cm="1">
        <f t="array" aca="1" ref="S9" ca="1">IFERROR(INDEX(Rango_Admin_Clas_Total,S$2,MATCH($A9,Rango_Admin_Clas_Primera,0)+1),"-")</f>
        <v>0</v>
      </c>
      <c r="T9" s="295"/>
      <c r="U9" s="295"/>
    </row>
    <row r="10" spans="1:21">
      <c r="A10" s="19">
        <f t="shared" si="0"/>
        <v>6</v>
      </c>
      <c r="B10" s="810">
        <f ca="1">IFERROR(HLOOKUP(A10,Rango_Admin_Clas,3,FALSE),"-")</f>
        <v>3</v>
      </c>
      <c r="C10" s="811" t="str">
        <f ca="1">IFERROR(HLOOKUP(A10,Rango_Admin_Clas,5,FALSE),"-")</f>
        <v>Luis Rondon</v>
      </c>
      <c r="D10" s="770">
        <f ca="1">IFERROR(HLOOKUP(A10,Rango_Admin_Clas,4,FALSE),"-")</f>
        <v>29</v>
      </c>
      <c r="E10" s="771" cm="1">
        <f t="array" aca="1" ref="E10" ca="1">IFERROR(INDEX(Rango_Admin_Clas_Total,E$2,MATCH($A10,Rango_Admin_Clas_Primera,0)+1),"-")</f>
        <v>29</v>
      </c>
      <c r="F10" s="771" cm="1">
        <f t="array" aca="1" ref="F10" ca="1">IFERROR(INDEX(Rango_Admin_Clas_Total,F$2,MATCH($A10,Rango_Admin_Clas_Primera,0)+1),"-")</f>
        <v>0</v>
      </c>
      <c r="G10" s="771" cm="1">
        <f t="array" aca="1" ref="G10" ca="1">IFERROR(INDEX(Rango_Admin_Clas_Total,G$2,MATCH($A10,Rango_Admin_Clas_Primera,0)+1),"-")</f>
        <v>0</v>
      </c>
      <c r="H10" s="771" cm="1">
        <f t="array" aca="1" ref="H10" ca="1">IFERROR(INDEX(Rango_Admin_Clas_Total,H$2,MATCH($A10,Rango_Admin_Clas_Primera,0)+1),"-")</f>
        <v>0</v>
      </c>
      <c r="I10" s="771" cm="1">
        <f t="array" aca="1" ref="I10" ca="1">IFERROR(INDEX(Rango_Admin_Clas_Total,I$2,MATCH($A10,Rango_Admin_Clas_Primera,0)+1),"-")</f>
        <v>0</v>
      </c>
      <c r="J10" s="771" cm="1">
        <f t="array" aca="1" ref="J10" ca="1">IFERROR(INDEX(Rango_Admin_Clas_Total,J$2,MATCH($A10,Rango_Admin_Clas_Primera,0)+1),"-")</f>
        <v>0</v>
      </c>
      <c r="K10" s="771" cm="1">
        <f t="array" aca="1" ref="K10" ca="1">IFERROR(INDEX(Rango_Admin_Clas_Total,K$2,MATCH($A10,Rango_Admin_Clas_Primera,0)+1),"-")</f>
        <v>0</v>
      </c>
      <c r="L10" s="771" cm="1">
        <f t="array" aca="1" ref="L10" ca="1">IFERROR(INDEX(Rango_Admin_Clas_Total,L$2,MATCH($A10,Rango_Admin_Clas_Primera,0)+1),"-")</f>
        <v>0</v>
      </c>
      <c r="M10" s="771" cm="1">
        <f t="array" aca="1" ref="M10" ca="1">IFERROR(INDEX(Rango_Admin_Clas_Total,M$2,MATCH($A10,Rango_Admin_Clas_Primera,0)+1),"-")</f>
        <v>0</v>
      </c>
      <c r="N10" s="771" cm="1">
        <f t="array" aca="1" ref="N10" ca="1">IFERROR(INDEX(Rango_Admin_Clas_Total,N$2,MATCH($A10,Rango_Admin_Clas_Primera,0)+1),"-")</f>
        <v>0</v>
      </c>
      <c r="O10" s="771" cm="1">
        <f t="array" aca="1" ref="O10" ca="1">IFERROR(INDEX(Rango_Admin_Clas_Total,O$2,MATCH($A10,Rango_Admin_Clas_Primera,0)+1),"-")</f>
        <v>0</v>
      </c>
      <c r="P10" s="771" cm="1">
        <f t="array" aca="1" ref="P10" ca="1">IFERROR(INDEX(Rango_Admin_Clas_Total,P$2,MATCH($A10,Rango_Admin_Clas_Primera,0)+1),"-")</f>
        <v>0</v>
      </c>
      <c r="Q10" s="771" cm="1">
        <f t="array" aca="1" ref="Q10" ca="1">IFERROR(INDEX(Rango_Admin_Clas_Total,Q$2,MATCH($A10,Rango_Admin_Clas_Primera,0)+1),"-")</f>
        <v>0</v>
      </c>
      <c r="R10" s="771" cm="1">
        <f t="array" aca="1" ref="R10" ca="1">IFERROR(INDEX(Rango_Admin_Clas_Total,R$2,MATCH($A10,Rango_Admin_Clas_Primera,0)+1),"-")</f>
        <v>0</v>
      </c>
      <c r="S10" s="771" cm="1">
        <f t="array" aca="1" ref="S10" ca="1">IFERROR(INDEX(Rango_Admin_Clas_Total,S$2,MATCH($A10,Rango_Admin_Clas_Primera,0)+1),"-")</f>
        <v>0</v>
      </c>
      <c r="T10" s="295"/>
      <c r="U10" s="295"/>
    </row>
    <row r="11" spans="1:21">
      <c r="A11" s="19">
        <f t="shared" si="0"/>
        <v>7</v>
      </c>
      <c r="B11" s="829">
        <f ca="1">IFERROR(HLOOKUP(A11,Rango_Admin_Clas,3,FALSE),"-")</f>
        <v>3</v>
      </c>
      <c r="C11" s="830" t="str">
        <f ca="1">IFERROR(HLOOKUP(A11,Rango_Admin_Clas,5,FALSE),"-")</f>
        <v>Manuel Coa</v>
      </c>
      <c r="D11" s="831">
        <f ca="1">IFERROR(HLOOKUP(A11,Rango_Admin_Clas,4,FALSE),"-")</f>
        <v>29</v>
      </c>
      <c r="E11" s="832" cm="1">
        <f t="array" aca="1" ref="E11" ca="1">IFERROR(INDEX(Rango_Admin_Clas_Total,E$2,MATCH($A11,Rango_Admin_Clas_Primera,0)+1),"-")</f>
        <v>29</v>
      </c>
      <c r="F11" s="832" cm="1">
        <f t="array" aca="1" ref="F11" ca="1">IFERROR(INDEX(Rango_Admin_Clas_Total,F$2,MATCH($A11,Rango_Admin_Clas_Primera,0)+1),"-")</f>
        <v>0</v>
      </c>
      <c r="G11" s="832" cm="1">
        <f t="array" aca="1" ref="G11" ca="1">IFERROR(INDEX(Rango_Admin_Clas_Total,G$2,MATCH($A11,Rango_Admin_Clas_Primera,0)+1),"-")</f>
        <v>0</v>
      </c>
      <c r="H11" s="832" cm="1">
        <f t="array" aca="1" ref="H11" ca="1">IFERROR(INDEX(Rango_Admin_Clas_Total,H$2,MATCH($A11,Rango_Admin_Clas_Primera,0)+1),"-")</f>
        <v>0</v>
      </c>
      <c r="I11" s="832" cm="1">
        <f t="array" aca="1" ref="I11" ca="1">IFERROR(INDEX(Rango_Admin_Clas_Total,I$2,MATCH($A11,Rango_Admin_Clas_Primera,0)+1),"-")</f>
        <v>0</v>
      </c>
      <c r="J11" s="832" cm="1">
        <f t="array" aca="1" ref="J11" ca="1">IFERROR(INDEX(Rango_Admin_Clas_Total,J$2,MATCH($A11,Rango_Admin_Clas_Primera,0)+1),"-")</f>
        <v>0</v>
      </c>
      <c r="K11" s="832" cm="1">
        <f t="array" aca="1" ref="K11" ca="1">IFERROR(INDEX(Rango_Admin_Clas_Total,K$2,MATCH($A11,Rango_Admin_Clas_Primera,0)+1),"-")</f>
        <v>0</v>
      </c>
      <c r="L11" s="832" cm="1">
        <f t="array" aca="1" ref="L11" ca="1">IFERROR(INDEX(Rango_Admin_Clas_Total,L$2,MATCH($A11,Rango_Admin_Clas_Primera,0)+1),"-")</f>
        <v>0</v>
      </c>
      <c r="M11" s="832" cm="1">
        <f t="array" aca="1" ref="M11" ca="1">IFERROR(INDEX(Rango_Admin_Clas_Total,M$2,MATCH($A11,Rango_Admin_Clas_Primera,0)+1),"-")</f>
        <v>0</v>
      </c>
      <c r="N11" s="832" cm="1">
        <f t="array" aca="1" ref="N11" ca="1">IFERROR(INDEX(Rango_Admin_Clas_Total,N$2,MATCH($A11,Rango_Admin_Clas_Primera,0)+1),"-")</f>
        <v>0</v>
      </c>
      <c r="O11" s="832" cm="1">
        <f t="array" aca="1" ref="O11" ca="1">IFERROR(INDEX(Rango_Admin_Clas_Total,O$2,MATCH($A11,Rango_Admin_Clas_Primera,0)+1),"-")</f>
        <v>0</v>
      </c>
      <c r="P11" s="832" cm="1">
        <f t="array" aca="1" ref="P11" ca="1">IFERROR(INDEX(Rango_Admin_Clas_Total,P$2,MATCH($A11,Rango_Admin_Clas_Primera,0)+1),"-")</f>
        <v>0</v>
      </c>
      <c r="Q11" s="832" cm="1">
        <f t="array" aca="1" ref="Q11" ca="1">IFERROR(INDEX(Rango_Admin_Clas_Total,Q$2,MATCH($A11,Rango_Admin_Clas_Primera,0)+1),"-")</f>
        <v>0</v>
      </c>
      <c r="R11" s="832" cm="1">
        <f t="array" aca="1" ref="R11" ca="1">IFERROR(INDEX(Rango_Admin_Clas_Total,R$2,MATCH($A11,Rango_Admin_Clas_Primera,0)+1),"-")</f>
        <v>0</v>
      </c>
      <c r="S11" s="832" cm="1">
        <f t="array" aca="1" ref="S11" ca="1">IFERROR(INDEX(Rango_Admin_Clas_Total,S$2,MATCH($A11,Rango_Admin_Clas_Primera,0)+1),"-")</f>
        <v>0</v>
      </c>
      <c r="T11" s="295"/>
      <c r="U11" s="295"/>
    </row>
    <row r="12" spans="1:21">
      <c r="A12" s="19">
        <f t="shared" si="0"/>
        <v>8</v>
      </c>
      <c r="B12" s="810">
        <f ca="1">IFERROR(HLOOKUP(A12,Rango_Admin_Clas,3,FALSE),"-")</f>
        <v>3</v>
      </c>
      <c r="C12" s="811" t="str">
        <f ca="1">IFERROR(HLOOKUP(A12,Rango_Admin_Clas,5,FALSE),"-")</f>
        <v>Leonardo Herrera</v>
      </c>
      <c r="D12" s="770">
        <f ca="1">IFERROR(HLOOKUP(A12,Rango_Admin_Clas,4,FALSE),"-")</f>
        <v>29</v>
      </c>
      <c r="E12" s="771" cm="1">
        <f t="array" aca="1" ref="E12" ca="1">IFERROR(INDEX(Rango_Admin_Clas_Total,E$2,MATCH($A12,Rango_Admin_Clas_Primera,0)+1),"-")</f>
        <v>29</v>
      </c>
      <c r="F12" s="771" cm="1">
        <f t="array" aca="1" ref="F12" ca="1">IFERROR(INDEX(Rango_Admin_Clas_Total,F$2,MATCH($A12,Rango_Admin_Clas_Primera,0)+1),"-")</f>
        <v>0</v>
      </c>
      <c r="G12" s="771" cm="1">
        <f t="array" aca="1" ref="G12" ca="1">IFERROR(INDEX(Rango_Admin_Clas_Total,G$2,MATCH($A12,Rango_Admin_Clas_Primera,0)+1),"-")</f>
        <v>0</v>
      </c>
      <c r="H12" s="771" cm="1">
        <f t="array" aca="1" ref="H12" ca="1">IFERROR(INDEX(Rango_Admin_Clas_Total,H$2,MATCH($A12,Rango_Admin_Clas_Primera,0)+1),"-")</f>
        <v>0</v>
      </c>
      <c r="I12" s="771" cm="1">
        <f t="array" aca="1" ref="I12" ca="1">IFERROR(INDEX(Rango_Admin_Clas_Total,I$2,MATCH($A12,Rango_Admin_Clas_Primera,0)+1),"-")</f>
        <v>0</v>
      </c>
      <c r="J12" s="771" cm="1">
        <f t="array" aca="1" ref="J12" ca="1">IFERROR(INDEX(Rango_Admin_Clas_Total,J$2,MATCH($A12,Rango_Admin_Clas_Primera,0)+1),"-")</f>
        <v>0</v>
      </c>
      <c r="K12" s="771" cm="1">
        <f t="array" aca="1" ref="K12" ca="1">IFERROR(INDEX(Rango_Admin_Clas_Total,K$2,MATCH($A12,Rango_Admin_Clas_Primera,0)+1),"-")</f>
        <v>0</v>
      </c>
      <c r="L12" s="771" cm="1">
        <f t="array" aca="1" ref="L12" ca="1">IFERROR(INDEX(Rango_Admin_Clas_Total,L$2,MATCH($A12,Rango_Admin_Clas_Primera,0)+1),"-")</f>
        <v>0</v>
      </c>
      <c r="M12" s="771" cm="1">
        <f t="array" aca="1" ref="M12" ca="1">IFERROR(INDEX(Rango_Admin_Clas_Total,M$2,MATCH($A12,Rango_Admin_Clas_Primera,0)+1),"-")</f>
        <v>0</v>
      </c>
      <c r="N12" s="771" cm="1">
        <f t="array" aca="1" ref="N12" ca="1">IFERROR(INDEX(Rango_Admin_Clas_Total,N$2,MATCH($A12,Rango_Admin_Clas_Primera,0)+1),"-")</f>
        <v>0</v>
      </c>
      <c r="O12" s="771" cm="1">
        <f t="array" aca="1" ref="O12" ca="1">IFERROR(INDEX(Rango_Admin_Clas_Total,O$2,MATCH($A12,Rango_Admin_Clas_Primera,0)+1),"-")</f>
        <v>0</v>
      </c>
      <c r="P12" s="771" cm="1">
        <f t="array" aca="1" ref="P12" ca="1">IFERROR(INDEX(Rango_Admin_Clas_Total,P$2,MATCH($A12,Rango_Admin_Clas_Primera,0)+1),"-")</f>
        <v>0</v>
      </c>
      <c r="Q12" s="771" cm="1">
        <f t="array" aca="1" ref="Q12" ca="1">IFERROR(INDEX(Rango_Admin_Clas_Total,Q$2,MATCH($A12,Rango_Admin_Clas_Primera,0)+1),"-")</f>
        <v>0</v>
      </c>
      <c r="R12" s="771" cm="1">
        <f t="array" aca="1" ref="R12" ca="1">IFERROR(INDEX(Rango_Admin_Clas_Total,R$2,MATCH($A12,Rango_Admin_Clas_Primera,0)+1),"-")</f>
        <v>0</v>
      </c>
      <c r="S12" s="771" cm="1">
        <f t="array" aca="1" ref="S12" ca="1">IFERROR(INDEX(Rango_Admin_Clas_Total,S$2,MATCH($A12,Rango_Admin_Clas_Primera,0)+1),"-")</f>
        <v>0</v>
      </c>
      <c r="T12" s="295"/>
      <c r="U12" s="295"/>
    </row>
    <row r="13" spans="1:21">
      <c r="A13" s="19">
        <f t="shared" si="0"/>
        <v>9</v>
      </c>
      <c r="B13" s="829">
        <f ca="1">IFERROR(HLOOKUP(A13,Rango_Admin_Clas,3,FALSE),"-")</f>
        <v>9</v>
      </c>
      <c r="C13" s="830" t="s">
        <v>2879</v>
      </c>
      <c r="D13" s="831">
        <f ca="1">IFERROR(HLOOKUP(A13,Rango_Admin_Clas,4,FALSE),"-")</f>
        <v>22</v>
      </c>
      <c r="E13" s="832" cm="1">
        <f t="array" aca="1" ref="E13" ca="1">IFERROR(INDEX(Rango_Admin_Clas_Total,E$2,MATCH($A13,Rango_Admin_Clas_Primera,0)+1),"-")</f>
        <v>22</v>
      </c>
      <c r="F13" s="832" cm="1">
        <f t="array" aca="1" ref="F13" ca="1">IFERROR(INDEX(Rango_Admin_Clas_Total,F$2,MATCH($A13,Rango_Admin_Clas_Primera,0)+1),"-")</f>
        <v>0</v>
      </c>
      <c r="G13" s="832" cm="1">
        <f t="array" aca="1" ref="G13" ca="1">IFERROR(INDEX(Rango_Admin_Clas_Total,G$2,MATCH($A13,Rango_Admin_Clas_Primera,0)+1),"-")</f>
        <v>0</v>
      </c>
      <c r="H13" s="832" cm="1">
        <f t="array" aca="1" ref="H13" ca="1">IFERROR(INDEX(Rango_Admin_Clas_Total,H$2,MATCH($A13,Rango_Admin_Clas_Primera,0)+1),"-")</f>
        <v>0</v>
      </c>
      <c r="I13" s="832" cm="1">
        <f t="array" aca="1" ref="I13" ca="1">IFERROR(INDEX(Rango_Admin_Clas_Total,I$2,MATCH($A13,Rango_Admin_Clas_Primera,0)+1),"-")</f>
        <v>0</v>
      </c>
      <c r="J13" s="832" cm="1">
        <f t="array" aca="1" ref="J13" ca="1">IFERROR(INDEX(Rango_Admin_Clas_Total,J$2,MATCH($A13,Rango_Admin_Clas_Primera,0)+1),"-")</f>
        <v>0</v>
      </c>
      <c r="K13" s="832" cm="1">
        <f t="array" aca="1" ref="K13" ca="1">IFERROR(INDEX(Rango_Admin_Clas_Total,K$2,MATCH($A13,Rango_Admin_Clas_Primera,0)+1),"-")</f>
        <v>0</v>
      </c>
      <c r="L13" s="832" cm="1">
        <f t="array" aca="1" ref="L13" ca="1">IFERROR(INDEX(Rango_Admin_Clas_Total,L$2,MATCH($A13,Rango_Admin_Clas_Primera,0)+1),"-")</f>
        <v>0</v>
      </c>
      <c r="M13" s="832" cm="1">
        <f t="array" aca="1" ref="M13" ca="1">IFERROR(INDEX(Rango_Admin_Clas_Total,M$2,MATCH($A13,Rango_Admin_Clas_Primera,0)+1),"-")</f>
        <v>0</v>
      </c>
      <c r="N13" s="832" cm="1">
        <f t="array" aca="1" ref="N13" ca="1">IFERROR(INDEX(Rango_Admin_Clas_Total,N$2,MATCH($A13,Rango_Admin_Clas_Primera,0)+1),"-")</f>
        <v>0</v>
      </c>
      <c r="O13" s="832" cm="1">
        <f t="array" aca="1" ref="O13" ca="1">IFERROR(INDEX(Rango_Admin_Clas_Total,O$2,MATCH($A13,Rango_Admin_Clas_Primera,0)+1),"-")</f>
        <v>0</v>
      </c>
      <c r="P13" s="832" cm="1">
        <f t="array" aca="1" ref="P13" ca="1">IFERROR(INDEX(Rango_Admin_Clas_Total,P$2,MATCH($A13,Rango_Admin_Clas_Primera,0)+1),"-")</f>
        <v>0</v>
      </c>
      <c r="Q13" s="832" cm="1">
        <f t="array" aca="1" ref="Q13" ca="1">IFERROR(INDEX(Rango_Admin_Clas_Total,Q$2,MATCH($A13,Rango_Admin_Clas_Primera,0)+1),"-")</f>
        <v>0</v>
      </c>
      <c r="R13" s="832" cm="1">
        <f t="array" aca="1" ref="R13" ca="1">IFERROR(INDEX(Rango_Admin_Clas_Total,R$2,MATCH($A13,Rango_Admin_Clas_Primera,0)+1),"-")</f>
        <v>0</v>
      </c>
      <c r="S13" s="832" cm="1">
        <f t="array" aca="1" ref="S13" ca="1">IFERROR(INDEX(Rango_Admin_Clas_Total,S$2,MATCH($A13,Rango_Admin_Clas_Primera,0)+1),"-")</f>
        <v>0</v>
      </c>
      <c r="T13" s="295"/>
      <c r="U13" s="295"/>
    </row>
    <row r="14" spans="1:21" ht="14.4" customHeight="1">
      <c r="A14" s="19">
        <f t="shared" si="0"/>
        <v>10</v>
      </c>
      <c r="B14" s="810">
        <f ca="1">IFERROR(HLOOKUP(A14,Rango_Admin_Clas,3,FALSE),"-")</f>
        <v>9</v>
      </c>
      <c r="C14" s="811" t="str">
        <f ca="1">IFERROR(HLOOKUP(A14,Rango_Admin_Clas,5,FALSE),"-")</f>
        <v>The special one</v>
      </c>
      <c r="D14" s="770">
        <f ca="1">IFERROR(HLOOKUP(A14,Rango_Admin_Clas,4,FALSE),"-")</f>
        <v>22</v>
      </c>
      <c r="E14" s="771" cm="1">
        <f t="array" aca="1" ref="E14" ca="1">IFERROR(INDEX(Rango_Admin_Clas_Total,E$2,MATCH($A14,Rango_Admin_Clas_Primera,0)+1),"-")</f>
        <v>22</v>
      </c>
      <c r="F14" s="771" cm="1">
        <f t="array" aca="1" ref="F14" ca="1">IFERROR(INDEX(Rango_Admin_Clas_Total,F$2,MATCH($A14,Rango_Admin_Clas_Primera,0)+1),"-")</f>
        <v>0</v>
      </c>
      <c r="G14" s="771" cm="1">
        <f t="array" aca="1" ref="G14" ca="1">IFERROR(INDEX(Rango_Admin_Clas_Total,G$2,MATCH($A14,Rango_Admin_Clas_Primera,0)+1),"-")</f>
        <v>0</v>
      </c>
      <c r="H14" s="771" cm="1">
        <f t="array" aca="1" ref="H14" ca="1">IFERROR(INDEX(Rango_Admin_Clas_Total,H$2,MATCH($A14,Rango_Admin_Clas_Primera,0)+1),"-")</f>
        <v>0</v>
      </c>
      <c r="I14" s="771" cm="1">
        <f t="array" aca="1" ref="I14" ca="1">IFERROR(INDEX(Rango_Admin_Clas_Total,I$2,MATCH($A14,Rango_Admin_Clas_Primera,0)+1),"-")</f>
        <v>0</v>
      </c>
      <c r="J14" s="771" cm="1">
        <f t="array" aca="1" ref="J14" ca="1">IFERROR(INDEX(Rango_Admin_Clas_Total,J$2,MATCH($A14,Rango_Admin_Clas_Primera,0)+1),"-")</f>
        <v>0</v>
      </c>
      <c r="K14" s="771" cm="1">
        <f t="array" aca="1" ref="K14" ca="1">IFERROR(INDEX(Rango_Admin_Clas_Total,K$2,MATCH($A14,Rango_Admin_Clas_Primera,0)+1),"-")</f>
        <v>0</v>
      </c>
      <c r="L14" s="771" cm="1">
        <f t="array" aca="1" ref="L14" ca="1">IFERROR(INDEX(Rango_Admin_Clas_Total,L$2,MATCH($A14,Rango_Admin_Clas_Primera,0)+1),"-")</f>
        <v>0</v>
      </c>
      <c r="M14" s="771" cm="1">
        <f t="array" aca="1" ref="M14" ca="1">IFERROR(INDEX(Rango_Admin_Clas_Total,M$2,MATCH($A14,Rango_Admin_Clas_Primera,0)+1),"-")</f>
        <v>0</v>
      </c>
      <c r="N14" s="771" cm="1">
        <f t="array" aca="1" ref="N14" ca="1">IFERROR(INDEX(Rango_Admin_Clas_Total,N$2,MATCH($A14,Rango_Admin_Clas_Primera,0)+1),"-")</f>
        <v>0</v>
      </c>
      <c r="O14" s="771" cm="1">
        <f t="array" aca="1" ref="O14" ca="1">IFERROR(INDEX(Rango_Admin_Clas_Total,O$2,MATCH($A14,Rango_Admin_Clas_Primera,0)+1),"-")</f>
        <v>0</v>
      </c>
      <c r="P14" s="771" cm="1">
        <f t="array" aca="1" ref="P14" ca="1">IFERROR(INDEX(Rango_Admin_Clas_Total,P$2,MATCH($A14,Rango_Admin_Clas_Primera,0)+1),"-")</f>
        <v>0</v>
      </c>
      <c r="Q14" s="771" cm="1">
        <f t="array" aca="1" ref="Q14" ca="1">IFERROR(INDEX(Rango_Admin_Clas_Total,Q$2,MATCH($A14,Rango_Admin_Clas_Primera,0)+1),"-")</f>
        <v>0</v>
      </c>
      <c r="R14" s="771" cm="1">
        <f t="array" aca="1" ref="R14" ca="1">IFERROR(INDEX(Rango_Admin_Clas_Total,R$2,MATCH($A14,Rango_Admin_Clas_Primera,0)+1),"-")</f>
        <v>0</v>
      </c>
      <c r="S14" s="771" cm="1">
        <f t="array" aca="1" ref="S14" ca="1">IFERROR(INDEX(Rango_Admin_Clas_Total,S$2,MATCH($A14,Rango_Admin_Clas_Primera,0)+1),"-")</f>
        <v>0</v>
      </c>
      <c r="T14" s="295"/>
      <c r="U14" s="295"/>
    </row>
    <row r="15" spans="1:21">
      <c r="A15" s="19">
        <f t="shared" si="0"/>
        <v>11</v>
      </c>
      <c r="B15" s="829">
        <f ca="1">IFERROR(HLOOKUP(A15,Rango_Admin_Clas,3,FALSE),"-")</f>
        <v>9</v>
      </c>
      <c r="C15" s="830" t="str">
        <f ca="1">IFERROR(HLOOKUP(A15,Rango_Admin_Clas,5,FALSE),"-")</f>
        <v>Enmanuel Subero</v>
      </c>
      <c r="D15" s="831">
        <f ca="1">IFERROR(HLOOKUP(A15,Rango_Admin_Clas,4,FALSE),"-")</f>
        <v>22</v>
      </c>
      <c r="E15" s="832" cm="1">
        <f t="array" aca="1" ref="E15" ca="1">IFERROR(INDEX(Rango_Admin_Clas_Total,E$2,MATCH($A15,Rango_Admin_Clas_Primera,0)+1),"-")</f>
        <v>22</v>
      </c>
      <c r="F15" s="832" cm="1">
        <f t="array" aca="1" ref="F15" ca="1">IFERROR(INDEX(Rango_Admin_Clas_Total,F$2,MATCH($A15,Rango_Admin_Clas_Primera,0)+1),"-")</f>
        <v>0</v>
      </c>
      <c r="G15" s="832" cm="1">
        <f t="array" aca="1" ref="G15" ca="1">IFERROR(INDEX(Rango_Admin_Clas_Total,G$2,MATCH($A15,Rango_Admin_Clas_Primera,0)+1),"-")</f>
        <v>0</v>
      </c>
      <c r="H15" s="832" cm="1">
        <f t="array" aca="1" ref="H15" ca="1">IFERROR(INDEX(Rango_Admin_Clas_Total,H$2,MATCH($A15,Rango_Admin_Clas_Primera,0)+1),"-")</f>
        <v>0</v>
      </c>
      <c r="I15" s="832" cm="1">
        <f t="array" aca="1" ref="I15" ca="1">IFERROR(INDEX(Rango_Admin_Clas_Total,I$2,MATCH($A15,Rango_Admin_Clas_Primera,0)+1),"-")</f>
        <v>0</v>
      </c>
      <c r="J15" s="832" cm="1">
        <f t="array" aca="1" ref="J15" ca="1">IFERROR(INDEX(Rango_Admin_Clas_Total,J$2,MATCH($A15,Rango_Admin_Clas_Primera,0)+1),"-")</f>
        <v>0</v>
      </c>
      <c r="K15" s="832" cm="1">
        <f t="array" aca="1" ref="K15" ca="1">IFERROR(INDEX(Rango_Admin_Clas_Total,K$2,MATCH($A15,Rango_Admin_Clas_Primera,0)+1),"-")</f>
        <v>0</v>
      </c>
      <c r="L15" s="832" cm="1">
        <f t="array" aca="1" ref="L15" ca="1">IFERROR(INDEX(Rango_Admin_Clas_Total,L$2,MATCH($A15,Rango_Admin_Clas_Primera,0)+1),"-")</f>
        <v>0</v>
      </c>
      <c r="M15" s="832" cm="1">
        <f t="array" aca="1" ref="M15" ca="1">IFERROR(INDEX(Rango_Admin_Clas_Total,M$2,MATCH($A15,Rango_Admin_Clas_Primera,0)+1),"-")</f>
        <v>0</v>
      </c>
      <c r="N15" s="832" cm="1">
        <f t="array" aca="1" ref="N15" ca="1">IFERROR(INDEX(Rango_Admin_Clas_Total,N$2,MATCH($A15,Rango_Admin_Clas_Primera,0)+1),"-")</f>
        <v>0</v>
      </c>
      <c r="O15" s="832" cm="1">
        <f t="array" aca="1" ref="O15" ca="1">IFERROR(INDEX(Rango_Admin_Clas_Total,O$2,MATCH($A15,Rango_Admin_Clas_Primera,0)+1),"-")</f>
        <v>0</v>
      </c>
      <c r="P15" s="832" cm="1">
        <f t="array" aca="1" ref="P15" ca="1">IFERROR(INDEX(Rango_Admin_Clas_Total,P$2,MATCH($A15,Rango_Admin_Clas_Primera,0)+1),"-")</f>
        <v>0</v>
      </c>
      <c r="Q15" s="832" cm="1">
        <f t="array" aca="1" ref="Q15" ca="1">IFERROR(INDEX(Rango_Admin_Clas_Total,Q$2,MATCH($A15,Rango_Admin_Clas_Primera,0)+1),"-")</f>
        <v>0</v>
      </c>
      <c r="R15" s="832" cm="1">
        <f t="array" aca="1" ref="R15" ca="1">IFERROR(INDEX(Rango_Admin_Clas_Total,R$2,MATCH($A15,Rango_Admin_Clas_Primera,0)+1),"-")</f>
        <v>0</v>
      </c>
      <c r="S15" s="832" cm="1">
        <f t="array" aca="1" ref="S15" ca="1">IFERROR(INDEX(Rango_Admin_Clas_Total,S$2,MATCH($A15,Rango_Admin_Clas_Primera,0)+1),"-")</f>
        <v>0</v>
      </c>
      <c r="T15" s="295"/>
      <c r="U15" s="295"/>
    </row>
    <row r="16" spans="1:21">
      <c r="A16" s="19">
        <f t="shared" si="0"/>
        <v>12</v>
      </c>
      <c r="B16" s="810">
        <f ca="1">IFERROR(HLOOKUP(A16,Rango_Admin_Clas,3,FALSE),"-")</f>
        <v>9</v>
      </c>
      <c r="C16" s="811" t="str">
        <f ca="1">IFERROR(HLOOKUP(A16,Rango_Admin_Clas,5,FALSE),"-")</f>
        <v>Juan Sánchez</v>
      </c>
      <c r="D16" s="770">
        <f ca="1">IFERROR(HLOOKUP(A16,Rango_Admin_Clas,4,FALSE),"-")</f>
        <v>22</v>
      </c>
      <c r="E16" s="771" cm="1">
        <f t="array" aca="1" ref="E16" ca="1">IFERROR(INDEX(Rango_Admin_Clas_Total,E$2,MATCH($A16,Rango_Admin_Clas_Primera,0)+1),"-")</f>
        <v>22</v>
      </c>
      <c r="F16" s="771" cm="1">
        <f t="array" aca="1" ref="F16" ca="1">IFERROR(INDEX(Rango_Admin_Clas_Total,F$2,MATCH($A16,Rango_Admin_Clas_Primera,0)+1),"-")</f>
        <v>0</v>
      </c>
      <c r="G16" s="771" cm="1">
        <f t="array" aca="1" ref="G16" ca="1">IFERROR(INDEX(Rango_Admin_Clas_Total,G$2,MATCH($A16,Rango_Admin_Clas_Primera,0)+1),"-")</f>
        <v>0</v>
      </c>
      <c r="H16" s="771" cm="1">
        <f t="array" aca="1" ref="H16" ca="1">IFERROR(INDEX(Rango_Admin_Clas_Total,H$2,MATCH($A16,Rango_Admin_Clas_Primera,0)+1),"-")</f>
        <v>0</v>
      </c>
      <c r="I16" s="771" cm="1">
        <f t="array" aca="1" ref="I16" ca="1">IFERROR(INDEX(Rango_Admin_Clas_Total,I$2,MATCH($A16,Rango_Admin_Clas_Primera,0)+1),"-")</f>
        <v>0</v>
      </c>
      <c r="J16" s="771" cm="1">
        <f t="array" aca="1" ref="J16" ca="1">IFERROR(INDEX(Rango_Admin_Clas_Total,J$2,MATCH($A16,Rango_Admin_Clas_Primera,0)+1),"-")</f>
        <v>0</v>
      </c>
      <c r="K16" s="771" cm="1">
        <f t="array" aca="1" ref="K16" ca="1">IFERROR(INDEX(Rango_Admin_Clas_Total,K$2,MATCH($A16,Rango_Admin_Clas_Primera,0)+1),"-")</f>
        <v>0</v>
      </c>
      <c r="L16" s="771" cm="1">
        <f t="array" aca="1" ref="L16" ca="1">IFERROR(INDEX(Rango_Admin_Clas_Total,L$2,MATCH($A16,Rango_Admin_Clas_Primera,0)+1),"-")</f>
        <v>0</v>
      </c>
      <c r="M16" s="771" cm="1">
        <f t="array" aca="1" ref="M16" ca="1">IFERROR(INDEX(Rango_Admin_Clas_Total,M$2,MATCH($A16,Rango_Admin_Clas_Primera,0)+1),"-")</f>
        <v>0</v>
      </c>
      <c r="N16" s="771" cm="1">
        <f t="array" aca="1" ref="N16" ca="1">IFERROR(INDEX(Rango_Admin_Clas_Total,N$2,MATCH($A16,Rango_Admin_Clas_Primera,0)+1),"-")</f>
        <v>0</v>
      </c>
      <c r="O16" s="771" cm="1">
        <f t="array" aca="1" ref="O16" ca="1">IFERROR(INDEX(Rango_Admin_Clas_Total,O$2,MATCH($A16,Rango_Admin_Clas_Primera,0)+1),"-")</f>
        <v>0</v>
      </c>
      <c r="P16" s="771" cm="1">
        <f t="array" aca="1" ref="P16" ca="1">IFERROR(INDEX(Rango_Admin_Clas_Total,P$2,MATCH($A16,Rango_Admin_Clas_Primera,0)+1),"-")</f>
        <v>0</v>
      </c>
      <c r="Q16" s="771" cm="1">
        <f t="array" aca="1" ref="Q16" ca="1">IFERROR(INDEX(Rango_Admin_Clas_Total,Q$2,MATCH($A16,Rango_Admin_Clas_Primera,0)+1),"-")</f>
        <v>0</v>
      </c>
      <c r="R16" s="771" cm="1">
        <f t="array" aca="1" ref="R16" ca="1">IFERROR(INDEX(Rango_Admin_Clas_Total,R$2,MATCH($A16,Rango_Admin_Clas_Primera,0)+1),"-")</f>
        <v>0</v>
      </c>
      <c r="S16" s="771" cm="1">
        <f t="array" aca="1" ref="S16" ca="1">IFERROR(INDEX(Rango_Admin_Clas_Total,S$2,MATCH($A16,Rango_Admin_Clas_Primera,0)+1),"-")</f>
        <v>0</v>
      </c>
      <c r="T16" s="295"/>
      <c r="U16" s="295"/>
    </row>
    <row r="17" spans="1:21">
      <c r="A17" s="19">
        <f t="shared" si="0"/>
        <v>13</v>
      </c>
      <c r="B17" s="829">
        <f ca="1">IFERROR(HLOOKUP(A17,Rango_Admin_Clas,3,FALSE),"-")</f>
        <v>9</v>
      </c>
      <c r="C17" s="830" t="str">
        <f ca="1">IFERROR(HLOOKUP(A17,Rango_Admin_Clas,5,FALSE),"-")</f>
        <v>Juan De Abreu</v>
      </c>
      <c r="D17" s="831">
        <f ca="1">IFERROR(HLOOKUP(A17,Rango_Admin_Clas,4,FALSE),"-")</f>
        <v>22</v>
      </c>
      <c r="E17" s="832" cm="1">
        <f t="array" aca="1" ref="E17" ca="1">IFERROR(INDEX(Rango_Admin_Clas_Total,E$2,MATCH($A17,Rango_Admin_Clas_Primera,0)+1),"-")</f>
        <v>22</v>
      </c>
      <c r="F17" s="832" cm="1">
        <f t="array" aca="1" ref="F17" ca="1">IFERROR(INDEX(Rango_Admin_Clas_Total,F$2,MATCH($A17,Rango_Admin_Clas_Primera,0)+1),"-")</f>
        <v>0</v>
      </c>
      <c r="G17" s="832" cm="1">
        <f t="array" aca="1" ref="G17" ca="1">IFERROR(INDEX(Rango_Admin_Clas_Total,G$2,MATCH($A17,Rango_Admin_Clas_Primera,0)+1),"-")</f>
        <v>0</v>
      </c>
      <c r="H17" s="832" cm="1">
        <f t="array" aca="1" ref="H17" ca="1">IFERROR(INDEX(Rango_Admin_Clas_Total,H$2,MATCH($A17,Rango_Admin_Clas_Primera,0)+1),"-")</f>
        <v>0</v>
      </c>
      <c r="I17" s="832" cm="1">
        <f t="array" aca="1" ref="I17" ca="1">IFERROR(INDEX(Rango_Admin_Clas_Total,I$2,MATCH($A17,Rango_Admin_Clas_Primera,0)+1),"-")</f>
        <v>0</v>
      </c>
      <c r="J17" s="832" cm="1">
        <f t="array" aca="1" ref="J17" ca="1">IFERROR(INDEX(Rango_Admin_Clas_Total,J$2,MATCH($A17,Rango_Admin_Clas_Primera,0)+1),"-")</f>
        <v>0</v>
      </c>
      <c r="K17" s="832" cm="1">
        <f t="array" aca="1" ref="K17" ca="1">IFERROR(INDEX(Rango_Admin_Clas_Total,K$2,MATCH($A17,Rango_Admin_Clas_Primera,0)+1),"-")</f>
        <v>0</v>
      </c>
      <c r="L17" s="832" cm="1">
        <f t="array" aca="1" ref="L17" ca="1">IFERROR(INDEX(Rango_Admin_Clas_Total,L$2,MATCH($A17,Rango_Admin_Clas_Primera,0)+1),"-")</f>
        <v>0</v>
      </c>
      <c r="M17" s="832" cm="1">
        <f t="array" aca="1" ref="M17" ca="1">IFERROR(INDEX(Rango_Admin_Clas_Total,M$2,MATCH($A17,Rango_Admin_Clas_Primera,0)+1),"-")</f>
        <v>0</v>
      </c>
      <c r="N17" s="832" cm="1">
        <f t="array" aca="1" ref="N17" ca="1">IFERROR(INDEX(Rango_Admin_Clas_Total,N$2,MATCH($A17,Rango_Admin_Clas_Primera,0)+1),"-")</f>
        <v>0</v>
      </c>
      <c r="O17" s="832" cm="1">
        <f t="array" aca="1" ref="O17" ca="1">IFERROR(INDEX(Rango_Admin_Clas_Total,O$2,MATCH($A17,Rango_Admin_Clas_Primera,0)+1),"-")</f>
        <v>0</v>
      </c>
      <c r="P17" s="832" cm="1">
        <f t="array" aca="1" ref="P17" ca="1">IFERROR(INDEX(Rango_Admin_Clas_Total,P$2,MATCH($A17,Rango_Admin_Clas_Primera,0)+1),"-")</f>
        <v>0</v>
      </c>
      <c r="Q17" s="832" cm="1">
        <f t="array" aca="1" ref="Q17" ca="1">IFERROR(INDEX(Rango_Admin_Clas_Total,Q$2,MATCH($A17,Rango_Admin_Clas_Primera,0)+1),"-")</f>
        <v>0</v>
      </c>
      <c r="R17" s="832" cm="1">
        <f t="array" aca="1" ref="R17" ca="1">IFERROR(INDEX(Rango_Admin_Clas_Total,R$2,MATCH($A17,Rango_Admin_Clas_Primera,0)+1),"-")</f>
        <v>0</v>
      </c>
      <c r="S17" s="832" cm="1">
        <f t="array" aca="1" ref="S17" ca="1">IFERROR(INDEX(Rango_Admin_Clas_Total,S$2,MATCH($A17,Rango_Admin_Clas_Primera,0)+1),"-")</f>
        <v>0</v>
      </c>
      <c r="T17" s="295"/>
      <c r="U17" s="295"/>
    </row>
    <row r="18" spans="1:21">
      <c r="A18" s="19">
        <f t="shared" si="0"/>
        <v>14</v>
      </c>
      <c r="B18" s="810">
        <f ca="1">IFERROR(HLOOKUP(A18,Rango_Admin_Clas,3,FALSE),"-")</f>
        <v>9</v>
      </c>
      <c r="C18" s="811" t="str">
        <f ca="1">IFERROR(HLOOKUP(A18,Rango_Admin_Clas,5,FALSE),"-")</f>
        <v>Moisex Contreras</v>
      </c>
      <c r="D18" s="770">
        <f ca="1">IFERROR(HLOOKUP(A18,Rango_Admin_Clas,4,FALSE),"-")</f>
        <v>22</v>
      </c>
      <c r="E18" s="771" cm="1">
        <f t="array" aca="1" ref="E18" ca="1">IFERROR(INDEX(Rango_Admin_Clas_Total,E$2,MATCH($A18,Rango_Admin_Clas_Primera,0)+1),"-")</f>
        <v>22</v>
      </c>
      <c r="F18" s="771" cm="1">
        <f t="array" aca="1" ref="F18" ca="1">IFERROR(INDEX(Rango_Admin_Clas_Total,F$2,MATCH($A18,Rango_Admin_Clas_Primera,0)+1),"-")</f>
        <v>0</v>
      </c>
      <c r="G18" s="771" cm="1">
        <f t="array" aca="1" ref="G18" ca="1">IFERROR(INDEX(Rango_Admin_Clas_Total,G$2,MATCH($A18,Rango_Admin_Clas_Primera,0)+1),"-")</f>
        <v>0</v>
      </c>
      <c r="H18" s="771" cm="1">
        <f t="array" aca="1" ref="H18" ca="1">IFERROR(INDEX(Rango_Admin_Clas_Total,H$2,MATCH($A18,Rango_Admin_Clas_Primera,0)+1),"-")</f>
        <v>0</v>
      </c>
      <c r="I18" s="771" cm="1">
        <f t="array" aca="1" ref="I18" ca="1">IFERROR(INDEX(Rango_Admin_Clas_Total,I$2,MATCH($A18,Rango_Admin_Clas_Primera,0)+1),"-")</f>
        <v>0</v>
      </c>
      <c r="J18" s="771" cm="1">
        <f t="array" aca="1" ref="J18" ca="1">IFERROR(INDEX(Rango_Admin_Clas_Total,J$2,MATCH($A18,Rango_Admin_Clas_Primera,0)+1),"-")</f>
        <v>0</v>
      </c>
      <c r="K18" s="771" cm="1">
        <f t="array" aca="1" ref="K18" ca="1">IFERROR(INDEX(Rango_Admin_Clas_Total,K$2,MATCH($A18,Rango_Admin_Clas_Primera,0)+1),"-")</f>
        <v>0</v>
      </c>
      <c r="L18" s="771" cm="1">
        <f t="array" aca="1" ref="L18" ca="1">IFERROR(INDEX(Rango_Admin_Clas_Total,L$2,MATCH($A18,Rango_Admin_Clas_Primera,0)+1),"-")</f>
        <v>0</v>
      </c>
      <c r="M18" s="771" cm="1">
        <f t="array" aca="1" ref="M18" ca="1">IFERROR(INDEX(Rango_Admin_Clas_Total,M$2,MATCH($A18,Rango_Admin_Clas_Primera,0)+1),"-")</f>
        <v>0</v>
      </c>
      <c r="N18" s="771" cm="1">
        <f t="array" aca="1" ref="N18" ca="1">IFERROR(INDEX(Rango_Admin_Clas_Total,N$2,MATCH($A18,Rango_Admin_Clas_Primera,0)+1),"-")</f>
        <v>0</v>
      </c>
      <c r="O18" s="771" cm="1">
        <f t="array" aca="1" ref="O18" ca="1">IFERROR(INDEX(Rango_Admin_Clas_Total,O$2,MATCH($A18,Rango_Admin_Clas_Primera,0)+1),"-")</f>
        <v>0</v>
      </c>
      <c r="P18" s="771" cm="1">
        <f t="array" aca="1" ref="P18" ca="1">IFERROR(INDEX(Rango_Admin_Clas_Total,P$2,MATCH($A18,Rango_Admin_Clas_Primera,0)+1),"-")</f>
        <v>0</v>
      </c>
      <c r="Q18" s="771" cm="1">
        <f t="array" aca="1" ref="Q18" ca="1">IFERROR(INDEX(Rango_Admin_Clas_Total,Q$2,MATCH($A18,Rango_Admin_Clas_Primera,0)+1),"-")</f>
        <v>0</v>
      </c>
      <c r="R18" s="771" cm="1">
        <f t="array" aca="1" ref="R18" ca="1">IFERROR(INDEX(Rango_Admin_Clas_Total,R$2,MATCH($A18,Rango_Admin_Clas_Primera,0)+1),"-")</f>
        <v>0</v>
      </c>
      <c r="S18" s="771" cm="1">
        <f t="array" aca="1" ref="S18" ca="1">IFERROR(INDEX(Rango_Admin_Clas_Total,S$2,MATCH($A18,Rango_Admin_Clas_Primera,0)+1),"-")</f>
        <v>0</v>
      </c>
      <c r="T18" s="295"/>
      <c r="U18" s="295"/>
    </row>
    <row r="19" spans="1:21">
      <c r="A19" s="19">
        <f t="shared" si="0"/>
        <v>15</v>
      </c>
      <c r="B19" s="829">
        <f ca="1">IFERROR(HLOOKUP(A19,Rango_Admin_Clas,3,FALSE),"-")</f>
        <v>9</v>
      </c>
      <c r="C19" s="830" t="str">
        <f ca="1">IFERROR(HLOOKUP(A19,Rango_Admin_Clas,5,FALSE),"-")</f>
        <v>DanielCV</v>
      </c>
      <c r="D19" s="831">
        <f ca="1">IFERROR(HLOOKUP(A19,Rango_Admin_Clas,4,FALSE),"-")</f>
        <v>22</v>
      </c>
      <c r="E19" s="832" cm="1">
        <f t="array" aca="1" ref="E19" ca="1">IFERROR(INDEX(Rango_Admin_Clas_Total,E$2,MATCH($A19,Rango_Admin_Clas_Primera,0)+1),"-")</f>
        <v>22</v>
      </c>
      <c r="F19" s="832" cm="1">
        <f t="array" aca="1" ref="F19" ca="1">IFERROR(INDEX(Rango_Admin_Clas_Total,F$2,MATCH($A19,Rango_Admin_Clas_Primera,0)+1),"-")</f>
        <v>0</v>
      </c>
      <c r="G19" s="832" cm="1">
        <f t="array" aca="1" ref="G19" ca="1">IFERROR(INDEX(Rango_Admin_Clas_Total,G$2,MATCH($A19,Rango_Admin_Clas_Primera,0)+1),"-")</f>
        <v>0</v>
      </c>
      <c r="H19" s="832" cm="1">
        <f t="array" aca="1" ref="H19" ca="1">IFERROR(INDEX(Rango_Admin_Clas_Total,H$2,MATCH($A19,Rango_Admin_Clas_Primera,0)+1),"-")</f>
        <v>0</v>
      </c>
      <c r="I19" s="832" cm="1">
        <f t="array" aca="1" ref="I19" ca="1">IFERROR(INDEX(Rango_Admin_Clas_Total,I$2,MATCH($A19,Rango_Admin_Clas_Primera,0)+1),"-")</f>
        <v>0</v>
      </c>
      <c r="J19" s="832" cm="1">
        <f t="array" aca="1" ref="J19" ca="1">IFERROR(INDEX(Rango_Admin_Clas_Total,J$2,MATCH($A19,Rango_Admin_Clas_Primera,0)+1),"-")</f>
        <v>0</v>
      </c>
      <c r="K19" s="832" cm="1">
        <f t="array" aca="1" ref="K19" ca="1">IFERROR(INDEX(Rango_Admin_Clas_Total,K$2,MATCH($A19,Rango_Admin_Clas_Primera,0)+1),"-")</f>
        <v>0</v>
      </c>
      <c r="L19" s="832" cm="1">
        <f t="array" aca="1" ref="L19" ca="1">IFERROR(INDEX(Rango_Admin_Clas_Total,L$2,MATCH($A19,Rango_Admin_Clas_Primera,0)+1),"-")</f>
        <v>0</v>
      </c>
      <c r="M19" s="832" cm="1">
        <f t="array" aca="1" ref="M19" ca="1">IFERROR(INDEX(Rango_Admin_Clas_Total,M$2,MATCH($A19,Rango_Admin_Clas_Primera,0)+1),"-")</f>
        <v>0</v>
      </c>
      <c r="N19" s="832" cm="1">
        <f t="array" aca="1" ref="N19" ca="1">IFERROR(INDEX(Rango_Admin_Clas_Total,N$2,MATCH($A19,Rango_Admin_Clas_Primera,0)+1),"-")</f>
        <v>0</v>
      </c>
      <c r="O19" s="832" cm="1">
        <f t="array" aca="1" ref="O19" ca="1">IFERROR(INDEX(Rango_Admin_Clas_Total,O$2,MATCH($A19,Rango_Admin_Clas_Primera,0)+1),"-")</f>
        <v>0</v>
      </c>
      <c r="P19" s="832" cm="1">
        <f t="array" aca="1" ref="P19" ca="1">IFERROR(INDEX(Rango_Admin_Clas_Total,P$2,MATCH($A19,Rango_Admin_Clas_Primera,0)+1),"-")</f>
        <v>0</v>
      </c>
      <c r="Q19" s="832" cm="1">
        <f t="array" aca="1" ref="Q19" ca="1">IFERROR(INDEX(Rango_Admin_Clas_Total,Q$2,MATCH($A19,Rango_Admin_Clas_Primera,0)+1),"-")</f>
        <v>0</v>
      </c>
      <c r="R19" s="832" cm="1">
        <f t="array" aca="1" ref="R19" ca="1">IFERROR(INDEX(Rango_Admin_Clas_Total,R$2,MATCH($A19,Rango_Admin_Clas_Primera,0)+1),"-")</f>
        <v>0</v>
      </c>
      <c r="S19" s="832" cm="1">
        <f t="array" aca="1" ref="S19" ca="1">IFERROR(INDEX(Rango_Admin_Clas_Total,S$2,MATCH($A19,Rango_Admin_Clas_Primera,0)+1),"-")</f>
        <v>0</v>
      </c>
      <c r="T19" s="295"/>
      <c r="U19" s="295"/>
    </row>
    <row r="20" spans="1:21">
      <c r="A20" s="19">
        <f t="shared" si="0"/>
        <v>16</v>
      </c>
      <c r="B20" s="810">
        <f ca="1">IFERROR(HLOOKUP(A20,Rango_Admin_Clas,3,FALSE),"-")</f>
        <v>16</v>
      </c>
      <c r="C20" s="811" t="str">
        <f ca="1">IFERROR(HLOOKUP(A20,Rango_Admin_Clas,5,FALSE),"-")</f>
        <v>Luis Piñero</v>
      </c>
      <c r="D20" s="770">
        <f ca="1">IFERROR(HLOOKUP(A20,Rango_Admin_Clas,4,FALSE),"-")</f>
        <v>21</v>
      </c>
      <c r="E20" s="771" cm="1">
        <f t="array" aca="1" ref="E20" ca="1">IFERROR(INDEX(Rango_Admin_Clas_Total,E$2,MATCH($A20,Rango_Admin_Clas_Primera,0)+1),"-")</f>
        <v>21</v>
      </c>
      <c r="F20" s="771" cm="1">
        <f t="array" aca="1" ref="F20" ca="1">IFERROR(INDEX(Rango_Admin_Clas_Total,F$2,MATCH($A20,Rango_Admin_Clas_Primera,0)+1),"-")</f>
        <v>0</v>
      </c>
      <c r="G20" s="771" cm="1">
        <f t="array" aca="1" ref="G20" ca="1">IFERROR(INDEX(Rango_Admin_Clas_Total,G$2,MATCH($A20,Rango_Admin_Clas_Primera,0)+1),"-")</f>
        <v>0</v>
      </c>
      <c r="H20" s="771" cm="1">
        <f t="array" aca="1" ref="H20" ca="1">IFERROR(INDEX(Rango_Admin_Clas_Total,H$2,MATCH($A20,Rango_Admin_Clas_Primera,0)+1),"-")</f>
        <v>0</v>
      </c>
      <c r="I20" s="771" cm="1">
        <f t="array" aca="1" ref="I20" ca="1">IFERROR(INDEX(Rango_Admin_Clas_Total,I$2,MATCH($A20,Rango_Admin_Clas_Primera,0)+1),"-")</f>
        <v>0</v>
      </c>
      <c r="J20" s="771" cm="1">
        <f t="array" aca="1" ref="J20" ca="1">IFERROR(INDEX(Rango_Admin_Clas_Total,J$2,MATCH($A20,Rango_Admin_Clas_Primera,0)+1),"-")</f>
        <v>0</v>
      </c>
      <c r="K20" s="771" cm="1">
        <f t="array" aca="1" ref="K20" ca="1">IFERROR(INDEX(Rango_Admin_Clas_Total,K$2,MATCH($A20,Rango_Admin_Clas_Primera,0)+1),"-")</f>
        <v>0</v>
      </c>
      <c r="L20" s="771" cm="1">
        <f t="array" aca="1" ref="L20" ca="1">IFERROR(INDEX(Rango_Admin_Clas_Total,L$2,MATCH($A20,Rango_Admin_Clas_Primera,0)+1),"-")</f>
        <v>0</v>
      </c>
      <c r="M20" s="771" cm="1">
        <f t="array" aca="1" ref="M20" ca="1">IFERROR(INDEX(Rango_Admin_Clas_Total,M$2,MATCH($A20,Rango_Admin_Clas_Primera,0)+1),"-")</f>
        <v>0</v>
      </c>
      <c r="N20" s="771" cm="1">
        <f t="array" aca="1" ref="N20" ca="1">IFERROR(INDEX(Rango_Admin_Clas_Total,N$2,MATCH($A20,Rango_Admin_Clas_Primera,0)+1),"-")</f>
        <v>0</v>
      </c>
      <c r="O20" s="771" cm="1">
        <f t="array" aca="1" ref="O20" ca="1">IFERROR(INDEX(Rango_Admin_Clas_Total,O$2,MATCH($A20,Rango_Admin_Clas_Primera,0)+1),"-")</f>
        <v>0</v>
      </c>
      <c r="P20" s="771" cm="1">
        <f t="array" aca="1" ref="P20" ca="1">IFERROR(INDEX(Rango_Admin_Clas_Total,P$2,MATCH($A20,Rango_Admin_Clas_Primera,0)+1),"-")</f>
        <v>0</v>
      </c>
      <c r="Q20" s="771" cm="1">
        <f t="array" aca="1" ref="Q20" ca="1">IFERROR(INDEX(Rango_Admin_Clas_Total,Q$2,MATCH($A20,Rango_Admin_Clas_Primera,0)+1),"-")</f>
        <v>0</v>
      </c>
      <c r="R20" s="771" cm="1">
        <f t="array" aca="1" ref="R20" ca="1">IFERROR(INDEX(Rango_Admin_Clas_Total,R$2,MATCH($A20,Rango_Admin_Clas_Primera,0)+1),"-")</f>
        <v>0</v>
      </c>
      <c r="S20" s="771" cm="1">
        <f t="array" aca="1" ref="S20" ca="1">IFERROR(INDEX(Rango_Admin_Clas_Total,S$2,MATCH($A20,Rango_Admin_Clas_Primera,0)+1),"-")</f>
        <v>0</v>
      </c>
      <c r="T20" s="295"/>
      <c r="U20" s="295"/>
    </row>
    <row r="21" spans="1:21">
      <c r="A21" s="19">
        <f t="shared" si="0"/>
        <v>17</v>
      </c>
      <c r="B21" s="829">
        <f ca="1">IFERROR(HLOOKUP(A21,Rango_Admin_Clas,3,FALSE),"-")</f>
        <v>16</v>
      </c>
      <c r="C21" s="830" t="str">
        <f ca="1">IFERROR(HLOOKUP(A21,Rango_Admin_Clas,5,FALSE),"-")</f>
        <v>Miguel Dousdebés</v>
      </c>
      <c r="D21" s="831">
        <f ca="1">IFERROR(HLOOKUP(A21,Rango_Admin_Clas,4,FALSE),"-")</f>
        <v>21</v>
      </c>
      <c r="E21" s="832" cm="1">
        <f t="array" aca="1" ref="E21" ca="1">IFERROR(INDEX(Rango_Admin_Clas_Total,E$2,MATCH($A21,Rango_Admin_Clas_Primera,0)+1),"-")</f>
        <v>21</v>
      </c>
      <c r="F21" s="832" cm="1">
        <f t="array" aca="1" ref="F21" ca="1">IFERROR(INDEX(Rango_Admin_Clas_Total,F$2,MATCH($A21,Rango_Admin_Clas_Primera,0)+1),"-")</f>
        <v>0</v>
      </c>
      <c r="G21" s="832" cm="1">
        <f t="array" aca="1" ref="G21" ca="1">IFERROR(INDEX(Rango_Admin_Clas_Total,G$2,MATCH($A21,Rango_Admin_Clas_Primera,0)+1),"-")</f>
        <v>0</v>
      </c>
      <c r="H21" s="832" cm="1">
        <f t="array" aca="1" ref="H21" ca="1">IFERROR(INDEX(Rango_Admin_Clas_Total,H$2,MATCH($A21,Rango_Admin_Clas_Primera,0)+1),"-")</f>
        <v>0</v>
      </c>
      <c r="I21" s="832" cm="1">
        <f t="array" aca="1" ref="I21" ca="1">IFERROR(INDEX(Rango_Admin_Clas_Total,I$2,MATCH($A21,Rango_Admin_Clas_Primera,0)+1),"-")</f>
        <v>0</v>
      </c>
      <c r="J21" s="832" cm="1">
        <f t="array" aca="1" ref="J21" ca="1">IFERROR(INDEX(Rango_Admin_Clas_Total,J$2,MATCH($A21,Rango_Admin_Clas_Primera,0)+1),"-")</f>
        <v>0</v>
      </c>
      <c r="K21" s="832" cm="1">
        <f t="array" aca="1" ref="K21" ca="1">IFERROR(INDEX(Rango_Admin_Clas_Total,K$2,MATCH($A21,Rango_Admin_Clas_Primera,0)+1),"-")</f>
        <v>0</v>
      </c>
      <c r="L21" s="832" cm="1">
        <f t="array" aca="1" ref="L21" ca="1">IFERROR(INDEX(Rango_Admin_Clas_Total,L$2,MATCH($A21,Rango_Admin_Clas_Primera,0)+1),"-")</f>
        <v>0</v>
      </c>
      <c r="M21" s="832" cm="1">
        <f t="array" aca="1" ref="M21" ca="1">IFERROR(INDEX(Rango_Admin_Clas_Total,M$2,MATCH($A21,Rango_Admin_Clas_Primera,0)+1),"-")</f>
        <v>0</v>
      </c>
      <c r="N21" s="832" cm="1">
        <f t="array" aca="1" ref="N21" ca="1">IFERROR(INDEX(Rango_Admin_Clas_Total,N$2,MATCH($A21,Rango_Admin_Clas_Primera,0)+1),"-")</f>
        <v>0</v>
      </c>
      <c r="O21" s="832" cm="1">
        <f t="array" aca="1" ref="O21" ca="1">IFERROR(INDEX(Rango_Admin_Clas_Total,O$2,MATCH($A21,Rango_Admin_Clas_Primera,0)+1),"-")</f>
        <v>0</v>
      </c>
      <c r="P21" s="832" cm="1">
        <f t="array" aca="1" ref="P21" ca="1">IFERROR(INDEX(Rango_Admin_Clas_Total,P$2,MATCH($A21,Rango_Admin_Clas_Primera,0)+1),"-")</f>
        <v>0</v>
      </c>
      <c r="Q21" s="832" cm="1">
        <f t="array" aca="1" ref="Q21" ca="1">IFERROR(INDEX(Rango_Admin_Clas_Total,Q$2,MATCH($A21,Rango_Admin_Clas_Primera,0)+1),"-")</f>
        <v>0</v>
      </c>
      <c r="R21" s="832" cm="1">
        <f t="array" aca="1" ref="R21" ca="1">IFERROR(INDEX(Rango_Admin_Clas_Total,R$2,MATCH($A21,Rango_Admin_Clas_Primera,0)+1),"-")</f>
        <v>0</v>
      </c>
      <c r="S21" s="832" cm="1">
        <f t="array" aca="1" ref="S21" ca="1">IFERROR(INDEX(Rango_Admin_Clas_Total,S$2,MATCH($A21,Rango_Admin_Clas_Primera,0)+1),"-")</f>
        <v>0</v>
      </c>
      <c r="T21" s="295"/>
      <c r="U21" s="295"/>
    </row>
    <row r="22" spans="1:21">
      <c r="A22" s="19">
        <f t="shared" si="0"/>
        <v>18</v>
      </c>
      <c r="B22" s="810">
        <f ca="1">IFERROR(HLOOKUP(A22,Rango_Admin_Clas,3,FALSE),"-")</f>
        <v>18</v>
      </c>
      <c r="C22" s="811" t="str">
        <f ca="1">IFERROR(HLOOKUP(A22,Rango_Admin_Clas,5,FALSE),"-")</f>
        <v>Alejando Velasquez</v>
      </c>
      <c r="D22" s="770">
        <f ca="1">IFERROR(HLOOKUP(A22,Rango_Admin_Clas,4,FALSE),"-")</f>
        <v>15</v>
      </c>
      <c r="E22" s="771" cm="1">
        <f t="array" aca="1" ref="E22" ca="1">IFERROR(INDEX(Rango_Admin_Clas_Total,E$2,MATCH($A22,Rango_Admin_Clas_Primera,0)+1),"-")</f>
        <v>15</v>
      </c>
      <c r="F22" s="771" cm="1">
        <f t="array" aca="1" ref="F22" ca="1">IFERROR(INDEX(Rango_Admin_Clas_Total,F$2,MATCH($A22,Rango_Admin_Clas_Primera,0)+1),"-")</f>
        <v>0</v>
      </c>
      <c r="G22" s="771" cm="1">
        <f t="array" aca="1" ref="G22" ca="1">IFERROR(INDEX(Rango_Admin_Clas_Total,G$2,MATCH($A22,Rango_Admin_Clas_Primera,0)+1),"-")</f>
        <v>0</v>
      </c>
      <c r="H22" s="771" cm="1">
        <f t="array" aca="1" ref="H22" ca="1">IFERROR(INDEX(Rango_Admin_Clas_Total,H$2,MATCH($A22,Rango_Admin_Clas_Primera,0)+1),"-")</f>
        <v>0</v>
      </c>
      <c r="I22" s="771" cm="1">
        <f t="array" aca="1" ref="I22" ca="1">IFERROR(INDEX(Rango_Admin_Clas_Total,I$2,MATCH($A22,Rango_Admin_Clas_Primera,0)+1),"-")</f>
        <v>0</v>
      </c>
      <c r="J22" s="771" cm="1">
        <f t="array" aca="1" ref="J22" ca="1">IFERROR(INDEX(Rango_Admin_Clas_Total,J$2,MATCH($A22,Rango_Admin_Clas_Primera,0)+1),"-")</f>
        <v>0</v>
      </c>
      <c r="K22" s="771" cm="1">
        <f t="array" aca="1" ref="K22" ca="1">IFERROR(INDEX(Rango_Admin_Clas_Total,K$2,MATCH($A22,Rango_Admin_Clas_Primera,0)+1),"-")</f>
        <v>0</v>
      </c>
      <c r="L22" s="771" cm="1">
        <f t="array" aca="1" ref="L22" ca="1">IFERROR(INDEX(Rango_Admin_Clas_Total,L$2,MATCH($A22,Rango_Admin_Clas_Primera,0)+1),"-")</f>
        <v>0</v>
      </c>
      <c r="M22" s="771" cm="1">
        <f t="array" aca="1" ref="M22" ca="1">IFERROR(INDEX(Rango_Admin_Clas_Total,M$2,MATCH($A22,Rango_Admin_Clas_Primera,0)+1),"-")</f>
        <v>0</v>
      </c>
      <c r="N22" s="771" cm="1">
        <f t="array" aca="1" ref="N22" ca="1">IFERROR(INDEX(Rango_Admin_Clas_Total,N$2,MATCH($A22,Rango_Admin_Clas_Primera,0)+1),"-")</f>
        <v>0</v>
      </c>
      <c r="O22" s="771" cm="1">
        <f t="array" aca="1" ref="O22" ca="1">IFERROR(INDEX(Rango_Admin_Clas_Total,O$2,MATCH($A22,Rango_Admin_Clas_Primera,0)+1),"-")</f>
        <v>0</v>
      </c>
      <c r="P22" s="771" cm="1">
        <f t="array" aca="1" ref="P22" ca="1">IFERROR(INDEX(Rango_Admin_Clas_Total,P$2,MATCH($A22,Rango_Admin_Clas_Primera,0)+1),"-")</f>
        <v>0</v>
      </c>
      <c r="Q22" s="771" cm="1">
        <f t="array" aca="1" ref="Q22" ca="1">IFERROR(INDEX(Rango_Admin_Clas_Total,Q$2,MATCH($A22,Rango_Admin_Clas_Primera,0)+1),"-")</f>
        <v>0</v>
      </c>
      <c r="R22" s="771" cm="1">
        <f t="array" aca="1" ref="R22" ca="1">IFERROR(INDEX(Rango_Admin_Clas_Total,R$2,MATCH($A22,Rango_Admin_Clas_Primera,0)+1),"-")</f>
        <v>0</v>
      </c>
      <c r="S22" s="771" cm="1">
        <f t="array" aca="1" ref="S22" ca="1">IFERROR(INDEX(Rango_Admin_Clas_Total,S$2,MATCH($A22,Rango_Admin_Clas_Primera,0)+1),"-")</f>
        <v>0</v>
      </c>
      <c r="T22" s="295"/>
      <c r="U22" s="295"/>
    </row>
    <row r="23" spans="1:21">
      <c r="A23" s="19">
        <f t="shared" si="0"/>
        <v>19</v>
      </c>
      <c r="B23" s="829">
        <f ca="1">IFERROR(HLOOKUP(A23,Rango_Admin_Clas,3,FALSE),"-")</f>
        <v>18</v>
      </c>
      <c r="C23" s="830" t="str">
        <f ca="1">IFERROR(HLOOKUP(A23,Rango_Admin_Clas,5,FALSE),"-")</f>
        <v>Andres Gioliti</v>
      </c>
      <c r="D23" s="831">
        <f ca="1">IFERROR(HLOOKUP(A23,Rango_Admin_Clas,4,FALSE),"-")</f>
        <v>15</v>
      </c>
      <c r="E23" s="832" cm="1">
        <f t="array" aca="1" ref="E23" ca="1">IFERROR(INDEX(Rango_Admin_Clas_Total,E$2,MATCH($A23,Rango_Admin_Clas_Primera,0)+1),"-")</f>
        <v>15</v>
      </c>
      <c r="F23" s="832" cm="1">
        <f t="array" aca="1" ref="F23" ca="1">IFERROR(INDEX(Rango_Admin_Clas_Total,F$2,MATCH($A23,Rango_Admin_Clas_Primera,0)+1),"-")</f>
        <v>0</v>
      </c>
      <c r="G23" s="832" cm="1">
        <f t="array" aca="1" ref="G23" ca="1">IFERROR(INDEX(Rango_Admin_Clas_Total,G$2,MATCH($A23,Rango_Admin_Clas_Primera,0)+1),"-")</f>
        <v>0</v>
      </c>
      <c r="H23" s="832" cm="1">
        <f t="array" aca="1" ref="H23" ca="1">IFERROR(INDEX(Rango_Admin_Clas_Total,H$2,MATCH($A23,Rango_Admin_Clas_Primera,0)+1),"-")</f>
        <v>0</v>
      </c>
      <c r="I23" s="832" cm="1">
        <f t="array" aca="1" ref="I23" ca="1">IFERROR(INDEX(Rango_Admin_Clas_Total,I$2,MATCH($A23,Rango_Admin_Clas_Primera,0)+1),"-")</f>
        <v>0</v>
      </c>
      <c r="J23" s="832" cm="1">
        <f t="array" aca="1" ref="J23" ca="1">IFERROR(INDEX(Rango_Admin_Clas_Total,J$2,MATCH($A23,Rango_Admin_Clas_Primera,0)+1),"-")</f>
        <v>0</v>
      </c>
      <c r="K23" s="832" cm="1">
        <f t="array" aca="1" ref="K23" ca="1">IFERROR(INDEX(Rango_Admin_Clas_Total,K$2,MATCH($A23,Rango_Admin_Clas_Primera,0)+1),"-")</f>
        <v>0</v>
      </c>
      <c r="L23" s="832" cm="1">
        <f t="array" aca="1" ref="L23" ca="1">IFERROR(INDEX(Rango_Admin_Clas_Total,L$2,MATCH($A23,Rango_Admin_Clas_Primera,0)+1),"-")</f>
        <v>0</v>
      </c>
      <c r="M23" s="832" cm="1">
        <f t="array" aca="1" ref="M23" ca="1">IFERROR(INDEX(Rango_Admin_Clas_Total,M$2,MATCH($A23,Rango_Admin_Clas_Primera,0)+1),"-")</f>
        <v>0</v>
      </c>
      <c r="N23" s="832" cm="1">
        <f t="array" aca="1" ref="N23" ca="1">IFERROR(INDEX(Rango_Admin_Clas_Total,N$2,MATCH($A23,Rango_Admin_Clas_Primera,0)+1),"-")</f>
        <v>0</v>
      </c>
      <c r="O23" s="832" cm="1">
        <f t="array" aca="1" ref="O23" ca="1">IFERROR(INDEX(Rango_Admin_Clas_Total,O$2,MATCH($A23,Rango_Admin_Clas_Primera,0)+1),"-")</f>
        <v>0</v>
      </c>
      <c r="P23" s="832" cm="1">
        <f t="array" aca="1" ref="P23" ca="1">IFERROR(INDEX(Rango_Admin_Clas_Total,P$2,MATCH($A23,Rango_Admin_Clas_Primera,0)+1),"-")</f>
        <v>0</v>
      </c>
      <c r="Q23" s="832" cm="1">
        <f t="array" aca="1" ref="Q23" ca="1">IFERROR(INDEX(Rango_Admin_Clas_Total,Q$2,MATCH($A23,Rango_Admin_Clas_Primera,0)+1),"-")</f>
        <v>0</v>
      </c>
      <c r="R23" s="832" cm="1">
        <f t="array" aca="1" ref="R23" ca="1">IFERROR(INDEX(Rango_Admin_Clas_Total,R$2,MATCH($A23,Rango_Admin_Clas_Primera,0)+1),"-")</f>
        <v>0</v>
      </c>
      <c r="S23" s="832" cm="1">
        <f t="array" aca="1" ref="S23" ca="1">IFERROR(INDEX(Rango_Admin_Clas_Total,S$2,MATCH($A23,Rango_Admin_Clas_Primera,0)+1),"-")</f>
        <v>0</v>
      </c>
      <c r="T23" s="295"/>
      <c r="U23" s="295"/>
    </row>
    <row r="24" spans="1:21">
      <c r="A24" s="19">
        <f t="shared" si="0"/>
        <v>20</v>
      </c>
      <c r="B24" s="810">
        <f ca="1">IFERROR(HLOOKUP(A24,Rango_Admin_Clas,3,FALSE),"-")</f>
        <v>20</v>
      </c>
      <c r="C24" s="811" t="str">
        <f ca="1">IFERROR(HLOOKUP(A24,Rango_Admin_Clas,5,FALSE),"-")</f>
        <v>Andres Velasquez</v>
      </c>
      <c r="D24" s="770">
        <f ca="1">IFERROR(HLOOKUP(A24,Rango_Admin_Clas,4,FALSE),"-")</f>
        <v>14</v>
      </c>
      <c r="E24" s="771" cm="1">
        <f t="array" aca="1" ref="E24" ca="1">IFERROR(INDEX(Rango_Admin_Clas_Total,E$2,MATCH($A24,Rango_Admin_Clas_Primera,0)+1),"-")</f>
        <v>14</v>
      </c>
      <c r="F24" s="771" cm="1">
        <f t="array" aca="1" ref="F24" ca="1">IFERROR(INDEX(Rango_Admin_Clas_Total,F$2,MATCH($A24,Rango_Admin_Clas_Primera,0)+1),"-")</f>
        <v>0</v>
      </c>
      <c r="G24" s="771" cm="1">
        <f t="array" aca="1" ref="G24" ca="1">IFERROR(INDEX(Rango_Admin_Clas_Total,G$2,MATCH($A24,Rango_Admin_Clas_Primera,0)+1),"-")</f>
        <v>0</v>
      </c>
      <c r="H24" s="771" cm="1">
        <f t="array" aca="1" ref="H24" ca="1">IFERROR(INDEX(Rango_Admin_Clas_Total,H$2,MATCH($A24,Rango_Admin_Clas_Primera,0)+1),"-")</f>
        <v>0</v>
      </c>
      <c r="I24" s="771" cm="1">
        <f t="array" aca="1" ref="I24" ca="1">IFERROR(INDEX(Rango_Admin_Clas_Total,I$2,MATCH($A24,Rango_Admin_Clas_Primera,0)+1),"-")</f>
        <v>0</v>
      </c>
      <c r="J24" s="771" cm="1">
        <f t="array" aca="1" ref="J24" ca="1">IFERROR(INDEX(Rango_Admin_Clas_Total,J$2,MATCH($A24,Rango_Admin_Clas_Primera,0)+1),"-")</f>
        <v>0</v>
      </c>
      <c r="K24" s="771" cm="1">
        <f t="array" aca="1" ref="K24" ca="1">IFERROR(INDEX(Rango_Admin_Clas_Total,K$2,MATCH($A24,Rango_Admin_Clas_Primera,0)+1),"-")</f>
        <v>0</v>
      </c>
      <c r="L24" s="771" cm="1">
        <f t="array" aca="1" ref="L24" ca="1">IFERROR(INDEX(Rango_Admin_Clas_Total,L$2,MATCH($A24,Rango_Admin_Clas_Primera,0)+1),"-")</f>
        <v>0</v>
      </c>
      <c r="M24" s="771" cm="1">
        <f t="array" aca="1" ref="M24" ca="1">IFERROR(INDEX(Rango_Admin_Clas_Total,M$2,MATCH($A24,Rango_Admin_Clas_Primera,0)+1),"-")</f>
        <v>0</v>
      </c>
      <c r="N24" s="771" cm="1">
        <f t="array" aca="1" ref="N24" ca="1">IFERROR(INDEX(Rango_Admin_Clas_Total,N$2,MATCH($A24,Rango_Admin_Clas_Primera,0)+1),"-")</f>
        <v>0</v>
      </c>
      <c r="O24" s="771" cm="1">
        <f t="array" aca="1" ref="O24" ca="1">IFERROR(INDEX(Rango_Admin_Clas_Total,O$2,MATCH($A24,Rango_Admin_Clas_Primera,0)+1),"-")</f>
        <v>0</v>
      </c>
      <c r="P24" s="771" cm="1">
        <f t="array" aca="1" ref="P24" ca="1">IFERROR(INDEX(Rango_Admin_Clas_Total,P$2,MATCH($A24,Rango_Admin_Clas_Primera,0)+1),"-")</f>
        <v>0</v>
      </c>
      <c r="Q24" s="771" cm="1">
        <f t="array" aca="1" ref="Q24" ca="1">IFERROR(INDEX(Rango_Admin_Clas_Total,Q$2,MATCH($A24,Rango_Admin_Clas_Primera,0)+1),"-")</f>
        <v>0</v>
      </c>
      <c r="R24" s="771" cm="1">
        <f t="array" aca="1" ref="R24" ca="1">IFERROR(INDEX(Rango_Admin_Clas_Total,R$2,MATCH($A24,Rango_Admin_Clas_Primera,0)+1),"-")</f>
        <v>0</v>
      </c>
      <c r="S24" s="771" cm="1">
        <f t="array" aca="1" ref="S24" ca="1">IFERROR(INDEX(Rango_Admin_Clas_Total,S$2,MATCH($A24,Rango_Admin_Clas_Primera,0)+1),"-")</f>
        <v>0</v>
      </c>
      <c r="T24" s="295"/>
      <c r="U24" s="295"/>
    </row>
    <row r="25" spans="1:21">
      <c r="A25" s="19">
        <f t="shared" si="0"/>
        <v>21</v>
      </c>
      <c r="B25" s="829">
        <f ca="1">IFERROR(HLOOKUP(A25,Rango_Admin_Clas,3,FALSE),"-")</f>
        <v>20</v>
      </c>
      <c r="C25" s="830" t="str">
        <f ca="1">IFERROR(HLOOKUP(A25,Rango_Admin_Clas,5,FALSE),"-")</f>
        <v>Anthony Pinto</v>
      </c>
      <c r="D25" s="831">
        <f ca="1">IFERROR(HLOOKUP(A25,Rango_Admin_Clas,4,FALSE),"-")</f>
        <v>14</v>
      </c>
      <c r="E25" s="832" cm="1">
        <f t="array" aca="1" ref="E25" ca="1">IFERROR(INDEX(Rango_Admin_Clas_Total,E$2,MATCH($A25,Rango_Admin_Clas_Primera,0)+1),"-")</f>
        <v>14</v>
      </c>
      <c r="F25" s="832" cm="1">
        <f t="array" aca="1" ref="F25" ca="1">IFERROR(INDEX(Rango_Admin_Clas_Total,F$2,MATCH($A25,Rango_Admin_Clas_Primera,0)+1),"-")</f>
        <v>0</v>
      </c>
      <c r="G25" s="832" cm="1">
        <f t="array" aca="1" ref="G25" ca="1">IFERROR(INDEX(Rango_Admin_Clas_Total,G$2,MATCH($A25,Rango_Admin_Clas_Primera,0)+1),"-")</f>
        <v>0</v>
      </c>
      <c r="H25" s="832" cm="1">
        <f t="array" aca="1" ref="H25" ca="1">IFERROR(INDEX(Rango_Admin_Clas_Total,H$2,MATCH($A25,Rango_Admin_Clas_Primera,0)+1),"-")</f>
        <v>0</v>
      </c>
      <c r="I25" s="832" cm="1">
        <f t="array" aca="1" ref="I25" ca="1">IFERROR(INDEX(Rango_Admin_Clas_Total,I$2,MATCH($A25,Rango_Admin_Clas_Primera,0)+1),"-")</f>
        <v>0</v>
      </c>
      <c r="J25" s="832" cm="1">
        <f t="array" aca="1" ref="J25" ca="1">IFERROR(INDEX(Rango_Admin_Clas_Total,J$2,MATCH($A25,Rango_Admin_Clas_Primera,0)+1),"-")</f>
        <v>0</v>
      </c>
      <c r="K25" s="832" cm="1">
        <f t="array" aca="1" ref="K25" ca="1">IFERROR(INDEX(Rango_Admin_Clas_Total,K$2,MATCH($A25,Rango_Admin_Clas_Primera,0)+1),"-")</f>
        <v>0</v>
      </c>
      <c r="L25" s="832" cm="1">
        <f t="array" aca="1" ref="L25" ca="1">IFERROR(INDEX(Rango_Admin_Clas_Total,L$2,MATCH($A25,Rango_Admin_Clas_Primera,0)+1),"-")</f>
        <v>0</v>
      </c>
      <c r="M25" s="832" cm="1">
        <f t="array" aca="1" ref="M25" ca="1">IFERROR(INDEX(Rango_Admin_Clas_Total,M$2,MATCH($A25,Rango_Admin_Clas_Primera,0)+1),"-")</f>
        <v>0</v>
      </c>
      <c r="N25" s="832" cm="1">
        <f t="array" aca="1" ref="N25" ca="1">IFERROR(INDEX(Rango_Admin_Clas_Total,N$2,MATCH($A25,Rango_Admin_Clas_Primera,0)+1),"-")</f>
        <v>0</v>
      </c>
      <c r="O25" s="832" cm="1">
        <f t="array" aca="1" ref="O25" ca="1">IFERROR(INDEX(Rango_Admin_Clas_Total,O$2,MATCH($A25,Rango_Admin_Clas_Primera,0)+1),"-")</f>
        <v>0</v>
      </c>
      <c r="P25" s="832" cm="1">
        <f t="array" aca="1" ref="P25" ca="1">IFERROR(INDEX(Rango_Admin_Clas_Total,P$2,MATCH($A25,Rango_Admin_Clas_Primera,0)+1),"-")</f>
        <v>0</v>
      </c>
      <c r="Q25" s="832" cm="1">
        <f t="array" aca="1" ref="Q25" ca="1">IFERROR(INDEX(Rango_Admin_Clas_Total,Q$2,MATCH($A25,Rango_Admin_Clas_Primera,0)+1),"-")</f>
        <v>0</v>
      </c>
      <c r="R25" s="832" cm="1">
        <f t="array" aca="1" ref="R25" ca="1">IFERROR(INDEX(Rango_Admin_Clas_Total,R$2,MATCH($A25,Rango_Admin_Clas_Primera,0)+1),"-")</f>
        <v>0</v>
      </c>
      <c r="S25" s="832" cm="1">
        <f t="array" aca="1" ref="S25" ca="1">IFERROR(INDEX(Rango_Admin_Clas_Total,S$2,MATCH($A25,Rango_Admin_Clas_Primera,0)+1),"-")</f>
        <v>0</v>
      </c>
      <c r="T25" s="295"/>
      <c r="U25" s="295"/>
    </row>
    <row r="26" spans="1:21">
      <c r="A26" s="19">
        <f t="shared" si="0"/>
        <v>22</v>
      </c>
      <c r="B26" s="810">
        <f ca="1">IFERROR(HLOOKUP(A26,Rango_Admin_Clas,3,FALSE),"-")</f>
        <v>20</v>
      </c>
      <c r="C26" s="811" t="str">
        <f ca="1">IFERROR(HLOOKUP(A26,Rango_Admin_Clas,5,FALSE),"-")</f>
        <v>CazaPutas669</v>
      </c>
      <c r="D26" s="770">
        <f ca="1">IFERROR(HLOOKUP(A26,Rango_Admin_Clas,4,FALSE),"-")</f>
        <v>14</v>
      </c>
      <c r="E26" s="771" cm="1">
        <f t="array" aca="1" ref="E26" ca="1">IFERROR(INDEX(Rango_Admin_Clas_Total,E$2,MATCH($A26,Rango_Admin_Clas_Primera,0)+1),"-")</f>
        <v>14</v>
      </c>
      <c r="F26" s="771" cm="1">
        <f t="array" aca="1" ref="F26" ca="1">IFERROR(INDEX(Rango_Admin_Clas_Total,F$2,MATCH($A26,Rango_Admin_Clas_Primera,0)+1),"-")</f>
        <v>0</v>
      </c>
      <c r="G26" s="771" cm="1">
        <f t="array" aca="1" ref="G26" ca="1">IFERROR(INDEX(Rango_Admin_Clas_Total,G$2,MATCH($A26,Rango_Admin_Clas_Primera,0)+1),"-")</f>
        <v>0</v>
      </c>
      <c r="H26" s="771" cm="1">
        <f t="array" aca="1" ref="H26" ca="1">IFERROR(INDEX(Rango_Admin_Clas_Total,H$2,MATCH($A26,Rango_Admin_Clas_Primera,0)+1),"-")</f>
        <v>0</v>
      </c>
      <c r="I26" s="771" cm="1">
        <f t="array" aca="1" ref="I26" ca="1">IFERROR(INDEX(Rango_Admin_Clas_Total,I$2,MATCH($A26,Rango_Admin_Clas_Primera,0)+1),"-")</f>
        <v>0</v>
      </c>
      <c r="J26" s="771" cm="1">
        <f t="array" aca="1" ref="J26" ca="1">IFERROR(INDEX(Rango_Admin_Clas_Total,J$2,MATCH($A26,Rango_Admin_Clas_Primera,0)+1),"-")</f>
        <v>0</v>
      </c>
      <c r="K26" s="771" cm="1">
        <f t="array" aca="1" ref="K26" ca="1">IFERROR(INDEX(Rango_Admin_Clas_Total,K$2,MATCH($A26,Rango_Admin_Clas_Primera,0)+1),"-")</f>
        <v>0</v>
      </c>
      <c r="L26" s="771" cm="1">
        <f t="array" aca="1" ref="L26" ca="1">IFERROR(INDEX(Rango_Admin_Clas_Total,L$2,MATCH($A26,Rango_Admin_Clas_Primera,0)+1),"-")</f>
        <v>0</v>
      </c>
      <c r="M26" s="771" cm="1">
        <f t="array" aca="1" ref="M26" ca="1">IFERROR(INDEX(Rango_Admin_Clas_Total,M$2,MATCH($A26,Rango_Admin_Clas_Primera,0)+1),"-")</f>
        <v>0</v>
      </c>
      <c r="N26" s="771" cm="1">
        <f t="array" aca="1" ref="N26" ca="1">IFERROR(INDEX(Rango_Admin_Clas_Total,N$2,MATCH($A26,Rango_Admin_Clas_Primera,0)+1),"-")</f>
        <v>0</v>
      </c>
      <c r="O26" s="771" cm="1">
        <f t="array" aca="1" ref="O26" ca="1">IFERROR(INDEX(Rango_Admin_Clas_Total,O$2,MATCH($A26,Rango_Admin_Clas_Primera,0)+1),"-")</f>
        <v>0</v>
      </c>
      <c r="P26" s="771" cm="1">
        <f t="array" aca="1" ref="P26" ca="1">IFERROR(INDEX(Rango_Admin_Clas_Total,P$2,MATCH($A26,Rango_Admin_Clas_Primera,0)+1),"-")</f>
        <v>0</v>
      </c>
      <c r="Q26" s="771" cm="1">
        <f t="array" aca="1" ref="Q26" ca="1">IFERROR(INDEX(Rango_Admin_Clas_Total,Q$2,MATCH($A26,Rango_Admin_Clas_Primera,0)+1),"-")</f>
        <v>0</v>
      </c>
      <c r="R26" s="771" cm="1">
        <f t="array" aca="1" ref="R26" ca="1">IFERROR(INDEX(Rango_Admin_Clas_Total,R$2,MATCH($A26,Rango_Admin_Clas_Primera,0)+1),"-")</f>
        <v>0</v>
      </c>
      <c r="S26" s="771" cm="1">
        <f t="array" aca="1" ref="S26" ca="1">IFERROR(INDEX(Rango_Admin_Clas_Total,S$2,MATCH($A26,Rango_Admin_Clas_Primera,0)+1),"-")</f>
        <v>0</v>
      </c>
      <c r="T26" s="295"/>
      <c r="U26" s="295"/>
    </row>
    <row r="27" spans="1:21">
      <c r="A27" s="19">
        <f t="shared" si="0"/>
        <v>23</v>
      </c>
      <c r="B27" s="829">
        <f ca="1">IFERROR(HLOOKUP(A27,Rango_Admin_Clas,3,FALSE),"-")</f>
        <v>20</v>
      </c>
      <c r="C27" s="830" t="str">
        <f ca="1">IFERROR(HLOOKUP(A27,Rango_Admin_Clas,5,FALSE),"-")</f>
        <v>Francisco Bejarano</v>
      </c>
      <c r="D27" s="831">
        <f ca="1">IFERROR(HLOOKUP(A27,Rango_Admin_Clas,4,FALSE),"-")</f>
        <v>14</v>
      </c>
      <c r="E27" s="832" cm="1">
        <f t="array" aca="1" ref="E27" ca="1">IFERROR(INDEX(Rango_Admin_Clas_Total,E$2,MATCH($A27,Rango_Admin_Clas_Primera,0)+1),"-")</f>
        <v>14</v>
      </c>
      <c r="F27" s="832" cm="1">
        <f t="array" aca="1" ref="F27" ca="1">IFERROR(INDEX(Rango_Admin_Clas_Total,F$2,MATCH($A27,Rango_Admin_Clas_Primera,0)+1),"-")</f>
        <v>0</v>
      </c>
      <c r="G27" s="832" cm="1">
        <f t="array" aca="1" ref="G27" ca="1">IFERROR(INDEX(Rango_Admin_Clas_Total,G$2,MATCH($A27,Rango_Admin_Clas_Primera,0)+1),"-")</f>
        <v>0</v>
      </c>
      <c r="H27" s="832" cm="1">
        <f t="array" aca="1" ref="H27" ca="1">IFERROR(INDEX(Rango_Admin_Clas_Total,H$2,MATCH($A27,Rango_Admin_Clas_Primera,0)+1),"-")</f>
        <v>0</v>
      </c>
      <c r="I27" s="832" cm="1">
        <f t="array" aca="1" ref="I27" ca="1">IFERROR(INDEX(Rango_Admin_Clas_Total,I$2,MATCH($A27,Rango_Admin_Clas_Primera,0)+1),"-")</f>
        <v>0</v>
      </c>
      <c r="J27" s="832" cm="1">
        <f t="array" aca="1" ref="J27" ca="1">IFERROR(INDEX(Rango_Admin_Clas_Total,J$2,MATCH($A27,Rango_Admin_Clas_Primera,0)+1),"-")</f>
        <v>0</v>
      </c>
      <c r="K27" s="832" cm="1">
        <f t="array" aca="1" ref="K27" ca="1">IFERROR(INDEX(Rango_Admin_Clas_Total,K$2,MATCH($A27,Rango_Admin_Clas_Primera,0)+1),"-")</f>
        <v>0</v>
      </c>
      <c r="L27" s="832" cm="1">
        <f t="array" aca="1" ref="L27" ca="1">IFERROR(INDEX(Rango_Admin_Clas_Total,L$2,MATCH($A27,Rango_Admin_Clas_Primera,0)+1),"-")</f>
        <v>0</v>
      </c>
      <c r="M27" s="832" cm="1">
        <f t="array" aca="1" ref="M27" ca="1">IFERROR(INDEX(Rango_Admin_Clas_Total,M$2,MATCH($A27,Rango_Admin_Clas_Primera,0)+1),"-")</f>
        <v>0</v>
      </c>
      <c r="N27" s="832" cm="1">
        <f t="array" aca="1" ref="N27" ca="1">IFERROR(INDEX(Rango_Admin_Clas_Total,N$2,MATCH($A27,Rango_Admin_Clas_Primera,0)+1),"-")</f>
        <v>0</v>
      </c>
      <c r="O27" s="832" cm="1">
        <f t="array" aca="1" ref="O27" ca="1">IFERROR(INDEX(Rango_Admin_Clas_Total,O$2,MATCH($A27,Rango_Admin_Clas_Primera,0)+1),"-")</f>
        <v>0</v>
      </c>
      <c r="P27" s="832" cm="1">
        <f t="array" aca="1" ref="P27" ca="1">IFERROR(INDEX(Rango_Admin_Clas_Total,P$2,MATCH($A27,Rango_Admin_Clas_Primera,0)+1),"-")</f>
        <v>0</v>
      </c>
      <c r="Q27" s="832" cm="1">
        <f t="array" aca="1" ref="Q27" ca="1">IFERROR(INDEX(Rango_Admin_Clas_Total,Q$2,MATCH($A27,Rango_Admin_Clas_Primera,0)+1),"-")</f>
        <v>0</v>
      </c>
      <c r="R27" s="832" cm="1">
        <f t="array" aca="1" ref="R27" ca="1">IFERROR(INDEX(Rango_Admin_Clas_Total,R$2,MATCH($A27,Rango_Admin_Clas_Primera,0)+1),"-")</f>
        <v>0</v>
      </c>
      <c r="S27" s="832" cm="1">
        <f t="array" aca="1" ref="S27" ca="1">IFERROR(INDEX(Rango_Admin_Clas_Total,S$2,MATCH($A27,Rango_Admin_Clas_Primera,0)+1),"-")</f>
        <v>0</v>
      </c>
      <c r="T27" s="295"/>
      <c r="U27" s="295"/>
    </row>
    <row r="28" spans="1:21">
      <c r="A28" s="19">
        <f t="shared" si="0"/>
        <v>24</v>
      </c>
      <c r="B28" s="810">
        <f ca="1">IFERROR(HLOOKUP(A28,Rango_Admin_Clas,3,FALSE),"-")</f>
        <v>20</v>
      </c>
      <c r="C28" s="811" t="str">
        <f ca="1">IFERROR(HLOOKUP(A28,Rango_Admin_Clas,5,FALSE),"-")</f>
        <v>Humberto</v>
      </c>
      <c r="D28" s="770">
        <f ca="1">IFERROR(HLOOKUP(A28,Rango_Admin_Clas,4,FALSE),"-")</f>
        <v>14</v>
      </c>
      <c r="E28" s="771" cm="1">
        <f t="array" aca="1" ref="E28" ca="1">IFERROR(INDEX(Rango_Admin_Clas_Total,E$2,MATCH($A28,Rango_Admin_Clas_Primera,0)+1),"-")</f>
        <v>14</v>
      </c>
      <c r="F28" s="771" cm="1">
        <f t="array" aca="1" ref="F28" ca="1">IFERROR(INDEX(Rango_Admin_Clas_Total,F$2,MATCH($A28,Rango_Admin_Clas_Primera,0)+1),"-")</f>
        <v>0</v>
      </c>
      <c r="G28" s="771" cm="1">
        <f t="array" aca="1" ref="G28" ca="1">IFERROR(INDEX(Rango_Admin_Clas_Total,G$2,MATCH($A28,Rango_Admin_Clas_Primera,0)+1),"-")</f>
        <v>0</v>
      </c>
      <c r="H28" s="771" cm="1">
        <f t="array" aca="1" ref="H28" ca="1">IFERROR(INDEX(Rango_Admin_Clas_Total,H$2,MATCH($A28,Rango_Admin_Clas_Primera,0)+1),"-")</f>
        <v>0</v>
      </c>
      <c r="I28" s="771" cm="1">
        <f t="array" aca="1" ref="I28" ca="1">IFERROR(INDEX(Rango_Admin_Clas_Total,I$2,MATCH($A28,Rango_Admin_Clas_Primera,0)+1),"-")</f>
        <v>0</v>
      </c>
      <c r="J28" s="771" cm="1">
        <f t="array" aca="1" ref="J28" ca="1">IFERROR(INDEX(Rango_Admin_Clas_Total,J$2,MATCH($A28,Rango_Admin_Clas_Primera,0)+1),"-")</f>
        <v>0</v>
      </c>
      <c r="K28" s="771" cm="1">
        <f t="array" aca="1" ref="K28" ca="1">IFERROR(INDEX(Rango_Admin_Clas_Total,K$2,MATCH($A28,Rango_Admin_Clas_Primera,0)+1),"-")</f>
        <v>0</v>
      </c>
      <c r="L28" s="771" cm="1">
        <f t="array" aca="1" ref="L28" ca="1">IFERROR(INDEX(Rango_Admin_Clas_Total,L$2,MATCH($A28,Rango_Admin_Clas_Primera,0)+1),"-")</f>
        <v>0</v>
      </c>
      <c r="M28" s="771" cm="1">
        <f t="array" aca="1" ref="M28" ca="1">IFERROR(INDEX(Rango_Admin_Clas_Total,M$2,MATCH($A28,Rango_Admin_Clas_Primera,0)+1),"-")</f>
        <v>0</v>
      </c>
      <c r="N28" s="771" cm="1">
        <f t="array" aca="1" ref="N28" ca="1">IFERROR(INDEX(Rango_Admin_Clas_Total,N$2,MATCH($A28,Rango_Admin_Clas_Primera,0)+1),"-")</f>
        <v>0</v>
      </c>
      <c r="O28" s="771" cm="1">
        <f t="array" aca="1" ref="O28" ca="1">IFERROR(INDEX(Rango_Admin_Clas_Total,O$2,MATCH($A28,Rango_Admin_Clas_Primera,0)+1),"-")</f>
        <v>0</v>
      </c>
      <c r="P28" s="771" cm="1">
        <f t="array" aca="1" ref="P28" ca="1">IFERROR(INDEX(Rango_Admin_Clas_Total,P$2,MATCH($A28,Rango_Admin_Clas_Primera,0)+1),"-")</f>
        <v>0</v>
      </c>
      <c r="Q28" s="771" cm="1">
        <f t="array" aca="1" ref="Q28" ca="1">IFERROR(INDEX(Rango_Admin_Clas_Total,Q$2,MATCH($A28,Rango_Admin_Clas_Primera,0)+1),"-")</f>
        <v>0</v>
      </c>
      <c r="R28" s="771" cm="1">
        <f t="array" aca="1" ref="R28" ca="1">IFERROR(INDEX(Rango_Admin_Clas_Total,R$2,MATCH($A28,Rango_Admin_Clas_Primera,0)+1),"-")</f>
        <v>0</v>
      </c>
      <c r="S28" s="771" cm="1">
        <f t="array" aca="1" ref="S28" ca="1">IFERROR(INDEX(Rango_Admin_Clas_Total,S$2,MATCH($A28,Rango_Admin_Clas_Primera,0)+1),"-")</f>
        <v>0</v>
      </c>
      <c r="T28" s="295"/>
      <c r="U28" s="295"/>
    </row>
    <row r="29" spans="1:21">
      <c r="A29" s="19">
        <f t="shared" si="0"/>
        <v>25</v>
      </c>
      <c r="B29" s="829">
        <f ca="1">IFERROR(HLOOKUP(A29,Rango_Admin_Clas,3,FALSE),"-")</f>
        <v>20</v>
      </c>
      <c r="C29" s="830" t="str">
        <f ca="1">IFERROR(HLOOKUP(A29,Rango_Admin_Clas,5,FALSE),"-")</f>
        <v>Andres Salcedo</v>
      </c>
      <c r="D29" s="831">
        <f ca="1">IFERROR(HLOOKUP(A29,Rango_Admin_Clas,4,FALSE),"-")</f>
        <v>14</v>
      </c>
      <c r="E29" s="832" cm="1">
        <f t="array" aca="1" ref="E29" ca="1">IFERROR(INDEX(Rango_Admin_Clas_Total,E$2,MATCH($A29,Rango_Admin_Clas_Primera,0)+1),"-")</f>
        <v>14</v>
      </c>
      <c r="F29" s="832" cm="1">
        <f t="array" aca="1" ref="F29" ca="1">IFERROR(INDEX(Rango_Admin_Clas_Total,F$2,MATCH($A29,Rango_Admin_Clas_Primera,0)+1),"-")</f>
        <v>0</v>
      </c>
      <c r="G29" s="832" cm="1">
        <f t="array" aca="1" ref="G29" ca="1">IFERROR(INDEX(Rango_Admin_Clas_Total,G$2,MATCH($A29,Rango_Admin_Clas_Primera,0)+1),"-")</f>
        <v>0</v>
      </c>
      <c r="H29" s="832" cm="1">
        <f t="array" aca="1" ref="H29" ca="1">IFERROR(INDEX(Rango_Admin_Clas_Total,H$2,MATCH($A29,Rango_Admin_Clas_Primera,0)+1),"-")</f>
        <v>0</v>
      </c>
      <c r="I29" s="832" cm="1">
        <f t="array" aca="1" ref="I29" ca="1">IFERROR(INDEX(Rango_Admin_Clas_Total,I$2,MATCH($A29,Rango_Admin_Clas_Primera,0)+1),"-")</f>
        <v>0</v>
      </c>
      <c r="J29" s="832" cm="1">
        <f t="array" aca="1" ref="J29" ca="1">IFERROR(INDEX(Rango_Admin_Clas_Total,J$2,MATCH($A29,Rango_Admin_Clas_Primera,0)+1),"-")</f>
        <v>0</v>
      </c>
      <c r="K29" s="832" cm="1">
        <f t="array" aca="1" ref="K29" ca="1">IFERROR(INDEX(Rango_Admin_Clas_Total,K$2,MATCH($A29,Rango_Admin_Clas_Primera,0)+1),"-")</f>
        <v>0</v>
      </c>
      <c r="L29" s="832" cm="1">
        <f t="array" aca="1" ref="L29" ca="1">IFERROR(INDEX(Rango_Admin_Clas_Total,L$2,MATCH($A29,Rango_Admin_Clas_Primera,0)+1),"-")</f>
        <v>0</v>
      </c>
      <c r="M29" s="832" cm="1">
        <f t="array" aca="1" ref="M29" ca="1">IFERROR(INDEX(Rango_Admin_Clas_Total,M$2,MATCH($A29,Rango_Admin_Clas_Primera,0)+1),"-")</f>
        <v>0</v>
      </c>
      <c r="N29" s="832" cm="1">
        <f t="array" aca="1" ref="N29" ca="1">IFERROR(INDEX(Rango_Admin_Clas_Total,N$2,MATCH($A29,Rango_Admin_Clas_Primera,0)+1),"-")</f>
        <v>0</v>
      </c>
      <c r="O29" s="832" cm="1">
        <f t="array" aca="1" ref="O29" ca="1">IFERROR(INDEX(Rango_Admin_Clas_Total,O$2,MATCH($A29,Rango_Admin_Clas_Primera,0)+1),"-")</f>
        <v>0</v>
      </c>
      <c r="P29" s="832" cm="1">
        <f t="array" aca="1" ref="P29" ca="1">IFERROR(INDEX(Rango_Admin_Clas_Total,P$2,MATCH($A29,Rango_Admin_Clas_Primera,0)+1),"-")</f>
        <v>0</v>
      </c>
      <c r="Q29" s="832" cm="1">
        <f t="array" aca="1" ref="Q29" ca="1">IFERROR(INDEX(Rango_Admin_Clas_Total,Q$2,MATCH($A29,Rango_Admin_Clas_Primera,0)+1),"-")</f>
        <v>0</v>
      </c>
      <c r="R29" s="832" cm="1">
        <f t="array" aca="1" ref="R29" ca="1">IFERROR(INDEX(Rango_Admin_Clas_Total,R$2,MATCH($A29,Rango_Admin_Clas_Primera,0)+1),"-")</f>
        <v>0</v>
      </c>
      <c r="S29" s="832" cm="1">
        <f t="array" aca="1" ref="S29" ca="1">IFERROR(INDEX(Rango_Admin_Clas_Total,S$2,MATCH($A29,Rango_Admin_Clas_Primera,0)+1),"-")</f>
        <v>0</v>
      </c>
      <c r="T29" s="295"/>
      <c r="U29" s="295"/>
    </row>
    <row r="30" spans="1:21">
      <c r="A30" s="19">
        <f t="shared" si="0"/>
        <v>26</v>
      </c>
      <c r="B30" s="810">
        <f ca="1">IFERROR(HLOOKUP(A30,Rango_Admin_Clas,3,FALSE),"-")</f>
        <v>20</v>
      </c>
      <c r="C30" s="811" t="str">
        <f ca="1">IFERROR(HLOOKUP(A30,Rango_Admin_Clas,5,FALSE),"-")</f>
        <v>Francisco Dinis</v>
      </c>
      <c r="D30" s="770">
        <f ca="1">IFERROR(HLOOKUP(A30,Rango_Admin_Clas,4,FALSE),"-")</f>
        <v>14</v>
      </c>
      <c r="E30" s="771" cm="1">
        <f t="array" aca="1" ref="E30" ca="1">IFERROR(INDEX(Rango_Admin_Clas_Total,E$2,MATCH($A30,Rango_Admin_Clas_Primera,0)+1),"-")</f>
        <v>14</v>
      </c>
      <c r="F30" s="771" cm="1">
        <f t="array" aca="1" ref="F30" ca="1">IFERROR(INDEX(Rango_Admin_Clas_Total,F$2,MATCH($A30,Rango_Admin_Clas_Primera,0)+1),"-")</f>
        <v>0</v>
      </c>
      <c r="G30" s="771" cm="1">
        <f t="array" aca="1" ref="G30" ca="1">IFERROR(INDEX(Rango_Admin_Clas_Total,G$2,MATCH($A30,Rango_Admin_Clas_Primera,0)+1),"-")</f>
        <v>0</v>
      </c>
      <c r="H30" s="771" cm="1">
        <f t="array" aca="1" ref="H30" ca="1">IFERROR(INDEX(Rango_Admin_Clas_Total,H$2,MATCH($A30,Rango_Admin_Clas_Primera,0)+1),"-")</f>
        <v>0</v>
      </c>
      <c r="I30" s="771" cm="1">
        <f t="array" aca="1" ref="I30" ca="1">IFERROR(INDEX(Rango_Admin_Clas_Total,I$2,MATCH($A30,Rango_Admin_Clas_Primera,0)+1),"-")</f>
        <v>0</v>
      </c>
      <c r="J30" s="771" cm="1">
        <f t="array" aca="1" ref="J30" ca="1">IFERROR(INDEX(Rango_Admin_Clas_Total,J$2,MATCH($A30,Rango_Admin_Clas_Primera,0)+1),"-")</f>
        <v>0</v>
      </c>
      <c r="K30" s="771" cm="1">
        <f t="array" aca="1" ref="K30" ca="1">IFERROR(INDEX(Rango_Admin_Clas_Total,K$2,MATCH($A30,Rango_Admin_Clas_Primera,0)+1),"-")</f>
        <v>0</v>
      </c>
      <c r="L30" s="771" cm="1">
        <f t="array" aca="1" ref="L30" ca="1">IFERROR(INDEX(Rango_Admin_Clas_Total,L$2,MATCH($A30,Rango_Admin_Clas_Primera,0)+1),"-")</f>
        <v>0</v>
      </c>
      <c r="M30" s="771" cm="1">
        <f t="array" aca="1" ref="M30" ca="1">IFERROR(INDEX(Rango_Admin_Clas_Total,M$2,MATCH($A30,Rango_Admin_Clas_Primera,0)+1),"-")</f>
        <v>0</v>
      </c>
      <c r="N30" s="771" cm="1">
        <f t="array" aca="1" ref="N30" ca="1">IFERROR(INDEX(Rango_Admin_Clas_Total,N$2,MATCH($A30,Rango_Admin_Clas_Primera,0)+1),"-")</f>
        <v>0</v>
      </c>
      <c r="O30" s="771" cm="1">
        <f t="array" aca="1" ref="O30" ca="1">IFERROR(INDEX(Rango_Admin_Clas_Total,O$2,MATCH($A30,Rango_Admin_Clas_Primera,0)+1),"-")</f>
        <v>0</v>
      </c>
      <c r="P30" s="771" cm="1">
        <f t="array" aca="1" ref="P30" ca="1">IFERROR(INDEX(Rango_Admin_Clas_Total,P$2,MATCH($A30,Rango_Admin_Clas_Primera,0)+1),"-")</f>
        <v>0</v>
      </c>
      <c r="Q30" s="771" cm="1">
        <f t="array" aca="1" ref="Q30" ca="1">IFERROR(INDEX(Rango_Admin_Clas_Total,Q$2,MATCH($A30,Rango_Admin_Clas_Primera,0)+1),"-")</f>
        <v>0</v>
      </c>
      <c r="R30" s="771" cm="1">
        <f t="array" aca="1" ref="R30" ca="1">IFERROR(INDEX(Rango_Admin_Clas_Total,R$2,MATCH($A30,Rango_Admin_Clas_Primera,0)+1),"-")</f>
        <v>0</v>
      </c>
      <c r="S30" s="771" cm="1">
        <f t="array" aca="1" ref="S30" ca="1">IFERROR(INDEX(Rango_Admin_Clas_Total,S$2,MATCH($A30,Rango_Admin_Clas_Primera,0)+1),"-")</f>
        <v>0</v>
      </c>
      <c r="T30" s="295"/>
      <c r="U30" s="295"/>
    </row>
    <row r="31" spans="1:21">
      <c r="A31" s="19">
        <f t="shared" si="0"/>
        <v>27</v>
      </c>
      <c r="B31" s="829">
        <f ca="1">IFERROR(HLOOKUP(A31,Rango_Admin_Clas,3,FALSE),"-")</f>
        <v>20</v>
      </c>
      <c r="C31" s="830" t="str">
        <f ca="1">IFERROR(HLOOKUP(A31,Rango_Admin_Clas,5,FALSE),"-")</f>
        <v xml:space="preserve">German </v>
      </c>
      <c r="D31" s="831">
        <f ca="1">IFERROR(HLOOKUP(A31,Rango_Admin_Clas,4,FALSE),"-")</f>
        <v>14</v>
      </c>
      <c r="E31" s="832" cm="1">
        <f t="array" aca="1" ref="E31" ca="1">IFERROR(INDEX(Rango_Admin_Clas_Total,E$2,MATCH($A31,Rango_Admin_Clas_Primera,0)+1),"-")</f>
        <v>14</v>
      </c>
      <c r="F31" s="832" cm="1">
        <f t="array" aca="1" ref="F31" ca="1">IFERROR(INDEX(Rango_Admin_Clas_Total,F$2,MATCH($A31,Rango_Admin_Clas_Primera,0)+1),"-")</f>
        <v>0</v>
      </c>
      <c r="G31" s="832" cm="1">
        <f t="array" aca="1" ref="G31" ca="1">IFERROR(INDEX(Rango_Admin_Clas_Total,G$2,MATCH($A31,Rango_Admin_Clas_Primera,0)+1),"-")</f>
        <v>0</v>
      </c>
      <c r="H31" s="832" cm="1">
        <f t="array" aca="1" ref="H31" ca="1">IFERROR(INDEX(Rango_Admin_Clas_Total,H$2,MATCH($A31,Rango_Admin_Clas_Primera,0)+1),"-")</f>
        <v>0</v>
      </c>
      <c r="I31" s="832" cm="1">
        <f t="array" aca="1" ref="I31" ca="1">IFERROR(INDEX(Rango_Admin_Clas_Total,I$2,MATCH($A31,Rango_Admin_Clas_Primera,0)+1),"-")</f>
        <v>0</v>
      </c>
      <c r="J31" s="832" cm="1">
        <f t="array" aca="1" ref="J31" ca="1">IFERROR(INDEX(Rango_Admin_Clas_Total,J$2,MATCH($A31,Rango_Admin_Clas_Primera,0)+1),"-")</f>
        <v>0</v>
      </c>
      <c r="K31" s="832" cm="1">
        <f t="array" aca="1" ref="K31" ca="1">IFERROR(INDEX(Rango_Admin_Clas_Total,K$2,MATCH($A31,Rango_Admin_Clas_Primera,0)+1),"-")</f>
        <v>0</v>
      </c>
      <c r="L31" s="832" cm="1">
        <f t="array" aca="1" ref="L31" ca="1">IFERROR(INDEX(Rango_Admin_Clas_Total,L$2,MATCH($A31,Rango_Admin_Clas_Primera,0)+1),"-")</f>
        <v>0</v>
      </c>
      <c r="M31" s="832" cm="1">
        <f t="array" aca="1" ref="M31" ca="1">IFERROR(INDEX(Rango_Admin_Clas_Total,M$2,MATCH($A31,Rango_Admin_Clas_Primera,0)+1),"-")</f>
        <v>0</v>
      </c>
      <c r="N31" s="832" cm="1">
        <f t="array" aca="1" ref="N31" ca="1">IFERROR(INDEX(Rango_Admin_Clas_Total,N$2,MATCH($A31,Rango_Admin_Clas_Primera,0)+1),"-")</f>
        <v>0</v>
      </c>
      <c r="O31" s="832" cm="1">
        <f t="array" aca="1" ref="O31" ca="1">IFERROR(INDEX(Rango_Admin_Clas_Total,O$2,MATCH($A31,Rango_Admin_Clas_Primera,0)+1),"-")</f>
        <v>0</v>
      </c>
      <c r="P31" s="832" cm="1">
        <f t="array" aca="1" ref="P31" ca="1">IFERROR(INDEX(Rango_Admin_Clas_Total,P$2,MATCH($A31,Rango_Admin_Clas_Primera,0)+1),"-")</f>
        <v>0</v>
      </c>
      <c r="Q31" s="832" cm="1">
        <f t="array" aca="1" ref="Q31" ca="1">IFERROR(INDEX(Rango_Admin_Clas_Total,Q$2,MATCH($A31,Rango_Admin_Clas_Primera,0)+1),"-")</f>
        <v>0</v>
      </c>
      <c r="R31" s="832" cm="1">
        <f t="array" aca="1" ref="R31" ca="1">IFERROR(INDEX(Rango_Admin_Clas_Total,R$2,MATCH($A31,Rango_Admin_Clas_Primera,0)+1),"-")</f>
        <v>0</v>
      </c>
      <c r="S31" s="832" cm="1">
        <f t="array" aca="1" ref="S31" ca="1">IFERROR(INDEX(Rango_Admin_Clas_Total,S$2,MATCH($A31,Rango_Admin_Clas_Primera,0)+1),"-")</f>
        <v>0</v>
      </c>
      <c r="T31" s="295"/>
      <c r="U31" s="295"/>
    </row>
    <row r="32" spans="1:21">
      <c r="A32" s="19">
        <f t="shared" si="0"/>
        <v>28</v>
      </c>
      <c r="B32" s="810">
        <f ca="1">IFERROR(HLOOKUP(A32,Rango_Admin_Clas,3,FALSE),"-")</f>
        <v>28</v>
      </c>
      <c r="C32" s="811" t="str">
        <f ca="1">IFERROR(HLOOKUP(A32,Rango_Admin_Clas,5,FALSE),"-")</f>
        <v>Leiner Zavarce</v>
      </c>
      <c r="D32" s="770">
        <f ca="1">IFERROR(HLOOKUP(A32,Rango_Admin_Clas,4,FALSE),"-")</f>
        <v>7</v>
      </c>
      <c r="E32" s="771" cm="1">
        <f t="array" aca="1" ref="E32" ca="1">IFERROR(INDEX(Rango_Admin_Clas_Total,E$2,MATCH($A32,Rango_Admin_Clas_Primera,0)+1),"-")</f>
        <v>7</v>
      </c>
      <c r="F32" s="771" cm="1">
        <f t="array" aca="1" ref="F32" ca="1">IFERROR(INDEX(Rango_Admin_Clas_Total,F$2,MATCH($A32,Rango_Admin_Clas_Primera,0)+1),"-")</f>
        <v>0</v>
      </c>
      <c r="G32" s="771" cm="1">
        <f t="array" aca="1" ref="G32" ca="1">IFERROR(INDEX(Rango_Admin_Clas_Total,G$2,MATCH($A32,Rango_Admin_Clas_Primera,0)+1),"-")</f>
        <v>0</v>
      </c>
      <c r="H32" s="771" cm="1">
        <f t="array" aca="1" ref="H32" ca="1">IFERROR(INDEX(Rango_Admin_Clas_Total,H$2,MATCH($A32,Rango_Admin_Clas_Primera,0)+1),"-")</f>
        <v>0</v>
      </c>
      <c r="I32" s="771" cm="1">
        <f t="array" aca="1" ref="I32" ca="1">IFERROR(INDEX(Rango_Admin_Clas_Total,I$2,MATCH($A32,Rango_Admin_Clas_Primera,0)+1),"-")</f>
        <v>0</v>
      </c>
      <c r="J32" s="771" cm="1">
        <f t="array" aca="1" ref="J32" ca="1">IFERROR(INDEX(Rango_Admin_Clas_Total,J$2,MATCH($A32,Rango_Admin_Clas_Primera,0)+1),"-")</f>
        <v>0</v>
      </c>
      <c r="K32" s="771" cm="1">
        <f t="array" aca="1" ref="K32" ca="1">IFERROR(INDEX(Rango_Admin_Clas_Total,K$2,MATCH($A32,Rango_Admin_Clas_Primera,0)+1),"-")</f>
        <v>0</v>
      </c>
      <c r="L32" s="771" cm="1">
        <f t="array" aca="1" ref="L32" ca="1">IFERROR(INDEX(Rango_Admin_Clas_Total,L$2,MATCH($A32,Rango_Admin_Clas_Primera,0)+1),"-")</f>
        <v>0</v>
      </c>
      <c r="M32" s="771" cm="1">
        <f t="array" aca="1" ref="M32" ca="1">IFERROR(INDEX(Rango_Admin_Clas_Total,M$2,MATCH($A32,Rango_Admin_Clas_Primera,0)+1),"-")</f>
        <v>0</v>
      </c>
      <c r="N32" s="771" cm="1">
        <f t="array" aca="1" ref="N32" ca="1">IFERROR(INDEX(Rango_Admin_Clas_Total,N$2,MATCH($A32,Rango_Admin_Clas_Primera,0)+1),"-")</f>
        <v>0</v>
      </c>
      <c r="O32" s="771" cm="1">
        <f t="array" aca="1" ref="O32" ca="1">IFERROR(INDEX(Rango_Admin_Clas_Total,O$2,MATCH($A32,Rango_Admin_Clas_Primera,0)+1),"-")</f>
        <v>0</v>
      </c>
      <c r="P32" s="771" cm="1">
        <f t="array" aca="1" ref="P32" ca="1">IFERROR(INDEX(Rango_Admin_Clas_Total,P$2,MATCH($A32,Rango_Admin_Clas_Primera,0)+1),"-")</f>
        <v>0</v>
      </c>
      <c r="Q32" s="771" cm="1">
        <f t="array" aca="1" ref="Q32" ca="1">IFERROR(INDEX(Rango_Admin_Clas_Total,Q$2,MATCH($A32,Rango_Admin_Clas_Primera,0)+1),"-")</f>
        <v>0</v>
      </c>
      <c r="R32" s="771" cm="1">
        <f t="array" aca="1" ref="R32" ca="1">IFERROR(INDEX(Rango_Admin_Clas_Total,R$2,MATCH($A32,Rango_Admin_Clas_Primera,0)+1),"-")</f>
        <v>0</v>
      </c>
      <c r="S32" s="771" cm="1">
        <f t="array" aca="1" ref="S32" ca="1">IFERROR(INDEX(Rango_Admin_Clas_Total,S$2,MATCH($A32,Rango_Admin_Clas_Primera,0)+1),"-")</f>
        <v>0</v>
      </c>
      <c r="T32" s="295"/>
      <c r="U32" s="295"/>
    </row>
    <row r="33" spans="1:21">
      <c r="A33" s="19">
        <f t="shared" si="0"/>
        <v>29</v>
      </c>
      <c r="B33" s="829">
        <f ca="1">IFERROR(HLOOKUP(A33,Rango_Admin_Clas,3,FALSE),"-")</f>
        <v>28</v>
      </c>
      <c r="C33" s="830" t="str">
        <f ca="1">IFERROR(HLOOKUP(A33,Rango_Admin_Clas,5,FALSE),"-")</f>
        <v>Gabo</v>
      </c>
      <c r="D33" s="831">
        <f ca="1">IFERROR(HLOOKUP(A33,Rango_Admin_Clas,4,FALSE),"-")</f>
        <v>7</v>
      </c>
      <c r="E33" s="832" cm="1">
        <f t="array" aca="1" ref="E33" ca="1">IFERROR(INDEX(Rango_Admin_Clas_Total,E$2,MATCH($A33,Rango_Admin_Clas_Primera,0)+1),"-")</f>
        <v>7</v>
      </c>
      <c r="F33" s="832" cm="1">
        <f t="array" aca="1" ref="F33" ca="1">IFERROR(INDEX(Rango_Admin_Clas_Total,F$2,MATCH($A33,Rango_Admin_Clas_Primera,0)+1),"-")</f>
        <v>0</v>
      </c>
      <c r="G33" s="832" cm="1">
        <f t="array" aca="1" ref="G33" ca="1">IFERROR(INDEX(Rango_Admin_Clas_Total,G$2,MATCH($A33,Rango_Admin_Clas_Primera,0)+1),"-")</f>
        <v>0</v>
      </c>
      <c r="H33" s="832" cm="1">
        <f t="array" aca="1" ref="H33" ca="1">IFERROR(INDEX(Rango_Admin_Clas_Total,H$2,MATCH($A33,Rango_Admin_Clas_Primera,0)+1),"-")</f>
        <v>0</v>
      </c>
      <c r="I33" s="832" cm="1">
        <f t="array" aca="1" ref="I33" ca="1">IFERROR(INDEX(Rango_Admin_Clas_Total,I$2,MATCH($A33,Rango_Admin_Clas_Primera,0)+1),"-")</f>
        <v>0</v>
      </c>
      <c r="J33" s="832" cm="1">
        <f t="array" aca="1" ref="J33" ca="1">IFERROR(INDEX(Rango_Admin_Clas_Total,J$2,MATCH($A33,Rango_Admin_Clas_Primera,0)+1),"-")</f>
        <v>0</v>
      </c>
      <c r="K33" s="832" cm="1">
        <f t="array" aca="1" ref="K33" ca="1">IFERROR(INDEX(Rango_Admin_Clas_Total,K$2,MATCH($A33,Rango_Admin_Clas_Primera,0)+1),"-")</f>
        <v>0</v>
      </c>
      <c r="L33" s="832" cm="1">
        <f t="array" aca="1" ref="L33" ca="1">IFERROR(INDEX(Rango_Admin_Clas_Total,L$2,MATCH($A33,Rango_Admin_Clas_Primera,0)+1),"-")</f>
        <v>0</v>
      </c>
      <c r="M33" s="832" cm="1">
        <f t="array" aca="1" ref="M33" ca="1">IFERROR(INDEX(Rango_Admin_Clas_Total,M$2,MATCH($A33,Rango_Admin_Clas_Primera,0)+1),"-")</f>
        <v>0</v>
      </c>
      <c r="N33" s="832" cm="1">
        <f t="array" aca="1" ref="N33" ca="1">IFERROR(INDEX(Rango_Admin_Clas_Total,N$2,MATCH($A33,Rango_Admin_Clas_Primera,0)+1),"-")</f>
        <v>0</v>
      </c>
      <c r="O33" s="832" cm="1">
        <f t="array" aca="1" ref="O33" ca="1">IFERROR(INDEX(Rango_Admin_Clas_Total,O$2,MATCH($A33,Rango_Admin_Clas_Primera,0)+1),"-")</f>
        <v>0</v>
      </c>
      <c r="P33" s="832" cm="1">
        <f t="array" aca="1" ref="P33" ca="1">IFERROR(INDEX(Rango_Admin_Clas_Total,P$2,MATCH($A33,Rango_Admin_Clas_Primera,0)+1),"-")</f>
        <v>0</v>
      </c>
      <c r="Q33" s="832" cm="1">
        <f t="array" aca="1" ref="Q33" ca="1">IFERROR(INDEX(Rango_Admin_Clas_Total,Q$2,MATCH($A33,Rango_Admin_Clas_Primera,0)+1),"-")</f>
        <v>0</v>
      </c>
      <c r="R33" s="832" cm="1">
        <f t="array" aca="1" ref="R33" ca="1">IFERROR(INDEX(Rango_Admin_Clas_Total,R$2,MATCH($A33,Rango_Admin_Clas_Primera,0)+1),"-")</f>
        <v>0</v>
      </c>
      <c r="S33" s="832" cm="1">
        <f t="array" aca="1" ref="S33" ca="1">IFERROR(INDEX(Rango_Admin_Clas_Total,S$2,MATCH($A33,Rango_Admin_Clas_Primera,0)+1),"-")</f>
        <v>0</v>
      </c>
      <c r="T33" s="295"/>
      <c r="U33" s="295"/>
    </row>
    <row r="34" spans="1:21">
      <c r="A34" s="19">
        <f t="shared" si="0"/>
        <v>30</v>
      </c>
      <c r="B34" s="810">
        <f ca="1">IFERROR(HLOOKUP(A34,Rango_Admin_Clas,3,FALSE),"-")</f>
        <v>28</v>
      </c>
      <c r="C34" s="811" t="str">
        <f ca="1">IFERROR(HLOOKUP(A34,Rango_Admin_Clas,5,FALSE),"-")</f>
        <v>YUYU</v>
      </c>
      <c r="D34" s="770">
        <f ca="1">IFERROR(HLOOKUP(A34,Rango_Admin_Clas,4,FALSE),"-")</f>
        <v>7</v>
      </c>
      <c r="E34" s="771" cm="1">
        <f t="array" aca="1" ref="E34" ca="1">IFERROR(INDEX(Rango_Admin_Clas_Total,E$2,MATCH($A34,Rango_Admin_Clas_Primera,0)+1),"-")</f>
        <v>7</v>
      </c>
      <c r="F34" s="771" cm="1">
        <f t="array" aca="1" ref="F34" ca="1">IFERROR(INDEX(Rango_Admin_Clas_Total,F$2,MATCH($A34,Rango_Admin_Clas_Primera,0)+1),"-")</f>
        <v>0</v>
      </c>
      <c r="G34" s="771" cm="1">
        <f t="array" aca="1" ref="G34" ca="1">IFERROR(INDEX(Rango_Admin_Clas_Total,G$2,MATCH($A34,Rango_Admin_Clas_Primera,0)+1),"-")</f>
        <v>0</v>
      </c>
      <c r="H34" s="771" cm="1">
        <f t="array" aca="1" ref="H34" ca="1">IFERROR(INDEX(Rango_Admin_Clas_Total,H$2,MATCH($A34,Rango_Admin_Clas_Primera,0)+1),"-")</f>
        <v>0</v>
      </c>
      <c r="I34" s="771" cm="1">
        <f t="array" aca="1" ref="I34" ca="1">IFERROR(INDEX(Rango_Admin_Clas_Total,I$2,MATCH($A34,Rango_Admin_Clas_Primera,0)+1),"-")</f>
        <v>0</v>
      </c>
      <c r="J34" s="771" cm="1">
        <f t="array" aca="1" ref="J34" ca="1">IFERROR(INDEX(Rango_Admin_Clas_Total,J$2,MATCH($A34,Rango_Admin_Clas_Primera,0)+1),"-")</f>
        <v>0</v>
      </c>
      <c r="K34" s="771" cm="1">
        <f t="array" aca="1" ref="K34" ca="1">IFERROR(INDEX(Rango_Admin_Clas_Total,K$2,MATCH($A34,Rango_Admin_Clas_Primera,0)+1),"-")</f>
        <v>0</v>
      </c>
      <c r="L34" s="771" cm="1">
        <f t="array" aca="1" ref="L34" ca="1">IFERROR(INDEX(Rango_Admin_Clas_Total,L$2,MATCH($A34,Rango_Admin_Clas_Primera,0)+1),"-")</f>
        <v>0</v>
      </c>
      <c r="M34" s="771" cm="1">
        <f t="array" aca="1" ref="M34" ca="1">IFERROR(INDEX(Rango_Admin_Clas_Total,M$2,MATCH($A34,Rango_Admin_Clas_Primera,0)+1),"-")</f>
        <v>0</v>
      </c>
      <c r="N34" s="771" cm="1">
        <f t="array" aca="1" ref="N34" ca="1">IFERROR(INDEX(Rango_Admin_Clas_Total,N$2,MATCH($A34,Rango_Admin_Clas_Primera,0)+1),"-")</f>
        <v>0</v>
      </c>
      <c r="O34" s="771" cm="1">
        <f t="array" aca="1" ref="O34" ca="1">IFERROR(INDEX(Rango_Admin_Clas_Total,O$2,MATCH($A34,Rango_Admin_Clas_Primera,0)+1),"-")</f>
        <v>0</v>
      </c>
      <c r="P34" s="771" cm="1">
        <f t="array" aca="1" ref="P34" ca="1">IFERROR(INDEX(Rango_Admin_Clas_Total,P$2,MATCH($A34,Rango_Admin_Clas_Primera,0)+1),"-")</f>
        <v>0</v>
      </c>
      <c r="Q34" s="771" cm="1">
        <f t="array" aca="1" ref="Q34" ca="1">IFERROR(INDEX(Rango_Admin_Clas_Total,Q$2,MATCH($A34,Rango_Admin_Clas_Primera,0)+1),"-")</f>
        <v>0</v>
      </c>
      <c r="R34" s="771" cm="1">
        <f t="array" aca="1" ref="R34" ca="1">IFERROR(INDEX(Rango_Admin_Clas_Total,R$2,MATCH($A34,Rango_Admin_Clas_Primera,0)+1),"-")</f>
        <v>0</v>
      </c>
      <c r="S34" s="771" cm="1">
        <f t="array" aca="1" ref="S34" ca="1">IFERROR(INDEX(Rango_Admin_Clas_Total,S$2,MATCH($A34,Rango_Admin_Clas_Primera,0)+1),"-")</f>
        <v>0</v>
      </c>
      <c r="T34" s="295"/>
      <c r="U34" s="295"/>
    </row>
    <row r="35" spans="1:21">
      <c r="A35" s="19">
        <f t="shared" si="0"/>
        <v>31</v>
      </c>
      <c r="B35" s="829">
        <f ca="1">IFERROR(HLOOKUP(A35,Rango_Admin_Clas,3,FALSE),"-")</f>
        <v>28</v>
      </c>
      <c r="C35" s="830" t="str">
        <f ca="1">IFERROR(HLOOKUP(A35,Rango_Admin_Clas,5,FALSE),"-")</f>
        <v xml:space="preserve">Jose Juan De Abreu </v>
      </c>
      <c r="D35" s="831">
        <f ca="1">IFERROR(HLOOKUP(A35,Rango_Admin_Clas,4,FALSE),"-")</f>
        <v>7</v>
      </c>
      <c r="E35" s="832" cm="1">
        <f t="array" aca="1" ref="E35" ca="1">IFERROR(INDEX(Rango_Admin_Clas_Total,E$2,MATCH($A35,Rango_Admin_Clas_Primera,0)+1),"-")</f>
        <v>7</v>
      </c>
      <c r="F35" s="832" cm="1">
        <f t="array" aca="1" ref="F35" ca="1">IFERROR(INDEX(Rango_Admin_Clas_Total,F$2,MATCH($A35,Rango_Admin_Clas_Primera,0)+1),"-")</f>
        <v>0</v>
      </c>
      <c r="G35" s="832" cm="1">
        <f t="array" aca="1" ref="G35" ca="1">IFERROR(INDEX(Rango_Admin_Clas_Total,G$2,MATCH($A35,Rango_Admin_Clas_Primera,0)+1),"-")</f>
        <v>0</v>
      </c>
      <c r="H35" s="832" cm="1">
        <f t="array" aca="1" ref="H35" ca="1">IFERROR(INDEX(Rango_Admin_Clas_Total,H$2,MATCH($A35,Rango_Admin_Clas_Primera,0)+1),"-")</f>
        <v>0</v>
      </c>
      <c r="I35" s="832" cm="1">
        <f t="array" aca="1" ref="I35" ca="1">IFERROR(INDEX(Rango_Admin_Clas_Total,I$2,MATCH($A35,Rango_Admin_Clas_Primera,0)+1),"-")</f>
        <v>0</v>
      </c>
      <c r="J35" s="832" cm="1">
        <f t="array" aca="1" ref="J35" ca="1">IFERROR(INDEX(Rango_Admin_Clas_Total,J$2,MATCH($A35,Rango_Admin_Clas_Primera,0)+1),"-")</f>
        <v>0</v>
      </c>
      <c r="K35" s="832" cm="1">
        <f t="array" aca="1" ref="K35" ca="1">IFERROR(INDEX(Rango_Admin_Clas_Total,K$2,MATCH($A35,Rango_Admin_Clas_Primera,0)+1),"-")</f>
        <v>0</v>
      </c>
      <c r="L35" s="832" cm="1">
        <f t="array" aca="1" ref="L35" ca="1">IFERROR(INDEX(Rango_Admin_Clas_Total,L$2,MATCH($A35,Rango_Admin_Clas_Primera,0)+1),"-")</f>
        <v>0</v>
      </c>
      <c r="M35" s="832" cm="1">
        <f t="array" aca="1" ref="M35" ca="1">IFERROR(INDEX(Rango_Admin_Clas_Total,M$2,MATCH($A35,Rango_Admin_Clas_Primera,0)+1),"-")</f>
        <v>0</v>
      </c>
      <c r="N35" s="832" cm="1">
        <f t="array" aca="1" ref="N35" ca="1">IFERROR(INDEX(Rango_Admin_Clas_Total,N$2,MATCH($A35,Rango_Admin_Clas_Primera,0)+1),"-")</f>
        <v>0</v>
      </c>
      <c r="O35" s="832" cm="1">
        <f t="array" aca="1" ref="O35" ca="1">IFERROR(INDEX(Rango_Admin_Clas_Total,O$2,MATCH($A35,Rango_Admin_Clas_Primera,0)+1),"-")</f>
        <v>0</v>
      </c>
      <c r="P35" s="832" cm="1">
        <f t="array" aca="1" ref="P35" ca="1">IFERROR(INDEX(Rango_Admin_Clas_Total,P$2,MATCH($A35,Rango_Admin_Clas_Primera,0)+1),"-")</f>
        <v>0</v>
      </c>
      <c r="Q35" s="832" cm="1">
        <f t="array" aca="1" ref="Q35" ca="1">IFERROR(INDEX(Rango_Admin_Clas_Total,Q$2,MATCH($A35,Rango_Admin_Clas_Primera,0)+1),"-")</f>
        <v>0</v>
      </c>
      <c r="R35" s="832" cm="1">
        <f t="array" aca="1" ref="R35" ca="1">IFERROR(INDEX(Rango_Admin_Clas_Total,R$2,MATCH($A35,Rango_Admin_Clas_Primera,0)+1),"-")</f>
        <v>0</v>
      </c>
      <c r="S35" s="832" cm="1">
        <f t="array" aca="1" ref="S35" ca="1">IFERROR(INDEX(Rango_Admin_Clas_Total,S$2,MATCH($A35,Rango_Admin_Clas_Primera,0)+1),"-")</f>
        <v>0</v>
      </c>
      <c r="T35" s="295"/>
      <c r="U35" s="295"/>
    </row>
    <row r="36" spans="1:21">
      <c r="A36" s="19">
        <f t="shared" si="0"/>
        <v>32</v>
      </c>
      <c r="B36" s="810">
        <f ca="1">IFERROR(HLOOKUP(A36,Rango_Admin_Clas,3,FALSE),"-")</f>
        <v>28</v>
      </c>
      <c r="C36" s="811" t="str">
        <f ca="1">IFERROR(HLOOKUP(A36,Rango_Admin_Clas,5,FALSE),"-")</f>
        <v>nicolah</v>
      </c>
      <c r="D36" s="770">
        <f ca="1">IFERROR(HLOOKUP(A36,Rango_Admin_Clas,4,FALSE),"-")</f>
        <v>7</v>
      </c>
      <c r="E36" s="771" cm="1">
        <f t="array" aca="1" ref="E36" ca="1">IFERROR(INDEX(Rango_Admin_Clas_Total,E$2,MATCH($A36,Rango_Admin_Clas_Primera,0)+1),"-")</f>
        <v>7</v>
      </c>
      <c r="F36" s="771" cm="1">
        <f t="array" aca="1" ref="F36" ca="1">IFERROR(INDEX(Rango_Admin_Clas_Total,F$2,MATCH($A36,Rango_Admin_Clas_Primera,0)+1),"-")</f>
        <v>0</v>
      </c>
      <c r="G36" s="771" cm="1">
        <f t="array" aca="1" ref="G36" ca="1">IFERROR(INDEX(Rango_Admin_Clas_Total,G$2,MATCH($A36,Rango_Admin_Clas_Primera,0)+1),"-")</f>
        <v>0</v>
      </c>
      <c r="H36" s="771" cm="1">
        <f t="array" aca="1" ref="H36" ca="1">IFERROR(INDEX(Rango_Admin_Clas_Total,H$2,MATCH($A36,Rango_Admin_Clas_Primera,0)+1),"-")</f>
        <v>0</v>
      </c>
      <c r="I36" s="771" cm="1">
        <f t="array" aca="1" ref="I36" ca="1">IFERROR(INDEX(Rango_Admin_Clas_Total,I$2,MATCH($A36,Rango_Admin_Clas_Primera,0)+1),"-")</f>
        <v>0</v>
      </c>
      <c r="J36" s="771" cm="1">
        <f t="array" aca="1" ref="J36" ca="1">IFERROR(INDEX(Rango_Admin_Clas_Total,J$2,MATCH($A36,Rango_Admin_Clas_Primera,0)+1),"-")</f>
        <v>0</v>
      </c>
      <c r="K36" s="771" cm="1">
        <f t="array" aca="1" ref="K36" ca="1">IFERROR(INDEX(Rango_Admin_Clas_Total,K$2,MATCH($A36,Rango_Admin_Clas_Primera,0)+1),"-")</f>
        <v>0</v>
      </c>
      <c r="L36" s="771" cm="1">
        <f t="array" aca="1" ref="L36" ca="1">IFERROR(INDEX(Rango_Admin_Clas_Total,L$2,MATCH($A36,Rango_Admin_Clas_Primera,0)+1),"-")</f>
        <v>0</v>
      </c>
      <c r="M36" s="771" cm="1">
        <f t="array" aca="1" ref="M36" ca="1">IFERROR(INDEX(Rango_Admin_Clas_Total,M$2,MATCH($A36,Rango_Admin_Clas_Primera,0)+1),"-")</f>
        <v>0</v>
      </c>
      <c r="N36" s="771" cm="1">
        <f t="array" aca="1" ref="N36" ca="1">IFERROR(INDEX(Rango_Admin_Clas_Total,N$2,MATCH($A36,Rango_Admin_Clas_Primera,0)+1),"-")</f>
        <v>0</v>
      </c>
      <c r="O36" s="771" cm="1">
        <f t="array" aca="1" ref="O36" ca="1">IFERROR(INDEX(Rango_Admin_Clas_Total,O$2,MATCH($A36,Rango_Admin_Clas_Primera,0)+1),"-")</f>
        <v>0</v>
      </c>
      <c r="P36" s="771" cm="1">
        <f t="array" aca="1" ref="P36" ca="1">IFERROR(INDEX(Rango_Admin_Clas_Total,P$2,MATCH($A36,Rango_Admin_Clas_Primera,0)+1),"-")</f>
        <v>0</v>
      </c>
      <c r="Q36" s="771" cm="1">
        <f t="array" aca="1" ref="Q36" ca="1">IFERROR(INDEX(Rango_Admin_Clas_Total,Q$2,MATCH($A36,Rango_Admin_Clas_Primera,0)+1),"-")</f>
        <v>0</v>
      </c>
      <c r="R36" s="771" cm="1">
        <f t="array" aca="1" ref="R36" ca="1">IFERROR(INDEX(Rango_Admin_Clas_Total,R$2,MATCH($A36,Rango_Admin_Clas_Primera,0)+1),"-")</f>
        <v>0</v>
      </c>
      <c r="S36" s="771" cm="1">
        <f t="array" aca="1" ref="S36" ca="1">IFERROR(INDEX(Rango_Admin_Clas_Total,S$2,MATCH($A36,Rango_Admin_Clas_Primera,0)+1),"-")</f>
        <v>0</v>
      </c>
      <c r="T36" s="295"/>
      <c r="U36" s="295"/>
    </row>
    <row r="37" spans="1:21">
      <c r="A37" s="19">
        <f t="shared" si="0"/>
        <v>33</v>
      </c>
      <c r="B37" s="829">
        <f ca="1">IFERROR(HLOOKUP(A37,Rango_Admin_Clas,3,FALSE),"-")</f>
        <v>28</v>
      </c>
      <c r="C37" s="830" t="str">
        <f ca="1">IFERROR(HLOOKUP(A37,Rango_Admin_Clas,5,FALSE),"-")</f>
        <v xml:space="preserve">Orbert </v>
      </c>
      <c r="D37" s="831">
        <f ca="1">IFERROR(HLOOKUP(A37,Rango_Admin_Clas,4,FALSE),"-")</f>
        <v>7</v>
      </c>
      <c r="E37" s="832" cm="1">
        <f t="array" aca="1" ref="E37" ca="1">IFERROR(INDEX(Rango_Admin_Clas_Total,E$2,MATCH($A37,Rango_Admin_Clas_Primera,0)+1),"-")</f>
        <v>7</v>
      </c>
      <c r="F37" s="832" cm="1">
        <f t="array" aca="1" ref="F37" ca="1">IFERROR(INDEX(Rango_Admin_Clas_Total,F$2,MATCH($A37,Rango_Admin_Clas_Primera,0)+1),"-")</f>
        <v>0</v>
      </c>
      <c r="G37" s="832" cm="1">
        <f t="array" aca="1" ref="G37" ca="1">IFERROR(INDEX(Rango_Admin_Clas_Total,G$2,MATCH($A37,Rango_Admin_Clas_Primera,0)+1),"-")</f>
        <v>0</v>
      </c>
      <c r="H37" s="832" cm="1">
        <f t="array" aca="1" ref="H37" ca="1">IFERROR(INDEX(Rango_Admin_Clas_Total,H$2,MATCH($A37,Rango_Admin_Clas_Primera,0)+1),"-")</f>
        <v>0</v>
      </c>
      <c r="I37" s="832" cm="1">
        <f t="array" aca="1" ref="I37" ca="1">IFERROR(INDEX(Rango_Admin_Clas_Total,I$2,MATCH($A37,Rango_Admin_Clas_Primera,0)+1),"-")</f>
        <v>0</v>
      </c>
      <c r="J37" s="832" cm="1">
        <f t="array" aca="1" ref="J37" ca="1">IFERROR(INDEX(Rango_Admin_Clas_Total,J$2,MATCH($A37,Rango_Admin_Clas_Primera,0)+1),"-")</f>
        <v>0</v>
      </c>
      <c r="K37" s="832" cm="1">
        <f t="array" aca="1" ref="K37" ca="1">IFERROR(INDEX(Rango_Admin_Clas_Total,K$2,MATCH($A37,Rango_Admin_Clas_Primera,0)+1),"-")</f>
        <v>0</v>
      </c>
      <c r="L37" s="832" cm="1">
        <f t="array" aca="1" ref="L37" ca="1">IFERROR(INDEX(Rango_Admin_Clas_Total,L$2,MATCH($A37,Rango_Admin_Clas_Primera,0)+1),"-")</f>
        <v>0</v>
      </c>
      <c r="M37" s="832" cm="1">
        <f t="array" aca="1" ref="M37" ca="1">IFERROR(INDEX(Rango_Admin_Clas_Total,M$2,MATCH($A37,Rango_Admin_Clas_Primera,0)+1),"-")</f>
        <v>0</v>
      </c>
      <c r="N37" s="832" cm="1">
        <f t="array" aca="1" ref="N37" ca="1">IFERROR(INDEX(Rango_Admin_Clas_Total,N$2,MATCH($A37,Rango_Admin_Clas_Primera,0)+1),"-")</f>
        <v>0</v>
      </c>
      <c r="O37" s="832" cm="1">
        <f t="array" aca="1" ref="O37" ca="1">IFERROR(INDEX(Rango_Admin_Clas_Total,O$2,MATCH($A37,Rango_Admin_Clas_Primera,0)+1),"-")</f>
        <v>0</v>
      </c>
      <c r="P37" s="832" cm="1">
        <f t="array" aca="1" ref="P37" ca="1">IFERROR(INDEX(Rango_Admin_Clas_Total,P$2,MATCH($A37,Rango_Admin_Clas_Primera,0)+1),"-")</f>
        <v>0</v>
      </c>
      <c r="Q37" s="832" cm="1">
        <f t="array" aca="1" ref="Q37" ca="1">IFERROR(INDEX(Rango_Admin_Clas_Total,Q$2,MATCH($A37,Rango_Admin_Clas_Primera,0)+1),"-")</f>
        <v>0</v>
      </c>
      <c r="R37" s="832" cm="1">
        <f t="array" aca="1" ref="R37" ca="1">IFERROR(INDEX(Rango_Admin_Clas_Total,R$2,MATCH($A37,Rango_Admin_Clas_Primera,0)+1),"-")</f>
        <v>0</v>
      </c>
      <c r="S37" s="832" cm="1">
        <f t="array" aca="1" ref="S37" ca="1">IFERROR(INDEX(Rango_Admin_Clas_Total,S$2,MATCH($A37,Rango_Admin_Clas_Primera,0)+1),"-")</f>
        <v>0</v>
      </c>
      <c r="T37" s="295"/>
      <c r="U37" s="295"/>
    </row>
    <row r="38" spans="1:21">
      <c r="A38" s="19">
        <f t="shared" si="0"/>
        <v>34</v>
      </c>
      <c r="B38" s="810">
        <f ca="1">IFERROR(HLOOKUP(A38,Rango_Admin_Clas,3,FALSE),"-")</f>
        <v>28</v>
      </c>
      <c r="C38" s="811" t="str">
        <f ca="1">IFERROR(HLOOKUP(A38,Rango_Admin_Clas,5,FALSE),"-")</f>
        <v>Alex Flores</v>
      </c>
      <c r="D38" s="770">
        <f ca="1">IFERROR(HLOOKUP(A38,Rango_Admin_Clas,4,FALSE),"-")</f>
        <v>7</v>
      </c>
      <c r="E38" s="771" cm="1">
        <f t="array" aca="1" ref="E38" ca="1">IFERROR(INDEX(Rango_Admin_Clas_Total,E$2,MATCH($A38,Rango_Admin_Clas_Primera,0)+1),"-")</f>
        <v>7</v>
      </c>
      <c r="F38" s="771" cm="1">
        <f t="array" aca="1" ref="F38" ca="1">IFERROR(INDEX(Rango_Admin_Clas_Total,F$2,MATCH($A38,Rango_Admin_Clas_Primera,0)+1),"-")</f>
        <v>0</v>
      </c>
      <c r="G38" s="771" cm="1">
        <f t="array" aca="1" ref="G38" ca="1">IFERROR(INDEX(Rango_Admin_Clas_Total,G$2,MATCH($A38,Rango_Admin_Clas_Primera,0)+1),"-")</f>
        <v>0</v>
      </c>
      <c r="H38" s="771" cm="1">
        <f t="array" aca="1" ref="H38" ca="1">IFERROR(INDEX(Rango_Admin_Clas_Total,H$2,MATCH($A38,Rango_Admin_Clas_Primera,0)+1),"-")</f>
        <v>0</v>
      </c>
      <c r="I38" s="771" cm="1">
        <f t="array" aca="1" ref="I38" ca="1">IFERROR(INDEX(Rango_Admin_Clas_Total,I$2,MATCH($A38,Rango_Admin_Clas_Primera,0)+1),"-")</f>
        <v>0</v>
      </c>
      <c r="J38" s="771" cm="1">
        <f t="array" aca="1" ref="J38" ca="1">IFERROR(INDEX(Rango_Admin_Clas_Total,J$2,MATCH($A38,Rango_Admin_Clas_Primera,0)+1),"-")</f>
        <v>0</v>
      </c>
      <c r="K38" s="771" cm="1">
        <f t="array" aca="1" ref="K38" ca="1">IFERROR(INDEX(Rango_Admin_Clas_Total,K$2,MATCH($A38,Rango_Admin_Clas_Primera,0)+1),"-")</f>
        <v>0</v>
      </c>
      <c r="L38" s="771" cm="1">
        <f t="array" aca="1" ref="L38" ca="1">IFERROR(INDEX(Rango_Admin_Clas_Total,L$2,MATCH($A38,Rango_Admin_Clas_Primera,0)+1),"-")</f>
        <v>0</v>
      </c>
      <c r="M38" s="771" cm="1">
        <f t="array" aca="1" ref="M38" ca="1">IFERROR(INDEX(Rango_Admin_Clas_Total,M$2,MATCH($A38,Rango_Admin_Clas_Primera,0)+1),"-")</f>
        <v>0</v>
      </c>
      <c r="N38" s="771" cm="1">
        <f t="array" aca="1" ref="N38" ca="1">IFERROR(INDEX(Rango_Admin_Clas_Total,N$2,MATCH($A38,Rango_Admin_Clas_Primera,0)+1),"-")</f>
        <v>0</v>
      </c>
      <c r="O38" s="771" cm="1">
        <f t="array" aca="1" ref="O38" ca="1">IFERROR(INDEX(Rango_Admin_Clas_Total,O$2,MATCH($A38,Rango_Admin_Clas_Primera,0)+1),"-")</f>
        <v>0</v>
      </c>
      <c r="P38" s="771" cm="1">
        <f t="array" aca="1" ref="P38" ca="1">IFERROR(INDEX(Rango_Admin_Clas_Total,P$2,MATCH($A38,Rango_Admin_Clas_Primera,0)+1),"-")</f>
        <v>0</v>
      </c>
      <c r="Q38" s="771" cm="1">
        <f t="array" aca="1" ref="Q38" ca="1">IFERROR(INDEX(Rango_Admin_Clas_Total,Q$2,MATCH($A38,Rango_Admin_Clas_Primera,0)+1),"-")</f>
        <v>0</v>
      </c>
      <c r="R38" s="771" cm="1">
        <f t="array" aca="1" ref="R38" ca="1">IFERROR(INDEX(Rango_Admin_Clas_Total,R$2,MATCH($A38,Rango_Admin_Clas_Primera,0)+1),"-")</f>
        <v>0</v>
      </c>
      <c r="S38" s="771" cm="1">
        <f t="array" aca="1" ref="S38" ca="1">IFERROR(INDEX(Rango_Admin_Clas_Total,S$2,MATCH($A38,Rango_Admin_Clas_Primera,0)+1),"-")</f>
        <v>0</v>
      </c>
      <c r="T38" s="295"/>
      <c r="U38" s="295"/>
    </row>
    <row r="39" spans="1:21">
      <c r="A39" s="19">
        <f t="shared" si="0"/>
        <v>35</v>
      </c>
      <c r="B39" s="829">
        <f ca="1">IFERROR(HLOOKUP(A39,Rango_Admin_Clas,3,FALSE),"-")</f>
        <v>28</v>
      </c>
      <c r="C39" s="830" t="str">
        <f ca="1">IFERROR(HLOOKUP(A39,Rango_Admin_Clas,5,FALSE),"-")</f>
        <v>Erick Lavado</v>
      </c>
      <c r="D39" s="831">
        <f ca="1">IFERROR(HLOOKUP(A39,Rango_Admin_Clas,4,FALSE),"-")</f>
        <v>7</v>
      </c>
      <c r="E39" s="832" cm="1">
        <f t="array" aca="1" ref="E39" ca="1">IFERROR(INDEX(Rango_Admin_Clas_Total,E$2,MATCH($A39,Rango_Admin_Clas_Primera,0)+1),"-")</f>
        <v>7</v>
      </c>
      <c r="F39" s="832" cm="1">
        <f t="array" aca="1" ref="F39" ca="1">IFERROR(INDEX(Rango_Admin_Clas_Total,F$2,MATCH($A39,Rango_Admin_Clas_Primera,0)+1),"-")</f>
        <v>0</v>
      </c>
      <c r="G39" s="832" cm="1">
        <f t="array" aca="1" ref="G39" ca="1">IFERROR(INDEX(Rango_Admin_Clas_Total,G$2,MATCH($A39,Rango_Admin_Clas_Primera,0)+1),"-")</f>
        <v>0</v>
      </c>
      <c r="H39" s="832" cm="1">
        <f t="array" aca="1" ref="H39" ca="1">IFERROR(INDEX(Rango_Admin_Clas_Total,H$2,MATCH($A39,Rango_Admin_Clas_Primera,0)+1),"-")</f>
        <v>0</v>
      </c>
      <c r="I39" s="832" cm="1">
        <f t="array" aca="1" ref="I39" ca="1">IFERROR(INDEX(Rango_Admin_Clas_Total,I$2,MATCH($A39,Rango_Admin_Clas_Primera,0)+1),"-")</f>
        <v>0</v>
      </c>
      <c r="J39" s="832" cm="1">
        <f t="array" aca="1" ref="J39" ca="1">IFERROR(INDEX(Rango_Admin_Clas_Total,J$2,MATCH($A39,Rango_Admin_Clas_Primera,0)+1),"-")</f>
        <v>0</v>
      </c>
      <c r="K39" s="832" cm="1">
        <f t="array" aca="1" ref="K39" ca="1">IFERROR(INDEX(Rango_Admin_Clas_Total,K$2,MATCH($A39,Rango_Admin_Clas_Primera,0)+1),"-")</f>
        <v>0</v>
      </c>
      <c r="L39" s="832" cm="1">
        <f t="array" aca="1" ref="L39" ca="1">IFERROR(INDEX(Rango_Admin_Clas_Total,L$2,MATCH($A39,Rango_Admin_Clas_Primera,0)+1),"-")</f>
        <v>0</v>
      </c>
      <c r="M39" s="832" cm="1">
        <f t="array" aca="1" ref="M39" ca="1">IFERROR(INDEX(Rango_Admin_Clas_Total,M$2,MATCH($A39,Rango_Admin_Clas_Primera,0)+1),"-")</f>
        <v>0</v>
      </c>
      <c r="N39" s="832" cm="1">
        <f t="array" aca="1" ref="N39" ca="1">IFERROR(INDEX(Rango_Admin_Clas_Total,N$2,MATCH($A39,Rango_Admin_Clas_Primera,0)+1),"-")</f>
        <v>0</v>
      </c>
      <c r="O39" s="832" cm="1">
        <f t="array" aca="1" ref="O39" ca="1">IFERROR(INDEX(Rango_Admin_Clas_Total,O$2,MATCH($A39,Rango_Admin_Clas_Primera,0)+1),"-")</f>
        <v>0</v>
      </c>
      <c r="P39" s="832" cm="1">
        <f t="array" aca="1" ref="P39" ca="1">IFERROR(INDEX(Rango_Admin_Clas_Total,P$2,MATCH($A39,Rango_Admin_Clas_Primera,0)+1),"-")</f>
        <v>0</v>
      </c>
      <c r="Q39" s="832" cm="1">
        <f t="array" aca="1" ref="Q39" ca="1">IFERROR(INDEX(Rango_Admin_Clas_Total,Q$2,MATCH($A39,Rango_Admin_Clas_Primera,0)+1),"-")</f>
        <v>0</v>
      </c>
      <c r="R39" s="832" cm="1">
        <f t="array" aca="1" ref="R39" ca="1">IFERROR(INDEX(Rango_Admin_Clas_Total,R$2,MATCH($A39,Rango_Admin_Clas_Primera,0)+1),"-")</f>
        <v>0</v>
      </c>
      <c r="S39" s="832" cm="1">
        <f t="array" aca="1" ref="S39" ca="1">IFERROR(INDEX(Rango_Admin_Clas_Total,S$2,MATCH($A39,Rango_Admin_Clas_Primera,0)+1),"-")</f>
        <v>0</v>
      </c>
      <c r="T39" s="295"/>
      <c r="U39" s="295"/>
    </row>
    <row r="40" spans="1:21">
      <c r="A40" s="19">
        <f t="shared" si="0"/>
        <v>36</v>
      </c>
      <c r="B40" s="810">
        <f ca="1">IFERROR(HLOOKUP(A40,Rango_Admin_Clas,3,FALSE),"-")</f>
        <v>28</v>
      </c>
      <c r="C40" s="811" t="str">
        <f ca="1">IFERROR(HLOOKUP(A40,Rango_Admin_Clas,5,FALSE),"-")</f>
        <v xml:space="preserve">Eleyton </v>
      </c>
      <c r="D40" s="770">
        <f ca="1">IFERROR(HLOOKUP(A40,Rango_Admin_Clas,4,FALSE),"-")</f>
        <v>7</v>
      </c>
      <c r="E40" s="771" cm="1">
        <f t="array" aca="1" ref="E40" ca="1">IFERROR(INDEX(Rango_Admin_Clas_Total,E$2,MATCH($A40,Rango_Admin_Clas_Primera,0)+1),"-")</f>
        <v>7</v>
      </c>
      <c r="F40" s="771" cm="1">
        <f t="array" aca="1" ref="F40" ca="1">IFERROR(INDEX(Rango_Admin_Clas_Total,F$2,MATCH($A40,Rango_Admin_Clas_Primera,0)+1),"-")</f>
        <v>0</v>
      </c>
      <c r="G40" s="771" cm="1">
        <f t="array" aca="1" ref="G40" ca="1">IFERROR(INDEX(Rango_Admin_Clas_Total,G$2,MATCH($A40,Rango_Admin_Clas_Primera,0)+1),"-")</f>
        <v>0</v>
      </c>
      <c r="H40" s="771" cm="1">
        <f t="array" aca="1" ref="H40" ca="1">IFERROR(INDEX(Rango_Admin_Clas_Total,H$2,MATCH($A40,Rango_Admin_Clas_Primera,0)+1),"-")</f>
        <v>0</v>
      </c>
      <c r="I40" s="771" cm="1">
        <f t="array" aca="1" ref="I40" ca="1">IFERROR(INDEX(Rango_Admin_Clas_Total,I$2,MATCH($A40,Rango_Admin_Clas_Primera,0)+1),"-")</f>
        <v>0</v>
      </c>
      <c r="J40" s="771" cm="1">
        <f t="array" aca="1" ref="J40" ca="1">IFERROR(INDEX(Rango_Admin_Clas_Total,J$2,MATCH($A40,Rango_Admin_Clas_Primera,0)+1),"-")</f>
        <v>0</v>
      </c>
      <c r="K40" s="771" cm="1">
        <f t="array" aca="1" ref="K40" ca="1">IFERROR(INDEX(Rango_Admin_Clas_Total,K$2,MATCH($A40,Rango_Admin_Clas_Primera,0)+1),"-")</f>
        <v>0</v>
      </c>
      <c r="L40" s="771" cm="1">
        <f t="array" aca="1" ref="L40" ca="1">IFERROR(INDEX(Rango_Admin_Clas_Total,L$2,MATCH($A40,Rango_Admin_Clas_Primera,0)+1),"-")</f>
        <v>0</v>
      </c>
      <c r="M40" s="771" cm="1">
        <f t="array" aca="1" ref="M40" ca="1">IFERROR(INDEX(Rango_Admin_Clas_Total,M$2,MATCH($A40,Rango_Admin_Clas_Primera,0)+1),"-")</f>
        <v>0</v>
      </c>
      <c r="N40" s="771" cm="1">
        <f t="array" aca="1" ref="N40" ca="1">IFERROR(INDEX(Rango_Admin_Clas_Total,N$2,MATCH($A40,Rango_Admin_Clas_Primera,0)+1),"-")</f>
        <v>0</v>
      </c>
      <c r="O40" s="771" cm="1">
        <f t="array" aca="1" ref="O40" ca="1">IFERROR(INDEX(Rango_Admin_Clas_Total,O$2,MATCH($A40,Rango_Admin_Clas_Primera,0)+1),"-")</f>
        <v>0</v>
      </c>
      <c r="P40" s="771" cm="1">
        <f t="array" aca="1" ref="P40" ca="1">IFERROR(INDEX(Rango_Admin_Clas_Total,P$2,MATCH($A40,Rango_Admin_Clas_Primera,0)+1),"-")</f>
        <v>0</v>
      </c>
      <c r="Q40" s="771" cm="1">
        <f t="array" aca="1" ref="Q40" ca="1">IFERROR(INDEX(Rango_Admin_Clas_Total,Q$2,MATCH($A40,Rango_Admin_Clas_Primera,0)+1),"-")</f>
        <v>0</v>
      </c>
      <c r="R40" s="771" cm="1">
        <f t="array" aca="1" ref="R40" ca="1">IFERROR(INDEX(Rango_Admin_Clas_Total,R$2,MATCH($A40,Rango_Admin_Clas_Primera,0)+1),"-")</f>
        <v>0</v>
      </c>
      <c r="S40" s="771" cm="1">
        <f t="array" aca="1" ref="S40" ca="1">IFERROR(INDEX(Rango_Admin_Clas_Total,S$2,MATCH($A40,Rango_Admin_Clas_Primera,0)+1),"-")</f>
        <v>0</v>
      </c>
      <c r="T40" s="295"/>
      <c r="U40" s="295"/>
    </row>
    <row r="41" spans="1:21">
      <c r="A41" s="19">
        <f t="shared" si="0"/>
        <v>37</v>
      </c>
      <c r="B41" s="829" t="str">
        <f ca="1">IFERROR(HLOOKUP(A41,Rango_Admin_Clas,3,FALSE),"-")</f>
        <v>-</v>
      </c>
      <c r="C41" s="830" t="str">
        <f ca="1">IFERROR(HLOOKUP(A41,Rango_Admin_Clas,5,FALSE),"-")</f>
        <v>-</v>
      </c>
      <c r="D41" s="831" t="str">
        <f ca="1">IFERROR(HLOOKUP(A41,Rango_Admin_Clas,4,FALSE),"-")</f>
        <v>-</v>
      </c>
      <c r="E41" s="832" t="str" cm="1">
        <f t="array" aca="1" ref="E41" ca="1">IFERROR(INDEX(Rango_Admin_Clas_Total,E$2,MATCH($A41,Rango_Admin_Clas_Primera,0)+1),"-")</f>
        <v>-</v>
      </c>
      <c r="F41" s="832" t="str" cm="1">
        <f t="array" aca="1" ref="F41" ca="1">IFERROR(INDEX(Rango_Admin_Clas_Total,F$2,MATCH($A41,Rango_Admin_Clas_Primera,0)+1),"-")</f>
        <v>-</v>
      </c>
      <c r="G41" s="832" t="str" cm="1">
        <f t="array" aca="1" ref="G41" ca="1">IFERROR(INDEX(Rango_Admin_Clas_Total,G$2,MATCH($A41,Rango_Admin_Clas_Primera,0)+1),"-")</f>
        <v>-</v>
      </c>
      <c r="H41" s="832" t="str" cm="1">
        <f t="array" aca="1" ref="H41" ca="1">IFERROR(INDEX(Rango_Admin_Clas_Total,H$2,MATCH($A41,Rango_Admin_Clas_Primera,0)+1),"-")</f>
        <v>-</v>
      </c>
      <c r="I41" s="832" t="str" cm="1">
        <f t="array" aca="1" ref="I41" ca="1">IFERROR(INDEX(Rango_Admin_Clas_Total,I$2,MATCH($A41,Rango_Admin_Clas_Primera,0)+1),"-")</f>
        <v>-</v>
      </c>
      <c r="J41" s="832" t="str" cm="1">
        <f t="array" aca="1" ref="J41" ca="1">IFERROR(INDEX(Rango_Admin_Clas_Total,J$2,MATCH($A41,Rango_Admin_Clas_Primera,0)+1),"-")</f>
        <v>-</v>
      </c>
      <c r="K41" s="832" t="str" cm="1">
        <f t="array" aca="1" ref="K41" ca="1">IFERROR(INDEX(Rango_Admin_Clas_Total,K$2,MATCH($A41,Rango_Admin_Clas_Primera,0)+1),"-")</f>
        <v>-</v>
      </c>
      <c r="L41" s="832" t="str" cm="1">
        <f t="array" aca="1" ref="L41" ca="1">IFERROR(INDEX(Rango_Admin_Clas_Total,L$2,MATCH($A41,Rango_Admin_Clas_Primera,0)+1),"-")</f>
        <v>-</v>
      </c>
      <c r="M41" s="832" t="str" cm="1">
        <f t="array" aca="1" ref="M41" ca="1">IFERROR(INDEX(Rango_Admin_Clas_Total,M$2,MATCH($A41,Rango_Admin_Clas_Primera,0)+1),"-")</f>
        <v>-</v>
      </c>
      <c r="N41" s="832" t="str" cm="1">
        <f t="array" aca="1" ref="N41" ca="1">IFERROR(INDEX(Rango_Admin_Clas_Total,N$2,MATCH($A41,Rango_Admin_Clas_Primera,0)+1),"-")</f>
        <v>-</v>
      </c>
      <c r="O41" s="832" t="str" cm="1">
        <f t="array" aca="1" ref="O41" ca="1">IFERROR(INDEX(Rango_Admin_Clas_Total,O$2,MATCH($A41,Rango_Admin_Clas_Primera,0)+1),"-")</f>
        <v>-</v>
      </c>
      <c r="P41" s="832" t="str" cm="1">
        <f t="array" aca="1" ref="P41" ca="1">IFERROR(INDEX(Rango_Admin_Clas_Total,P$2,MATCH($A41,Rango_Admin_Clas_Primera,0)+1),"-")</f>
        <v>-</v>
      </c>
      <c r="Q41" s="832" t="str" cm="1">
        <f t="array" aca="1" ref="Q41" ca="1">IFERROR(INDEX(Rango_Admin_Clas_Total,Q$2,MATCH($A41,Rango_Admin_Clas_Primera,0)+1),"-")</f>
        <v>-</v>
      </c>
      <c r="R41" s="832" t="str" cm="1">
        <f t="array" aca="1" ref="R41" ca="1">IFERROR(INDEX(Rango_Admin_Clas_Total,R$2,MATCH($A41,Rango_Admin_Clas_Primera,0)+1),"-")</f>
        <v>-</v>
      </c>
      <c r="S41" s="832" t="str" cm="1">
        <f t="array" aca="1" ref="S41" ca="1">IFERROR(INDEX(Rango_Admin_Clas_Total,S$2,MATCH($A41,Rango_Admin_Clas_Primera,0)+1),"-")</f>
        <v>-</v>
      </c>
      <c r="T41" s="295"/>
      <c r="U41" s="295"/>
    </row>
    <row r="42" spans="1:21">
      <c r="A42" s="19">
        <f t="shared" si="0"/>
        <v>38</v>
      </c>
      <c r="B42" s="810" t="str">
        <f ca="1">IFERROR(HLOOKUP(A42,Rango_Admin_Clas,3,FALSE),"-")</f>
        <v>-</v>
      </c>
      <c r="C42" s="811" t="str">
        <f ca="1">IFERROR(HLOOKUP(A42,Rango_Admin_Clas,5,FALSE),"-")</f>
        <v>-</v>
      </c>
      <c r="D42" s="770" t="str">
        <f ca="1">IFERROR(HLOOKUP(A42,Rango_Admin_Clas,4,FALSE),"-")</f>
        <v>-</v>
      </c>
      <c r="E42" s="771" t="str" cm="1">
        <f t="array" aca="1" ref="E42" ca="1">IFERROR(INDEX(Rango_Admin_Clas_Total,E$2,MATCH($A42,Rango_Admin_Clas_Primera,0)+1),"-")</f>
        <v>-</v>
      </c>
      <c r="F42" s="771" t="str" cm="1">
        <f t="array" aca="1" ref="F42" ca="1">IFERROR(INDEX(Rango_Admin_Clas_Total,F$2,MATCH($A42,Rango_Admin_Clas_Primera,0)+1),"-")</f>
        <v>-</v>
      </c>
      <c r="G42" s="771" t="str" cm="1">
        <f t="array" aca="1" ref="G42" ca="1">IFERROR(INDEX(Rango_Admin_Clas_Total,G$2,MATCH($A42,Rango_Admin_Clas_Primera,0)+1),"-")</f>
        <v>-</v>
      </c>
      <c r="H42" s="771" t="str" cm="1">
        <f t="array" aca="1" ref="H42" ca="1">IFERROR(INDEX(Rango_Admin_Clas_Total,H$2,MATCH($A42,Rango_Admin_Clas_Primera,0)+1),"-")</f>
        <v>-</v>
      </c>
      <c r="I42" s="771" t="str" cm="1">
        <f t="array" aca="1" ref="I42" ca="1">IFERROR(INDEX(Rango_Admin_Clas_Total,I$2,MATCH($A42,Rango_Admin_Clas_Primera,0)+1),"-")</f>
        <v>-</v>
      </c>
      <c r="J42" s="771" t="str" cm="1">
        <f t="array" aca="1" ref="J42" ca="1">IFERROR(INDEX(Rango_Admin_Clas_Total,J$2,MATCH($A42,Rango_Admin_Clas_Primera,0)+1),"-")</f>
        <v>-</v>
      </c>
      <c r="K42" s="771" t="str" cm="1">
        <f t="array" aca="1" ref="K42" ca="1">IFERROR(INDEX(Rango_Admin_Clas_Total,K$2,MATCH($A42,Rango_Admin_Clas_Primera,0)+1),"-")</f>
        <v>-</v>
      </c>
      <c r="L42" s="771" t="str" cm="1">
        <f t="array" aca="1" ref="L42" ca="1">IFERROR(INDEX(Rango_Admin_Clas_Total,L$2,MATCH($A42,Rango_Admin_Clas_Primera,0)+1),"-")</f>
        <v>-</v>
      </c>
      <c r="M42" s="771" t="str" cm="1">
        <f t="array" aca="1" ref="M42" ca="1">IFERROR(INDEX(Rango_Admin_Clas_Total,M$2,MATCH($A42,Rango_Admin_Clas_Primera,0)+1),"-")</f>
        <v>-</v>
      </c>
      <c r="N42" s="771" t="str" cm="1">
        <f t="array" aca="1" ref="N42" ca="1">IFERROR(INDEX(Rango_Admin_Clas_Total,N$2,MATCH($A42,Rango_Admin_Clas_Primera,0)+1),"-")</f>
        <v>-</v>
      </c>
      <c r="O42" s="771" t="str" cm="1">
        <f t="array" aca="1" ref="O42" ca="1">IFERROR(INDEX(Rango_Admin_Clas_Total,O$2,MATCH($A42,Rango_Admin_Clas_Primera,0)+1),"-")</f>
        <v>-</v>
      </c>
      <c r="P42" s="771" t="str" cm="1">
        <f t="array" aca="1" ref="P42" ca="1">IFERROR(INDEX(Rango_Admin_Clas_Total,P$2,MATCH($A42,Rango_Admin_Clas_Primera,0)+1),"-")</f>
        <v>-</v>
      </c>
      <c r="Q42" s="771" t="str" cm="1">
        <f t="array" aca="1" ref="Q42" ca="1">IFERROR(INDEX(Rango_Admin_Clas_Total,Q$2,MATCH($A42,Rango_Admin_Clas_Primera,0)+1),"-")</f>
        <v>-</v>
      </c>
      <c r="R42" s="771" t="str" cm="1">
        <f t="array" aca="1" ref="R42" ca="1">IFERROR(INDEX(Rango_Admin_Clas_Total,R$2,MATCH($A42,Rango_Admin_Clas_Primera,0)+1),"-")</f>
        <v>-</v>
      </c>
      <c r="S42" s="771" t="str" cm="1">
        <f t="array" aca="1" ref="S42" ca="1">IFERROR(INDEX(Rango_Admin_Clas_Total,S$2,MATCH($A42,Rango_Admin_Clas_Primera,0)+1),"-")</f>
        <v>-</v>
      </c>
      <c r="T42" s="295"/>
      <c r="U42" s="295"/>
    </row>
    <row r="43" spans="1:21">
      <c r="A43" s="19">
        <f t="shared" si="0"/>
        <v>39</v>
      </c>
      <c r="B43" s="829" t="str">
        <f ca="1">IFERROR(HLOOKUP(A43,Rango_Admin_Clas,3,FALSE),"-")</f>
        <v>-</v>
      </c>
      <c r="C43" s="830" t="str">
        <f ca="1">IFERROR(HLOOKUP(A43,Rango_Admin_Clas,5,FALSE),"-")</f>
        <v>-</v>
      </c>
      <c r="D43" s="831" t="str">
        <f ca="1">IFERROR(HLOOKUP(A43,Rango_Admin_Clas,4,FALSE),"-")</f>
        <v>-</v>
      </c>
      <c r="E43" s="832" t="str" cm="1">
        <f t="array" aca="1" ref="E43" ca="1">IFERROR(INDEX(Rango_Admin_Clas_Total,E$2,MATCH($A43,Rango_Admin_Clas_Primera,0)+1),"-")</f>
        <v>-</v>
      </c>
      <c r="F43" s="832" t="str" cm="1">
        <f t="array" aca="1" ref="F43" ca="1">IFERROR(INDEX(Rango_Admin_Clas_Total,F$2,MATCH($A43,Rango_Admin_Clas_Primera,0)+1),"-")</f>
        <v>-</v>
      </c>
      <c r="G43" s="832" t="str" cm="1">
        <f t="array" aca="1" ref="G43" ca="1">IFERROR(INDEX(Rango_Admin_Clas_Total,G$2,MATCH($A43,Rango_Admin_Clas_Primera,0)+1),"-")</f>
        <v>-</v>
      </c>
      <c r="H43" s="832" t="str" cm="1">
        <f t="array" aca="1" ref="H43" ca="1">IFERROR(INDEX(Rango_Admin_Clas_Total,H$2,MATCH($A43,Rango_Admin_Clas_Primera,0)+1),"-")</f>
        <v>-</v>
      </c>
      <c r="I43" s="832" t="str" cm="1">
        <f t="array" aca="1" ref="I43" ca="1">IFERROR(INDEX(Rango_Admin_Clas_Total,I$2,MATCH($A43,Rango_Admin_Clas_Primera,0)+1),"-")</f>
        <v>-</v>
      </c>
      <c r="J43" s="832" t="str" cm="1">
        <f t="array" aca="1" ref="J43" ca="1">IFERROR(INDEX(Rango_Admin_Clas_Total,J$2,MATCH($A43,Rango_Admin_Clas_Primera,0)+1),"-")</f>
        <v>-</v>
      </c>
      <c r="K43" s="832" t="str" cm="1">
        <f t="array" aca="1" ref="K43" ca="1">IFERROR(INDEX(Rango_Admin_Clas_Total,K$2,MATCH($A43,Rango_Admin_Clas_Primera,0)+1),"-")</f>
        <v>-</v>
      </c>
      <c r="L43" s="832" t="str" cm="1">
        <f t="array" aca="1" ref="L43" ca="1">IFERROR(INDEX(Rango_Admin_Clas_Total,L$2,MATCH($A43,Rango_Admin_Clas_Primera,0)+1),"-")</f>
        <v>-</v>
      </c>
      <c r="M43" s="832" t="str" cm="1">
        <f t="array" aca="1" ref="M43" ca="1">IFERROR(INDEX(Rango_Admin_Clas_Total,M$2,MATCH($A43,Rango_Admin_Clas_Primera,0)+1),"-")</f>
        <v>-</v>
      </c>
      <c r="N43" s="832" t="str" cm="1">
        <f t="array" aca="1" ref="N43" ca="1">IFERROR(INDEX(Rango_Admin_Clas_Total,N$2,MATCH($A43,Rango_Admin_Clas_Primera,0)+1),"-")</f>
        <v>-</v>
      </c>
      <c r="O43" s="832" t="str" cm="1">
        <f t="array" aca="1" ref="O43" ca="1">IFERROR(INDEX(Rango_Admin_Clas_Total,O$2,MATCH($A43,Rango_Admin_Clas_Primera,0)+1),"-")</f>
        <v>-</v>
      </c>
      <c r="P43" s="832" t="str" cm="1">
        <f t="array" aca="1" ref="P43" ca="1">IFERROR(INDEX(Rango_Admin_Clas_Total,P$2,MATCH($A43,Rango_Admin_Clas_Primera,0)+1),"-")</f>
        <v>-</v>
      </c>
      <c r="Q43" s="832" t="str" cm="1">
        <f t="array" aca="1" ref="Q43" ca="1">IFERROR(INDEX(Rango_Admin_Clas_Total,Q$2,MATCH($A43,Rango_Admin_Clas_Primera,0)+1),"-")</f>
        <v>-</v>
      </c>
      <c r="R43" s="832" t="str" cm="1">
        <f t="array" aca="1" ref="R43" ca="1">IFERROR(INDEX(Rango_Admin_Clas_Total,R$2,MATCH($A43,Rango_Admin_Clas_Primera,0)+1),"-")</f>
        <v>-</v>
      </c>
      <c r="S43" s="832" t="str" cm="1">
        <f t="array" aca="1" ref="S43" ca="1">IFERROR(INDEX(Rango_Admin_Clas_Total,S$2,MATCH($A43,Rango_Admin_Clas_Primera,0)+1),"-")</f>
        <v>-</v>
      </c>
      <c r="T43" s="295"/>
      <c r="U43" s="295"/>
    </row>
    <row r="44" spans="1:21">
      <c r="A44" s="19">
        <f t="shared" si="0"/>
        <v>40</v>
      </c>
      <c r="B44" s="810" t="str">
        <f ca="1">IFERROR(HLOOKUP(A44,Rango_Admin_Clas,3,FALSE),"-")</f>
        <v>-</v>
      </c>
      <c r="C44" s="811" t="str">
        <f ca="1">IFERROR(HLOOKUP(A44,Rango_Admin_Clas,5,FALSE),"-")</f>
        <v>-</v>
      </c>
      <c r="D44" s="770" t="str">
        <f ca="1">IFERROR(HLOOKUP(A44,Rango_Admin_Clas,4,FALSE),"-")</f>
        <v>-</v>
      </c>
      <c r="E44" s="771" t="str" cm="1">
        <f t="array" aca="1" ref="E44" ca="1">IFERROR(INDEX(Rango_Admin_Clas_Total,E$2,MATCH($A44,Rango_Admin_Clas_Primera,0)+1),"-")</f>
        <v>-</v>
      </c>
      <c r="F44" s="771" t="str" cm="1">
        <f t="array" aca="1" ref="F44" ca="1">IFERROR(INDEX(Rango_Admin_Clas_Total,F$2,MATCH($A44,Rango_Admin_Clas_Primera,0)+1),"-")</f>
        <v>-</v>
      </c>
      <c r="G44" s="771" t="str" cm="1">
        <f t="array" aca="1" ref="G44" ca="1">IFERROR(INDEX(Rango_Admin_Clas_Total,G$2,MATCH($A44,Rango_Admin_Clas_Primera,0)+1),"-")</f>
        <v>-</v>
      </c>
      <c r="H44" s="771" t="str" cm="1">
        <f t="array" aca="1" ref="H44" ca="1">IFERROR(INDEX(Rango_Admin_Clas_Total,H$2,MATCH($A44,Rango_Admin_Clas_Primera,0)+1),"-")</f>
        <v>-</v>
      </c>
      <c r="I44" s="771" t="str" cm="1">
        <f t="array" aca="1" ref="I44" ca="1">IFERROR(INDEX(Rango_Admin_Clas_Total,I$2,MATCH($A44,Rango_Admin_Clas_Primera,0)+1),"-")</f>
        <v>-</v>
      </c>
      <c r="J44" s="771" t="str" cm="1">
        <f t="array" aca="1" ref="J44" ca="1">IFERROR(INDEX(Rango_Admin_Clas_Total,J$2,MATCH($A44,Rango_Admin_Clas_Primera,0)+1),"-")</f>
        <v>-</v>
      </c>
      <c r="K44" s="771" t="str" cm="1">
        <f t="array" aca="1" ref="K44" ca="1">IFERROR(INDEX(Rango_Admin_Clas_Total,K$2,MATCH($A44,Rango_Admin_Clas_Primera,0)+1),"-")</f>
        <v>-</v>
      </c>
      <c r="L44" s="771" t="str" cm="1">
        <f t="array" aca="1" ref="L44" ca="1">IFERROR(INDEX(Rango_Admin_Clas_Total,L$2,MATCH($A44,Rango_Admin_Clas_Primera,0)+1),"-")</f>
        <v>-</v>
      </c>
      <c r="M44" s="771" t="str" cm="1">
        <f t="array" aca="1" ref="M44" ca="1">IFERROR(INDEX(Rango_Admin_Clas_Total,M$2,MATCH($A44,Rango_Admin_Clas_Primera,0)+1),"-")</f>
        <v>-</v>
      </c>
      <c r="N44" s="771" t="str" cm="1">
        <f t="array" aca="1" ref="N44" ca="1">IFERROR(INDEX(Rango_Admin_Clas_Total,N$2,MATCH($A44,Rango_Admin_Clas_Primera,0)+1),"-")</f>
        <v>-</v>
      </c>
      <c r="O44" s="771" t="str" cm="1">
        <f t="array" aca="1" ref="O44" ca="1">IFERROR(INDEX(Rango_Admin_Clas_Total,O$2,MATCH($A44,Rango_Admin_Clas_Primera,0)+1),"-")</f>
        <v>-</v>
      </c>
      <c r="P44" s="771" t="str" cm="1">
        <f t="array" aca="1" ref="P44" ca="1">IFERROR(INDEX(Rango_Admin_Clas_Total,P$2,MATCH($A44,Rango_Admin_Clas_Primera,0)+1),"-")</f>
        <v>-</v>
      </c>
      <c r="Q44" s="771" t="str" cm="1">
        <f t="array" aca="1" ref="Q44" ca="1">IFERROR(INDEX(Rango_Admin_Clas_Total,Q$2,MATCH($A44,Rango_Admin_Clas_Primera,0)+1),"-")</f>
        <v>-</v>
      </c>
      <c r="R44" s="771" t="str" cm="1">
        <f t="array" aca="1" ref="R44" ca="1">IFERROR(INDEX(Rango_Admin_Clas_Total,R$2,MATCH($A44,Rango_Admin_Clas_Primera,0)+1),"-")</f>
        <v>-</v>
      </c>
      <c r="S44" s="771" t="str" cm="1">
        <f t="array" aca="1" ref="S44" ca="1">IFERROR(INDEX(Rango_Admin_Clas_Total,S$2,MATCH($A44,Rango_Admin_Clas_Primera,0)+1),"-")</f>
        <v>-</v>
      </c>
      <c r="T44" s="295"/>
      <c r="U44" s="295"/>
    </row>
    <row r="45" spans="1:21">
      <c r="A45" s="19">
        <f t="shared" si="0"/>
        <v>41</v>
      </c>
      <c r="B45" s="829" t="str">
        <f ca="1">IFERROR(HLOOKUP(A45,Rango_Admin_Clas,3,FALSE),"-")</f>
        <v>-</v>
      </c>
      <c r="C45" s="830" t="str">
        <f ca="1">IFERROR(HLOOKUP(A45,Rango_Admin_Clas,5,FALSE),"-")</f>
        <v>-</v>
      </c>
      <c r="D45" s="831" t="str">
        <f ca="1">IFERROR(HLOOKUP(A45,Rango_Admin_Clas,4,FALSE),"-")</f>
        <v>-</v>
      </c>
      <c r="E45" s="832" t="str" cm="1">
        <f t="array" aca="1" ref="E45" ca="1">IFERROR(INDEX(Rango_Admin_Clas_Total,E$2,MATCH($A45,Rango_Admin_Clas_Primera,0)+1),"-")</f>
        <v>-</v>
      </c>
      <c r="F45" s="832" t="str" cm="1">
        <f t="array" aca="1" ref="F45" ca="1">IFERROR(INDEX(Rango_Admin_Clas_Total,F$2,MATCH($A45,Rango_Admin_Clas_Primera,0)+1),"-")</f>
        <v>-</v>
      </c>
      <c r="G45" s="832" t="str" cm="1">
        <f t="array" aca="1" ref="G45" ca="1">IFERROR(INDEX(Rango_Admin_Clas_Total,G$2,MATCH($A45,Rango_Admin_Clas_Primera,0)+1),"-")</f>
        <v>-</v>
      </c>
      <c r="H45" s="832" t="str" cm="1">
        <f t="array" aca="1" ref="H45" ca="1">IFERROR(INDEX(Rango_Admin_Clas_Total,H$2,MATCH($A45,Rango_Admin_Clas_Primera,0)+1),"-")</f>
        <v>-</v>
      </c>
      <c r="I45" s="832" t="str" cm="1">
        <f t="array" aca="1" ref="I45" ca="1">IFERROR(INDEX(Rango_Admin_Clas_Total,I$2,MATCH($A45,Rango_Admin_Clas_Primera,0)+1),"-")</f>
        <v>-</v>
      </c>
      <c r="J45" s="832" t="str" cm="1">
        <f t="array" aca="1" ref="J45" ca="1">IFERROR(INDEX(Rango_Admin_Clas_Total,J$2,MATCH($A45,Rango_Admin_Clas_Primera,0)+1),"-")</f>
        <v>-</v>
      </c>
      <c r="K45" s="832" t="str" cm="1">
        <f t="array" aca="1" ref="K45" ca="1">IFERROR(INDEX(Rango_Admin_Clas_Total,K$2,MATCH($A45,Rango_Admin_Clas_Primera,0)+1),"-")</f>
        <v>-</v>
      </c>
      <c r="L45" s="832" t="str" cm="1">
        <f t="array" aca="1" ref="L45" ca="1">IFERROR(INDEX(Rango_Admin_Clas_Total,L$2,MATCH($A45,Rango_Admin_Clas_Primera,0)+1),"-")</f>
        <v>-</v>
      </c>
      <c r="M45" s="832" t="str" cm="1">
        <f t="array" aca="1" ref="M45" ca="1">IFERROR(INDEX(Rango_Admin_Clas_Total,M$2,MATCH($A45,Rango_Admin_Clas_Primera,0)+1),"-")</f>
        <v>-</v>
      </c>
      <c r="N45" s="832" t="str" cm="1">
        <f t="array" aca="1" ref="N45" ca="1">IFERROR(INDEX(Rango_Admin_Clas_Total,N$2,MATCH($A45,Rango_Admin_Clas_Primera,0)+1),"-")</f>
        <v>-</v>
      </c>
      <c r="O45" s="832" t="str" cm="1">
        <f t="array" aca="1" ref="O45" ca="1">IFERROR(INDEX(Rango_Admin_Clas_Total,O$2,MATCH($A45,Rango_Admin_Clas_Primera,0)+1),"-")</f>
        <v>-</v>
      </c>
      <c r="P45" s="832" t="str" cm="1">
        <f t="array" aca="1" ref="P45" ca="1">IFERROR(INDEX(Rango_Admin_Clas_Total,P$2,MATCH($A45,Rango_Admin_Clas_Primera,0)+1),"-")</f>
        <v>-</v>
      </c>
      <c r="Q45" s="832" t="str" cm="1">
        <f t="array" aca="1" ref="Q45" ca="1">IFERROR(INDEX(Rango_Admin_Clas_Total,Q$2,MATCH($A45,Rango_Admin_Clas_Primera,0)+1),"-")</f>
        <v>-</v>
      </c>
      <c r="R45" s="832" t="str" cm="1">
        <f t="array" aca="1" ref="R45" ca="1">IFERROR(INDEX(Rango_Admin_Clas_Total,R$2,MATCH($A45,Rango_Admin_Clas_Primera,0)+1),"-")</f>
        <v>-</v>
      </c>
      <c r="S45" s="832" t="str" cm="1">
        <f t="array" aca="1" ref="S45" ca="1">IFERROR(INDEX(Rango_Admin_Clas_Total,S$2,MATCH($A45,Rango_Admin_Clas_Primera,0)+1),"-")</f>
        <v>-</v>
      </c>
      <c r="T45" s="295"/>
      <c r="U45" s="295"/>
    </row>
    <row r="46" spans="1:21">
      <c r="A46" s="19">
        <f t="shared" si="0"/>
        <v>42</v>
      </c>
      <c r="B46" s="810" t="str">
        <f ca="1">IFERROR(HLOOKUP(A46,Rango_Admin_Clas,3,FALSE),"-")</f>
        <v>-</v>
      </c>
      <c r="C46" s="811" t="str">
        <f ca="1">IFERROR(HLOOKUP(A46,Rango_Admin_Clas,5,FALSE),"-")</f>
        <v>-</v>
      </c>
      <c r="D46" s="770" t="str">
        <f ca="1">IFERROR(HLOOKUP(A46,Rango_Admin_Clas,4,FALSE),"-")</f>
        <v>-</v>
      </c>
      <c r="E46" s="771" t="str" cm="1">
        <f t="array" aca="1" ref="E46" ca="1">IFERROR(INDEX(Rango_Admin_Clas_Total,E$2,MATCH($A46,Rango_Admin_Clas_Primera,0)+1),"-")</f>
        <v>-</v>
      </c>
      <c r="F46" s="771" t="str" cm="1">
        <f t="array" aca="1" ref="F46" ca="1">IFERROR(INDEX(Rango_Admin_Clas_Total,F$2,MATCH($A46,Rango_Admin_Clas_Primera,0)+1),"-")</f>
        <v>-</v>
      </c>
      <c r="G46" s="771" t="str" cm="1">
        <f t="array" aca="1" ref="G46" ca="1">IFERROR(INDEX(Rango_Admin_Clas_Total,G$2,MATCH($A46,Rango_Admin_Clas_Primera,0)+1),"-")</f>
        <v>-</v>
      </c>
      <c r="H46" s="771" t="str" cm="1">
        <f t="array" aca="1" ref="H46" ca="1">IFERROR(INDEX(Rango_Admin_Clas_Total,H$2,MATCH($A46,Rango_Admin_Clas_Primera,0)+1),"-")</f>
        <v>-</v>
      </c>
      <c r="I46" s="771" t="str" cm="1">
        <f t="array" aca="1" ref="I46" ca="1">IFERROR(INDEX(Rango_Admin_Clas_Total,I$2,MATCH($A46,Rango_Admin_Clas_Primera,0)+1),"-")</f>
        <v>-</v>
      </c>
      <c r="J46" s="771" t="str" cm="1">
        <f t="array" aca="1" ref="J46" ca="1">IFERROR(INDEX(Rango_Admin_Clas_Total,J$2,MATCH($A46,Rango_Admin_Clas_Primera,0)+1),"-")</f>
        <v>-</v>
      </c>
      <c r="K46" s="771" t="str" cm="1">
        <f t="array" aca="1" ref="K46" ca="1">IFERROR(INDEX(Rango_Admin_Clas_Total,K$2,MATCH($A46,Rango_Admin_Clas_Primera,0)+1),"-")</f>
        <v>-</v>
      </c>
      <c r="L46" s="771" t="str" cm="1">
        <f t="array" aca="1" ref="L46" ca="1">IFERROR(INDEX(Rango_Admin_Clas_Total,L$2,MATCH($A46,Rango_Admin_Clas_Primera,0)+1),"-")</f>
        <v>-</v>
      </c>
      <c r="M46" s="771" t="str" cm="1">
        <f t="array" aca="1" ref="M46" ca="1">IFERROR(INDEX(Rango_Admin_Clas_Total,M$2,MATCH($A46,Rango_Admin_Clas_Primera,0)+1),"-")</f>
        <v>-</v>
      </c>
      <c r="N46" s="771" t="str" cm="1">
        <f t="array" aca="1" ref="N46" ca="1">IFERROR(INDEX(Rango_Admin_Clas_Total,N$2,MATCH($A46,Rango_Admin_Clas_Primera,0)+1),"-")</f>
        <v>-</v>
      </c>
      <c r="O46" s="771" t="str" cm="1">
        <f t="array" aca="1" ref="O46" ca="1">IFERROR(INDEX(Rango_Admin_Clas_Total,O$2,MATCH($A46,Rango_Admin_Clas_Primera,0)+1),"-")</f>
        <v>-</v>
      </c>
      <c r="P46" s="771" t="str" cm="1">
        <f t="array" aca="1" ref="P46" ca="1">IFERROR(INDEX(Rango_Admin_Clas_Total,P$2,MATCH($A46,Rango_Admin_Clas_Primera,0)+1),"-")</f>
        <v>-</v>
      </c>
      <c r="Q46" s="771" t="str" cm="1">
        <f t="array" aca="1" ref="Q46" ca="1">IFERROR(INDEX(Rango_Admin_Clas_Total,Q$2,MATCH($A46,Rango_Admin_Clas_Primera,0)+1),"-")</f>
        <v>-</v>
      </c>
      <c r="R46" s="771" t="str" cm="1">
        <f t="array" aca="1" ref="R46" ca="1">IFERROR(INDEX(Rango_Admin_Clas_Total,R$2,MATCH($A46,Rango_Admin_Clas_Primera,0)+1),"-")</f>
        <v>-</v>
      </c>
      <c r="S46" s="771" t="str" cm="1">
        <f t="array" aca="1" ref="S46" ca="1">IFERROR(INDEX(Rango_Admin_Clas_Total,S$2,MATCH($A46,Rango_Admin_Clas_Primera,0)+1),"-")</f>
        <v>-</v>
      </c>
      <c r="T46" s="295"/>
      <c r="U46" s="295"/>
    </row>
    <row r="47" spans="1:21">
      <c r="A47" s="19">
        <f t="shared" si="0"/>
        <v>43</v>
      </c>
      <c r="B47" s="829" t="str">
        <f ca="1">IFERROR(HLOOKUP(A47,Rango_Admin_Clas,3,FALSE),"-")</f>
        <v>-</v>
      </c>
      <c r="C47" s="830" t="str">
        <f ca="1">IFERROR(HLOOKUP(A47,Rango_Admin_Clas,5,FALSE),"-")</f>
        <v>-</v>
      </c>
      <c r="D47" s="831" t="str">
        <f ca="1">IFERROR(HLOOKUP(A47,Rango_Admin_Clas,4,FALSE),"-")</f>
        <v>-</v>
      </c>
      <c r="E47" s="832" t="str" cm="1">
        <f t="array" aca="1" ref="E47" ca="1">IFERROR(INDEX(Rango_Admin_Clas_Total,E$2,MATCH($A47,Rango_Admin_Clas_Primera,0)+1),"-")</f>
        <v>-</v>
      </c>
      <c r="F47" s="832" t="str" cm="1">
        <f t="array" aca="1" ref="F47" ca="1">IFERROR(INDEX(Rango_Admin_Clas_Total,F$2,MATCH($A47,Rango_Admin_Clas_Primera,0)+1),"-")</f>
        <v>-</v>
      </c>
      <c r="G47" s="832" t="str" cm="1">
        <f t="array" aca="1" ref="G47" ca="1">IFERROR(INDEX(Rango_Admin_Clas_Total,G$2,MATCH($A47,Rango_Admin_Clas_Primera,0)+1),"-")</f>
        <v>-</v>
      </c>
      <c r="H47" s="832" t="str" cm="1">
        <f t="array" aca="1" ref="H47" ca="1">IFERROR(INDEX(Rango_Admin_Clas_Total,H$2,MATCH($A47,Rango_Admin_Clas_Primera,0)+1),"-")</f>
        <v>-</v>
      </c>
      <c r="I47" s="832" t="str" cm="1">
        <f t="array" aca="1" ref="I47" ca="1">IFERROR(INDEX(Rango_Admin_Clas_Total,I$2,MATCH($A47,Rango_Admin_Clas_Primera,0)+1),"-")</f>
        <v>-</v>
      </c>
      <c r="J47" s="832" t="str" cm="1">
        <f t="array" aca="1" ref="J47" ca="1">IFERROR(INDEX(Rango_Admin_Clas_Total,J$2,MATCH($A47,Rango_Admin_Clas_Primera,0)+1),"-")</f>
        <v>-</v>
      </c>
      <c r="K47" s="832" t="str" cm="1">
        <f t="array" aca="1" ref="K47" ca="1">IFERROR(INDEX(Rango_Admin_Clas_Total,K$2,MATCH($A47,Rango_Admin_Clas_Primera,0)+1),"-")</f>
        <v>-</v>
      </c>
      <c r="L47" s="832" t="str" cm="1">
        <f t="array" aca="1" ref="L47" ca="1">IFERROR(INDEX(Rango_Admin_Clas_Total,L$2,MATCH($A47,Rango_Admin_Clas_Primera,0)+1),"-")</f>
        <v>-</v>
      </c>
      <c r="M47" s="832" t="str" cm="1">
        <f t="array" aca="1" ref="M47" ca="1">IFERROR(INDEX(Rango_Admin_Clas_Total,M$2,MATCH($A47,Rango_Admin_Clas_Primera,0)+1),"-")</f>
        <v>-</v>
      </c>
      <c r="N47" s="832" t="str" cm="1">
        <f t="array" aca="1" ref="N47" ca="1">IFERROR(INDEX(Rango_Admin_Clas_Total,N$2,MATCH($A47,Rango_Admin_Clas_Primera,0)+1),"-")</f>
        <v>-</v>
      </c>
      <c r="O47" s="832" t="str" cm="1">
        <f t="array" aca="1" ref="O47" ca="1">IFERROR(INDEX(Rango_Admin_Clas_Total,O$2,MATCH($A47,Rango_Admin_Clas_Primera,0)+1),"-")</f>
        <v>-</v>
      </c>
      <c r="P47" s="832" t="str" cm="1">
        <f t="array" aca="1" ref="P47" ca="1">IFERROR(INDEX(Rango_Admin_Clas_Total,P$2,MATCH($A47,Rango_Admin_Clas_Primera,0)+1),"-")</f>
        <v>-</v>
      </c>
      <c r="Q47" s="832" t="str" cm="1">
        <f t="array" aca="1" ref="Q47" ca="1">IFERROR(INDEX(Rango_Admin_Clas_Total,Q$2,MATCH($A47,Rango_Admin_Clas_Primera,0)+1),"-")</f>
        <v>-</v>
      </c>
      <c r="R47" s="832" t="str" cm="1">
        <f t="array" aca="1" ref="R47" ca="1">IFERROR(INDEX(Rango_Admin_Clas_Total,R$2,MATCH($A47,Rango_Admin_Clas_Primera,0)+1),"-")</f>
        <v>-</v>
      </c>
      <c r="S47" s="832" t="str" cm="1">
        <f t="array" aca="1" ref="S47" ca="1">IFERROR(INDEX(Rango_Admin_Clas_Total,S$2,MATCH($A47,Rango_Admin_Clas_Primera,0)+1),"-")</f>
        <v>-</v>
      </c>
      <c r="T47" s="295"/>
      <c r="U47" s="295"/>
    </row>
    <row r="48" spans="1:21">
      <c r="A48" s="19">
        <f t="shared" si="0"/>
        <v>44</v>
      </c>
      <c r="B48" s="810" t="str">
        <f ca="1">IFERROR(HLOOKUP(A48,Rango_Admin_Clas,3,FALSE),"-")</f>
        <v>-</v>
      </c>
      <c r="C48" s="811" t="str">
        <f ca="1">IFERROR(HLOOKUP(A48,Rango_Admin_Clas,5,FALSE),"-")</f>
        <v>-</v>
      </c>
      <c r="D48" s="770" t="str">
        <f ca="1">IFERROR(HLOOKUP(A48,Rango_Admin_Clas,4,FALSE),"-")</f>
        <v>-</v>
      </c>
      <c r="E48" s="771" t="str" cm="1">
        <f t="array" aca="1" ref="E48" ca="1">IFERROR(INDEX(Rango_Admin_Clas_Total,E$2,MATCH($A48,Rango_Admin_Clas_Primera,0)+1),"-")</f>
        <v>-</v>
      </c>
      <c r="F48" s="771" t="str" cm="1">
        <f t="array" aca="1" ref="F48" ca="1">IFERROR(INDEX(Rango_Admin_Clas_Total,F$2,MATCH($A48,Rango_Admin_Clas_Primera,0)+1),"-")</f>
        <v>-</v>
      </c>
      <c r="G48" s="771" t="str" cm="1">
        <f t="array" aca="1" ref="G48" ca="1">IFERROR(INDEX(Rango_Admin_Clas_Total,G$2,MATCH($A48,Rango_Admin_Clas_Primera,0)+1),"-")</f>
        <v>-</v>
      </c>
      <c r="H48" s="771" t="str" cm="1">
        <f t="array" aca="1" ref="H48" ca="1">IFERROR(INDEX(Rango_Admin_Clas_Total,H$2,MATCH($A48,Rango_Admin_Clas_Primera,0)+1),"-")</f>
        <v>-</v>
      </c>
      <c r="I48" s="771" t="str" cm="1">
        <f t="array" aca="1" ref="I48" ca="1">IFERROR(INDEX(Rango_Admin_Clas_Total,I$2,MATCH($A48,Rango_Admin_Clas_Primera,0)+1),"-")</f>
        <v>-</v>
      </c>
      <c r="J48" s="771" t="str" cm="1">
        <f t="array" aca="1" ref="J48" ca="1">IFERROR(INDEX(Rango_Admin_Clas_Total,J$2,MATCH($A48,Rango_Admin_Clas_Primera,0)+1),"-")</f>
        <v>-</v>
      </c>
      <c r="K48" s="771" t="str" cm="1">
        <f t="array" aca="1" ref="K48" ca="1">IFERROR(INDEX(Rango_Admin_Clas_Total,K$2,MATCH($A48,Rango_Admin_Clas_Primera,0)+1),"-")</f>
        <v>-</v>
      </c>
      <c r="L48" s="771" t="str" cm="1">
        <f t="array" aca="1" ref="L48" ca="1">IFERROR(INDEX(Rango_Admin_Clas_Total,L$2,MATCH($A48,Rango_Admin_Clas_Primera,0)+1),"-")</f>
        <v>-</v>
      </c>
      <c r="M48" s="771" t="str" cm="1">
        <f t="array" aca="1" ref="M48" ca="1">IFERROR(INDEX(Rango_Admin_Clas_Total,M$2,MATCH($A48,Rango_Admin_Clas_Primera,0)+1),"-")</f>
        <v>-</v>
      </c>
      <c r="N48" s="771" t="str" cm="1">
        <f t="array" aca="1" ref="N48" ca="1">IFERROR(INDEX(Rango_Admin_Clas_Total,N$2,MATCH($A48,Rango_Admin_Clas_Primera,0)+1),"-")</f>
        <v>-</v>
      </c>
      <c r="O48" s="771" t="str" cm="1">
        <f t="array" aca="1" ref="O48" ca="1">IFERROR(INDEX(Rango_Admin_Clas_Total,O$2,MATCH($A48,Rango_Admin_Clas_Primera,0)+1),"-")</f>
        <v>-</v>
      </c>
      <c r="P48" s="771" t="str" cm="1">
        <f t="array" aca="1" ref="P48" ca="1">IFERROR(INDEX(Rango_Admin_Clas_Total,P$2,MATCH($A48,Rango_Admin_Clas_Primera,0)+1),"-")</f>
        <v>-</v>
      </c>
      <c r="Q48" s="771" t="str" cm="1">
        <f t="array" aca="1" ref="Q48" ca="1">IFERROR(INDEX(Rango_Admin_Clas_Total,Q$2,MATCH($A48,Rango_Admin_Clas_Primera,0)+1),"-")</f>
        <v>-</v>
      </c>
      <c r="R48" s="771" t="str" cm="1">
        <f t="array" aca="1" ref="R48" ca="1">IFERROR(INDEX(Rango_Admin_Clas_Total,R$2,MATCH($A48,Rango_Admin_Clas_Primera,0)+1),"-")</f>
        <v>-</v>
      </c>
      <c r="S48" s="771" t="str" cm="1">
        <f t="array" aca="1" ref="S48" ca="1">IFERROR(INDEX(Rango_Admin_Clas_Total,S$2,MATCH($A48,Rango_Admin_Clas_Primera,0)+1),"-")</f>
        <v>-</v>
      </c>
      <c r="T48" s="295"/>
      <c r="U48" s="295"/>
    </row>
    <row r="49" spans="1:21">
      <c r="A49" s="19">
        <f t="shared" si="0"/>
        <v>45</v>
      </c>
      <c r="B49" s="829" t="str">
        <f ca="1">IFERROR(HLOOKUP(A49,Rango_Admin_Clas,3,FALSE),"-")</f>
        <v>-</v>
      </c>
      <c r="C49" s="830" t="str">
        <f ca="1">IFERROR(HLOOKUP(A49,Rango_Admin_Clas,5,FALSE),"-")</f>
        <v>-</v>
      </c>
      <c r="D49" s="831" t="str">
        <f ca="1">IFERROR(HLOOKUP(A49,Rango_Admin_Clas,4,FALSE),"-")</f>
        <v>-</v>
      </c>
      <c r="E49" s="832" t="str" cm="1">
        <f t="array" aca="1" ref="E49" ca="1">IFERROR(INDEX(Rango_Admin_Clas_Total,E$2,MATCH($A49,Rango_Admin_Clas_Primera,0)+1),"-")</f>
        <v>-</v>
      </c>
      <c r="F49" s="832" t="str" cm="1">
        <f t="array" aca="1" ref="F49" ca="1">IFERROR(INDEX(Rango_Admin_Clas_Total,F$2,MATCH($A49,Rango_Admin_Clas_Primera,0)+1),"-")</f>
        <v>-</v>
      </c>
      <c r="G49" s="832" t="str" cm="1">
        <f t="array" aca="1" ref="G49" ca="1">IFERROR(INDEX(Rango_Admin_Clas_Total,G$2,MATCH($A49,Rango_Admin_Clas_Primera,0)+1),"-")</f>
        <v>-</v>
      </c>
      <c r="H49" s="832" t="str" cm="1">
        <f t="array" aca="1" ref="H49" ca="1">IFERROR(INDEX(Rango_Admin_Clas_Total,H$2,MATCH($A49,Rango_Admin_Clas_Primera,0)+1),"-")</f>
        <v>-</v>
      </c>
      <c r="I49" s="832" t="str" cm="1">
        <f t="array" aca="1" ref="I49" ca="1">IFERROR(INDEX(Rango_Admin_Clas_Total,I$2,MATCH($A49,Rango_Admin_Clas_Primera,0)+1),"-")</f>
        <v>-</v>
      </c>
      <c r="J49" s="832" t="str" cm="1">
        <f t="array" aca="1" ref="J49" ca="1">IFERROR(INDEX(Rango_Admin_Clas_Total,J$2,MATCH($A49,Rango_Admin_Clas_Primera,0)+1),"-")</f>
        <v>-</v>
      </c>
      <c r="K49" s="832" t="str" cm="1">
        <f t="array" aca="1" ref="K49" ca="1">IFERROR(INDEX(Rango_Admin_Clas_Total,K$2,MATCH($A49,Rango_Admin_Clas_Primera,0)+1),"-")</f>
        <v>-</v>
      </c>
      <c r="L49" s="832" t="str" cm="1">
        <f t="array" aca="1" ref="L49" ca="1">IFERROR(INDEX(Rango_Admin_Clas_Total,L$2,MATCH($A49,Rango_Admin_Clas_Primera,0)+1),"-")</f>
        <v>-</v>
      </c>
      <c r="M49" s="832" t="str" cm="1">
        <f t="array" aca="1" ref="M49" ca="1">IFERROR(INDEX(Rango_Admin_Clas_Total,M$2,MATCH($A49,Rango_Admin_Clas_Primera,0)+1),"-")</f>
        <v>-</v>
      </c>
      <c r="N49" s="832" t="str" cm="1">
        <f t="array" aca="1" ref="N49" ca="1">IFERROR(INDEX(Rango_Admin_Clas_Total,N$2,MATCH($A49,Rango_Admin_Clas_Primera,0)+1),"-")</f>
        <v>-</v>
      </c>
      <c r="O49" s="832" t="str" cm="1">
        <f t="array" aca="1" ref="O49" ca="1">IFERROR(INDEX(Rango_Admin_Clas_Total,O$2,MATCH($A49,Rango_Admin_Clas_Primera,0)+1),"-")</f>
        <v>-</v>
      </c>
      <c r="P49" s="832" t="str" cm="1">
        <f t="array" aca="1" ref="P49" ca="1">IFERROR(INDEX(Rango_Admin_Clas_Total,P$2,MATCH($A49,Rango_Admin_Clas_Primera,0)+1),"-")</f>
        <v>-</v>
      </c>
      <c r="Q49" s="832" t="str" cm="1">
        <f t="array" aca="1" ref="Q49" ca="1">IFERROR(INDEX(Rango_Admin_Clas_Total,Q$2,MATCH($A49,Rango_Admin_Clas_Primera,0)+1),"-")</f>
        <v>-</v>
      </c>
      <c r="R49" s="832" t="str" cm="1">
        <f t="array" aca="1" ref="R49" ca="1">IFERROR(INDEX(Rango_Admin_Clas_Total,R$2,MATCH($A49,Rango_Admin_Clas_Primera,0)+1),"-")</f>
        <v>-</v>
      </c>
      <c r="S49" s="832" t="str" cm="1">
        <f t="array" aca="1" ref="S49" ca="1">IFERROR(INDEX(Rango_Admin_Clas_Total,S$2,MATCH($A49,Rango_Admin_Clas_Primera,0)+1),"-")</f>
        <v>-</v>
      </c>
      <c r="T49" s="295"/>
      <c r="U49" s="295"/>
    </row>
    <row r="50" spans="1:21">
      <c r="A50" s="19">
        <f t="shared" si="0"/>
        <v>46</v>
      </c>
      <c r="B50" s="810" t="str">
        <f ca="1">IFERROR(HLOOKUP(A50,Rango_Admin_Clas,3,FALSE),"-")</f>
        <v>-</v>
      </c>
      <c r="C50" s="811" t="str">
        <f ca="1">IFERROR(HLOOKUP(A50,Rango_Admin_Clas,5,FALSE),"-")</f>
        <v>-</v>
      </c>
      <c r="D50" s="770" t="str">
        <f ca="1">IFERROR(HLOOKUP(A50,Rango_Admin_Clas,4,FALSE),"-")</f>
        <v>-</v>
      </c>
      <c r="E50" s="771" t="str" cm="1">
        <f t="array" aca="1" ref="E50" ca="1">IFERROR(INDEX(Rango_Admin_Clas_Total,E$2,MATCH($A50,Rango_Admin_Clas_Primera,0)+1),"-")</f>
        <v>-</v>
      </c>
      <c r="F50" s="771" t="str" cm="1">
        <f t="array" aca="1" ref="F50" ca="1">IFERROR(INDEX(Rango_Admin_Clas_Total,F$2,MATCH($A50,Rango_Admin_Clas_Primera,0)+1),"-")</f>
        <v>-</v>
      </c>
      <c r="G50" s="771" t="str" cm="1">
        <f t="array" aca="1" ref="G50" ca="1">IFERROR(INDEX(Rango_Admin_Clas_Total,G$2,MATCH($A50,Rango_Admin_Clas_Primera,0)+1),"-")</f>
        <v>-</v>
      </c>
      <c r="H50" s="771" t="str" cm="1">
        <f t="array" aca="1" ref="H50" ca="1">IFERROR(INDEX(Rango_Admin_Clas_Total,H$2,MATCH($A50,Rango_Admin_Clas_Primera,0)+1),"-")</f>
        <v>-</v>
      </c>
      <c r="I50" s="771" t="str" cm="1">
        <f t="array" aca="1" ref="I50" ca="1">IFERROR(INDEX(Rango_Admin_Clas_Total,I$2,MATCH($A50,Rango_Admin_Clas_Primera,0)+1),"-")</f>
        <v>-</v>
      </c>
      <c r="J50" s="771" t="str" cm="1">
        <f t="array" aca="1" ref="J50" ca="1">IFERROR(INDEX(Rango_Admin_Clas_Total,J$2,MATCH($A50,Rango_Admin_Clas_Primera,0)+1),"-")</f>
        <v>-</v>
      </c>
      <c r="K50" s="771" t="str" cm="1">
        <f t="array" aca="1" ref="K50" ca="1">IFERROR(INDEX(Rango_Admin_Clas_Total,K$2,MATCH($A50,Rango_Admin_Clas_Primera,0)+1),"-")</f>
        <v>-</v>
      </c>
      <c r="L50" s="771" t="str" cm="1">
        <f t="array" aca="1" ref="L50" ca="1">IFERROR(INDEX(Rango_Admin_Clas_Total,L$2,MATCH($A50,Rango_Admin_Clas_Primera,0)+1),"-")</f>
        <v>-</v>
      </c>
      <c r="M50" s="771" t="str" cm="1">
        <f t="array" aca="1" ref="M50" ca="1">IFERROR(INDEX(Rango_Admin_Clas_Total,M$2,MATCH($A50,Rango_Admin_Clas_Primera,0)+1),"-")</f>
        <v>-</v>
      </c>
      <c r="N50" s="771" t="str" cm="1">
        <f t="array" aca="1" ref="N50" ca="1">IFERROR(INDEX(Rango_Admin_Clas_Total,N$2,MATCH($A50,Rango_Admin_Clas_Primera,0)+1),"-")</f>
        <v>-</v>
      </c>
      <c r="O50" s="771" t="str" cm="1">
        <f t="array" aca="1" ref="O50" ca="1">IFERROR(INDEX(Rango_Admin_Clas_Total,O$2,MATCH($A50,Rango_Admin_Clas_Primera,0)+1),"-")</f>
        <v>-</v>
      </c>
      <c r="P50" s="771" t="str" cm="1">
        <f t="array" aca="1" ref="P50" ca="1">IFERROR(INDEX(Rango_Admin_Clas_Total,P$2,MATCH($A50,Rango_Admin_Clas_Primera,0)+1),"-")</f>
        <v>-</v>
      </c>
      <c r="Q50" s="771" t="str" cm="1">
        <f t="array" aca="1" ref="Q50" ca="1">IFERROR(INDEX(Rango_Admin_Clas_Total,Q$2,MATCH($A50,Rango_Admin_Clas_Primera,0)+1),"-")</f>
        <v>-</v>
      </c>
      <c r="R50" s="771" t="str" cm="1">
        <f t="array" aca="1" ref="R50" ca="1">IFERROR(INDEX(Rango_Admin_Clas_Total,R$2,MATCH($A50,Rango_Admin_Clas_Primera,0)+1),"-")</f>
        <v>-</v>
      </c>
      <c r="S50" s="771" t="str" cm="1">
        <f t="array" aca="1" ref="S50" ca="1">IFERROR(INDEX(Rango_Admin_Clas_Total,S$2,MATCH($A50,Rango_Admin_Clas_Primera,0)+1),"-")</f>
        <v>-</v>
      </c>
      <c r="T50" s="295"/>
      <c r="U50" s="295"/>
    </row>
    <row r="51" spans="1:21">
      <c r="A51" s="19">
        <f t="shared" si="0"/>
        <v>47</v>
      </c>
      <c r="B51" s="829" t="str">
        <f ca="1">IFERROR(HLOOKUP(A51,Rango_Admin_Clas,3,FALSE),"-")</f>
        <v>-</v>
      </c>
      <c r="C51" s="830" t="str">
        <f ca="1">IFERROR(HLOOKUP(A51,Rango_Admin_Clas,5,FALSE),"-")</f>
        <v>-</v>
      </c>
      <c r="D51" s="831" t="str">
        <f ca="1">IFERROR(HLOOKUP(A51,Rango_Admin_Clas,4,FALSE),"-")</f>
        <v>-</v>
      </c>
      <c r="E51" s="832" t="str" cm="1">
        <f t="array" aca="1" ref="E51" ca="1">IFERROR(INDEX(Rango_Admin_Clas_Total,E$2,MATCH($A51,Rango_Admin_Clas_Primera,0)+1),"-")</f>
        <v>-</v>
      </c>
      <c r="F51" s="832" t="str" cm="1">
        <f t="array" aca="1" ref="F51" ca="1">IFERROR(INDEX(Rango_Admin_Clas_Total,F$2,MATCH($A51,Rango_Admin_Clas_Primera,0)+1),"-")</f>
        <v>-</v>
      </c>
      <c r="G51" s="832" t="str" cm="1">
        <f t="array" aca="1" ref="G51" ca="1">IFERROR(INDEX(Rango_Admin_Clas_Total,G$2,MATCH($A51,Rango_Admin_Clas_Primera,0)+1),"-")</f>
        <v>-</v>
      </c>
      <c r="H51" s="832" t="str" cm="1">
        <f t="array" aca="1" ref="H51" ca="1">IFERROR(INDEX(Rango_Admin_Clas_Total,H$2,MATCH($A51,Rango_Admin_Clas_Primera,0)+1),"-")</f>
        <v>-</v>
      </c>
      <c r="I51" s="832" t="str" cm="1">
        <f t="array" aca="1" ref="I51" ca="1">IFERROR(INDEX(Rango_Admin_Clas_Total,I$2,MATCH($A51,Rango_Admin_Clas_Primera,0)+1),"-")</f>
        <v>-</v>
      </c>
      <c r="J51" s="832" t="str" cm="1">
        <f t="array" aca="1" ref="J51" ca="1">IFERROR(INDEX(Rango_Admin_Clas_Total,J$2,MATCH($A51,Rango_Admin_Clas_Primera,0)+1),"-")</f>
        <v>-</v>
      </c>
      <c r="K51" s="832" t="str" cm="1">
        <f t="array" aca="1" ref="K51" ca="1">IFERROR(INDEX(Rango_Admin_Clas_Total,K$2,MATCH($A51,Rango_Admin_Clas_Primera,0)+1),"-")</f>
        <v>-</v>
      </c>
      <c r="L51" s="832" t="str" cm="1">
        <f t="array" aca="1" ref="L51" ca="1">IFERROR(INDEX(Rango_Admin_Clas_Total,L$2,MATCH($A51,Rango_Admin_Clas_Primera,0)+1),"-")</f>
        <v>-</v>
      </c>
      <c r="M51" s="832" t="str" cm="1">
        <f t="array" aca="1" ref="M51" ca="1">IFERROR(INDEX(Rango_Admin_Clas_Total,M$2,MATCH($A51,Rango_Admin_Clas_Primera,0)+1),"-")</f>
        <v>-</v>
      </c>
      <c r="N51" s="832" t="str" cm="1">
        <f t="array" aca="1" ref="N51" ca="1">IFERROR(INDEX(Rango_Admin_Clas_Total,N$2,MATCH($A51,Rango_Admin_Clas_Primera,0)+1),"-")</f>
        <v>-</v>
      </c>
      <c r="O51" s="832" t="str" cm="1">
        <f t="array" aca="1" ref="O51" ca="1">IFERROR(INDEX(Rango_Admin_Clas_Total,O$2,MATCH($A51,Rango_Admin_Clas_Primera,0)+1),"-")</f>
        <v>-</v>
      </c>
      <c r="P51" s="832" t="str" cm="1">
        <f t="array" aca="1" ref="P51" ca="1">IFERROR(INDEX(Rango_Admin_Clas_Total,P$2,MATCH($A51,Rango_Admin_Clas_Primera,0)+1),"-")</f>
        <v>-</v>
      </c>
      <c r="Q51" s="832" t="str" cm="1">
        <f t="array" aca="1" ref="Q51" ca="1">IFERROR(INDEX(Rango_Admin_Clas_Total,Q$2,MATCH($A51,Rango_Admin_Clas_Primera,0)+1),"-")</f>
        <v>-</v>
      </c>
      <c r="R51" s="832" t="str" cm="1">
        <f t="array" aca="1" ref="R51" ca="1">IFERROR(INDEX(Rango_Admin_Clas_Total,R$2,MATCH($A51,Rango_Admin_Clas_Primera,0)+1),"-")</f>
        <v>-</v>
      </c>
      <c r="S51" s="832" t="str" cm="1">
        <f t="array" aca="1" ref="S51" ca="1">IFERROR(INDEX(Rango_Admin_Clas_Total,S$2,MATCH($A51,Rango_Admin_Clas_Primera,0)+1),"-")</f>
        <v>-</v>
      </c>
      <c r="T51" s="295"/>
      <c r="U51" s="295"/>
    </row>
    <row r="52" spans="1:21">
      <c r="A52" s="19">
        <f t="shared" si="0"/>
        <v>48</v>
      </c>
      <c r="B52" s="810" t="str">
        <f ca="1">IFERROR(HLOOKUP(A52,Rango_Admin_Clas,3,FALSE),"-")</f>
        <v>-</v>
      </c>
      <c r="C52" s="811" t="str">
        <f ca="1">IFERROR(HLOOKUP(A52,Rango_Admin_Clas,5,FALSE),"-")</f>
        <v>-</v>
      </c>
      <c r="D52" s="770" t="str">
        <f ca="1">IFERROR(HLOOKUP(A52,Rango_Admin_Clas,4,FALSE),"-")</f>
        <v>-</v>
      </c>
      <c r="E52" s="771" t="str" cm="1">
        <f t="array" aca="1" ref="E52" ca="1">IFERROR(INDEX(Rango_Admin_Clas_Total,E$2,MATCH($A52,Rango_Admin_Clas_Primera,0)+1),"-")</f>
        <v>-</v>
      </c>
      <c r="F52" s="771" t="str" cm="1">
        <f t="array" aca="1" ref="F52" ca="1">IFERROR(INDEX(Rango_Admin_Clas_Total,F$2,MATCH($A52,Rango_Admin_Clas_Primera,0)+1),"-")</f>
        <v>-</v>
      </c>
      <c r="G52" s="771" t="str" cm="1">
        <f t="array" aca="1" ref="G52" ca="1">IFERROR(INDEX(Rango_Admin_Clas_Total,G$2,MATCH($A52,Rango_Admin_Clas_Primera,0)+1),"-")</f>
        <v>-</v>
      </c>
      <c r="H52" s="771" t="str" cm="1">
        <f t="array" aca="1" ref="H52" ca="1">IFERROR(INDEX(Rango_Admin_Clas_Total,H$2,MATCH($A52,Rango_Admin_Clas_Primera,0)+1),"-")</f>
        <v>-</v>
      </c>
      <c r="I52" s="771" t="str" cm="1">
        <f t="array" aca="1" ref="I52" ca="1">IFERROR(INDEX(Rango_Admin_Clas_Total,I$2,MATCH($A52,Rango_Admin_Clas_Primera,0)+1),"-")</f>
        <v>-</v>
      </c>
      <c r="J52" s="771" t="str" cm="1">
        <f t="array" aca="1" ref="J52" ca="1">IFERROR(INDEX(Rango_Admin_Clas_Total,J$2,MATCH($A52,Rango_Admin_Clas_Primera,0)+1),"-")</f>
        <v>-</v>
      </c>
      <c r="K52" s="771" t="str" cm="1">
        <f t="array" aca="1" ref="K52" ca="1">IFERROR(INDEX(Rango_Admin_Clas_Total,K$2,MATCH($A52,Rango_Admin_Clas_Primera,0)+1),"-")</f>
        <v>-</v>
      </c>
      <c r="L52" s="771" t="str" cm="1">
        <f t="array" aca="1" ref="L52" ca="1">IFERROR(INDEX(Rango_Admin_Clas_Total,L$2,MATCH($A52,Rango_Admin_Clas_Primera,0)+1),"-")</f>
        <v>-</v>
      </c>
      <c r="M52" s="771" t="str" cm="1">
        <f t="array" aca="1" ref="M52" ca="1">IFERROR(INDEX(Rango_Admin_Clas_Total,M$2,MATCH($A52,Rango_Admin_Clas_Primera,0)+1),"-")</f>
        <v>-</v>
      </c>
      <c r="N52" s="771" t="str" cm="1">
        <f t="array" aca="1" ref="N52" ca="1">IFERROR(INDEX(Rango_Admin_Clas_Total,N$2,MATCH($A52,Rango_Admin_Clas_Primera,0)+1),"-")</f>
        <v>-</v>
      </c>
      <c r="O52" s="771" t="str" cm="1">
        <f t="array" aca="1" ref="O52" ca="1">IFERROR(INDEX(Rango_Admin_Clas_Total,O$2,MATCH($A52,Rango_Admin_Clas_Primera,0)+1),"-")</f>
        <v>-</v>
      </c>
      <c r="P52" s="771" t="str" cm="1">
        <f t="array" aca="1" ref="P52" ca="1">IFERROR(INDEX(Rango_Admin_Clas_Total,P$2,MATCH($A52,Rango_Admin_Clas_Primera,0)+1),"-")</f>
        <v>-</v>
      </c>
      <c r="Q52" s="771" t="str" cm="1">
        <f t="array" aca="1" ref="Q52" ca="1">IFERROR(INDEX(Rango_Admin_Clas_Total,Q$2,MATCH($A52,Rango_Admin_Clas_Primera,0)+1),"-")</f>
        <v>-</v>
      </c>
      <c r="R52" s="771" t="str" cm="1">
        <f t="array" aca="1" ref="R52" ca="1">IFERROR(INDEX(Rango_Admin_Clas_Total,R$2,MATCH($A52,Rango_Admin_Clas_Primera,0)+1),"-")</f>
        <v>-</v>
      </c>
      <c r="S52" s="771" t="str" cm="1">
        <f t="array" aca="1" ref="S52" ca="1">IFERROR(INDEX(Rango_Admin_Clas_Total,S$2,MATCH($A52,Rango_Admin_Clas_Primera,0)+1),"-")</f>
        <v>-</v>
      </c>
      <c r="T52" s="295"/>
      <c r="U52" s="295"/>
    </row>
    <row r="53" spans="1:21" s="295" customFormat="1">
      <c r="A53" s="89"/>
    </row>
    <row r="54" spans="1:21" s="295" customFormat="1">
      <c r="A54" s="89"/>
    </row>
    <row r="55" spans="1:21" s="295" customFormat="1">
      <c r="A55" s="89"/>
    </row>
    <row r="56" spans="1:21" s="295" customFormat="1">
      <c r="A56" s="89"/>
    </row>
    <row r="57" spans="1:21" s="295" customFormat="1">
      <c r="A57" s="89"/>
    </row>
    <row r="58" spans="1:21" s="295" customFormat="1">
      <c r="A58" s="89"/>
    </row>
    <row r="59" spans="1:21" s="295" customFormat="1">
      <c r="A59" s="89"/>
    </row>
    <row r="60" spans="1:21" s="295" customFormat="1">
      <c r="A60" s="89"/>
    </row>
    <row r="61" spans="1:21" s="295" customFormat="1">
      <c r="A61" s="89"/>
    </row>
    <row r="62" spans="1:21" s="295" customFormat="1">
      <c r="A62" s="89"/>
    </row>
    <row r="63" spans="1:21" s="295" customFormat="1">
      <c r="A63" s="89"/>
    </row>
    <row r="64" spans="1:21" s="295" customFormat="1">
      <c r="A64" s="89"/>
    </row>
    <row r="65" spans="1:1" s="295" customFormat="1">
      <c r="A65" s="89"/>
    </row>
    <row r="66" spans="1:1" s="295" customFormat="1">
      <c r="A66" s="89"/>
    </row>
    <row r="67" spans="1:1" s="295" customFormat="1">
      <c r="A67" s="89"/>
    </row>
    <row r="68" spans="1:1" s="295" customFormat="1">
      <c r="A68" s="89"/>
    </row>
    <row r="69" spans="1:1" s="295" customFormat="1">
      <c r="A69" s="89"/>
    </row>
    <row r="70" spans="1:1" s="295" customFormat="1">
      <c r="A70" s="89"/>
    </row>
    <row r="71" spans="1:1" s="295" customFormat="1">
      <c r="A71" s="89"/>
    </row>
    <row r="72" spans="1:1" s="295" customFormat="1">
      <c r="A72" s="89"/>
    </row>
    <row r="73" spans="1:1" s="295" customFormat="1">
      <c r="A73" s="89"/>
    </row>
    <row r="74" spans="1:1" s="295" customFormat="1">
      <c r="A74" s="89"/>
    </row>
    <row r="75" spans="1:1" s="295" customFormat="1">
      <c r="A75" s="89"/>
    </row>
    <row r="76" spans="1:1" s="295" customFormat="1">
      <c r="A76" s="89"/>
    </row>
    <row r="77" spans="1:1" s="295" customFormat="1">
      <c r="A77" s="89"/>
    </row>
    <row r="78" spans="1:1" s="295" customFormat="1">
      <c r="A78" s="89"/>
    </row>
    <row r="79" spans="1:1" s="295" customFormat="1">
      <c r="A79" s="89"/>
    </row>
    <row r="80" spans="1:1" s="295" customFormat="1">
      <c r="A80" s="89"/>
    </row>
    <row r="81" spans="1:1" s="295" customFormat="1">
      <c r="A81" s="89"/>
    </row>
    <row r="82" spans="1:1" s="295" customFormat="1">
      <c r="A82" s="89"/>
    </row>
    <row r="83" spans="1:1" s="295" customFormat="1">
      <c r="A83" s="89"/>
    </row>
    <row r="84" spans="1:1" s="295" customFormat="1">
      <c r="A84" s="89"/>
    </row>
    <row r="85" spans="1:1" s="295" customFormat="1">
      <c r="A85" s="89"/>
    </row>
    <row r="86" spans="1:1" s="295" customFormat="1">
      <c r="A86" s="89"/>
    </row>
    <row r="87" spans="1:1" s="295" customFormat="1">
      <c r="A87" s="89"/>
    </row>
    <row r="88" spans="1:1" s="295" customFormat="1">
      <c r="A88" s="89"/>
    </row>
    <row r="89" spans="1:1" s="295" customFormat="1">
      <c r="A89" s="89"/>
    </row>
    <row r="90" spans="1:1" s="295" customFormat="1">
      <c r="A90" s="89"/>
    </row>
    <row r="91" spans="1:1" s="295" customFormat="1">
      <c r="A91" s="89"/>
    </row>
    <row r="92" spans="1:1" s="295" customFormat="1">
      <c r="A92" s="89"/>
    </row>
    <row r="93" spans="1:1" s="295" customFormat="1">
      <c r="A93" s="89"/>
    </row>
    <row r="94" spans="1:1" s="295" customFormat="1">
      <c r="A94" s="89"/>
    </row>
    <row r="95" spans="1:1" s="295" customFormat="1">
      <c r="A95" s="89"/>
    </row>
    <row r="96" spans="1:1" s="295" customFormat="1">
      <c r="A96" s="89"/>
    </row>
    <row r="97" spans="1:1" s="295" customFormat="1">
      <c r="A97" s="89"/>
    </row>
    <row r="98" spans="1:1" s="295" customFormat="1">
      <c r="A98" s="89"/>
    </row>
    <row r="99" spans="1:1" s="295" customFormat="1">
      <c r="A99" s="89"/>
    </row>
    <row r="100" spans="1:1" s="295" customFormat="1">
      <c r="A100" s="89"/>
    </row>
    <row r="101" spans="1:1" s="295" customFormat="1">
      <c r="A101" s="89"/>
    </row>
    <row r="102" spans="1:1" s="295" customFormat="1">
      <c r="A102" s="89"/>
    </row>
    <row r="103" spans="1:1" s="295" customFormat="1">
      <c r="A103" s="89"/>
    </row>
    <row r="104" spans="1:1" s="295" customFormat="1">
      <c r="A104" s="89"/>
    </row>
    <row r="105" spans="1:1" s="295" customFormat="1">
      <c r="A105" s="89"/>
    </row>
    <row r="106" spans="1:1" s="295" customFormat="1">
      <c r="A106" s="89"/>
    </row>
    <row r="107" spans="1:1" s="295" customFormat="1">
      <c r="A107" s="89"/>
    </row>
    <row r="108" spans="1:1" s="295" customFormat="1">
      <c r="A108" s="89"/>
    </row>
    <row r="109" spans="1:1" s="295" customFormat="1">
      <c r="A109" s="89"/>
    </row>
    <row r="110" spans="1:1" s="295" customFormat="1">
      <c r="A110" s="89"/>
    </row>
    <row r="111" spans="1:1" s="295" customFormat="1">
      <c r="A111" s="89"/>
    </row>
    <row r="112" spans="1:1" s="295" customFormat="1">
      <c r="A112" s="89"/>
    </row>
    <row r="113" spans="1:1" s="295" customFormat="1">
      <c r="A113" s="89"/>
    </row>
    <row r="114" spans="1:1" s="295" customFormat="1">
      <c r="A114" s="89"/>
    </row>
    <row r="115" spans="1:1" s="295" customFormat="1">
      <c r="A115" s="89"/>
    </row>
    <row r="116" spans="1:1" s="295" customFormat="1">
      <c r="A116" s="89"/>
    </row>
    <row r="117" spans="1:1" s="295" customFormat="1">
      <c r="A117" s="89"/>
    </row>
    <row r="118" spans="1:1" s="295" customFormat="1">
      <c r="A118" s="89"/>
    </row>
    <row r="119" spans="1:1" s="295" customFormat="1">
      <c r="A119" s="89"/>
    </row>
    <row r="120" spans="1:1" s="295" customFormat="1">
      <c r="A120" s="89"/>
    </row>
    <row r="121" spans="1:1" s="295" customFormat="1">
      <c r="A121" s="89"/>
    </row>
    <row r="122" spans="1:1" s="295" customFormat="1">
      <c r="A122" s="89"/>
    </row>
    <row r="123" spans="1:1" s="295" customFormat="1">
      <c r="A123" s="89"/>
    </row>
    <row r="124" spans="1:1" s="295" customFormat="1">
      <c r="A124" s="89"/>
    </row>
    <row r="125" spans="1:1" s="295" customFormat="1">
      <c r="A125" s="89"/>
    </row>
    <row r="126" spans="1:1" s="295" customFormat="1">
      <c r="A126" s="89"/>
    </row>
    <row r="127" spans="1:1" s="295" customFormat="1">
      <c r="A127" s="89"/>
    </row>
    <row r="128" spans="1:1" s="295" customFormat="1">
      <c r="A128" s="89"/>
    </row>
    <row r="129" spans="1:1" s="295" customFormat="1">
      <c r="A129" s="89"/>
    </row>
    <row r="130" spans="1:1" s="295" customFormat="1">
      <c r="A130" s="89"/>
    </row>
    <row r="131" spans="1:1" s="295" customFormat="1">
      <c r="A131" s="89"/>
    </row>
    <row r="132" spans="1:1" s="295" customFormat="1">
      <c r="A132" s="89"/>
    </row>
    <row r="133" spans="1:1" s="295" customFormat="1">
      <c r="A133" s="89"/>
    </row>
    <row r="134" spans="1:1" s="295" customFormat="1">
      <c r="A134" s="89"/>
    </row>
    <row r="135" spans="1:1" s="295" customFormat="1">
      <c r="A135" s="89"/>
    </row>
    <row r="136" spans="1:1" s="295" customFormat="1">
      <c r="A136" s="89"/>
    </row>
    <row r="137" spans="1:1" s="295" customFormat="1">
      <c r="A137" s="89"/>
    </row>
    <row r="138" spans="1:1" s="295" customFormat="1">
      <c r="A138" s="89"/>
    </row>
    <row r="139" spans="1:1" s="295" customFormat="1">
      <c r="A139" s="89"/>
    </row>
    <row r="140" spans="1:1" s="295" customFormat="1">
      <c r="A140" s="89"/>
    </row>
    <row r="141" spans="1:1" s="295" customFormat="1">
      <c r="A141" s="89"/>
    </row>
    <row r="142" spans="1:1" s="295" customFormat="1">
      <c r="A142" s="89"/>
    </row>
    <row r="143" spans="1:1" s="295" customFormat="1">
      <c r="A143" s="89"/>
    </row>
    <row r="144" spans="1:1" s="295" customFormat="1">
      <c r="A144" s="89"/>
    </row>
    <row r="145" spans="1:1" s="295" customFormat="1">
      <c r="A145" s="89"/>
    </row>
    <row r="146" spans="1:1" s="295" customFormat="1">
      <c r="A146" s="89"/>
    </row>
    <row r="147" spans="1:1" s="295" customFormat="1">
      <c r="A147" s="89"/>
    </row>
    <row r="148" spans="1:1" s="295" customFormat="1">
      <c r="A148" s="89"/>
    </row>
    <row r="149" spans="1:1" s="295" customFormat="1">
      <c r="A149" s="89"/>
    </row>
    <row r="150" spans="1:1" s="295" customFormat="1">
      <c r="A150" s="89"/>
    </row>
    <row r="151" spans="1:1" s="295" customFormat="1">
      <c r="A151" s="89"/>
    </row>
    <row r="152" spans="1:1" s="295" customFormat="1">
      <c r="A152" s="89"/>
    </row>
    <row r="153" spans="1:1" s="295" customFormat="1">
      <c r="A153" s="89"/>
    </row>
    <row r="154" spans="1:1" s="295" customFormat="1">
      <c r="A154" s="89"/>
    </row>
    <row r="155" spans="1:1" s="295" customFormat="1">
      <c r="A155" s="89"/>
    </row>
    <row r="156" spans="1:1" s="295" customFormat="1">
      <c r="A156" s="89"/>
    </row>
    <row r="157" spans="1:1" s="295" customFormat="1">
      <c r="A157" s="89"/>
    </row>
    <row r="158" spans="1:1" s="295" customFormat="1">
      <c r="A158" s="89"/>
    </row>
    <row r="159" spans="1:1" s="295" customFormat="1">
      <c r="A159" s="89"/>
    </row>
    <row r="160" spans="1:1" s="295" customFormat="1">
      <c r="A160" s="89"/>
    </row>
    <row r="161" spans="1:1" s="295" customFormat="1">
      <c r="A161" s="89"/>
    </row>
    <row r="162" spans="1:1" s="295" customFormat="1">
      <c r="A162" s="89"/>
    </row>
    <row r="163" spans="1:1" s="295" customFormat="1">
      <c r="A163" s="89"/>
    </row>
    <row r="164" spans="1:1" s="295" customFormat="1">
      <c r="A164" s="89"/>
    </row>
    <row r="165" spans="1:1" s="295" customFormat="1">
      <c r="A165" s="89"/>
    </row>
    <row r="166" spans="1:1" s="295" customFormat="1">
      <c r="A166" s="89"/>
    </row>
    <row r="167" spans="1:1" s="295" customFormat="1">
      <c r="A167" s="89"/>
    </row>
    <row r="168" spans="1:1" s="295" customFormat="1">
      <c r="A168" s="89"/>
    </row>
    <row r="169" spans="1:1" s="295" customFormat="1">
      <c r="A169" s="89"/>
    </row>
    <row r="170" spans="1:1" s="295" customFormat="1">
      <c r="A170" s="89"/>
    </row>
    <row r="171" spans="1:1" s="295" customFormat="1">
      <c r="A171" s="89"/>
    </row>
    <row r="172" spans="1:1" s="295" customFormat="1">
      <c r="A172" s="89"/>
    </row>
    <row r="173" spans="1:1" s="295" customFormat="1">
      <c r="A173" s="89"/>
    </row>
    <row r="174" spans="1:1" s="295" customFormat="1">
      <c r="A174" s="89"/>
    </row>
    <row r="175" spans="1:1" s="295" customFormat="1">
      <c r="A175" s="89"/>
    </row>
    <row r="176" spans="1:1" s="295" customFormat="1">
      <c r="A176" s="89"/>
    </row>
    <row r="177" spans="1:1" s="295" customFormat="1">
      <c r="A177" s="89"/>
    </row>
    <row r="178" spans="1:1" s="295" customFormat="1">
      <c r="A178" s="89"/>
    </row>
    <row r="179" spans="1:1" s="295" customFormat="1">
      <c r="A179" s="89"/>
    </row>
    <row r="180" spans="1:1" s="295" customFormat="1">
      <c r="A180" s="89"/>
    </row>
    <row r="181" spans="1:1" s="295" customFormat="1">
      <c r="A181" s="89"/>
    </row>
    <row r="182" spans="1:1" s="295" customFormat="1">
      <c r="A182" s="89"/>
    </row>
    <row r="183" spans="1:1" s="295" customFormat="1">
      <c r="A183" s="89"/>
    </row>
    <row r="184" spans="1:1" s="295" customFormat="1">
      <c r="A184" s="89"/>
    </row>
    <row r="185" spans="1:1" s="295" customFormat="1">
      <c r="A185" s="89"/>
    </row>
    <row r="186" spans="1:1" s="295" customFormat="1">
      <c r="A186" s="89"/>
    </row>
    <row r="187" spans="1:1" s="295" customFormat="1">
      <c r="A187" s="89"/>
    </row>
    <row r="188" spans="1:1" s="295" customFormat="1">
      <c r="A188" s="89"/>
    </row>
    <row r="189" spans="1:1" s="295" customFormat="1">
      <c r="A189" s="89"/>
    </row>
    <row r="190" spans="1:1" s="295" customFormat="1">
      <c r="A190" s="89"/>
    </row>
    <row r="191" spans="1:1" s="295" customFormat="1">
      <c r="A191" s="89"/>
    </row>
    <row r="192" spans="1:1" s="295" customFormat="1">
      <c r="A192" s="89"/>
    </row>
    <row r="193" spans="1:1" s="295" customFormat="1">
      <c r="A193" s="89"/>
    </row>
    <row r="194" spans="1:1" s="295" customFormat="1">
      <c r="A194" s="89"/>
    </row>
    <row r="195" spans="1:1" s="295" customFormat="1">
      <c r="A195" s="89"/>
    </row>
    <row r="196" spans="1:1" s="295" customFormat="1">
      <c r="A196" s="89"/>
    </row>
    <row r="197" spans="1:1" s="295" customFormat="1">
      <c r="A197" s="89"/>
    </row>
    <row r="198" spans="1:1" s="295" customFormat="1">
      <c r="A198" s="89"/>
    </row>
    <row r="199" spans="1:1" s="295" customFormat="1">
      <c r="A199" s="89"/>
    </row>
    <row r="200" spans="1:1" s="295" customFormat="1">
      <c r="A200" s="89"/>
    </row>
    <row r="201" spans="1:1" s="295" customFormat="1">
      <c r="A201" s="89"/>
    </row>
    <row r="202" spans="1:1" s="295" customFormat="1">
      <c r="A202" s="89"/>
    </row>
    <row r="203" spans="1:1" s="295" customFormat="1">
      <c r="A203" s="89"/>
    </row>
    <row r="204" spans="1:1" s="295" customFormat="1">
      <c r="A204" s="89"/>
    </row>
    <row r="205" spans="1:1" s="295" customFormat="1">
      <c r="A205" s="89"/>
    </row>
    <row r="206" spans="1:1" s="295" customFormat="1">
      <c r="A206" s="89"/>
    </row>
    <row r="207" spans="1:1" s="295" customFormat="1">
      <c r="A207" s="89"/>
    </row>
    <row r="208" spans="1:1" s="295" customFormat="1">
      <c r="A208" s="89"/>
    </row>
    <row r="209" spans="1:1" s="295" customFormat="1">
      <c r="A209" s="89"/>
    </row>
    <row r="210" spans="1:1" s="295" customFormat="1">
      <c r="A210" s="89"/>
    </row>
    <row r="211" spans="1:1" s="295" customFormat="1">
      <c r="A211" s="89"/>
    </row>
    <row r="212" spans="1:1" s="295" customFormat="1">
      <c r="A212" s="89"/>
    </row>
    <row r="213" spans="1:1" s="295" customFormat="1">
      <c r="A213" s="89"/>
    </row>
    <row r="214" spans="1:1" s="295" customFormat="1">
      <c r="A214" s="89"/>
    </row>
    <row r="215" spans="1:1" s="295" customFormat="1">
      <c r="A215" s="89"/>
    </row>
    <row r="216" spans="1:1" s="295" customFormat="1">
      <c r="A216" s="89"/>
    </row>
    <row r="217" spans="1:1" s="295" customFormat="1">
      <c r="A217" s="89"/>
    </row>
    <row r="218" spans="1:1" s="295" customFormat="1">
      <c r="A218" s="89"/>
    </row>
    <row r="219" spans="1:1" s="295" customFormat="1">
      <c r="A219" s="89"/>
    </row>
    <row r="220" spans="1:1" s="295" customFormat="1">
      <c r="A220" s="89"/>
    </row>
    <row r="221" spans="1:1" s="295" customFormat="1">
      <c r="A221" s="89"/>
    </row>
    <row r="222" spans="1:1" s="295" customFormat="1">
      <c r="A222" s="89"/>
    </row>
    <row r="223" spans="1:1" s="295" customFormat="1">
      <c r="A223" s="89"/>
    </row>
    <row r="224" spans="1:1" s="295" customFormat="1">
      <c r="A224" s="89"/>
    </row>
    <row r="225" spans="1:1" s="295" customFormat="1">
      <c r="A225" s="89"/>
    </row>
    <row r="226" spans="1:1" s="295" customFormat="1">
      <c r="A226" s="89"/>
    </row>
    <row r="227" spans="1:1" s="295" customFormat="1">
      <c r="A227" s="89"/>
    </row>
    <row r="228" spans="1:1" s="295" customFormat="1">
      <c r="A228" s="89"/>
    </row>
    <row r="229" spans="1:1" s="295" customFormat="1">
      <c r="A229" s="89"/>
    </row>
    <row r="230" spans="1:1" s="295" customFormat="1">
      <c r="A230" s="89"/>
    </row>
    <row r="231" spans="1:1" s="295" customFormat="1">
      <c r="A231" s="89"/>
    </row>
    <row r="232" spans="1:1" s="295" customFormat="1">
      <c r="A232" s="89"/>
    </row>
    <row r="233" spans="1:1" s="295" customFormat="1">
      <c r="A233" s="89"/>
    </row>
    <row r="234" spans="1:1" s="295" customFormat="1">
      <c r="A234" s="89"/>
    </row>
    <row r="235" spans="1:1" s="295" customFormat="1">
      <c r="A235" s="89"/>
    </row>
    <row r="236" spans="1:1" s="295" customFormat="1">
      <c r="A236" s="89"/>
    </row>
    <row r="237" spans="1:1" s="295" customFormat="1">
      <c r="A237" s="89"/>
    </row>
    <row r="238" spans="1:1" s="295" customFormat="1">
      <c r="A238" s="89"/>
    </row>
    <row r="239" spans="1:1" s="295" customFormat="1">
      <c r="A239" s="89"/>
    </row>
    <row r="240" spans="1:1" s="295" customFormat="1">
      <c r="A240" s="89"/>
    </row>
    <row r="241" spans="1:1" s="295" customFormat="1">
      <c r="A241" s="89"/>
    </row>
    <row r="242" spans="1:1" s="295" customFormat="1">
      <c r="A242" s="89"/>
    </row>
    <row r="243" spans="1:1" s="295" customFormat="1">
      <c r="A243" s="89"/>
    </row>
    <row r="244" spans="1:1" s="295" customFormat="1">
      <c r="A244" s="89"/>
    </row>
    <row r="245" spans="1:1" s="295" customFormat="1">
      <c r="A245" s="89"/>
    </row>
    <row r="246" spans="1:1" s="295" customFormat="1">
      <c r="A246" s="89"/>
    </row>
    <row r="247" spans="1:1" s="295" customFormat="1">
      <c r="A247" s="89"/>
    </row>
    <row r="248" spans="1:1" s="295" customFormat="1">
      <c r="A248" s="89"/>
    </row>
    <row r="249" spans="1:1" s="295" customFormat="1">
      <c r="A249" s="89"/>
    </row>
    <row r="250" spans="1:1" s="295" customFormat="1">
      <c r="A250" s="89"/>
    </row>
    <row r="251" spans="1:1" s="295" customFormat="1">
      <c r="A251" s="89"/>
    </row>
    <row r="252" spans="1:1" s="295" customFormat="1">
      <c r="A252" s="89"/>
    </row>
    <row r="253" spans="1:1" s="295" customFormat="1">
      <c r="A253" s="89"/>
    </row>
    <row r="254" spans="1:1" s="295" customFormat="1">
      <c r="A254" s="89"/>
    </row>
    <row r="255" spans="1:1" s="295" customFormat="1">
      <c r="A255" s="89"/>
    </row>
    <row r="256" spans="1:1" s="295" customFormat="1">
      <c r="A256" s="89"/>
    </row>
    <row r="257" spans="1:1" s="295" customFormat="1">
      <c r="A257" s="89"/>
    </row>
    <row r="258" spans="1:1" s="295" customFormat="1">
      <c r="A258" s="89"/>
    </row>
    <row r="259" spans="1:1" s="295" customFormat="1">
      <c r="A259" s="89"/>
    </row>
    <row r="260" spans="1:1" s="295" customFormat="1">
      <c r="A260" s="89"/>
    </row>
    <row r="261" spans="1:1" s="295" customFormat="1">
      <c r="A261" s="89"/>
    </row>
    <row r="262" spans="1:1" s="295" customFormat="1">
      <c r="A262" s="89"/>
    </row>
    <row r="263" spans="1:1" s="295" customFormat="1">
      <c r="A263" s="89"/>
    </row>
    <row r="264" spans="1:1" s="295" customFormat="1">
      <c r="A264" s="89"/>
    </row>
    <row r="265" spans="1:1" s="295" customFormat="1">
      <c r="A265" s="89"/>
    </row>
    <row r="266" spans="1:1" s="295" customFormat="1">
      <c r="A266" s="89"/>
    </row>
    <row r="267" spans="1:1" s="295" customFormat="1">
      <c r="A267" s="89"/>
    </row>
    <row r="268" spans="1:1" s="295" customFormat="1">
      <c r="A268" s="89"/>
    </row>
    <row r="269" spans="1:1" s="295" customFormat="1">
      <c r="A269" s="89"/>
    </row>
    <row r="270" spans="1:1" s="295" customFormat="1">
      <c r="A270" s="89"/>
    </row>
    <row r="271" spans="1:1" s="295" customFormat="1">
      <c r="A271" s="89"/>
    </row>
    <row r="272" spans="1:1" s="295" customFormat="1">
      <c r="A272" s="89"/>
    </row>
    <row r="273" spans="1:1" s="295" customFormat="1">
      <c r="A273" s="89"/>
    </row>
    <row r="274" spans="1:1" s="295" customFormat="1">
      <c r="A274" s="89"/>
    </row>
    <row r="275" spans="1:1" s="295" customFormat="1">
      <c r="A275" s="89"/>
    </row>
    <row r="276" spans="1:1" s="295" customFormat="1">
      <c r="A276" s="89"/>
    </row>
    <row r="277" spans="1:1" s="295" customFormat="1">
      <c r="A277" s="89"/>
    </row>
    <row r="278" spans="1:1" s="295" customFormat="1">
      <c r="A278" s="89"/>
    </row>
    <row r="279" spans="1:1" s="295" customFormat="1">
      <c r="A279" s="89"/>
    </row>
    <row r="280" spans="1:1" s="295" customFormat="1">
      <c r="A280" s="89"/>
    </row>
    <row r="281" spans="1:1" s="295" customFormat="1">
      <c r="A281" s="89"/>
    </row>
    <row r="282" spans="1:1" s="295" customFormat="1">
      <c r="A282" s="89"/>
    </row>
    <row r="283" spans="1:1" s="295" customFormat="1">
      <c r="A283" s="89"/>
    </row>
    <row r="284" spans="1:1" s="295" customFormat="1">
      <c r="A284" s="89"/>
    </row>
    <row r="285" spans="1:1" s="295" customFormat="1">
      <c r="A285" s="89"/>
    </row>
    <row r="286" spans="1:1" s="295" customFormat="1">
      <c r="A286" s="89"/>
    </row>
    <row r="287" spans="1:1" s="295" customFormat="1">
      <c r="A287" s="89"/>
    </row>
    <row r="288" spans="1:1" s="295" customFormat="1">
      <c r="A288" s="89"/>
    </row>
    <row r="289" spans="1:1" s="295" customFormat="1">
      <c r="A289" s="89"/>
    </row>
    <row r="290" spans="1:1" s="295" customFormat="1">
      <c r="A290" s="89"/>
    </row>
    <row r="291" spans="1:1" s="295" customFormat="1">
      <c r="A291" s="89"/>
    </row>
    <row r="292" spans="1:1" s="295" customFormat="1">
      <c r="A292" s="89"/>
    </row>
    <row r="293" spans="1:1" s="295" customFormat="1">
      <c r="A293" s="89"/>
    </row>
    <row r="294" spans="1:1" s="295" customFormat="1">
      <c r="A294" s="89"/>
    </row>
    <row r="295" spans="1:1" s="295" customFormat="1">
      <c r="A295" s="89"/>
    </row>
    <row r="296" spans="1:1" s="295" customFormat="1">
      <c r="A296" s="89"/>
    </row>
    <row r="297" spans="1:1" s="295" customFormat="1">
      <c r="A297" s="89"/>
    </row>
    <row r="298" spans="1:1" s="295" customFormat="1">
      <c r="A298" s="89"/>
    </row>
    <row r="299" spans="1:1" s="295" customFormat="1">
      <c r="A299" s="89"/>
    </row>
    <row r="300" spans="1:1" s="295" customFormat="1">
      <c r="A300" s="89"/>
    </row>
    <row r="301" spans="1:1" s="295" customFormat="1">
      <c r="A301" s="89"/>
    </row>
    <row r="302" spans="1:1" s="295" customFormat="1">
      <c r="A302" s="89"/>
    </row>
    <row r="303" spans="1:1" s="295" customFormat="1">
      <c r="A303" s="89"/>
    </row>
    <row r="304" spans="1:1" s="295" customFormat="1">
      <c r="A304" s="89"/>
    </row>
    <row r="305" spans="1:1" s="295" customFormat="1">
      <c r="A305" s="89"/>
    </row>
    <row r="306" spans="1:1" s="295" customFormat="1">
      <c r="A306" s="89"/>
    </row>
    <row r="307" spans="1:1" s="295" customFormat="1">
      <c r="A307" s="89"/>
    </row>
    <row r="308" spans="1:1" s="295" customFormat="1">
      <c r="A308" s="89"/>
    </row>
    <row r="309" spans="1:1" s="295" customFormat="1">
      <c r="A309" s="89"/>
    </row>
    <row r="310" spans="1:1" s="295" customFormat="1">
      <c r="A310" s="89"/>
    </row>
    <row r="311" spans="1:1" s="295" customFormat="1">
      <c r="A311" s="89"/>
    </row>
    <row r="312" spans="1:1" s="295" customFormat="1">
      <c r="A312" s="89"/>
    </row>
    <row r="313" spans="1:1" s="295" customFormat="1">
      <c r="A313" s="89"/>
    </row>
    <row r="314" spans="1:1" s="295" customFormat="1">
      <c r="A314" s="89"/>
    </row>
    <row r="315" spans="1:1" s="295" customFormat="1">
      <c r="A315" s="89"/>
    </row>
    <row r="316" spans="1:1" s="295" customFormat="1">
      <c r="A316" s="89"/>
    </row>
    <row r="317" spans="1:1" s="295" customFormat="1">
      <c r="A317" s="89"/>
    </row>
    <row r="318" spans="1:1" s="295" customFormat="1">
      <c r="A318" s="89"/>
    </row>
    <row r="319" spans="1:1" s="295" customFormat="1">
      <c r="A319" s="89"/>
    </row>
    <row r="320" spans="1:1" s="295" customFormat="1">
      <c r="A320" s="89"/>
    </row>
    <row r="321" spans="1:1" s="295" customFormat="1">
      <c r="A321" s="89"/>
    </row>
    <row r="322" spans="1:1" s="295" customFormat="1">
      <c r="A322" s="89"/>
    </row>
    <row r="323" spans="1:1" s="295" customFormat="1">
      <c r="A323" s="89"/>
    </row>
    <row r="324" spans="1:1" s="295" customFormat="1">
      <c r="A324" s="89"/>
    </row>
    <row r="325" spans="1:1" s="295" customFormat="1">
      <c r="A325" s="89"/>
    </row>
    <row r="326" spans="1:1" s="295" customFormat="1">
      <c r="A326" s="89"/>
    </row>
    <row r="327" spans="1:1" s="295" customFormat="1">
      <c r="A327" s="89"/>
    </row>
    <row r="328" spans="1:1" s="295" customFormat="1">
      <c r="A328" s="89"/>
    </row>
    <row r="329" spans="1:1" s="295" customFormat="1">
      <c r="A329" s="89"/>
    </row>
    <row r="330" spans="1:1" s="295" customFormat="1">
      <c r="A330" s="89"/>
    </row>
    <row r="331" spans="1:1" s="295" customFormat="1">
      <c r="A331" s="89"/>
    </row>
    <row r="332" spans="1:1" s="295" customFormat="1">
      <c r="A332" s="89"/>
    </row>
    <row r="333" spans="1:1" s="295" customFormat="1">
      <c r="A333" s="89"/>
    </row>
    <row r="334" spans="1:1" s="295" customFormat="1">
      <c r="A334" s="89"/>
    </row>
    <row r="335" spans="1:1" s="295" customFormat="1">
      <c r="A335" s="89"/>
    </row>
    <row r="336" spans="1:1" s="295" customFormat="1">
      <c r="A336" s="89"/>
    </row>
    <row r="337" spans="1:1" s="295" customFormat="1">
      <c r="A337" s="89"/>
    </row>
    <row r="338" spans="1:1" s="295" customFormat="1">
      <c r="A338" s="89"/>
    </row>
    <row r="339" spans="1:1" s="295" customFormat="1">
      <c r="A339" s="89"/>
    </row>
    <row r="340" spans="1:1" s="295" customFormat="1">
      <c r="A340" s="89"/>
    </row>
    <row r="341" spans="1:1" s="295" customFormat="1">
      <c r="A341" s="89"/>
    </row>
    <row r="342" spans="1:1" s="295" customFormat="1">
      <c r="A342" s="89"/>
    </row>
    <row r="343" spans="1:1" s="295" customFormat="1">
      <c r="A343" s="89"/>
    </row>
    <row r="344" spans="1:1" s="295" customFormat="1">
      <c r="A344" s="89"/>
    </row>
    <row r="345" spans="1:1" s="295" customFormat="1">
      <c r="A345" s="89"/>
    </row>
    <row r="346" spans="1:1" s="295" customFormat="1">
      <c r="A346" s="89"/>
    </row>
    <row r="347" spans="1:1" s="295" customFormat="1">
      <c r="A347" s="89"/>
    </row>
    <row r="348" spans="1:1" s="295" customFormat="1">
      <c r="A348" s="89"/>
    </row>
    <row r="349" spans="1:1" s="295" customFormat="1">
      <c r="A349" s="89"/>
    </row>
    <row r="350" spans="1:1" s="295" customFormat="1">
      <c r="A350" s="89"/>
    </row>
    <row r="351" spans="1:1" s="295" customFormat="1">
      <c r="A351" s="89"/>
    </row>
    <row r="352" spans="1:1" s="295" customFormat="1">
      <c r="A352" s="89"/>
    </row>
    <row r="353" spans="1:1" s="295" customFormat="1">
      <c r="A353" s="89"/>
    </row>
    <row r="354" spans="1:1" s="295" customFormat="1">
      <c r="A354" s="89"/>
    </row>
    <row r="355" spans="1:1" s="295" customFormat="1">
      <c r="A355" s="89"/>
    </row>
    <row r="356" spans="1:1" s="295" customFormat="1">
      <c r="A356" s="89"/>
    </row>
    <row r="357" spans="1:1" s="295" customFormat="1">
      <c r="A357" s="89"/>
    </row>
    <row r="358" spans="1:1" s="295" customFormat="1">
      <c r="A358" s="89"/>
    </row>
    <row r="359" spans="1:1" s="295" customFormat="1">
      <c r="A359" s="89"/>
    </row>
  </sheetData>
  <mergeCells count="1">
    <mergeCell ref="B1:S1"/>
  </mergeCells>
  <conditionalFormatting sqref="D5:D52">
    <cfRule type="colorScale" priority="1">
      <colorScale>
        <cfvo type="min"/>
        <cfvo type="percentile" val="50"/>
        <cfvo type="max"/>
        <color rgb="FFF8696B"/>
        <color rgb="FFFFEB84"/>
        <color rgb="FF63BE7B"/>
      </colorScale>
    </cfRule>
  </conditionalFormatting>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expression" priority="936" stopIfTrue="1" id="{5F0B6A3E-9FD9-C644-AA78-F74D6C340211}">
            <xm:f>AND((INDEX(ADMIN!$5:$5,1,ADMIN!$D$5*3+18)&gt;=ROW()-4),MOD(ROW(),2)=1)</xm:f>
            <x14:dxf>
              <font>
                <color rgb="FF1B4066"/>
              </font>
              <fill>
                <patternFill>
                  <bgColor theme="0" tint="-0.14996795556505021"/>
                </patternFill>
              </fill>
            </x14:dxf>
          </x14:cfRule>
          <x14:cfRule type="expression" priority="937" stopIfTrue="1" id="{C7456811-7F51-D743-AE39-4B75071A2B75}">
            <xm:f>AND((INDEX(ADMIN!$5:$5,1,ADMIN!$D$5*3+18)&gt;=ROW()-4),MOD(ROW(),2)=0)</xm:f>
            <x14:dxf>
              <font>
                <color rgb="FF1B4066"/>
              </font>
              <fill>
                <patternFill>
                  <bgColor theme="0"/>
                </patternFill>
              </fill>
            </x14:dxf>
          </x14:cfRule>
          <xm:sqref>B5:S52</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100"/>
  <sheetViews>
    <sheetView showGridLines="0" topLeftCell="E1" workbookViewId="0">
      <selection activeCell="K26" sqref="K26"/>
    </sheetView>
  </sheetViews>
  <sheetFormatPr baseColWidth="10" defaultColWidth="0" defaultRowHeight="14.4"/>
  <cols>
    <col min="1" max="1" width="27.33203125" style="5" hidden="1" customWidth="1"/>
    <col min="2" max="2" width="38" style="5" hidden="1" customWidth="1"/>
    <col min="3" max="4" width="10.77734375" style="5" hidden="1" customWidth="1"/>
    <col min="5" max="5" width="2.44140625" style="20" customWidth="1"/>
    <col min="6" max="6" width="25.109375" style="1" customWidth="1"/>
    <col min="7" max="38" width="25.77734375" style="1" customWidth="1"/>
    <col min="39" max="41" width="10.77734375" style="1" customWidth="1"/>
    <col min="42" max="16384" width="10.77734375" style="1" hidden="1"/>
  </cols>
  <sheetData>
    <row r="1" spans="1:41" ht="40.049999999999997" customHeight="1" thickBot="1">
      <c r="E1" s="17"/>
      <c r="F1" s="17"/>
      <c r="G1" s="718" t="str">
        <f>Idiomas!D474</f>
        <v>Selecciona día:</v>
      </c>
      <c r="H1" s="705">
        <v>46186</v>
      </c>
      <c r="I1" s="295"/>
      <c r="J1" s="19">
        <f ca="1">VLOOKUP($H$1,Equipos!$Q$2:$R$37,2,0)</f>
        <v>3</v>
      </c>
      <c r="K1" s="295"/>
      <c r="L1" s="295"/>
      <c r="M1" s="295"/>
      <c r="N1" s="295"/>
      <c r="O1" s="295"/>
      <c r="P1" s="295"/>
      <c r="Q1" s="295"/>
      <c r="R1" s="295"/>
      <c r="S1" s="295"/>
      <c r="T1" s="295"/>
      <c r="U1" s="295"/>
      <c r="V1" s="295"/>
      <c r="W1" s="295"/>
      <c r="X1" s="295"/>
      <c r="Y1" s="295"/>
      <c r="Z1" s="295"/>
      <c r="AA1" s="295"/>
      <c r="AB1" s="295"/>
      <c r="AC1" s="295"/>
      <c r="AD1" s="295"/>
      <c r="AE1" s="295"/>
      <c r="AF1" s="295"/>
      <c r="AG1" s="295"/>
      <c r="AH1" s="295"/>
      <c r="AI1" s="295"/>
      <c r="AJ1" s="295"/>
      <c r="AK1" s="295"/>
      <c r="AL1" s="295"/>
      <c r="AM1" s="295"/>
      <c r="AN1" s="295"/>
      <c r="AO1" s="295"/>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5"/>
      <c r="G2" s="19" t="str" cm="1">
        <f t="array" aca="1" ref="G2:AL2" ca="1">TRANSPOSE($A$4:$A$35)</f>
        <v>Catar-Suiza</v>
      </c>
      <c r="H2" s="19" t="str">
        <f ca="1"/>
        <v>Brasil-Marruecos</v>
      </c>
      <c r="I2" s="19" t="str">
        <f ca="1"/>
        <v>Haití-Escocia</v>
      </c>
      <c r="J2" s="19" t="str">
        <f ca="1"/>
        <v>Australia-Turquía</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5"/>
      <c r="AN2" s="295"/>
      <c r="AO2" s="295"/>
    </row>
    <row r="3" spans="1:41" ht="49.95" customHeight="1" thickBot="1">
      <c r="E3" s="19"/>
      <c r="F3" s="446" t="str">
        <f>Idiomas!D475</f>
        <v>Nombre</v>
      </c>
      <c r="G3" s="446" t="str" cm="1">
        <f t="array" aca="1" ref="G3:AL3" ca="1">TRANSPOSE($B$4:$B$35)</f>
        <v xml:space="preserve">Catar-Suiza
</v>
      </c>
      <c r="H3" s="446" t="str">
        <f ca="1"/>
        <v xml:space="preserve">Brasil-Marruecos
</v>
      </c>
      <c r="I3" s="446" t="str">
        <f ca="1"/>
        <v xml:space="preserve">Haití-Escocia
</v>
      </c>
      <c r="J3" s="446" t="str">
        <f ca="1"/>
        <v xml:space="preserve">Australia-Turquía
</v>
      </c>
      <c r="K3" s="446" t="str">
        <f ca="1"/>
        <v xml:space="preserve">
</v>
      </c>
      <c r="L3" s="446" t="str">
        <f ca="1"/>
        <v xml:space="preserve">
</v>
      </c>
      <c r="M3" s="446" t="str">
        <f ca="1"/>
        <v xml:space="preserve">
</v>
      </c>
      <c r="N3" s="446" t="str">
        <f ca="1"/>
        <v xml:space="preserve">
</v>
      </c>
      <c r="O3" s="446" t="str">
        <f ca="1"/>
        <v xml:space="preserve">
</v>
      </c>
      <c r="P3" s="446" t="str">
        <f ca="1"/>
        <v xml:space="preserve">
</v>
      </c>
      <c r="Q3" s="446" t="str">
        <f ca="1"/>
        <v xml:space="preserve">
</v>
      </c>
      <c r="R3" s="446" t="str">
        <f ca="1"/>
        <v xml:space="preserve">
</v>
      </c>
      <c r="S3" s="446" t="str">
        <f ca="1"/>
        <v xml:space="preserve">
</v>
      </c>
      <c r="T3" s="446" t="str">
        <f ca="1"/>
        <v xml:space="preserve">
</v>
      </c>
      <c r="U3" s="446" t="str">
        <f ca="1"/>
        <v xml:space="preserve">
</v>
      </c>
      <c r="V3" s="446" t="str">
        <f ca="1"/>
        <v xml:space="preserve">
</v>
      </c>
      <c r="W3" s="446" t="str">
        <f ca="1"/>
        <v xml:space="preserve">
</v>
      </c>
      <c r="X3" s="446" t="str">
        <f ca="1"/>
        <v xml:space="preserve">
</v>
      </c>
      <c r="Y3" s="446" t="str">
        <f ca="1"/>
        <v xml:space="preserve">
</v>
      </c>
      <c r="Z3" s="446" t="str">
        <f ca="1"/>
        <v xml:space="preserve">
</v>
      </c>
      <c r="AA3" s="446" t="str">
        <f ca="1"/>
        <v xml:space="preserve">
</v>
      </c>
      <c r="AB3" s="446" t="str">
        <f ca="1"/>
        <v xml:space="preserve">
</v>
      </c>
      <c r="AC3" s="446" t="str">
        <f ca="1"/>
        <v xml:space="preserve">
</v>
      </c>
      <c r="AD3" s="446" t="str">
        <f ca="1"/>
        <v xml:space="preserve">
</v>
      </c>
      <c r="AE3" s="446" t="str">
        <f ca="1"/>
        <v xml:space="preserve">
</v>
      </c>
      <c r="AF3" s="446" t="str">
        <f ca="1"/>
        <v xml:space="preserve">
</v>
      </c>
      <c r="AG3" s="446" t="str">
        <f ca="1"/>
        <v xml:space="preserve">
</v>
      </c>
      <c r="AH3" s="446" t="str">
        <f ca="1"/>
        <v xml:space="preserve">
</v>
      </c>
      <c r="AI3" s="446" t="str">
        <f ca="1"/>
        <v xml:space="preserve">
</v>
      </c>
      <c r="AJ3" s="446" t="str">
        <f ca="1"/>
        <v xml:space="preserve">
</v>
      </c>
      <c r="AK3" s="446" t="str">
        <f ca="1"/>
        <v xml:space="preserve">
</v>
      </c>
      <c r="AL3" s="446" t="str">
        <f ca="1"/>
        <v xml:space="preserve">
</v>
      </c>
      <c r="AM3" s="295"/>
      <c r="AN3" s="295"/>
      <c r="AO3" s="295"/>
    </row>
    <row r="4" spans="1:41" ht="15" thickTop="1">
      <c r="A4" s="5" t="str" cm="1">
        <f t="array" aca="1" ref="A4" ca="1">IFERROR(INDEX(ADMIN!$K$6:$K$258,SMALL(IF(ADMIN!$G$6:$G$258=$J$1,ROW(ADMIN!$G$6:$G$258)-ROW(ADMIN!$G$6)+1),ROWS($A$1:A1))),"")</f>
        <v>Catar-Suiza</v>
      </c>
      <c r="B4" s="5" t="str">
        <f ca="1">A4&amp;CHAR(10)&amp;C4</f>
        <v xml:space="preserve">Catar-Suiza
</v>
      </c>
      <c r="C4" s="5" t="str" cm="1">
        <f t="array" aca="1" ref="C4" ca="1">IFERROR(IF(INDEX(ADMIN!$M$6:$M$258,SMALL(IF(ADMIN!$G$6:$G$258=$J$1,ROW(ADMIN!$G$6:$G$258)-ROW(ADMIN!$G$6)+1),ROWS($A$1:A1)))="-",""," ("&amp;INDEX(ADMIN!$M$6:$M$258,SMALL(IF(ADMIN!$G$6:$G$258=$J$1,ROW(ADMIN!$G$6:$G$258)-ROW(ADMIN!$G$6)+1),ROWS($A$1:A1)))&amp;")"),"")</f>
        <v/>
      </c>
      <c r="D4" s="5" t="str" cm="1">
        <f t="array" aca="1" ref="D4" ca="1">IFERROR(IF($J$1&gt;=20,INDEX(ADMIN!$C$6:$C$258,SMALL(IF(ADMIN!$G$6:$G$258=$J$1,ROW(ADMIN!$G$6:$G$258)-ROW(ADMIN!$G$6)+1),ROWS($D$1:D1))),""),"")</f>
        <v/>
      </c>
      <c r="E4" s="19">
        <v>9</v>
      </c>
      <c r="F4" s="834" t="str" cm="1">
        <f t="array" ref="F4">IFERROR(INDEX(Rango_Admin_DailyPred_Primera,1,E4),"-")</f>
        <v>Leiner Zavarce</v>
      </c>
      <c r="G4" s="835" t="str">
        <f ca="1">IFERROR(VLOOKUP(G$2,Rango_Admin_DailyPred,MATCH($F4,Rango_Admin_DailyPred_Primera,0),0),"-")</f>
        <v>2|1-2</v>
      </c>
      <c r="H4" s="835" t="str">
        <f ca="1">IFERROR(VLOOKUP(H$2,Rango_Admin_DailyPred,MATCH($F4,Rango_Admin_DailyPred_Primera,0),0),"-")</f>
        <v>X|0-0</v>
      </c>
      <c r="I4" s="835" t="str">
        <f ca="1">IFERROR(VLOOKUP(I$2,Rango_Admin_DailyPred,MATCH($F4,Rango_Admin_DailyPred_Primera,0),0),"-")</f>
        <v>2|0-3</v>
      </c>
      <c r="J4" s="835" t="str">
        <f ca="1">IFERROR(VLOOKUP(J$2,Rango_Admin_DailyPred,MATCH($F4,Rango_Admin_DailyPred_Primera,0),0),"-")</f>
        <v>2|0-1</v>
      </c>
      <c r="K4" s="835" t="str">
        <f ca="1">IFERROR(VLOOKUP(K$2,Rango_Admin_DailyPred,MATCH($F4,Rango_Admin_DailyPred_Primera,0),0),"-")</f>
        <v>-</v>
      </c>
      <c r="L4" s="835" t="str">
        <f ca="1">IFERROR(VLOOKUP(L$2,Rango_Admin_DailyPred,MATCH($F4,Rango_Admin_DailyPred_Primera,0),0),"-")</f>
        <v>-</v>
      </c>
      <c r="M4" s="835" t="str">
        <f ca="1">IFERROR(VLOOKUP(M$2,Rango_Admin_DailyPred,MATCH($F4,Rango_Admin_DailyPred_Primera,0),0),"-")</f>
        <v>-</v>
      </c>
      <c r="N4" s="835" t="str">
        <f ca="1">IFERROR(VLOOKUP(N$2,Rango_Admin_DailyPred,MATCH($F4,Rango_Admin_DailyPred_Primera,0),0),"-")</f>
        <v>-</v>
      </c>
      <c r="O4" s="835" t="str">
        <f ca="1">IFERROR(VLOOKUP(O$2,Rango_Admin_DailyPred,MATCH($F4,Rango_Admin_DailyPred_Primera,0),0),"-")</f>
        <v>-</v>
      </c>
      <c r="P4" s="835" t="str">
        <f ca="1">IFERROR(VLOOKUP(P$2,Rango_Admin_DailyPred,MATCH($F4,Rango_Admin_DailyPred_Primera,0),0),"-")</f>
        <v>-</v>
      </c>
      <c r="Q4" s="835" t="str">
        <f ca="1">IFERROR(VLOOKUP(Q$2,Rango_Admin_DailyPred,MATCH($F4,Rango_Admin_DailyPred_Primera,0),0),"-")</f>
        <v>-</v>
      </c>
      <c r="R4" s="835" t="str">
        <f ca="1">IFERROR(VLOOKUP(R$2,Rango_Admin_DailyPred,MATCH($F4,Rango_Admin_DailyPred_Primera,0),0),"-")</f>
        <v>-</v>
      </c>
      <c r="S4" s="835" t="str">
        <f ca="1">IFERROR(VLOOKUP(S$2,Rango_Admin_DailyPred,MATCH($F4,Rango_Admin_DailyPred_Primera,0),0),"-")</f>
        <v>-</v>
      </c>
      <c r="T4" s="835" t="str">
        <f ca="1">IFERROR(VLOOKUP(T$2,Rango_Admin_DailyPred,MATCH($F4,Rango_Admin_DailyPred_Primera,0),0),"-")</f>
        <v>-</v>
      </c>
      <c r="U4" s="835" t="str">
        <f ca="1">IFERROR(VLOOKUP(U$2,Rango_Admin_DailyPred,MATCH($F4,Rango_Admin_DailyPred_Primera,0),0),"-")</f>
        <v>-</v>
      </c>
      <c r="V4" s="835" t="str">
        <f ca="1">IFERROR(VLOOKUP(V$2,Rango_Admin_DailyPred,MATCH($F4,Rango_Admin_DailyPred_Primera,0),0),"-")</f>
        <v>-</v>
      </c>
      <c r="W4" s="835" t="str">
        <f ca="1">IFERROR(VLOOKUP(W$2,Rango_Admin_DailyPred,MATCH($F4,Rango_Admin_DailyPred_Primera,0),0),"-")</f>
        <v>-</v>
      </c>
      <c r="X4" s="835" t="str">
        <f ca="1">IFERROR(VLOOKUP(X$2,Rango_Admin_DailyPred,MATCH($F4,Rango_Admin_DailyPred_Primera,0),0),"-")</f>
        <v>-</v>
      </c>
      <c r="Y4" s="835" t="str">
        <f ca="1">IFERROR(VLOOKUP(Y$2,Rango_Admin_DailyPred,MATCH($F4,Rango_Admin_DailyPred_Primera,0),0),"-")</f>
        <v>-</v>
      </c>
      <c r="Z4" s="835" t="str">
        <f ca="1">IFERROR(VLOOKUP(Z$2,Rango_Admin_DailyPred,MATCH($F4,Rango_Admin_DailyPred_Primera,0),0),"-")</f>
        <v>-</v>
      </c>
      <c r="AA4" s="835" t="str">
        <f ca="1">IFERROR(VLOOKUP(AA$2,Rango_Admin_DailyPred,MATCH($F4,Rango_Admin_DailyPred_Primera,0),0),"-")</f>
        <v>-</v>
      </c>
      <c r="AB4" s="835" t="str">
        <f ca="1">IFERROR(VLOOKUP(AB$2,Rango_Admin_DailyPred,MATCH($F4,Rango_Admin_DailyPred_Primera,0),0),"-")</f>
        <v>-</v>
      </c>
      <c r="AC4" s="835" t="str">
        <f ca="1">IFERROR(VLOOKUP(AC$2,Rango_Admin_DailyPred,MATCH($F4,Rango_Admin_DailyPred_Primera,0),0),"-")</f>
        <v>-</v>
      </c>
      <c r="AD4" s="835" t="str">
        <f ca="1">IFERROR(VLOOKUP(AD$2,Rango_Admin_DailyPred,MATCH($F4,Rango_Admin_DailyPred_Primera,0),0),"-")</f>
        <v>-</v>
      </c>
      <c r="AE4" s="835" t="str">
        <f ca="1">IFERROR(VLOOKUP(AE$2,Rango_Admin_DailyPred,MATCH($F4,Rango_Admin_DailyPred_Primera,0),0),"-")</f>
        <v>-</v>
      </c>
      <c r="AF4" s="835" t="str">
        <f ca="1">IFERROR(VLOOKUP(AF$2,Rango_Admin_DailyPred,MATCH($F4,Rango_Admin_DailyPred_Primera,0),0),"-")</f>
        <v>-</v>
      </c>
      <c r="AG4" s="835" t="str">
        <f ca="1">IFERROR(VLOOKUP(AG$2,Rango_Admin_DailyPred,MATCH($F4,Rango_Admin_DailyPred_Primera,0),0),"-")</f>
        <v>-</v>
      </c>
      <c r="AH4" s="835" t="str">
        <f ca="1">IFERROR(VLOOKUP(AH$2,Rango_Admin_DailyPred,MATCH($F4,Rango_Admin_DailyPred_Primera,0),0),"-")</f>
        <v>-</v>
      </c>
      <c r="AI4" s="835" t="str">
        <f ca="1">IFERROR(VLOOKUP(AI$2,Rango_Admin_DailyPred,MATCH($F4,Rango_Admin_DailyPred_Primera,0),0),"-")</f>
        <v>-</v>
      </c>
      <c r="AJ4" s="835" t="str">
        <f ca="1">IFERROR(VLOOKUP(AJ$2,Rango_Admin_DailyPred,MATCH($F4,Rango_Admin_DailyPred_Primera,0),0),"-")</f>
        <v>-</v>
      </c>
      <c r="AK4" s="835" t="str">
        <f ca="1">IFERROR(VLOOKUP(AK$2,Rango_Admin_DailyPred,MATCH($F4,Rango_Admin_DailyPred_Primera,0),0),"-")</f>
        <v>-</v>
      </c>
      <c r="AL4" s="835" t="str">
        <f ca="1">IFERROR(VLOOKUP(AL$2,Rango_Admin_DailyPred,MATCH($F4,Rango_Admin_DailyPred_Primera,0),0),"-")</f>
        <v>-</v>
      </c>
      <c r="AM4" s="295"/>
      <c r="AN4" s="295"/>
      <c r="AO4" s="295"/>
    </row>
    <row r="5" spans="1:41">
      <c r="A5" s="5" t="str" cm="1">
        <f t="array" aca="1" ref="A5" ca="1">IFERROR(INDEX(ADMIN!$K$6:$K$258,SMALL(IF(ADMIN!$G$6:$G$258=$J$1,ROW(ADMIN!$G$6:$G$258)-ROW(ADMIN!$G$6)+1),ROWS($A$1:A2))),"")</f>
        <v>Brasil-Marruecos</v>
      </c>
      <c r="B5" s="5" t="str">
        <f t="shared" ref="B5:B35" ca="1" si="0">A5&amp;CHAR(10)&amp;C5</f>
        <v xml:space="preserve">Brasil-Marruecos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833" t="str" cm="1">
        <f t="array" ref="F5">IFERROR(INDEX(Rango_Admin_DailyPred_Primera,1,E5),"-")</f>
        <v>YUTA</v>
      </c>
      <c r="G5" s="717" t="str">
        <f ca="1">IFERROR(VLOOKUP(G$2,Rango_Admin_DailyPred,MATCH($F5,Rango_Admin_DailyPred_Primera,0),0),"-")</f>
        <v>2|1-3</v>
      </c>
      <c r="H5" s="717" t="str">
        <f ca="1">IFERROR(VLOOKUP(H$2,Rango_Admin_DailyPred,MATCH($F5,Rango_Admin_DailyPred_Primera,0),0),"-")</f>
        <v>X|1-1</v>
      </c>
      <c r="I5" s="717" t="str">
        <f ca="1">IFERROR(VLOOKUP(I$2,Rango_Admin_DailyPred,MATCH($F5,Rango_Admin_DailyPred_Primera,0),0),"-")</f>
        <v>2|1-3</v>
      </c>
      <c r="J5" s="717" t="str">
        <f ca="1">IFERROR(VLOOKUP(J$2,Rango_Admin_DailyPred,MATCH($F5,Rango_Admin_DailyPred_Primera,0),0),"-")</f>
        <v>2|1-3</v>
      </c>
      <c r="K5" s="717" t="str">
        <f ca="1">IFERROR(VLOOKUP(K$2,Rango_Admin_DailyPred,MATCH($F5,Rango_Admin_DailyPred_Primera,0),0),"-")</f>
        <v>-</v>
      </c>
      <c r="L5" s="717" t="str">
        <f ca="1">IFERROR(VLOOKUP(L$2,Rango_Admin_DailyPred,MATCH($F5,Rango_Admin_DailyPred_Primera,0),0),"-")</f>
        <v>-</v>
      </c>
      <c r="M5" s="717" t="str">
        <f ca="1">IFERROR(VLOOKUP(M$2,Rango_Admin_DailyPred,MATCH($F5,Rango_Admin_DailyPred_Primera,0),0),"-")</f>
        <v>-</v>
      </c>
      <c r="N5" s="717" t="str">
        <f ca="1">IFERROR(VLOOKUP(N$2,Rango_Admin_DailyPred,MATCH($F5,Rango_Admin_DailyPred_Primera,0),0),"-")</f>
        <v>-</v>
      </c>
      <c r="O5" s="717" t="str">
        <f ca="1">IFERROR(VLOOKUP(O$2,Rango_Admin_DailyPred,MATCH($F5,Rango_Admin_DailyPred_Primera,0),0),"-")</f>
        <v>-</v>
      </c>
      <c r="P5" s="717" t="str">
        <f ca="1">IFERROR(VLOOKUP(P$2,Rango_Admin_DailyPred,MATCH($F5,Rango_Admin_DailyPred_Primera,0),0),"-")</f>
        <v>-</v>
      </c>
      <c r="Q5" s="717" t="str">
        <f ca="1">IFERROR(VLOOKUP(Q$2,Rango_Admin_DailyPred,MATCH($F5,Rango_Admin_DailyPred_Primera,0),0),"-")</f>
        <v>-</v>
      </c>
      <c r="R5" s="717" t="str">
        <f ca="1">IFERROR(VLOOKUP(R$2,Rango_Admin_DailyPred,MATCH($F5,Rango_Admin_DailyPred_Primera,0),0),"-")</f>
        <v>-</v>
      </c>
      <c r="S5" s="717" t="str">
        <f ca="1">IFERROR(VLOOKUP(S$2,Rango_Admin_DailyPred,MATCH($F5,Rango_Admin_DailyPred_Primera,0),0),"-")</f>
        <v>-</v>
      </c>
      <c r="T5" s="717" t="str">
        <f ca="1">IFERROR(VLOOKUP(T$2,Rango_Admin_DailyPred,MATCH($F5,Rango_Admin_DailyPred_Primera,0),0),"-")</f>
        <v>-</v>
      </c>
      <c r="U5" s="717" t="str">
        <f ca="1">IFERROR(VLOOKUP(U$2,Rango_Admin_DailyPred,MATCH($F5,Rango_Admin_DailyPred_Primera,0),0),"-")</f>
        <v>-</v>
      </c>
      <c r="V5" s="717" t="str">
        <f ca="1">IFERROR(VLOOKUP(V$2,Rango_Admin_DailyPred,MATCH($F5,Rango_Admin_DailyPred_Primera,0),0),"-")</f>
        <v>-</v>
      </c>
      <c r="W5" s="717" t="str">
        <f ca="1">IFERROR(VLOOKUP(W$2,Rango_Admin_DailyPred,MATCH($F5,Rango_Admin_DailyPred_Primera,0),0),"-")</f>
        <v>-</v>
      </c>
      <c r="X5" s="717" t="str">
        <f ca="1">IFERROR(VLOOKUP(X$2,Rango_Admin_DailyPred,MATCH($F5,Rango_Admin_DailyPred_Primera,0),0),"-")</f>
        <v>-</v>
      </c>
      <c r="Y5" s="717" t="str">
        <f ca="1">IFERROR(VLOOKUP(Y$2,Rango_Admin_DailyPred,MATCH($F5,Rango_Admin_DailyPred_Primera,0),0),"-")</f>
        <v>-</v>
      </c>
      <c r="Z5" s="717" t="str">
        <f ca="1">IFERROR(VLOOKUP(Z$2,Rango_Admin_DailyPred,MATCH($F5,Rango_Admin_DailyPred_Primera,0),0),"-")</f>
        <v>-</v>
      </c>
      <c r="AA5" s="717" t="str">
        <f ca="1">IFERROR(VLOOKUP(AA$2,Rango_Admin_DailyPred,MATCH($F5,Rango_Admin_DailyPred_Primera,0),0),"-")</f>
        <v>-</v>
      </c>
      <c r="AB5" s="717" t="str">
        <f ca="1">IFERROR(VLOOKUP(AB$2,Rango_Admin_DailyPred,MATCH($F5,Rango_Admin_DailyPred_Primera,0),0),"-")</f>
        <v>-</v>
      </c>
      <c r="AC5" s="717" t="str">
        <f ca="1">IFERROR(VLOOKUP(AC$2,Rango_Admin_DailyPred,MATCH($F5,Rango_Admin_DailyPred_Primera,0),0),"-")</f>
        <v>-</v>
      </c>
      <c r="AD5" s="717" t="str">
        <f ca="1">IFERROR(VLOOKUP(AD$2,Rango_Admin_DailyPred,MATCH($F5,Rango_Admin_DailyPred_Primera,0),0),"-")</f>
        <v>-</v>
      </c>
      <c r="AE5" s="717" t="str">
        <f ca="1">IFERROR(VLOOKUP(AE$2,Rango_Admin_DailyPred,MATCH($F5,Rango_Admin_DailyPred_Primera,0),0),"-")</f>
        <v>-</v>
      </c>
      <c r="AF5" s="717" t="str">
        <f ca="1">IFERROR(VLOOKUP(AF$2,Rango_Admin_DailyPred,MATCH($F5,Rango_Admin_DailyPred_Primera,0),0),"-")</f>
        <v>-</v>
      </c>
      <c r="AG5" s="717" t="str">
        <f ca="1">IFERROR(VLOOKUP(AG$2,Rango_Admin_DailyPred,MATCH($F5,Rango_Admin_DailyPred_Primera,0),0),"-")</f>
        <v>-</v>
      </c>
      <c r="AH5" s="717" t="str">
        <f ca="1">IFERROR(VLOOKUP(AH$2,Rango_Admin_DailyPred,MATCH($F5,Rango_Admin_DailyPred_Primera,0),0),"-")</f>
        <v>-</v>
      </c>
      <c r="AI5" s="717" t="str">
        <f ca="1">IFERROR(VLOOKUP(AI$2,Rango_Admin_DailyPred,MATCH($F5,Rango_Admin_DailyPred_Primera,0),0),"-")</f>
        <v>-</v>
      </c>
      <c r="AJ5" s="717" t="str">
        <f ca="1">IFERROR(VLOOKUP(AJ$2,Rango_Admin_DailyPred,MATCH($F5,Rango_Admin_DailyPred_Primera,0),0),"-")</f>
        <v>-</v>
      </c>
      <c r="AK5" s="717" t="str">
        <f ca="1">IFERROR(VLOOKUP(AK$2,Rango_Admin_DailyPred,MATCH($F5,Rango_Admin_DailyPred_Primera,0),0),"-")</f>
        <v>-</v>
      </c>
      <c r="AL5" s="717" t="str">
        <f ca="1">IFERROR(VLOOKUP(AL$2,Rango_Admin_DailyPred,MATCH($F5,Rango_Admin_DailyPred_Primera,0),0),"-")</f>
        <v>-</v>
      </c>
      <c r="AM5" s="295"/>
      <c r="AN5" s="295"/>
      <c r="AO5" s="295"/>
    </row>
    <row r="6" spans="1:41">
      <c r="A6" s="5" t="str" cm="1">
        <f t="array" aca="1" ref="A6" ca="1">IFERROR(INDEX(ADMIN!$K$6:$K$258,SMALL(IF(ADMIN!$G$6:$G$258=$J$1,ROW(ADMIN!$G$6:$G$258)-ROW(ADMIN!$G$6)+1),ROWS($A$1:A3))),"")</f>
        <v>Haití-Escocia</v>
      </c>
      <c r="B6" s="5" t="str">
        <f t="shared" ca="1" si="0"/>
        <v xml:space="preserve">Haití-Escocia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69" si="1">+E5+3</f>
        <v>15</v>
      </c>
      <c r="F6" s="834" t="str" cm="1">
        <f t="array" ref="F6">IFERROR(INDEX(Rango_Admin_DailyPred_Primera,1,E6),"-")</f>
        <v>Andres Velasquez</v>
      </c>
      <c r="G6" s="835" t="str">
        <f ca="1">IFERROR(VLOOKUP(G$2,Rango_Admin_DailyPred,MATCH($F6,Rango_Admin_DailyPred_Primera,0),0),"-")</f>
        <v>2|1-2</v>
      </c>
      <c r="H6" s="835" t="str">
        <f ca="1">IFERROR(VLOOKUP(H$2,Rango_Admin_DailyPred,MATCH($F6,Rango_Admin_DailyPred_Primera,0),0),"-")</f>
        <v>2|0-2</v>
      </c>
      <c r="I6" s="835" t="str">
        <f ca="1">IFERROR(VLOOKUP(I$2,Rango_Admin_DailyPred,MATCH($F6,Rango_Admin_DailyPred_Primera,0),0),"-")</f>
        <v>2|0-1</v>
      </c>
      <c r="J6" s="835" t="str">
        <f ca="1">IFERROR(VLOOKUP(J$2,Rango_Admin_DailyPred,MATCH($F6,Rango_Admin_DailyPred_Primera,0),0),"-")</f>
        <v>X|1-1</v>
      </c>
      <c r="K6" s="835" t="str">
        <f ca="1">IFERROR(VLOOKUP(K$2,Rango_Admin_DailyPred,MATCH($F6,Rango_Admin_DailyPred_Primera,0),0),"-")</f>
        <v>-</v>
      </c>
      <c r="L6" s="835" t="str">
        <f ca="1">IFERROR(VLOOKUP(L$2,Rango_Admin_DailyPred,MATCH($F6,Rango_Admin_DailyPred_Primera,0),0),"-")</f>
        <v>-</v>
      </c>
      <c r="M6" s="835" t="str">
        <f ca="1">IFERROR(VLOOKUP(M$2,Rango_Admin_DailyPred,MATCH($F6,Rango_Admin_DailyPred_Primera,0),0),"-")</f>
        <v>-</v>
      </c>
      <c r="N6" s="835" t="str">
        <f ca="1">IFERROR(VLOOKUP(N$2,Rango_Admin_DailyPred,MATCH($F6,Rango_Admin_DailyPred_Primera,0),0),"-")</f>
        <v>-</v>
      </c>
      <c r="O6" s="835" t="str">
        <f ca="1">IFERROR(VLOOKUP(O$2,Rango_Admin_DailyPred,MATCH($F6,Rango_Admin_DailyPred_Primera,0),0),"-")</f>
        <v>-</v>
      </c>
      <c r="P6" s="835" t="str">
        <f ca="1">IFERROR(VLOOKUP(P$2,Rango_Admin_DailyPred,MATCH($F6,Rango_Admin_DailyPred_Primera,0),0),"-")</f>
        <v>-</v>
      </c>
      <c r="Q6" s="835" t="str">
        <f ca="1">IFERROR(VLOOKUP(Q$2,Rango_Admin_DailyPred,MATCH($F6,Rango_Admin_DailyPred_Primera,0),0),"-")</f>
        <v>-</v>
      </c>
      <c r="R6" s="835" t="str">
        <f ca="1">IFERROR(VLOOKUP(R$2,Rango_Admin_DailyPred,MATCH($F6,Rango_Admin_DailyPred_Primera,0),0),"-")</f>
        <v>-</v>
      </c>
      <c r="S6" s="835" t="str">
        <f ca="1">IFERROR(VLOOKUP(S$2,Rango_Admin_DailyPred,MATCH($F6,Rango_Admin_DailyPred_Primera,0),0),"-")</f>
        <v>-</v>
      </c>
      <c r="T6" s="835" t="str">
        <f ca="1">IFERROR(VLOOKUP(T$2,Rango_Admin_DailyPred,MATCH($F6,Rango_Admin_DailyPred_Primera,0),0),"-")</f>
        <v>-</v>
      </c>
      <c r="U6" s="835" t="str">
        <f ca="1">IFERROR(VLOOKUP(U$2,Rango_Admin_DailyPred,MATCH($F6,Rango_Admin_DailyPred_Primera,0),0),"-")</f>
        <v>-</v>
      </c>
      <c r="V6" s="835" t="str">
        <f ca="1">IFERROR(VLOOKUP(V$2,Rango_Admin_DailyPred,MATCH($F6,Rango_Admin_DailyPred_Primera,0),0),"-")</f>
        <v>-</v>
      </c>
      <c r="W6" s="835" t="str">
        <f ca="1">IFERROR(VLOOKUP(W$2,Rango_Admin_DailyPred,MATCH($F6,Rango_Admin_DailyPred_Primera,0),0),"-")</f>
        <v>-</v>
      </c>
      <c r="X6" s="835" t="str">
        <f ca="1">IFERROR(VLOOKUP(X$2,Rango_Admin_DailyPred,MATCH($F6,Rango_Admin_DailyPred_Primera,0),0),"-")</f>
        <v>-</v>
      </c>
      <c r="Y6" s="835" t="str">
        <f ca="1">IFERROR(VLOOKUP(Y$2,Rango_Admin_DailyPred,MATCH($F6,Rango_Admin_DailyPred_Primera,0),0),"-")</f>
        <v>-</v>
      </c>
      <c r="Z6" s="835" t="str">
        <f ca="1">IFERROR(VLOOKUP(Z$2,Rango_Admin_DailyPred,MATCH($F6,Rango_Admin_DailyPred_Primera,0),0),"-")</f>
        <v>-</v>
      </c>
      <c r="AA6" s="835" t="str">
        <f ca="1">IFERROR(VLOOKUP(AA$2,Rango_Admin_DailyPred,MATCH($F6,Rango_Admin_DailyPred_Primera,0),0),"-")</f>
        <v>-</v>
      </c>
      <c r="AB6" s="835" t="str">
        <f ca="1">IFERROR(VLOOKUP(AB$2,Rango_Admin_DailyPred,MATCH($F6,Rango_Admin_DailyPred_Primera,0),0),"-")</f>
        <v>-</v>
      </c>
      <c r="AC6" s="835" t="str">
        <f ca="1">IFERROR(VLOOKUP(AC$2,Rango_Admin_DailyPred,MATCH($F6,Rango_Admin_DailyPred_Primera,0),0),"-")</f>
        <v>-</v>
      </c>
      <c r="AD6" s="835" t="str">
        <f ca="1">IFERROR(VLOOKUP(AD$2,Rango_Admin_DailyPred,MATCH($F6,Rango_Admin_DailyPred_Primera,0),0),"-")</f>
        <v>-</v>
      </c>
      <c r="AE6" s="835" t="str">
        <f ca="1">IFERROR(VLOOKUP(AE$2,Rango_Admin_DailyPred,MATCH($F6,Rango_Admin_DailyPred_Primera,0),0),"-")</f>
        <v>-</v>
      </c>
      <c r="AF6" s="835" t="str">
        <f ca="1">IFERROR(VLOOKUP(AF$2,Rango_Admin_DailyPred,MATCH($F6,Rango_Admin_DailyPred_Primera,0),0),"-")</f>
        <v>-</v>
      </c>
      <c r="AG6" s="835" t="str">
        <f ca="1">IFERROR(VLOOKUP(AG$2,Rango_Admin_DailyPred,MATCH($F6,Rango_Admin_DailyPred_Primera,0),0),"-")</f>
        <v>-</v>
      </c>
      <c r="AH6" s="835" t="str">
        <f ca="1">IFERROR(VLOOKUP(AH$2,Rango_Admin_DailyPred,MATCH($F6,Rango_Admin_DailyPred_Primera,0),0),"-")</f>
        <v>-</v>
      </c>
      <c r="AI6" s="835" t="str">
        <f ca="1">IFERROR(VLOOKUP(AI$2,Rango_Admin_DailyPred,MATCH($F6,Rango_Admin_DailyPred_Primera,0),0),"-")</f>
        <v>-</v>
      </c>
      <c r="AJ6" s="835" t="str">
        <f ca="1">IFERROR(VLOOKUP(AJ$2,Rango_Admin_DailyPred,MATCH($F6,Rango_Admin_DailyPred_Primera,0),0),"-")</f>
        <v>-</v>
      </c>
      <c r="AK6" s="835" t="str">
        <f ca="1">IFERROR(VLOOKUP(AK$2,Rango_Admin_DailyPred,MATCH($F6,Rango_Admin_DailyPred_Primera,0),0),"-")</f>
        <v>-</v>
      </c>
      <c r="AL6" s="835" t="str">
        <f ca="1">IFERROR(VLOOKUP(AL$2,Rango_Admin_DailyPred,MATCH($F6,Rango_Admin_DailyPred_Primera,0),0),"-")</f>
        <v>-</v>
      </c>
      <c r="AM6" s="295"/>
      <c r="AN6" s="295"/>
      <c r="AO6" s="295"/>
    </row>
    <row r="7" spans="1:41">
      <c r="A7" s="5" t="str" cm="1">
        <f t="array" aca="1" ref="A7" ca="1">IFERROR(INDEX(ADMIN!$K$6:$K$258,SMALL(IF(ADMIN!$G$6:$G$258=$J$1,ROW(ADMIN!$G$6:$G$258)-ROW(ADMIN!$G$6)+1),ROWS($A$1:A4))),"")</f>
        <v>Australia-Turquía</v>
      </c>
      <c r="B7" s="5" t="str">
        <f t="shared" ca="1" si="0"/>
        <v xml:space="preserve">Australia-Turquía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833" t="str" cm="1">
        <f t="array" ref="F7">IFERROR(INDEX(Rango_Admin_DailyPred_Primera,1,E7),"-")</f>
        <v>Alejando Velasquez</v>
      </c>
      <c r="G7" s="717" t="str">
        <f ca="1">IFERROR(VLOOKUP(G$2,Rango_Admin_DailyPred,MATCH($F7,Rango_Admin_DailyPred_Primera,0),0),"-")</f>
        <v>2|1-3</v>
      </c>
      <c r="H7" s="717" t="str">
        <f ca="1">IFERROR(VLOOKUP(H$2,Rango_Admin_DailyPred,MATCH($F7,Rango_Admin_DailyPred_Primera,0),0),"-")</f>
        <v>X|2-2</v>
      </c>
      <c r="I7" s="717" t="str">
        <f ca="1">IFERROR(VLOOKUP(I$2,Rango_Admin_DailyPred,MATCH($F7,Rango_Admin_DailyPred_Primera,0),0),"-")</f>
        <v>2|1-3</v>
      </c>
      <c r="J7" s="717" t="str">
        <f ca="1">IFERROR(VLOOKUP(J$2,Rango_Admin_DailyPred,MATCH($F7,Rango_Admin_DailyPred_Primera,0),0),"-")</f>
        <v>2|1-3</v>
      </c>
      <c r="K7" s="717" t="str">
        <f ca="1">IFERROR(VLOOKUP(K$2,Rango_Admin_DailyPred,MATCH($F7,Rango_Admin_DailyPred_Primera,0),0),"-")</f>
        <v>-</v>
      </c>
      <c r="L7" s="717" t="str">
        <f ca="1">IFERROR(VLOOKUP(L$2,Rango_Admin_DailyPred,MATCH($F7,Rango_Admin_DailyPred_Primera,0),0),"-")</f>
        <v>-</v>
      </c>
      <c r="M7" s="717" t="str">
        <f ca="1">IFERROR(VLOOKUP(M$2,Rango_Admin_DailyPred,MATCH($F7,Rango_Admin_DailyPred_Primera,0),0),"-")</f>
        <v>-</v>
      </c>
      <c r="N7" s="717" t="str">
        <f ca="1">IFERROR(VLOOKUP(N$2,Rango_Admin_DailyPred,MATCH($F7,Rango_Admin_DailyPred_Primera,0),0),"-")</f>
        <v>-</v>
      </c>
      <c r="O7" s="717" t="str">
        <f ca="1">IFERROR(VLOOKUP(O$2,Rango_Admin_DailyPred,MATCH($F7,Rango_Admin_DailyPred_Primera,0),0),"-")</f>
        <v>-</v>
      </c>
      <c r="P7" s="717" t="str">
        <f ca="1">IFERROR(VLOOKUP(P$2,Rango_Admin_DailyPred,MATCH($F7,Rango_Admin_DailyPred_Primera,0),0),"-")</f>
        <v>-</v>
      </c>
      <c r="Q7" s="717" t="str">
        <f ca="1">IFERROR(VLOOKUP(Q$2,Rango_Admin_DailyPred,MATCH($F7,Rango_Admin_DailyPred_Primera,0),0),"-")</f>
        <v>-</v>
      </c>
      <c r="R7" s="717" t="str">
        <f ca="1">IFERROR(VLOOKUP(R$2,Rango_Admin_DailyPred,MATCH($F7,Rango_Admin_DailyPred_Primera,0),0),"-")</f>
        <v>-</v>
      </c>
      <c r="S7" s="717" t="str">
        <f ca="1">IFERROR(VLOOKUP(S$2,Rango_Admin_DailyPred,MATCH($F7,Rango_Admin_DailyPred_Primera,0),0),"-")</f>
        <v>-</v>
      </c>
      <c r="T7" s="717" t="str">
        <f ca="1">IFERROR(VLOOKUP(T$2,Rango_Admin_DailyPred,MATCH($F7,Rango_Admin_DailyPred_Primera,0),0),"-")</f>
        <v>-</v>
      </c>
      <c r="U7" s="717" t="str">
        <f ca="1">IFERROR(VLOOKUP(U$2,Rango_Admin_DailyPred,MATCH($F7,Rango_Admin_DailyPred_Primera,0),0),"-")</f>
        <v>-</v>
      </c>
      <c r="V7" s="717" t="str">
        <f ca="1">IFERROR(VLOOKUP(V$2,Rango_Admin_DailyPred,MATCH($F7,Rango_Admin_DailyPred_Primera,0),0),"-")</f>
        <v>-</v>
      </c>
      <c r="W7" s="717" t="str">
        <f ca="1">IFERROR(VLOOKUP(W$2,Rango_Admin_DailyPred,MATCH($F7,Rango_Admin_DailyPred_Primera,0),0),"-")</f>
        <v>-</v>
      </c>
      <c r="X7" s="717" t="str">
        <f ca="1">IFERROR(VLOOKUP(X$2,Rango_Admin_DailyPred,MATCH($F7,Rango_Admin_DailyPred_Primera,0),0),"-")</f>
        <v>-</v>
      </c>
      <c r="Y7" s="717" t="str">
        <f ca="1">IFERROR(VLOOKUP(Y$2,Rango_Admin_DailyPred,MATCH($F7,Rango_Admin_DailyPred_Primera,0),0),"-")</f>
        <v>-</v>
      </c>
      <c r="Z7" s="717" t="str">
        <f ca="1">IFERROR(VLOOKUP(Z$2,Rango_Admin_DailyPred,MATCH($F7,Rango_Admin_DailyPred_Primera,0),0),"-")</f>
        <v>-</v>
      </c>
      <c r="AA7" s="717" t="str">
        <f ca="1">IFERROR(VLOOKUP(AA$2,Rango_Admin_DailyPred,MATCH($F7,Rango_Admin_DailyPred_Primera,0),0),"-")</f>
        <v>-</v>
      </c>
      <c r="AB7" s="717" t="str">
        <f ca="1">IFERROR(VLOOKUP(AB$2,Rango_Admin_DailyPred,MATCH($F7,Rango_Admin_DailyPred_Primera,0),0),"-")</f>
        <v>-</v>
      </c>
      <c r="AC7" s="717" t="str">
        <f ca="1">IFERROR(VLOOKUP(AC$2,Rango_Admin_DailyPred,MATCH($F7,Rango_Admin_DailyPred_Primera,0),0),"-")</f>
        <v>-</v>
      </c>
      <c r="AD7" s="717" t="str">
        <f ca="1">IFERROR(VLOOKUP(AD$2,Rango_Admin_DailyPred,MATCH($F7,Rango_Admin_DailyPred_Primera,0),0),"-")</f>
        <v>-</v>
      </c>
      <c r="AE7" s="717" t="str">
        <f ca="1">IFERROR(VLOOKUP(AE$2,Rango_Admin_DailyPred,MATCH($F7,Rango_Admin_DailyPred_Primera,0),0),"-")</f>
        <v>-</v>
      </c>
      <c r="AF7" s="717" t="str">
        <f ca="1">IFERROR(VLOOKUP(AF$2,Rango_Admin_DailyPred,MATCH($F7,Rango_Admin_DailyPred_Primera,0),0),"-")</f>
        <v>-</v>
      </c>
      <c r="AG7" s="717" t="str">
        <f ca="1">IFERROR(VLOOKUP(AG$2,Rango_Admin_DailyPred,MATCH($F7,Rango_Admin_DailyPred_Primera,0),0),"-")</f>
        <v>-</v>
      </c>
      <c r="AH7" s="717" t="str">
        <f ca="1">IFERROR(VLOOKUP(AH$2,Rango_Admin_DailyPred,MATCH($F7,Rango_Admin_DailyPred_Primera,0),0),"-")</f>
        <v>-</v>
      </c>
      <c r="AI7" s="717" t="str">
        <f ca="1">IFERROR(VLOOKUP(AI$2,Rango_Admin_DailyPred,MATCH($F7,Rango_Admin_DailyPred_Primera,0),0),"-")</f>
        <v>-</v>
      </c>
      <c r="AJ7" s="717" t="str">
        <f ca="1">IFERROR(VLOOKUP(AJ$2,Rango_Admin_DailyPred,MATCH($F7,Rango_Admin_DailyPred_Primera,0),0),"-")</f>
        <v>-</v>
      </c>
      <c r="AK7" s="717" t="str">
        <f ca="1">IFERROR(VLOOKUP(AK$2,Rango_Admin_DailyPred,MATCH($F7,Rango_Admin_DailyPred_Primera,0),0),"-")</f>
        <v>-</v>
      </c>
      <c r="AL7" s="717" t="str">
        <f ca="1">IFERROR(VLOOKUP(AL$2,Rango_Admin_DailyPred,MATCH($F7,Rango_Admin_DailyPred_Primera,0),0),"-")</f>
        <v>-</v>
      </c>
      <c r="AM7" s="295"/>
      <c r="AN7" s="295"/>
      <c r="AO7" s="295"/>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834" t="str" cm="1">
        <f t="array" ref="F8">IFERROR(INDEX(Rango_Admin_DailyPred_Primera,1,E8),"-")</f>
        <v>Alvaro Gomes</v>
      </c>
      <c r="G8" s="835" t="str">
        <f ca="1">IFERROR(VLOOKUP(G$2,Rango_Admin_DailyPred,MATCH($F8,Rango_Admin_DailyPred_Primera,0),0),"-")</f>
        <v>2|0-2</v>
      </c>
      <c r="H8" s="835" t="str">
        <f ca="1">IFERROR(VLOOKUP(H$2,Rango_Admin_DailyPred,MATCH($F8,Rango_Admin_DailyPred_Primera,0),0),"-")</f>
        <v>1|2-1</v>
      </c>
      <c r="I8" s="835" t="str">
        <f ca="1">IFERROR(VLOOKUP(I$2,Rango_Admin_DailyPred,MATCH($F8,Rango_Admin_DailyPred_Primera,0),0),"-")</f>
        <v>2|0-2</v>
      </c>
      <c r="J8" s="835" t="str">
        <f ca="1">IFERROR(VLOOKUP(J$2,Rango_Admin_DailyPred,MATCH($F8,Rango_Admin_DailyPred_Primera,0),0),"-")</f>
        <v>2|0-2</v>
      </c>
      <c r="K8" s="835" t="str">
        <f ca="1">IFERROR(VLOOKUP(K$2,Rango_Admin_DailyPred,MATCH($F8,Rango_Admin_DailyPred_Primera,0),0),"-")</f>
        <v>-</v>
      </c>
      <c r="L8" s="835" t="str">
        <f ca="1">IFERROR(VLOOKUP(L$2,Rango_Admin_DailyPred,MATCH($F8,Rango_Admin_DailyPred_Primera,0),0),"-")</f>
        <v>-</v>
      </c>
      <c r="M8" s="835" t="str">
        <f ca="1">IFERROR(VLOOKUP(M$2,Rango_Admin_DailyPred,MATCH($F8,Rango_Admin_DailyPred_Primera,0),0),"-")</f>
        <v>-</v>
      </c>
      <c r="N8" s="835" t="str">
        <f ca="1">IFERROR(VLOOKUP(N$2,Rango_Admin_DailyPred,MATCH($F8,Rango_Admin_DailyPred_Primera,0),0),"-")</f>
        <v>-</v>
      </c>
      <c r="O8" s="835" t="str">
        <f ca="1">IFERROR(VLOOKUP(O$2,Rango_Admin_DailyPred,MATCH($F8,Rango_Admin_DailyPred_Primera,0),0),"-")</f>
        <v>-</v>
      </c>
      <c r="P8" s="835" t="str">
        <f ca="1">IFERROR(VLOOKUP(P$2,Rango_Admin_DailyPred,MATCH($F8,Rango_Admin_DailyPred_Primera,0),0),"-")</f>
        <v>-</v>
      </c>
      <c r="Q8" s="835" t="str">
        <f ca="1">IFERROR(VLOOKUP(Q$2,Rango_Admin_DailyPred,MATCH($F8,Rango_Admin_DailyPred_Primera,0),0),"-")</f>
        <v>-</v>
      </c>
      <c r="R8" s="835" t="str">
        <f ca="1">IFERROR(VLOOKUP(R$2,Rango_Admin_DailyPred,MATCH($F8,Rango_Admin_DailyPred_Primera,0),0),"-")</f>
        <v>-</v>
      </c>
      <c r="S8" s="835" t="str">
        <f ca="1">IFERROR(VLOOKUP(S$2,Rango_Admin_DailyPred,MATCH($F8,Rango_Admin_DailyPred_Primera,0),0),"-")</f>
        <v>-</v>
      </c>
      <c r="T8" s="835" t="str">
        <f ca="1">IFERROR(VLOOKUP(T$2,Rango_Admin_DailyPred,MATCH($F8,Rango_Admin_DailyPred_Primera,0),0),"-")</f>
        <v>-</v>
      </c>
      <c r="U8" s="835" t="str">
        <f ca="1">IFERROR(VLOOKUP(U$2,Rango_Admin_DailyPred,MATCH($F8,Rango_Admin_DailyPred_Primera,0),0),"-")</f>
        <v>-</v>
      </c>
      <c r="V8" s="835" t="str">
        <f ca="1">IFERROR(VLOOKUP(V$2,Rango_Admin_DailyPred,MATCH($F8,Rango_Admin_DailyPred_Primera,0),0),"-")</f>
        <v>-</v>
      </c>
      <c r="W8" s="835" t="str">
        <f ca="1">IFERROR(VLOOKUP(W$2,Rango_Admin_DailyPred,MATCH($F8,Rango_Admin_DailyPred_Primera,0),0),"-")</f>
        <v>-</v>
      </c>
      <c r="X8" s="835" t="str">
        <f ca="1">IFERROR(VLOOKUP(X$2,Rango_Admin_DailyPred,MATCH($F8,Rango_Admin_DailyPred_Primera,0),0),"-")</f>
        <v>-</v>
      </c>
      <c r="Y8" s="835" t="str">
        <f ca="1">IFERROR(VLOOKUP(Y$2,Rango_Admin_DailyPred,MATCH($F8,Rango_Admin_DailyPred_Primera,0),0),"-")</f>
        <v>-</v>
      </c>
      <c r="Z8" s="835" t="str">
        <f ca="1">IFERROR(VLOOKUP(Z$2,Rango_Admin_DailyPred,MATCH($F8,Rango_Admin_DailyPred_Primera,0),0),"-")</f>
        <v>-</v>
      </c>
      <c r="AA8" s="835" t="str">
        <f ca="1">IFERROR(VLOOKUP(AA$2,Rango_Admin_DailyPred,MATCH($F8,Rango_Admin_DailyPred_Primera,0),0),"-")</f>
        <v>-</v>
      </c>
      <c r="AB8" s="835" t="str">
        <f ca="1">IFERROR(VLOOKUP(AB$2,Rango_Admin_DailyPred,MATCH($F8,Rango_Admin_DailyPred_Primera,0),0),"-")</f>
        <v>-</v>
      </c>
      <c r="AC8" s="835" t="str">
        <f ca="1">IFERROR(VLOOKUP(AC$2,Rango_Admin_DailyPred,MATCH($F8,Rango_Admin_DailyPred_Primera,0),0),"-")</f>
        <v>-</v>
      </c>
      <c r="AD8" s="835" t="str">
        <f ca="1">IFERROR(VLOOKUP(AD$2,Rango_Admin_DailyPred,MATCH($F8,Rango_Admin_DailyPred_Primera,0),0),"-")</f>
        <v>-</v>
      </c>
      <c r="AE8" s="835" t="str">
        <f ca="1">IFERROR(VLOOKUP(AE$2,Rango_Admin_DailyPred,MATCH($F8,Rango_Admin_DailyPred_Primera,0),0),"-")</f>
        <v>-</v>
      </c>
      <c r="AF8" s="835" t="str">
        <f ca="1">IFERROR(VLOOKUP(AF$2,Rango_Admin_DailyPred,MATCH($F8,Rango_Admin_DailyPred_Primera,0),0),"-")</f>
        <v>-</v>
      </c>
      <c r="AG8" s="835" t="str">
        <f ca="1">IFERROR(VLOOKUP(AG$2,Rango_Admin_DailyPred,MATCH($F8,Rango_Admin_DailyPred_Primera,0),0),"-")</f>
        <v>-</v>
      </c>
      <c r="AH8" s="835" t="str">
        <f ca="1">IFERROR(VLOOKUP(AH$2,Rango_Admin_DailyPred,MATCH($F8,Rango_Admin_DailyPred_Primera,0),0),"-")</f>
        <v>-</v>
      </c>
      <c r="AI8" s="835" t="str">
        <f ca="1">IFERROR(VLOOKUP(AI$2,Rango_Admin_DailyPred,MATCH($F8,Rango_Admin_DailyPred_Primera,0),0),"-")</f>
        <v>-</v>
      </c>
      <c r="AJ8" s="835" t="str">
        <f ca="1">IFERROR(VLOOKUP(AJ$2,Rango_Admin_DailyPred,MATCH($F8,Rango_Admin_DailyPred_Primera,0),0),"-")</f>
        <v>-</v>
      </c>
      <c r="AK8" s="835" t="str">
        <f ca="1">IFERROR(VLOOKUP(AK$2,Rango_Admin_DailyPred,MATCH($F8,Rango_Admin_DailyPred_Primera,0),0),"-")</f>
        <v>-</v>
      </c>
      <c r="AL8" s="835" t="str">
        <f ca="1">IFERROR(VLOOKUP(AL$2,Rango_Admin_DailyPred,MATCH($F8,Rango_Admin_DailyPred_Primera,0),0),"-")</f>
        <v>-</v>
      </c>
      <c r="AM8" s="295"/>
      <c r="AN8" s="295"/>
      <c r="AO8" s="295"/>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833" t="str" cm="1">
        <f t="array" ref="F9">IFERROR(INDEX(Rango_Admin_DailyPred_Primera,1,E9),"-")</f>
        <v>Anthony Pinto</v>
      </c>
      <c r="G9" s="717" t="str">
        <f ca="1">IFERROR(VLOOKUP(G$2,Rango_Admin_DailyPred,MATCH($F9,Rango_Admin_DailyPred_Primera,0),0),"-")</f>
        <v>2|0-2</v>
      </c>
      <c r="H9" s="717" t="str">
        <f ca="1">IFERROR(VLOOKUP(H$2,Rango_Admin_DailyPred,MATCH($F9,Rango_Admin_DailyPred_Primera,0),0),"-")</f>
        <v>2|1-2</v>
      </c>
      <c r="I9" s="717" t="str">
        <f ca="1">IFERROR(VLOOKUP(I$2,Rango_Admin_DailyPred,MATCH($F9,Rango_Admin_DailyPred_Primera,0),0),"-")</f>
        <v>2|0-2</v>
      </c>
      <c r="J9" s="717" t="str">
        <f ca="1">IFERROR(VLOOKUP(J$2,Rango_Admin_DailyPred,MATCH($F9,Rango_Admin_DailyPred_Primera,0),0),"-")</f>
        <v>2|1-2</v>
      </c>
      <c r="K9" s="717" t="str">
        <f ca="1">IFERROR(VLOOKUP(K$2,Rango_Admin_DailyPred,MATCH($F9,Rango_Admin_DailyPred_Primera,0),0),"-")</f>
        <v>-</v>
      </c>
      <c r="L9" s="717" t="str">
        <f ca="1">IFERROR(VLOOKUP(L$2,Rango_Admin_DailyPred,MATCH($F9,Rango_Admin_DailyPred_Primera,0),0),"-")</f>
        <v>-</v>
      </c>
      <c r="M9" s="717" t="str">
        <f ca="1">IFERROR(VLOOKUP(M$2,Rango_Admin_DailyPred,MATCH($F9,Rango_Admin_DailyPred_Primera,0),0),"-")</f>
        <v>-</v>
      </c>
      <c r="N9" s="717" t="str">
        <f ca="1">IFERROR(VLOOKUP(N$2,Rango_Admin_DailyPred,MATCH($F9,Rango_Admin_DailyPred_Primera,0),0),"-")</f>
        <v>-</v>
      </c>
      <c r="O9" s="717" t="str">
        <f ca="1">IFERROR(VLOOKUP(O$2,Rango_Admin_DailyPred,MATCH($F9,Rango_Admin_DailyPred_Primera,0),0),"-")</f>
        <v>-</v>
      </c>
      <c r="P9" s="717" t="str">
        <f ca="1">IFERROR(VLOOKUP(P$2,Rango_Admin_DailyPred,MATCH($F9,Rango_Admin_DailyPred_Primera,0),0),"-")</f>
        <v>-</v>
      </c>
      <c r="Q9" s="717" t="str">
        <f ca="1">IFERROR(VLOOKUP(Q$2,Rango_Admin_DailyPred,MATCH($F9,Rango_Admin_DailyPred_Primera,0),0),"-")</f>
        <v>-</v>
      </c>
      <c r="R9" s="717" t="str">
        <f ca="1">IFERROR(VLOOKUP(R$2,Rango_Admin_DailyPred,MATCH($F9,Rango_Admin_DailyPred_Primera,0),0),"-")</f>
        <v>-</v>
      </c>
      <c r="S9" s="717" t="str">
        <f ca="1">IFERROR(VLOOKUP(S$2,Rango_Admin_DailyPred,MATCH($F9,Rango_Admin_DailyPred_Primera,0),0),"-")</f>
        <v>-</v>
      </c>
      <c r="T9" s="717" t="str">
        <f ca="1">IFERROR(VLOOKUP(T$2,Rango_Admin_DailyPred,MATCH($F9,Rango_Admin_DailyPred_Primera,0),0),"-")</f>
        <v>-</v>
      </c>
      <c r="U9" s="717" t="str">
        <f ca="1">IFERROR(VLOOKUP(U$2,Rango_Admin_DailyPred,MATCH($F9,Rango_Admin_DailyPred_Primera,0),0),"-")</f>
        <v>-</v>
      </c>
      <c r="V9" s="717" t="str">
        <f ca="1">IFERROR(VLOOKUP(V$2,Rango_Admin_DailyPred,MATCH($F9,Rango_Admin_DailyPred_Primera,0),0),"-")</f>
        <v>-</v>
      </c>
      <c r="W9" s="717" t="str">
        <f ca="1">IFERROR(VLOOKUP(W$2,Rango_Admin_DailyPred,MATCH($F9,Rango_Admin_DailyPred_Primera,0),0),"-")</f>
        <v>-</v>
      </c>
      <c r="X9" s="717" t="str">
        <f ca="1">IFERROR(VLOOKUP(X$2,Rango_Admin_DailyPred,MATCH($F9,Rango_Admin_DailyPred_Primera,0),0),"-")</f>
        <v>-</v>
      </c>
      <c r="Y9" s="717" t="str">
        <f ca="1">IFERROR(VLOOKUP(Y$2,Rango_Admin_DailyPred,MATCH($F9,Rango_Admin_DailyPred_Primera,0),0),"-")</f>
        <v>-</v>
      </c>
      <c r="Z9" s="717" t="str">
        <f ca="1">IFERROR(VLOOKUP(Z$2,Rango_Admin_DailyPred,MATCH($F9,Rango_Admin_DailyPred_Primera,0),0),"-")</f>
        <v>-</v>
      </c>
      <c r="AA9" s="717" t="str">
        <f ca="1">IFERROR(VLOOKUP(AA$2,Rango_Admin_DailyPred,MATCH($F9,Rango_Admin_DailyPred_Primera,0),0),"-")</f>
        <v>-</v>
      </c>
      <c r="AB9" s="717" t="str">
        <f ca="1">IFERROR(VLOOKUP(AB$2,Rango_Admin_DailyPred,MATCH($F9,Rango_Admin_DailyPred_Primera,0),0),"-")</f>
        <v>-</v>
      </c>
      <c r="AC9" s="717" t="str">
        <f ca="1">IFERROR(VLOOKUP(AC$2,Rango_Admin_DailyPred,MATCH($F9,Rango_Admin_DailyPred_Primera,0),0),"-")</f>
        <v>-</v>
      </c>
      <c r="AD9" s="717" t="str">
        <f ca="1">IFERROR(VLOOKUP(AD$2,Rango_Admin_DailyPred,MATCH($F9,Rango_Admin_DailyPred_Primera,0),0),"-")</f>
        <v>-</v>
      </c>
      <c r="AE9" s="717" t="str">
        <f ca="1">IFERROR(VLOOKUP(AE$2,Rango_Admin_DailyPred,MATCH($F9,Rango_Admin_DailyPred_Primera,0),0),"-")</f>
        <v>-</v>
      </c>
      <c r="AF9" s="717" t="str">
        <f ca="1">IFERROR(VLOOKUP(AF$2,Rango_Admin_DailyPred,MATCH($F9,Rango_Admin_DailyPred_Primera,0),0),"-")</f>
        <v>-</v>
      </c>
      <c r="AG9" s="717" t="str">
        <f ca="1">IFERROR(VLOOKUP(AG$2,Rango_Admin_DailyPred,MATCH($F9,Rango_Admin_DailyPred_Primera,0),0),"-")</f>
        <v>-</v>
      </c>
      <c r="AH9" s="717" t="str">
        <f ca="1">IFERROR(VLOOKUP(AH$2,Rango_Admin_DailyPred,MATCH($F9,Rango_Admin_DailyPred_Primera,0),0),"-")</f>
        <v>-</v>
      </c>
      <c r="AI9" s="717" t="str">
        <f ca="1">IFERROR(VLOOKUP(AI$2,Rango_Admin_DailyPred,MATCH($F9,Rango_Admin_DailyPred_Primera,0),0),"-")</f>
        <v>-</v>
      </c>
      <c r="AJ9" s="717" t="str">
        <f ca="1">IFERROR(VLOOKUP(AJ$2,Rango_Admin_DailyPred,MATCH($F9,Rango_Admin_DailyPred_Primera,0),0),"-")</f>
        <v>-</v>
      </c>
      <c r="AK9" s="717" t="str">
        <f ca="1">IFERROR(VLOOKUP(AK$2,Rango_Admin_DailyPred,MATCH($F9,Rango_Admin_DailyPred_Primera,0),0),"-")</f>
        <v>-</v>
      </c>
      <c r="AL9" s="717" t="str">
        <f ca="1">IFERROR(VLOOKUP(AL$2,Rango_Admin_DailyPred,MATCH($F9,Rango_Admin_DailyPred_Primera,0),0),"-")</f>
        <v>-</v>
      </c>
      <c r="AM9" s="295"/>
      <c r="AN9" s="295"/>
      <c r="AO9" s="295"/>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834" t="str" cm="1">
        <f t="array" ref="F10">IFERROR(INDEX(Rango_Admin_DailyPred_Primera,1,E10),"-")</f>
        <v>CarBitos</v>
      </c>
      <c r="G10" s="835" t="str">
        <f ca="1">IFERROR(VLOOKUP(G$2,Rango_Admin_DailyPred,MATCH($F10,Rango_Admin_DailyPred_Primera,0),0),"-")</f>
        <v>2|0-4</v>
      </c>
      <c r="H10" s="835" t="str">
        <f ca="1">IFERROR(VLOOKUP(H$2,Rango_Admin_DailyPred,MATCH($F10,Rango_Admin_DailyPred_Primera,0),0),"-")</f>
        <v>X|2-2</v>
      </c>
      <c r="I10" s="835" t="str">
        <f ca="1">IFERROR(VLOOKUP(I$2,Rango_Admin_DailyPred,MATCH($F10,Rango_Admin_DailyPred_Primera,0),0),"-")</f>
        <v>2|0-1</v>
      </c>
      <c r="J10" s="835" t="str">
        <f ca="1">IFERROR(VLOOKUP(J$2,Rango_Admin_DailyPred,MATCH($F10,Rango_Admin_DailyPred_Primera,0),0),"-")</f>
        <v>2|0-3</v>
      </c>
      <c r="K10" s="835" t="str">
        <f ca="1">IFERROR(VLOOKUP(K$2,Rango_Admin_DailyPred,MATCH($F10,Rango_Admin_DailyPred_Primera,0),0),"-")</f>
        <v>-</v>
      </c>
      <c r="L10" s="835" t="str">
        <f ca="1">IFERROR(VLOOKUP(L$2,Rango_Admin_DailyPred,MATCH($F10,Rango_Admin_DailyPred_Primera,0),0),"-")</f>
        <v>-</v>
      </c>
      <c r="M10" s="835" t="str">
        <f ca="1">IFERROR(VLOOKUP(M$2,Rango_Admin_DailyPred,MATCH($F10,Rango_Admin_DailyPred_Primera,0),0),"-")</f>
        <v>-</v>
      </c>
      <c r="N10" s="835" t="str">
        <f ca="1">IFERROR(VLOOKUP(N$2,Rango_Admin_DailyPred,MATCH($F10,Rango_Admin_DailyPred_Primera,0),0),"-")</f>
        <v>-</v>
      </c>
      <c r="O10" s="835" t="str">
        <f ca="1">IFERROR(VLOOKUP(O$2,Rango_Admin_DailyPred,MATCH($F10,Rango_Admin_DailyPred_Primera,0),0),"-")</f>
        <v>-</v>
      </c>
      <c r="P10" s="835" t="str">
        <f ca="1">IFERROR(VLOOKUP(P$2,Rango_Admin_DailyPred,MATCH($F10,Rango_Admin_DailyPred_Primera,0),0),"-")</f>
        <v>-</v>
      </c>
      <c r="Q10" s="835" t="str">
        <f ca="1">IFERROR(VLOOKUP(Q$2,Rango_Admin_DailyPred,MATCH($F10,Rango_Admin_DailyPred_Primera,0),0),"-")</f>
        <v>-</v>
      </c>
      <c r="R10" s="835" t="str">
        <f ca="1">IFERROR(VLOOKUP(R$2,Rango_Admin_DailyPred,MATCH($F10,Rango_Admin_DailyPred_Primera,0),0),"-")</f>
        <v>-</v>
      </c>
      <c r="S10" s="835" t="str">
        <f ca="1">IFERROR(VLOOKUP(S$2,Rango_Admin_DailyPred,MATCH($F10,Rango_Admin_DailyPred_Primera,0),0),"-")</f>
        <v>-</v>
      </c>
      <c r="T10" s="835" t="str">
        <f ca="1">IFERROR(VLOOKUP(T$2,Rango_Admin_DailyPred,MATCH($F10,Rango_Admin_DailyPred_Primera,0),0),"-")</f>
        <v>-</v>
      </c>
      <c r="U10" s="835" t="str">
        <f ca="1">IFERROR(VLOOKUP(U$2,Rango_Admin_DailyPred,MATCH($F10,Rango_Admin_DailyPred_Primera,0),0),"-")</f>
        <v>-</v>
      </c>
      <c r="V10" s="835" t="str">
        <f ca="1">IFERROR(VLOOKUP(V$2,Rango_Admin_DailyPred,MATCH($F10,Rango_Admin_DailyPred_Primera,0),0),"-")</f>
        <v>-</v>
      </c>
      <c r="W10" s="835" t="str">
        <f ca="1">IFERROR(VLOOKUP(W$2,Rango_Admin_DailyPred,MATCH($F10,Rango_Admin_DailyPred_Primera,0),0),"-")</f>
        <v>-</v>
      </c>
      <c r="X10" s="835" t="str">
        <f ca="1">IFERROR(VLOOKUP(X$2,Rango_Admin_DailyPred,MATCH($F10,Rango_Admin_DailyPred_Primera,0),0),"-")</f>
        <v>-</v>
      </c>
      <c r="Y10" s="835" t="str">
        <f ca="1">IFERROR(VLOOKUP(Y$2,Rango_Admin_DailyPred,MATCH($F10,Rango_Admin_DailyPred_Primera,0),0),"-")</f>
        <v>-</v>
      </c>
      <c r="Z10" s="835" t="str">
        <f ca="1">IFERROR(VLOOKUP(Z$2,Rango_Admin_DailyPred,MATCH($F10,Rango_Admin_DailyPred_Primera,0),0),"-")</f>
        <v>-</v>
      </c>
      <c r="AA10" s="835" t="str">
        <f ca="1">IFERROR(VLOOKUP(AA$2,Rango_Admin_DailyPred,MATCH($F10,Rango_Admin_DailyPred_Primera,0),0),"-")</f>
        <v>-</v>
      </c>
      <c r="AB10" s="835" t="str">
        <f ca="1">IFERROR(VLOOKUP(AB$2,Rango_Admin_DailyPred,MATCH($F10,Rango_Admin_DailyPred_Primera,0),0),"-")</f>
        <v>-</v>
      </c>
      <c r="AC10" s="835" t="str">
        <f ca="1">IFERROR(VLOOKUP(AC$2,Rango_Admin_DailyPred,MATCH($F10,Rango_Admin_DailyPred_Primera,0),0),"-")</f>
        <v>-</v>
      </c>
      <c r="AD10" s="835" t="str">
        <f ca="1">IFERROR(VLOOKUP(AD$2,Rango_Admin_DailyPred,MATCH($F10,Rango_Admin_DailyPred_Primera,0),0),"-")</f>
        <v>-</v>
      </c>
      <c r="AE10" s="835" t="str">
        <f ca="1">IFERROR(VLOOKUP(AE$2,Rango_Admin_DailyPred,MATCH($F10,Rango_Admin_DailyPred_Primera,0),0),"-")</f>
        <v>-</v>
      </c>
      <c r="AF10" s="835" t="str">
        <f ca="1">IFERROR(VLOOKUP(AF$2,Rango_Admin_DailyPred,MATCH($F10,Rango_Admin_DailyPred_Primera,0),0),"-")</f>
        <v>-</v>
      </c>
      <c r="AG10" s="835" t="str">
        <f ca="1">IFERROR(VLOOKUP(AG$2,Rango_Admin_DailyPred,MATCH($F10,Rango_Admin_DailyPred_Primera,0),0),"-")</f>
        <v>-</v>
      </c>
      <c r="AH10" s="835" t="str">
        <f ca="1">IFERROR(VLOOKUP(AH$2,Rango_Admin_DailyPred,MATCH($F10,Rango_Admin_DailyPred_Primera,0),0),"-")</f>
        <v>-</v>
      </c>
      <c r="AI10" s="835" t="str">
        <f ca="1">IFERROR(VLOOKUP(AI$2,Rango_Admin_DailyPred,MATCH($F10,Rango_Admin_DailyPred_Primera,0),0),"-")</f>
        <v>-</v>
      </c>
      <c r="AJ10" s="835" t="str">
        <f ca="1">IFERROR(VLOOKUP(AJ$2,Rango_Admin_DailyPred,MATCH($F10,Rango_Admin_DailyPred_Primera,0),0),"-")</f>
        <v>-</v>
      </c>
      <c r="AK10" s="835" t="str">
        <f ca="1">IFERROR(VLOOKUP(AK$2,Rango_Admin_DailyPred,MATCH($F10,Rango_Admin_DailyPred_Primera,0),0),"-")</f>
        <v>-</v>
      </c>
      <c r="AL10" s="835" t="str">
        <f ca="1">IFERROR(VLOOKUP(AL$2,Rango_Admin_DailyPred,MATCH($F10,Rango_Admin_DailyPred_Primera,0),0),"-")</f>
        <v>-</v>
      </c>
      <c r="AM10" s="295"/>
      <c r="AN10" s="295"/>
      <c r="AO10" s="295"/>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833" t="str" cm="1">
        <f t="array" ref="F11">IFERROR(INDEX(Rango_Admin_DailyPred_Primera,1,E11),"-")</f>
        <v>Carlos Quintero</v>
      </c>
      <c r="G11" s="717" t="str">
        <f ca="1">IFERROR(VLOOKUP(G$2,Rango_Admin_DailyPred,MATCH($F11,Rango_Admin_DailyPred_Primera,0),0),"-")</f>
        <v>2|1-3</v>
      </c>
      <c r="H11" s="717" t="str">
        <f ca="1">IFERROR(VLOOKUP(H$2,Rango_Admin_DailyPred,MATCH($F11,Rango_Admin_DailyPred_Primera,0),0),"-")</f>
        <v>X|2-2</v>
      </c>
      <c r="I11" s="717" t="str">
        <f ca="1">IFERROR(VLOOKUP(I$2,Rango_Admin_DailyPred,MATCH($F11,Rango_Admin_DailyPred_Primera,0),0),"-")</f>
        <v>2|0-2</v>
      </c>
      <c r="J11" s="717" t="str">
        <f ca="1">IFERROR(VLOOKUP(J$2,Rango_Admin_DailyPred,MATCH($F11,Rango_Admin_DailyPred_Primera,0),0),"-")</f>
        <v>2|1-2</v>
      </c>
      <c r="K11" s="717" t="str">
        <f ca="1">IFERROR(VLOOKUP(K$2,Rango_Admin_DailyPred,MATCH($F11,Rango_Admin_DailyPred_Primera,0),0),"-")</f>
        <v>-</v>
      </c>
      <c r="L11" s="717" t="str">
        <f ca="1">IFERROR(VLOOKUP(L$2,Rango_Admin_DailyPred,MATCH($F11,Rango_Admin_DailyPred_Primera,0),0),"-")</f>
        <v>-</v>
      </c>
      <c r="M11" s="717" t="str">
        <f ca="1">IFERROR(VLOOKUP(M$2,Rango_Admin_DailyPred,MATCH($F11,Rango_Admin_DailyPred_Primera,0),0),"-")</f>
        <v>-</v>
      </c>
      <c r="N11" s="717" t="str">
        <f ca="1">IFERROR(VLOOKUP(N$2,Rango_Admin_DailyPred,MATCH($F11,Rango_Admin_DailyPred_Primera,0),0),"-")</f>
        <v>-</v>
      </c>
      <c r="O11" s="717" t="str">
        <f ca="1">IFERROR(VLOOKUP(O$2,Rango_Admin_DailyPred,MATCH($F11,Rango_Admin_DailyPred_Primera,0),0),"-")</f>
        <v>-</v>
      </c>
      <c r="P11" s="717" t="str">
        <f ca="1">IFERROR(VLOOKUP(P$2,Rango_Admin_DailyPred,MATCH($F11,Rango_Admin_DailyPred_Primera,0),0),"-")</f>
        <v>-</v>
      </c>
      <c r="Q11" s="717" t="str">
        <f ca="1">IFERROR(VLOOKUP(Q$2,Rango_Admin_DailyPred,MATCH($F11,Rango_Admin_DailyPred_Primera,0),0),"-")</f>
        <v>-</v>
      </c>
      <c r="R11" s="717" t="str">
        <f ca="1">IFERROR(VLOOKUP(R$2,Rango_Admin_DailyPred,MATCH($F11,Rango_Admin_DailyPred_Primera,0),0),"-")</f>
        <v>-</v>
      </c>
      <c r="S11" s="717" t="str">
        <f ca="1">IFERROR(VLOOKUP(S$2,Rango_Admin_DailyPred,MATCH($F11,Rango_Admin_DailyPred_Primera,0),0),"-")</f>
        <v>-</v>
      </c>
      <c r="T11" s="717" t="str">
        <f ca="1">IFERROR(VLOOKUP(T$2,Rango_Admin_DailyPred,MATCH($F11,Rango_Admin_DailyPred_Primera,0),0),"-")</f>
        <v>-</v>
      </c>
      <c r="U11" s="717" t="str">
        <f ca="1">IFERROR(VLOOKUP(U$2,Rango_Admin_DailyPred,MATCH($F11,Rango_Admin_DailyPred_Primera,0),0),"-")</f>
        <v>-</v>
      </c>
      <c r="V11" s="717" t="str">
        <f ca="1">IFERROR(VLOOKUP(V$2,Rango_Admin_DailyPred,MATCH($F11,Rango_Admin_DailyPred_Primera,0),0),"-")</f>
        <v>-</v>
      </c>
      <c r="W11" s="717" t="str">
        <f ca="1">IFERROR(VLOOKUP(W$2,Rango_Admin_DailyPred,MATCH($F11,Rango_Admin_DailyPred_Primera,0),0),"-")</f>
        <v>-</v>
      </c>
      <c r="X11" s="717" t="str">
        <f ca="1">IFERROR(VLOOKUP(X$2,Rango_Admin_DailyPred,MATCH($F11,Rango_Admin_DailyPred_Primera,0),0),"-")</f>
        <v>-</v>
      </c>
      <c r="Y11" s="717" t="str">
        <f ca="1">IFERROR(VLOOKUP(Y$2,Rango_Admin_DailyPred,MATCH($F11,Rango_Admin_DailyPred_Primera,0),0),"-")</f>
        <v>-</v>
      </c>
      <c r="Z11" s="717" t="str">
        <f ca="1">IFERROR(VLOOKUP(Z$2,Rango_Admin_DailyPred,MATCH($F11,Rango_Admin_DailyPred_Primera,0),0),"-")</f>
        <v>-</v>
      </c>
      <c r="AA11" s="717" t="str">
        <f ca="1">IFERROR(VLOOKUP(AA$2,Rango_Admin_DailyPred,MATCH($F11,Rango_Admin_DailyPred_Primera,0),0),"-")</f>
        <v>-</v>
      </c>
      <c r="AB11" s="717" t="str">
        <f ca="1">IFERROR(VLOOKUP(AB$2,Rango_Admin_DailyPred,MATCH($F11,Rango_Admin_DailyPred_Primera,0),0),"-")</f>
        <v>-</v>
      </c>
      <c r="AC11" s="717" t="str">
        <f ca="1">IFERROR(VLOOKUP(AC$2,Rango_Admin_DailyPred,MATCH($F11,Rango_Admin_DailyPred_Primera,0),0),"-")</f>
        <v>-</v>
      </c>
      <c r="AD11" s="717" t="str">
        <f ca="1">IFERROR(VLOOKUP(AD$2,Rango_Admin_DailyPred,MATCH($F11,Rango_Admin_DailyPred_Primera,0),0),"-")</f>
        <v>-</v>
      </c>
      <c r="AE11" s="717" t="str">
        <f ca="1">IFERROR(VLOOKUP(AE$2,Rango_Admin_DailyPred,MATCH($F11,Rango_Admin_DailyPred_Primera,0),0),"-")</f>
        <v>-</v>
      </c>
      <c r="AF11" s="717" t="str">
        <f ca="1">IFERROR(VLOOKUP(AF$2,Rango_Admin_DailyPred,MATCH($F11,Rango_Admin_DailyPred_Primera,0),0),"-")</f>
        <v>-</v>
      </c>
      <c r="AG11" s="717" t="str">
        <f ca="1">IFERROR(VLOOKUP(AG$2,Rango_Admin_DailyPred,MATCH($F11,Rango_Admin_DailyPred_Primera,0),0),"-")</f>
        <v>-</v>
      </c>
      <c r="AH11" s="717" t="str">
        <f ca="1">IFERROR(VLOOKUP(AH$2,Rango_Admin_DailyPred,MATCH($F11,Rango_Admin_DailyPred_Primera,0),0),"-")</f>
        <v>-</v>
      </c>
      <c r="AI11" s="717" t="str">
        <f ca="1">IFERROR(VLOOKUP(AI$2,Rango_Admin_DailyPred,MATCH($F11,Rango_Admin_DailyPred_Primera,0),0),"-")</f>
        <v>-</v>
      </c>
      <c r="AJ11" s="717" t="str">
        <f ca="1">IFERROR(VLOOKUP(AJ$2,Rango_Admin_DailyPred,MATCH($F11,Rango_Admin_DailyPred_Primera,0),0),"-")</f>
        <v>-</v>
      </c>
      <c r="AK11" s="717" t="str">
        <f ca="1">IFERROR(VLOOKUP(AK$2,Rango_Admin_DailyPred,MATCH($F11,Rango_Admin_DailyPred_Primera,0),0),"-")</f>
        <v>-</v>
      </c>
      <c r="AL11" s="717" t="str">
        <f ca="1">IFERROR(VLOOKUP(AL$2,Rango_Admin_DailyPred,MATCH($F11,Rango_Admin_DailyPred_Primera,0),0),"-")</f>
        <v>-</v>
      </c>
      <c r="AM11" s="295"/>
      <c r="AN11" s="295"/>
      <c r="AO11" s="295"/>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834" t="str" cm="1">
        <f t="array" ref="F12">IFERROR(INDEX(Rango_Admin_DailyPred_Primera,1,E12),"-")</f>
        <v>The special one</v>
      </c>
      <c r="G12" s="835" t="str">
        <f ca="1">IFERROR(VLOOKUP(G$2,Rango_Admin_DailyPred,MATCH($F12,Rango_Admin_DailyPred_Primera,0),0),"-")</f>
        <v>2|0-3</v>
      </c>
      <c r="H12" s="835" t="str">
        <f ca="1">IFERROR(VLOOKUP(H$2,Rango_Admin_DailyPred,MATCH($F12,Rango_Admin_DailyPred_Primera,0),0),"-")</f>
        <v>1|2-1</v>
      </c>
      <c r="I12" s="835" t="str">
        <f ca="1">IFERROR(VLOOKUP(I$2,Rango_Admin_DailyPred,MATCH($F12,Rango_Admin_DailyPred_Primera,0),0),"-")</f>
        <v>2|0-3</v>
      </c>
      <c r="J12" s="835" t="str">
        <f ca="1">IFERROR(VLOOKUP(J$2,Rango_Admin_DailyPred,MATCH($F12,Rango_Admin_DailyPred_Primera,0),0),"-")</f>
        <v>2|0-2</v>
      </c>
      <c r="K12" s="835" t="str">
        <f ca="1">IFERROR(VLOOKUP(K$2,Rango_Admin_DailyPred,MATCH($F12,Rango_Admin_DailyPred_Primera,0),0),"-")</f>
        <v>-</v>
      </c>
      <c r="L12" s="835" t="str">
        <f ca="1">IFERROR(VLOOKUP(L$2,Rango_Admin_DailyPred,MATCH($F12,Rango_Admin_DailyPred_Primera,0),0),"-")</f>
        <v>-</v>
      </c>
      <c r="M12" s="835" t="str">
        <f ca="1">IFERROR(VLOOKUP(M$2,Rango_Admin_DailyPred,MATCH($F12,Rango_Admin_DailyPred_Primera,0),0),"-")</f>
        <v>-</v>
      </c>
      <c r="N12" s="835" t="str">
        <f ca="1">IFERROR(VLOOKUP(N$2,Rango_Admin_DailyPred,MATCH($F12,Rango_Admin_DailyPred_Primera,0),0),"-")</f>
        <v>-</v>
      </c>
      <c r="O12" s="835" t="str">
        <f ca="1">IFERROR(VLOOKUP(O$2,Rango_Admin_DailyPred,MATCH($F12,Rango_Admin_DailyPred_Primera,0),0),"-")</f>
        <v>-</v>
      </c>
      <c r="P12" s="835" t="str">
        <f ca="1">IFERROR(VLOOKUP(P$2,Rango_Admin_DailyPred,MATCH($F12,Rango_Admin_DailyPred_Primera,0),0),"-")</f>
        <v>-</v>
      </c>
      <c r="Q12" s="835" t="str">
        <f ca="1">IFERROR(VLOOKUP(Q$2,Rango_Admin_DailyPred,MATCH($F12,Rango_Admin_DailyPred_Primera,0),0),"-")</f>
        <v>-</v>
      </c>
      <c r="R12" s="835" t="str">
        <f ca="1">IFERROR(VLOOKUP(R$2,Rango_Admin_DailyPred,MATCH($F12,Rango_Admin_DailyPred_Primera,0),0),"-")</f>
        <v>-</v>
      </c>
      <c r="S12" s="835" t="str">
        <f ca="1">IFERROR(VLOOKUP(S$2,Rango_Admin_DailyPred,MATCH($F12,Rango_Admin_DailyPred_Primera,0),0),"-")</f>
        <v>-</v>
      </c>
      <c r="T12" s="835" t="str">
        <f ca="1">IFERROR(VLOOKUP(T$2,Rango_Admin_DailyPred,MATCH($F12,Rango_Admin_DailyPred_Primera,0),0),"-")</f>
        <v>-</v>
      </c>
      <c r="U12" s="835" t="str">
        <f ca="1">IFERROR(VLOOKUP(U$2,Rango_Admin_DailyPred,MATCH($F12,Rango_Admin_DailyPred_Primera,0),0),"-")</f>
        <v>-</v>
      </c>
      <c r="V12" s="835" t="str">
        <f ca="1">IFERROR(VLOOKUP(V$2,Rango_Admin_DailyPred,MATCH($F12,Rango_Admin_DailyPred_Primera,0),0),"-")</f>
        <v>-</v>
      </c>
      <c r="W12" s="835" t="str">
        <f ca="1">IFERROR(VLOOKUP(W$2,Rango_Admin_DailyPred,MATCH($F12,Rango_Admin_DailyPred_Primera,0),0),"-")</f>
        <v>-</v>
      </c>
      <c r="X12" s="835" t="str">
        <f ca="1">IFERROR(VLOOKUP(X$2,Rango_Admin_DailyPred,MATCH($F12,Rango_Admin_DailyPred_Primera,0),0),"-")</f>
        <v>-</v>
      </c>
      <c r="Y12" s="835" t="str">
        <f ca="1">IFERROR(VLOOKUP(Y$2,Rango_Admin_DailyPred,MATCH($F12,Rango_Admin_DailyPred_Primera,0),0),"-")</f>
        <v>-</v>
      </c>
      <c r="Z12" s="835" t="str">
        <f ca="1">IFERROR(VLOOKUP(Z$2,Rango_Admin_DailyPred,MATCH($F12,Rango_Admin_DailyPred_Primera,0),0),"-")</f>
        <v>-</v>
      </c>
      <c r="AA12" s="835" t="str">
        <f ca="1">IFERROR(VLOOKUP(AA$2,Rango_Admin_DailyPred,MATCH($F12,Rango_Admin_DailyPred_Primera,0),0),"-")</f>
        <v>-</v>
      </c>
      <c r="AB12" s="835" t="str">
        <f ca="1">IFERROR(VLOOKUP(AB$2,Rango_Admin_DailyPred,MATCH($F12,Rango_Admin_DailyPred_Primera,0),0),"-")</f>
        <v>-</v>
      </c>
      <c r="AC12" s="835" t="str">
        <f ca="1">IFERROR(VLOOKUP(AC$2,Rango_Admin_DailyPred,MATCH($F12,Rango_Admin_DailyPred_Primera,0),0),"-")</f>
        <v>-</v>
      </c>
      <c r="AD12" s="835" t="str">
        <f ca="1">IFERROR(VLOOKUP(AD$2,Rango_Admin_DailyPred,MATCH($F12,Rango_Admin_DailyPred_Primera,0),0),"-")</f>
        <v>-</v>
      </c>
      <c r="AE12" s="835" t="str">
        <f ca="1">IFERROR(VLOOKUP(AE$2,Rango_Admin_DailyPred,MATCH($F12,Rango_Admin_DailyPred_Primera,0),0),"-")</f>
        <v>-</v>
      </c>
      <c r="AF12" s="835" t="str">
        <f ca="1">IFERROR(VLOOKUP(AF$2,Rango_Admin_DailyPred,MATCH($F12,Rango_Admin_DailyPred_Primera,0),0),"-")</f>
        <v>-</v>
      </c>
      <c r="AG12" s="835" t="str">
        <f ca="1">IFERROR(VLOOKUP(AG$2,Rango_Admin_DailyPred,MATCH($F12,Rango_Admin_DailyPred_Primera,0),0),"-")</f>
        <v>-</v>
      </c>
      <c r="AH12" s="835" t="str">
        <f ca="1">IFERROR(VLOOKUP(AH$2,Rango_Admin_DailyPred,MATCH($F12,Rango_Admin_DailyPred_Primera,0),0),"-")</f>
        <v>-</v>
      </c>
      <c r="AI12" s="835" t="str">
        <f ca="1">IFERROR(VLOOKUP(AI$2,Rango_Admin_DailyPred,MATCH($F12,Rango_Admin_DailyPred_Primera,0),0),"-")</f>
        <v>-</v>
      </c>
      <c r="AJ12" s="835" t="str">
        <f ca="1">IFERROR(VLOOKUP(AJ$2,Rango_Admin_DailyPred,MATCH($F12,Rango_Admin_DailyPred_Primera,0),0),"-")</f>
        <v>-</v>
      </c>
      <c r="AK12" s="835" t="str">
        <f ca="1">IFERROR(VLOOKUP(AK$2,Rango_Admin_DailyPred,MATCH($F12,Rango_Admin_DailyPred_Primera,0),0),"-")</f>
        <v>-</v>
      </c>
      <c r="AL12" s="835" t="str">
        <f ca="1">IFERROR(VLOOKUP(AL$2,Rango_Admin_DailyPred,MATCH($F12,Rango_Admin_DailyPred_Primera,0),0),"-")</f>
        <v>-</v>
      </c>
      <c r="AM12" s="295"/>
      <c r="AN12" s="295"/>
      <c r="AO12" s="295"/>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833" t="str" cm="1">
        <f t="array" ref="F13">IFERROR(INDEX(Rango_Admin_DailyPred_Primera,1,E13),"-")</f>
        <v>Enmanuel Subero</v>
      </c>
      <c r="G13" s="717" t="str">
        <f ca="1">IFERROR(VLOOKUP(G$2,Rango_Admin_DailyPred,MATCH($F13,Rango_Admin_DailyPred_Primera,0),0),"-")</f>
        <v>2|1-3</v>
      </c>
      <c r="H13" s="717" t="str">
        <f ca="1">IFERROR(VLOOKUP(H$2,Rango_Admin_DailyPred,MATCH($F13,Rango_Admin_DailyPred_Primera,0),0),"-")</f>
        <v>1|3-2</v>
      </c>
      <c r="I13" s="717" t="str">
        <f ca="1">IFERROR(VLOOKUP(I$2,Rango_Admin_DailyPred,MATCH($F13,Rango_Admin_DailyPred_Primera,0),0),"-")</f>
        <v>2|0-3</v>
      </c>
      <c r="J13" s="717" t="str">
        <f ca="1">IFERROR(VLOOKUP(J$2,Rango_Admin_DailyPred,MATCH($F13,Rango_Admin_DailyPred_Primera,0),0),"-")</f>
        <v>2|1-3</v>
      </c>
      <c r="K13" s="717" t="str">
        <f ca="1">IFERROR(VLOOKUP(K$2,Rango_Admin_DailyPred,MATCH($F13,Rango_Admin_DailyPred_Primera,0),0),"-")</f>
        <v>-</v>
      </c>
      <c r="L13" s="717" t="str">
        <f ca="1">IFERROR(VLOOKUP(L$2,Rango_Admin_DailyPred,MATCH($F13,Rango_Admin_DailyPred_Primera,0),0),"-")</f>
        <v>-</v>
      </c>
      <c r="M13" s="717" t="str">
        <f ca="1">IFERROR(VLOOKUP(M$2,Rango_Admin_DailyPred,MATCH($F13,Rango_Admin_DailyPred_Primera,0),0),"-")</f>
        <v>-</v>
      </c>
      <c r="N13" s="717" t="str">
        <f ca="1">IFERROR(VLOOKUP(N$2,Rango_Admin_DailyPred,MATCH($F13,Rango_Admin_DailyPred_Primera,0),0),"-")</f>
        <v>-</v>
      </c>
      <c r="O13" s="717" t="str">
        <f ca="1">IFERROR(VLOOKUP(O$2,Rango_Admin_DailyPred,MATCH($F13,Rango_Admin_DailyPred_Primera,0),0),"-")</f>
        <v>-</v>
      </c>
      <c r="P13" s="717" t="str">
        <f ca="1">IFERROR(VLOOKUP(P$2,Rango_Admin_DailyPred,MATCH($F13,Rango_Admin_DailyPred_Primera,0),0),"-")</f>
        <v>-</v>
      </c>
      <c r="Q13" s="717" t="str">
        <f ca="1">IFERROR(VLOOKUP(Q$2,Rango_Admin_DailyPred,MATCH($F13,Rango_Admin_DailyPred_Primera,0),0),"-")</f>
        <v>-</v>
      </c>
      <c r="R13" s="717" t="str">
        <f ca="1">IFERROR(VLOOKUP(R$2,Rango_Admin_DailyPred,MATCH($F13,Rango_Admin_DailyPred_Primera,0),0),"-")</f>
        <v>-</v>
      </c>
      <c r="S13" s="717" t="str">
        <f ca="1">IFERROR(VLOOKUP(S$2,Rango_Admin_DailyPred,MATCH($F13,Rango_Admin_DailyPred_Primera,0),0),"-")</f>
        <v>-</v>
      </c>
      <c r="T13" s="717" t="str">
        <f ca="1">IFERROR(VLOOKUP(T$2,Rango_Admin_DailyPred,MATCH($F13,Rango_Admin_DailyPred_Primera,0),0),"-")</f>
        <v>-</v>
      </c>
      <c r="U13" s="717" t="str">
        <f ca="1">IFERROR(VLOOKUP(U$2,Rango_Admin_DailyPred,MATCH($F13,Rango_Admin_DailyPred_Primera,0),0),"-")</f>
        <v>-</v>
      </c>
      <c r="V13" s="717" t="str">
        <f ca="1">IFERROR(VLOOKUP(V$2,Rango_Admin_DailyPred,MATCH($F13,Rango_Admin_DailyPred_Primera,0),0),"-")</f>
        <v>-</v>
      </c>
      <c r="W13" s="717" t="str">
        <f ca="1">IFERROR(VLOOKUP(W$2,Rango_Admin_DailyPred,MATCH($F13,Rango_Admin_DailyPred_Primera,0),0),"-")</f>
        <v>-</v>
      </c>
      <c r="X13" s="717" t="str">
        <f ca="1">IFERROR(VLOOKUP(X$2,Rango_Admin_DailyPred,MATCH($F13,Rango_Admin_DailyPred_Primera,0),0),"-")</f>
        <v>-</v>
      </c>
      <c r="Y13" s="717" t="str">
        <f ca="1">IFERROR(VLOOKUP(Y$2,Rango_Admin_DailyPred,MATCH($F13,Rango_Admin_DailyPred_Primera,0),0),"-")</f>
        <v>-</v>
      </c>
      <c r="Z13" s="717" t="str">
        <f ca="1">IFERROR(VLOOKUP(Z$2,Rango_Admin_DailyPred,MATCH($F13,Rango_Admin_DailyPred_Primera,0),0),"-")</f>
        <v>-</v>
      </c>
      <c r="AA13" s="717" t="str">
        <f ca="1">IFERROR(VLOOKUP(AA$2,Rango_Admin_DailyPred,MATCH($F13,Rango_Admin_DailyPred_Primera,0),0),"-")</f>
        <v>-</v>
      </c>
      <c r="AB13" s="717" t="str">
        <f ca="1">IFERROR(VLOOKUP(AB$2,Rango_Admin_DailyPred,MATCH($F13,Rango_Admin_DailyPred_Primera,0),0),"-")</f>
        <v>-</v>
      </c>
      <c r="AC13" s="717" t="str">
        <f ca="1">IFERROR(VLOOKUP(AC$2,Rango_Admin_DailyPred,MATCH($F13,Rango_Admin_DailyPred_Primera,0),0),"-")</f>
        <v>-</v>
      </c>
      <c r="AD13" s="717" t="str">
        <f ca="1">IFERROR(VLOOKUP(AD$2,Rango_Admin_DailyPred,MATCH($F13,Rango_Admin_DailyPred_Primera,0),0),"-")</f>
        <v>-</v>
      </c>
      <c r="AE13" s="717" t="str">
        <f ca="1">IFERROR(VLOOKUP(AE$2,Rango_Admin_DailyPred,MATCH($F13,Rango_Admin_DailyPred_Primera,0),0),"-")</f>
        <v>-</v>
      </c>
      <c r="AF13" s="717" t="str">
        <f ca="1">IFERROR(VLOOKUP(AF$2,Rango_Admin_DailyPred,MATCH($F13,Rango_Admin_DailyPred_Primera,0),0),"-")</f>
        <v>-</v>
      </c>
      <c r="AG13" s="717" t="str">
        <f ca="1">IFERROR(VLOOKUP(AG$2,Rango_Admin_DailyPred,MATCH($F13,Rango_Admin_DailyPred_Primera,0),0),"-")</f>
        <v>-</v>
      </c>
      <c r="AH13" s="717" t="str">
        <f ca="1">IFERROR(VLOOKUP(AH$2,Rango_Admin_DailyPred,MATCH($F13,Rango_Admin_DailyPred_Primera,0),0),"-")</f>
        <v>-</v>
      </c>
      <c r="AI13" s="717" t="str">
        <f ca="1">IFERROR(VLOOKUP(AI$2,Rango_Admin_DailyPred,MATCH($F13,Rango_Admin_DailyPred_Primera,0),0),"-")</f>
        <v>-</v>
      </c>
      <c r="AJ13" s="717" t="str">
        <f ca="1">IFERROR(VLOOKUP(AJ$2,Rango_Admin_DailyPred,MATCH($F13,Rango_Admin_DailyPred_Primera,0),0),"-")</f>
        <v>-</v>
      </c>
      <c r="AK13" s="717" t="str">
        <f ca="1">IFERROR(VLOOKUP(AK$2,Rango_Admin_DailyPred,MATCH($F13,Rango_Admin_DailyPred_Primera,0),0),"-")</f>
        <v>-</v>
      </c>
      <c r="AL13" s="717" t="str">
        <f ca="1">IFERROR(VLOOKUP(AL$2,Rango_Admin_DailyPred,MATCH($F13,Rango_Admin_DailyPred_Primera,0),0),"-")</f>
        <v>-</v>
      </c>
      <c r="AM13" s="295"/>
      <c r="AN13" s="295"/>
      <c r="AO13" s="295"/>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834" t="str" cm="1">
        <f t="array" ref="F14">IFERROR(INDEX(Rango_Admin_DailyPred_Primera,1,E14),"-")</f>
        <v>fenix</v>
      </c>
      <c r="G14" s="835" t="str">
        <f ca="1">IFERROR(VLOOKUP(G$2,Rango_Admin_DailyPred,MATCH($F14,Rango_Admin_DailyPred_Primera,0),0),"-")</f>
        <v>2|0-2</v>
      </c>
      <c r="H14" s="835" t="str">
        <f ca="1">IFERROR(VLOOKUP(H$2,Rango_Admin_DailyPred,MATCH($F14,Rango_Admin_DailyPred_Primera,0),0),"-")</f>
        <v>1|2-1</v>
      </c>
      <c r="I14" s="835" t="str">
        <f ca="1">IFERROR(VLOOKUP(I$2,Rango_Admin_DailyPred,MATCH($F14,Rango_Admin_DailyPred_Primera,0),0),"-")</f>
        <v>2|0-3</v>
      </c>
      <c r="J14" s="835" t="str">
        <f ca="1">IFERROR(VLOOKUP(J$2,Rango_Admin_DailyPred,MATCH($F14,Rango_Admin_DailyPred_Primera,0),0),"-")</f>
        <v>2|1-2</v>
      </c>
      <c r="K14" s="835" t="str">
        <f ca="1">IFERROR(VLOOKUP(K$2,Rango_Admin_DailyPred,MATCH($F14,Rango_Admin_DailyPred_Primera,0),0),"-")</f>
        <v>-</v>
      </c>
      <c r="L14" s="835" t="str">
        <f ca="1">IFERROR(VLOOKUP(L$2,Rango_Admin_DailyPred,MATCH($F14,Rango_Admin_DailyPred_Primera,0),0),"-")</f>
        <v>-</v>
      </c>
      <c r="M14" s="835" t="str">
        <f ca="1">IFERROR(VLOOKUP(M$2,Rango_Admin_DailyPred,MATCH($F14,Rango_Admin_DailyPred_Primera,0),0),"-")</f>
        <v>-</v>
      </c>
      <c r="N14" s="835" t="str">
        <f ca="1">IFERROR(VLOOKUP(N$2,Rango_Admin_DailyPred,MATCH($F14,Rango_Admin_DailyPred_Primera,0),0),"-")</f>
        <v>-</v>
      </c>
      <c r="O14" s="835" t="str">
        <f ca="1">IFERROR(VLOOKUP(O$2,Rango_Admin_DailyPred,MATCH($F14,Rango_Admin_DailyPred_Primera,0),0),"-")</f>
        <v>-</v>
      </c>
      <c r="P14" s="835" t="str">
        <f ca="1">IFERROR(VLOOKUP(P$2,Rango_Admin_DailyPred,MATCH($F14,Rango_Admin_DailyPred_Primera,0),0),"-")</f>
        <v>-</v>
      </c>
      <c r="Q14" s="835" t="str">
        <f ca="1">IFERROR(VLOOKUP(Q$2,Rango_Admin_DailyPred,MATCH($F14,Rango_Admin_DailyPred_Primera,0),0),"-")</f>
        <v>-</v>
      </c>
      <c r="R14" s="835" t="str">
        <f ca="1">IFERROR(VLOOKUP(R$2,Rango_Admin_DailyPred,MATCH($F14,Rango_Admin_DailyPred_Primera,0),0),"-")</f>
        <v>-</v>
      </c>
      <c r="S14" s="835" t="str">
        <f ca="1">IFERROR(VLOOKUP(S$2,Rango_Admin_DailyPred,MATCH($F14,Rango_Admin_DailyPred_Primera,0),0),"-")</f>
        <v>-</v>
      </c>
      <c r="T14" s="835" t="str">
        <f ca="1">IFERROR(VLOOKUP(T$2,Rango_Admin_DailyPred,MATCH($F14,Rango_Admin_DailyPred_Primera,0),0),"-")</f>
        <v>-</v>
      </c>
      <c r="U14" s="835" t="str">
        <f ca="1">IFERROR(VLOOKUP(U$2,Rango_Admin_DailyPred,MATCH($F14,Rango_Admin_DailyPred_Primera,0),0),"-")</f>
        <v>-</v>
      </c>
      <c r="V14" s="835" t="str">
        <f ca="1">IFERROR(VLOOKUP(V$2,Rango_Admin_DailyPred,MATCH($F14,Rango_Admin_DailyPred_Primera,0),0),"-")</f>
        <v>-</v>
      </c>
      <c r="W14" s="835" t="str">
        <f ca="1">IFERROR(VLOOKUP(W$2,Rango_Admin_DailyPred,MATCH($F14,Rango_Admin_DailyPred_Primera,0),0),"-")</f>
        <v>-</v>
      </c>
      <c r="X14" s="835" t="str">
        <f ca="1">IFERROR(VLOOKUP(X$2,Rango_Admin_DailyPred,MATCH($F14,Rango_Admin_DailyPred_Primera,0),0),"-")</f>
        <v>-</v>
      </c>
      <c r="Y14" s="835" t="str">
        <f ca="1">IFERROR(VLOOKUP(Y$2,Rango_Admin_DailyPred,MATCH($F14,Rango_Admin_DailyPred_Primera,0),0),"-")</f>
        <v>-</v>
      </c>
      <c r="Z14" s="835" t="str">
        <f ca="1">IFERROR(VLOOKUP(Z$2,Rango_Admin_DailyPred,MATCH($F14,Rango_Admin_DailyPred_Primera,0),0),"-")</f>
        <v>-</v>
      </c>
      <c r="AA14" s="835" t="str">
        <f ca="1">IFERROR(VLOOKUP(AA$2,Rango_Admin_DailyPred,MATCH($F14,Rango_Admin_DailyPred_Primera,0),0),"-")</f>
        <v>-</v>
      </c>
      <c r="AB14" s="835" t="str">
        <f ca="1">IFERROR(VLOOKUP(AB$2,Rango_Admin_DailyPred,MATCH($F14,Rango_Admin_DailyPred_Primera,0),0),"-")</f>
        <v>-</v>
      </c>
      <c r="AC14" s="835" t="str">
        <f ca="1">IFERROR(VLOOKUP(AC$2,Rango_Admin_DailyPred,MATCH($F14,Rango_Admin_DailyPred_Primera,0),0),"-")</f>
        <v>-</v>
      </c>
      <c r="AD14" s="835" t="str">
        <f ca="1">IFERROR(VLOOKUP(AD$2,Rango_Admin_DailyPred,MATCH($F14,Rango_Admin_DailyPred_Primera,0),0),"-")</f>
        <v>-</v>
      </c>
      <c r="AE14" s="835" t="str">
        <f ca="1">IFERROR(VLOOKUP(AE$2,Rango_Admin_DailyPred,MATCH($F14,Rango_Admin_DailyPred_Primera,0),0),"-")</f>
        <v>-</v>
      </c>
      <c r="AF14" s="835" t="str">
        <f ca="1">IFERROR(VLOOKUP(AF$2,Rango_Admin_DailyPred,MATCH($F14,Rango_Admin_DailyPred_Primera,0),0),"-")</f>
        <v>-</v>
      </c>
      <c r="AG14" s="835" t="str">
        <f ca="1">IFERROR(VLOOKUP(AG$2,Rango_Admin_DailyPred,MATCH($F14,Rango_Admin_DailyPred_Primera,0),0),"-")</f>
        <v>-</v>
      </c>
      <c r="AH14" s="835" t="str">
        <f ca="1">IFERROR(VLOOKUP(AH$2,Rango_Admin_DailyPred,MATCH($F14,Rango_Admin_DailyPred_Primera,0),0),"-")</f>
        <v>-</v>
      </c>
      <c r="AI14" s="835" t="str">
        <f ca="1">IFERROR(VLOOKUP(AI$2,Rango_Admin_DailyPred,MATCH($F14,Rango_Admin_DailyPred_Primera,0),0),"-")</f>
        <v>-</v>
      </c>
      <c r="AJ14" s="835" t="str">
        <f ca="1">IFERROR(VLOOKUP(AJ$2,Rango_Admin_DailyPred,MATCH($F14,Rango_Admin_DailyPred_Primera,0),0),"-")</f>
        <v>-</v>
      </c>
      <c r="AK14" s="835" t="str">
        <f ca="1">IFERROR(VLOOKUP(AK$2,Rango_Admin_DailyPred,MATCH($F14,Rango_Admin_DailyPred_Primera,0),0),"-")</f>
        <v>-</v>
      </c>
      <c r="AL14" s="835" t="str">
        <f ca="1">IFERROR(VLOOKUP(AL$2,Rango_Admin_DailyPred,MATCH($F14,Rango_Admin_DailyPred_Primera,0),0),"-")</f>
        <v>-</v>
      </c>
      <c r="AM14" s="295"/>
      <c r="AN14" s="295"/>
      <c r="AO14" s="295"/>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833" t="str" cm="1">
        <f t="array" ref="F15">IFERROR(INDEX(Rango_Admin_DailyPred_Primera,1,E15),"-")</f>
        <v>CazaPutas669</v>
      </c>
      <c r="G15" s="717" t="str">
        <f ca="1">IFERROR(VLOOKUP(G$2,Rango_Admin_DailyPred,MATCH($F15,Rango_Admin_DailyPred_Primera,0),0),"-")</f>
        <v>1|2-0</v>
      </c>
      <c r="H15" s="717" t="str">
        <f ca="1">IFERROR(VLOOKUP(H$2,Rango_Admin_DailyPred,MATCH($F15,Rango_Admin_DailyPred_Primera,0),0),"-")</f>
        <v>X|0-0</v>
      </c>
      <c r="I15" s="717" t="str">
        <f ca="1">IFERROR(VLOOKUP(I$2,Rango_Admin_DailyPred,MATCH($F15,Rango_Admin_DailyPred_Primera,0),0),"-")</f>
        <v>1|3-2</v>
      </c>
      <c r="J15" s="717" t="str">
        <f ca="1">IFERROR(VLOOKUP(J$2,Rango_Admin_DailyPred,MATCH($F15,Rango_Admin_DailyPred_Primera,0),0),"-")</f>
        <v>1|2-0</v>
      </c>
      <c r="K15" s="717" t="str">
        <f ca="1">IFERROR(VLOOKUP(K$2,Rango_Admin_DailyPred,MATCH($F15,Rango_Admin_DailyPred_Primera,0),0),"-")</f>
        <v>-</v>
      </c>
      <c r="L15" s="717" t="str">
        <f ca="1">IFERROR(VLOOKUP(L$2,Rango_Admin_DailyPred,MATCH($F15,Rango_Admin_DailyPred_Primera,0),0),"-")</f>
        <v>-</v>
      </c>
      <c r="M15" s="717" t="str">
        <f ca="1">IFERROR(VLOOKUP(M$2,Rango_Admin_DailyPred,MATCH($F15,Rango_Admin_DailyPred_Primera,0),0),"-")</f>
        <v>-</v>
      </c>
      <c r="N15" s="717" t="str">
        <f ca="1">IFERROR(VLOOKUP(N$2,Rango_Admin_DailyPred,MATCH($F15,Rango_Admin_DailyPred_Primera,0),0),"-")</f>
        <v>-</v>
      </c>
      <c r="O15" s="717" t="str">
        <f ca="1">IFERROR(VLOOKUP(O$2,Rango_Admin_DailyPred,MATCH($F15,Rango_Admin_DailyPred_Primera,0),0),"-")</f>
        <v>-</v>
      </c>
      <c r="P15" s="717" t="str">
        <f ca="1">IFERROR(VLOOKUP(P$2,Rango_Admin_DailyPred,MATCH($F15,Rango_Admin_DailyPred_Primera,0),0),"-")</f>
        <v>-</v>
      </c>
      <c r="Q15" s="717" t="str">
        <f ca="1">IFERROR(VLOOKUP(Q$2,Rango_Admin_DailyPred,MATCH($F15,Rango_Admin_DailyPred_Primera,0),0),"-")</f>
        <v>-</v>
      </c>
      <c r="R15" s="717" t="str">
        <f ca="1">IFERROR(VLOOKUP(R$2,Rango_Admin_DailyPred,MATCH($F15,Rango_Admin_DailyPred_Primera,0),0),"-")</f>
        <v>-</v>
      </c>
      <c r="S15" s="717" t="str">
        <f ca="1">IFERROR(VLOOKUP(S$2,Rango_Admin_DailyPred,MATCH($F15,Rango_Admin_DailyPred_Primera,0),0),"-")</f>
        <v>-</v>
      </c>
      <c r="T15" s="717" t="str">
        <f ca="1">IFERROR(VLOOKUP(T$2,Rango_Admin_DailyPred,MATCH($F15,Rango_Admin_DailyPred_Primera,0),0),"-")</f>
        <v>-</v>
      </c>
      <c r="U15" s="717" t="str">
        <f ca="1">IFERROR(VLOOKUP(U$2,Rango_Admin_DailyPred,MATCH($F15,Rango_Admin_DailyPred_Primera,0),0),"-")</f>
        <v>-</v>
      </c>
      <c r="V15" s="717" t="str">
        <f ca="1">IFERROR(VLOOKUP(V$2,Rango_Admin_DailyPred,MATCH($F15,Rango_Admin_DailyPred_Primera,0),0),"-")</f>
        <v>-</v>
      </c>
      <c r="W15" s="717" t="str">
        <f ca="1">IFERROR(VLOOKUP(W$2,Rango_Admin_DailyPred,MATCH($F15,Rango_Admin_DailyPred_Primera,0),0),"-")</f>
        <v>-</v>
      </c>
      <c r="X15" s="717" t="str">
        <f ca="1">IFERROR(VLOOKUP(X$2,Rango_Admin_DailyPred,MATCH($F15,Rango_Admin_DailyPred_Primera,0),0),"-")</f>
        <v>-</v>
      </c>
      <c r="Y15" s="717" t="str">
        <f ca="1">IFERROR(VLOOKUP(Y$2,Rango_Admin_DailyPred,MATCH($F15,Rango_Admin_DailyPred_Primera,0),0),"-")</f>
        <v>-</v>
      </c>
      <c r="Z15" s="717" t="str">
        <f ca="1">IFERROR(VLOOKUP(Z$2,Rango_Admin_DailyPred,MATCH($F15,Rango_Admin_DailyPred_Primera,0),0),"-")</f>
        <v>-</v>
      </c>
      <c r="AA15" s="717" t="str">
        <f ca="1">IFERROR(VLOOKUP(AA$2,Rango_Admin_DailyPred,MATCH($F15,Rango_Admin_DailyPred_Primera,0),0),"-")</f>
        <v>-</v>
      </c>
      <c r="AB15" s="717" t="str">
        <f ca="1">IFERROR(VLOOKUP(AB$2,Rango_Admin_DailyPred,MATCH($F15,Rango_Admin_DailyPred_Primera,0),0),"-")</f>
        <v>-</v>
      </c>
      <c r="AC15" s="717" t="str">
        <f ca="1">IFERROR(VLOOKUP(AC$2,Rango_Admin_DailyPred,MATCH($F15,Rango_Admin_DailyPred_Primera,0),0),"-")</f>
        <v>-</v>
      </c>
      <c r="AD15" s="717" t="str">
        <f ca="1">IFERROR(VLOOKUP(AD$2,Rango_Admin_DailyPred,MATCH($F15,Rango_Admin_DailyPred_Primera,0),0),"-")</f>
        <v>-</v>
      </c>
      <c r="AE15" s="717" t="str">
        <f ca="1">IFERROR(VLOOKUP(AE$2,Rango_Admin_DailyPred,MATCH($F15,Rango_Admin_DailyPred_Primera,0),0),"-")</f>
        <v>-</v>
      </c>
      <c r="AF15" s="717" t="str">
        <f ca="1">IFERROR(VLOOKUP(AF$2,Rango_Admin_DailyPred,MATCH($F15,Rango_Admin_DailyPred_Primera,0),0),"-")</f>
        <v>-</v>
      </c>
      <c r="AG15" s="717" t="str">
        <f ca="1">IFERROR(VLOOKUP(AG$2,Rango_Admin_DailyPred,MATCH($F15,Rango_Admin_DailyPred_Primera,0),0),"-")</f>
        <v>-</v>
      </c>
      <c r="AH15" s="717" t="str">
        <f ca="1">IFERROR(VLOOKUP(AH$2,Rango_Admin_DailyPred,MATCH($F15,Rango_Admin_DailyPred_Primera,0),0),"-")</f>
        <v>-</v>
      </c>
      <c r="AI15" s="717" t="str">
        <f ca="1">IFERROR(VLOOKUP(AI$2,Rango_Admin_DailyPred,MATCH($F15,Rango_Admin_DailyPred_Primera,0),0),"-")</f>
        <v>-</v>
      </c>
      <c r="AJ15" s="717" t="str">
        <f ca="1">IFERROR(VLOOKUP(AJ$2,Rango_Admin_DailyPred,MATCH($F15,Rango_Admin_DailyPred_Primera,0),0),"-")</f>
        <v>-</v>
      </c>
      <c r="AK15" s="717" t="str">
        <f ca="1">IFERROR(VLOOKUP(AK$2,Rango_Admin_DailyPred,MATCH($F15,Rango_Admin_DailyPred_Primera,0),0),"-")</f>
        <v>-</v>
      </c>
      <c r="AL15" s="717" t="str">
        <f ca="1">IFERROR(VLOOKUP(AL$2,Rango_Admin_DailyPred,MATCH($F15,Rango_Admin_DailyPred_Primera,0),0),"-")</f>
        <v>-</v>
      </c>
      <c r="AM15" s="295"/>
      <c r="AN15" s="295"/>
      <c r="AO15" s="295"/>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834" t="str" cm="1">
        <f t="array" ref="F16">IFERROR(INDEX(Rango_Admin_DailyPred_Primera,1,E16),"-")</f>
        <v>Gabo</v>
      </c>
      <c r="G16" s="835" t="str">
        <f ca="1">IFERROR(VLOOKUP(G$2,Rango_Admin_DailyPred,MATCH($F16,Rango_Admin_DailyPred_Primera,0),0),"-")</f>
        <v>2|1-2</v>
      </c>
      <c r="H16" s="835" t="str">
        <f ca="1">IFERROR(VLOOKUP(H$2,Rango_Admin_DailyPred,MATCH($F16,Rango_Admin_DailyPred_Primera,0),0),"-")</f>
        <v>X|3-3</v>
      </c>
      <c r="I16" s="835" t="str">
        <f ca="1">IFERROR(VLOOKUP(I$2,Rango_Admin_DailyPred,MATCH($F16,Rango_Admin_DailyPred_Primera,0),0),"-")</f>
        <v>2|0-2</v>
      </c>
      <c r="J16" s="835" t="str">
        <f ca="1">IFERROR(VLOOKUP(J$2,Rango_Admin_DailyPred,MATCH($F16,Rango_Admin_DailyPred_Primera,0),0),"-")</f>
        <v>2|1-3</v>
      </c>
      <c r="K16" s="835" t="str">
        <f ca="1">IFERROR(VLOOKUP(K$2,Rango_Admin_DailyPred,MATCH($F16,Rango_Admin_DailyPred_Primera,0),0),"-")</f>
        <v>-</v>
      </c>
      <c r="L16" s="835" t="str">
        <f ca="1">IFERROR(VLOOKUP(L$2,Rango_Admin_DailyPred,MATCH($F16,Rango_Admin_DailyPred_Primera,0),0),"-")</f>
        <v>-</v>
      </c>
      <c r="M16" s="835" t="str">
        <f ca="1">IFERROR(VLOOKUP(M$2,Rango_Admin_DailyPred,MATCH($F16,Rango_Admin_DailyPred_Primera,0),0),"-")</f>
        <v>-</v>
      </c>
      <c r="N16" s="835" t="str">
        <f ca="1">IFERROR(VLOOKUP(N$2,Rango_Admin_DailyPred,MATCH($F16,Rango_Admin_DailyPred_Primera,0),0),"-")</f>
        <v>-</v>
      </c>
      <c r="O16" s="835" t="str">
        <f ca="1">IFERROR(VLOOKUP(O$2,Rango_Admin_DailyPred,MATCH($F16,Rango_Admin_DailyPred_Primera,0),0),"-")</f>
        <v>-</v>
      </c>
      <c r="P16" s="835" t="str">
        <f ca="1">IFERROR(VLOOKUP(P$2,Rango_Admin_DailyPred,MATCH($F16,Rango_Admin_DailyPred_Primera,0),0),"-")</f>
        <v>-</v>
      </c>
      <c r="Q16" s="835" t="str">
        <f ca="1">IFERROR(VLOOKUP(Q$2,Rango_Admin_DailyPred,MATCH($F16,Rango_Admin_DailyPred_Primera,0),0),"-")</f>
        <v>-</v>
      </c>
      <c r="R16" s="835" t="str">
        <f ca="1">IFERROR(VLOOKUP(R$2,Rango_Admin_DailyPred,MATCH($F16,Rango_Admin_DailyPred_Primera,0),0),"-")</f>
        <v>-</v>
      </c>
      <c r="S16" s="835" t="str">
        <f ca="1">IFERROR(VLOOKUP(S$2,Rango_Admin_DailyPred,MATCH($F16,Rango_Admin_DailyPred_Primera,0),0),"-")</f>
        <v>-</v>
      </c>
      <c r="T16" s="835" t="str">
        <f ca="1">IFERROR(VLOOKUP(T$2,Rango_Admin_DailyPred,MATCH($F16,Rango_Admin_DailyPred_Primera,0),0),"-")</f>
        <v>-</v>
      </c>
      <c r="U16" s="835" t="str">
        <f ca="1">IFERROR(VLOOKUP(U$2,Rango_Admin_DailyPred,MATCH($F16,Rango_Admin_DailyPred_Primera,0),0),"-")</f>
        <v>-</v>
      </c>
      <c r="V16" s="835" t="str">
        <f ca="1">IFERROR(VLOOKUP(V$2,Rango_Admin_DailyPred,MATCH($F16,Rango_Admin_DailyPred_Primera,0),0),"-")</f>
        <v>-</v>
      </c>
      <c r="W16" s="835" t="str">
        <f ca="1">IFERROR(VLOOKUP(W$2,Rango_Admin_DailyPred,MATCH($F16,Rango_Admin_DailyPred_Primera,0),0),"-")</f>
        <v>-</v>
      </c>
      <c r="X16" s="835" t="str">
        <f ca="1">IFERROR(VLOOKUP(X$2,Rango_Admin_DailyPred,MATCH($F16,Rango_Admin_DailyPred_Primera,0),0),"-")</f>
        <v>-</v>
      </c>
      <c r="Y16" s="835" t="str">
        <f ca="1">IFERROR(VLOOKUP(Y$2,Rango_Admin_DailyPred,MATCH($F16,Rango_Admin_DailyPred_Primera,0),0),"-")</f>
        <v>-</v>
      </c>
      <c r="Z16" s="835" t="str">
        <f ca="1">IFERROR(VLOOKUP(Z$2,Rango_Admin_DailyPred,MATCH($F16,Rango_Admin_DailyPred_Primera,0),0),"-")</f>
        <v>-</v>
      </c>
      <c r="AA16" s="835" t="str">
        <f ca="1">IFERROR(VLOOKUP(AA$2,Rango_Admin_DailyPred,MATCH($F16,Rango_Admin_DailyPred_Primera,0),0),"-")</f>
        <v>-</v>
      </c>
      <c r="AB16" s="835" t="str">
        <f ca="1">IFERROR(VLOOKUP(AB$2,Rango_Admin_DailyPred,MATCH($F16,Rango_Admin_DailyPred_Primera,0),0),"-")</f>
        <v>-</v>
      </c>
      <c r="AC16" s="835" t="str">
        <f ca="1">IFERROR(VLOOKUP(AC$2,Rango_Admin_DailyPred,MATCH($F16,Rango_Admin_DailyPred_Primera,0),0),"-")</f>
        <v>-</v>
      </c>
      <c r="AD16" s="835" t="str">
        <f ca="1">IFERROR(VLOOKUP(AD$2,Rango_Admin_DailyPred,MATCH($F16,Rango_Admin_DailyPred_Primera,0),0),"-")</f>
        <v>-</v>
      </c>
      <c r="AE16" s="835" t="str">
        <f ca="1">IFERROR(VLOOKUP(AE$2,Rango_Admin_DailyPred,MATCH($F16,Rango_Admin_DailyPred_Primera,0),0),"-")</f>
        <v>-</v>
      </c>
      <c r="AF16" s="835" t="str">
        <f ca="1">IFERROR(VLOOKUP(AF$2,Rango_Admin_DailyPred,MATCH($F16,Rango_Admin_DailyPred_Primera,0),0),"-")</f>
        <v>-</v>
      </c>
      <c r="AG16" s="835" t="str">
        <f ca="1">IFERROR(VLOOKUP(AG$2,Rango_Admin_DailyPred,MATCH($F16,Rango_Admin_DailyPred_Primera,0),0),"-")</f>
        <v>-</v>
      </c>
      <c r="AH16" s="835" t="str">
        <f ca="1">IFERROR(VLOOKUP(AH$2,Rango_Admin_DailyPred,MATCH($F16,Rango_Admin_DailyPred_Primera,0),0),"-")</f>
        <v>-</v>
      </c>
      <c r="AI16" s="835" t="str">
        <f ca="1">IFERROR(VLOOKUP(AI$2,Rango_Admin_DailyPred,MATCH($F16,Rango_Admin_DailyPred_Primera,0),0),"-")</f>
        <v>-</v>
      </c>
      <c r="AJ16" s="835" t="str">
        <f ca="1">IFERROR(VLOOKUP(AJ$2,Rango_Admin_DailyPred,MATCH($F16,Rango_Admin_DailyPred_Primera,0),0),"-")</f>
        <v>-</v>
      </c>
      <c r="AK16" s="835" t="str">
        <f ca="1">IFERROR(VLOOKUP(AK$2,Rango_Admin_DailyPred,MATCH($F16,Rango_Admin_DailyPred_Primera,0),0),"-")</f>
        <v>-</v>
      </c>
      <c r="AL16" s="835" t="str">
        <f ca="1">IFERROR(VLOOKUP(AL$2,Rango_Admin_DailyPred,MATCH($F16,Rango_Admin_DailyPred_Primera,0),0),"-")</f>
        <v>-</v>
      </c>
      <c r="AM16" s="295"/>
      <c r="AN16" s="295"/>
      <c r="AO16" s="295"/>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833" t="str" cm="1">
        <f t="array" ref="F17">IFERROR(INDEX(Rango_Admin_DailyPred_Primera,1,E17),"-")</f>
        <v>YUYU</v>
      </c>
      <c r="G17" s="717" t="str">
        <f ca="1">IFERROR(VLOOKUP(G$2,Rango_Admin_DailyPred,MATCH($F17,Rango_Admin_DailyPred_Primera,0),0),"-")</f>
        <v>2|0-3</v>
      </c>
      <c r="H17" s="717" t="str">
        <f ca="1">IFERROR(VLOOKUP(H$2,Rango_Admin_DailyPred,MATCH($F17,Rango_Admin_DailyPred_Primera,0),0),"-")</f>
        <v>1|3-2</v>
      </c>
      <c r="I17" s="717" t="str">
        <f ca="1">IFERROR(VLOOKUP(I$2,Rango_Admin_DailyPred,MATCH($F17,Rango_Admin_DailyPred_Primera,0),0),"-")</f>
        <v>2|0-2</v>
      </c>
      <c r="J17" s="717" t="str">
        <f ca="1">IFERROR(VLOOKUP(J$2,Rango_Admin_DailyPred,MATCH($F17,Rango_Admin_DailyPred_Primera,0),0),"-")</f>
        <v>2|2-3</v>
      </c>
      <c r="K17" s="717" t="str">
        <f ca="1">IFERROR(VLOOKUP(K$2,Rango_Admin_DailyPred,MATCH($F17,Rango_Admin_DailyPred_Primera,0),0),"-")</f>
        <v>-</v>
      </c>
      <c r="L17" s="717" t="str">
        <f ca="1">IFERROR(VLOOKUP(L$2,Rango_Admin_DailyPred,MATCH($F17,Rango_Admin_DailyPred_Primera,0),0),"-")</f>
        <v>-</v>
      </c>
      <c r="M17" s="717" t="str">
        <f ca="1">IFERROR(VLOOKUP(M$2,Rango_Admin_DailyPred,MATCH($F17,Rango_Admin_DailyPred_Primera,0),0),"-")</f>
        <v>-</v>
      </c>
      <c r="N17" s="717" t="str">
        <f ca="1">IFERROR(VLOOKUP(N$2,Rango_Admin_DailyPred,MATCH($F17,Rango_Admin_DailyPred_Primera,0),0),"-")</f>
        <v>-</v>
      </c>
      <c r="O17" s="717" t="str">
        <f ca="1">IFERROR(VLOOKUP(O$2,Rango_Admin_DailyPred,MATCH($F17,Rango_Admin_DailyPred_Primera,0),0),"-")</f>
        <v>-</v>
      </c>
      <c r="P17" s="717" t="str">
        <f ca="1">IFERROR(VLOOKUP(P$2,Rango_Admin_DailyPred,MATCH($F17,Rango_Admin_DailyPred_Primera,0),0),"-")</f>
        <v>-</v>
      </c>
      <c r="Q17" s="717" t="str">
        <f ca="1">IFERROR(VLOOKUP(Q$2,Rango_Admin_DailyPred,MATCH($F17,Rango_Admin_DailyPred_Primera,0),0),"-")</f>
        <v>-</v>
      </c>
      <c r="R17" s="717" t="str">
        <f ca="1">IFERROR(VLOOKUP(R$2,Rango_Admin_DailyPred,MATCH($F17,Rango_Admin_DailyPred_Primera,0),0),"-")</f>
        <v>-</v>
      </c>
      <c r="S17" s="717" t="str">
        <f ca="1">IFERROR(VLOOKUP(S$2,Rango_Admin_DailyPred,MATCH($F17,Rango_Admin_DailyPred_Primera,0),0),"-")</f>
        <v>-</v>
      </c>
      <c r="T17" s="717" t="str">
        <f ca="1">IFERROR(VLOOKUP(T$2,Rango_Admin_DailyPred,MATCH($F17,Rango_Admin_DailyPred_Primera,0),0),"-")</f>
        <v>-</v>
      </c>
      <c r="U17" s="717" t="str">
        <f ca="1">IFERROR(VLOOKUP(U$2,Rango_Admin_DailyPred,MATCH($F17,Rango_Admin_DailyPred_Primera,0),0),"-")</f>
        <v>-</v>
      </c>
      <c r="V17" s="717" t="str">
        <f ca="1">IFERROR(VLOOKUP(V$2,Rango_Admin_DailyPred,MATCH($F17,Rango_Admin_DailyPred_Primera,0),0),"-")</f>
        <v>-</v>
      </c>
      <c r="W17" s="717" t="str">
        <f ca="1">IFERROR(VLOOKUP(W$2,Rango_Admin_DailyPred,MATCH($F17,Rango_Admin_DailyPred_Primera,0),0),"-")</f>
        <v>-</v>
      </c>
      <c r="X17" s="717" t="str">
        <f ca="1">IFERROR(VLOOKUP(X$2,Rango_Admin_DailyPred,MATCH($F17,Rango_Admin_DailyPred_Primera,0),0),"-")</f>
        <v>-</v>
      </c>
      <c r="Y17" s="717" t="str">
        <f ca="1">IFERROR(VLOOKUP(Y$2,Rango_Admin_DailyPred,MATCH($F17,Rango_Admin_DailyPred_Primera,0),0),"-")</f>
        <v>-</v>
      </c>
      <c r="Z17" s="717" t="str">
        <f ca="1">IFERROR(VLOOKUP(Z$2,Rango_Admin_DailyPred,MATCH($F17,Rango_Admin_DailyPred_Primera,0),0),"-")</f>
        <v>-</v>
      </c>
      <c r="AA17" s="717" t="str">
        <f ca="1">IFERROR(VLOOKUP(AA$2,Rango_Admin_DailyPred,MATCH($F17,Rango_Admin_DailyPred_Primera,0),0),"-")</f>
        <v>-</v>
      </c>
      <c r="AB17" s="717" t="str">
        <f ca="1">IFERROR(VLOOKUP(AB$2,Rango_Admin_DailyPred,MATCH($F17,Rango_Admin_DailyPred_Primera,0),0),"-")</f>
        <v>-</v>
      </c>
      <c r="AC17" s="717" t="str">
        <f ca="1">IFERROR(VLOOKUP(AC$2,Rango_Admin_DailyPred,MATCH($F17,Rango_Admin_DailyPred_Primera,0),0),"-")</f>
        <v>-</v>
      </c>
      <c r="AD17" s="717" t="str">
        <f ca="1">IFERROR(VLOOKUP(AD$2,Rango_Admin_DailyPred,MATCH($F17,Rango_Admin_DailyPred_Primera,0),0),"-")</f>
        <v>-</v>
      </c>
      <c r="AE17" s="717" t="str">
        <f ca="1">IFERROR(VLOOKUP(AE$2,Rango_Admin_DailyPred,MATCH($F17,Rango_Admin_DailyPred_Primera,0),0),"-")</f>
        <v>-</v>
      </c>
      <c r="AF17" s="717" t="str">
        <f ca="1">IFERROR(VLOOKUP(AF$2,Rango_Admin_DailyPred,MATCH($F17,Rango_Admin_DailyPred_Primera,0),0),"-")</f>
        <v>-</v>
      </c>
      <c r="AG17" s="717" t="str">
        <f ca="1">IFERROR(VLOOKUP(AG$2,Rango_Admin_DailyPred,MATCH($F17,Rango_Admin_DailyPred_Primera,0),0),"-")</f>
        <v>-</v>
      </c>
      <c r="AH17" s="717" t="str">
        <f ca="1">IFERROR(VLOOKUP(AH$2,Rango_Admin_DailyPred,MATCH($F17,Rango_Admin_DailyPred_Primera,0),0),"-")</f>
        <v>-</v>
      </c>
      <c r="AI17" s="717" t="str">
        <f ca="1">IFERROR(VLOOKUP(AI$2,Rango_Admin_DailyPred,MATCH($F17,Rango_Admin_DailyPred_Primera,0),0),"-")</f>
        <v>-</v>
      </c>
      <c r="AJ17" s="717" t="str">
        <f ca="1">IFERROR(VLOOKUP(AJ$2,Rango_Admin_DailyPred,MATCH($F17,Rango_Admin_DailyPred_Primera,0),0),"-")</f>
        <v>-</v>
      </c>
      <c r="AK17" s="717" t="str">
        <f ca="1">IFERROR(VLOOKUP(AK$2,Rango_Admin_DailyPred,MATCH($F17,Rango_Admin_DailyPred_Primera,0),0),"-")</f>
        <v>-</v>
      </c>
      <c r="AL17" s="717" t="str">
        <f ca="1">IFERROR(VLOOKUP(AL$2,Rango_Admin_DailyPred,MATCH($F17,Rango_Admin_DailyPred_Primera,0),0),"-")</f>
        <v>-</v>
      </c>
      <c r="AM17" s="295"/>
      <c r="AN17" s="295"/>
      <c r="AO17" s="295"/>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834" t="str" cm="1">
        <f t="array" ref="F18">IFERROR(INDEX(Rango_Admin_DailyPred_Primera,1,E18),"-")</f>
        <v>José Arturo De Abreu</v>
      </c>
      <c r="G18" s="835" t="str">
        <f ca="1">IFERROR(VLOOKUP(G$2,Rango_Admin_DailyPred,MATCH($F18,Rango_Admin_DailyPred_Primera,0),0),"-")</f>
        <v>2|0-2</v>
      </c>
      <c r="H18" s="835" t="str">
        <f ca="1">IFERROR(VLOOKUP(H$2,Rango_Admin_DailyPred,MATCH($F18,Rango_Admin_DailyPred_Primera,0),0),"-")</f>
        <v>X|1-1</v>
      </c>
      <c r="I18" s="835" t="str">
        <f ca="1">IFERROR(VLOOKUP(I$2,Rango_Admin_DailyPred,MATCH($F18,Rango_Admin_DailyPred_Primera,0),0),"-")</f>
        <v>2|0-2</v>
      </c>
      <c r="J18" s="835" t="str">
        <f ca="1">IFERROR(VLOOKUP(J$2,Rango_Admin_DailyPred,MATCH($F18,Rango_Admin_DailyPred_Primera,0),0),"-")</f>
        <v>2|1-2</v>
      </c>
      <c r="K18" s="835" t="str">
        <f ca="1">IFERROR(VLOOKUP(K$2,Rango_Admin_DailyPred,MATCH($F18,Rango_Admin_DailyPred_Primera,0),0),"-")</f>
        <v>-</v>
      </c>
      <c r="L18" s="835" t="str">
        <f ca="1">IFERROR(VLOOKUP(L$2,Rango_Admin_DailyPred,MATCH($F18,Rango_Admin_DailyPred_Primera,0),0),"-")</f>
        <v>-</v>
      </c>
      <c r="M18" s="835" t="str">
        <f ca="1">IFERROR(VLOOKUP(M$2,Rango_Admin_DailyPred,MATCH($F18,Rango_Admin_DailyPred_Primera,0),0),"-")</f>
        <v>-</v>
      </c>
      <c r="N18" s="835" t="str">
        <f ca="1">IFERROR(VLOOKUP(N$2,Rango_Admin_DailyPred,MATCH($F18,Rango_Admin_DailyPred_Primera,0),0),"-")</f>
        <v>-</v>
      </c>
      <c r="O18" s="835" t="str">
        <f ca="1">IFERROR(VLOOKUP(O$2,Rango_Admin_DailyPred,MATCH($F18,Rango_Admin_DailyPred_Primera,0),0),"-")</f>
        <v>-</v>
      </c>
      <c r="P18" s="835" t="str">
        <f ca="1">IFERROR(VLOOKUP(P$2,Rango_Admin_DailyPred,MATCH($F18,Rango_Admin_DailyPred_Primera,0),0),"-")</f>
        <v>-</v>
      </c>
      <c r="Q18" s="835" t="str">
        <f ca="1">IFERROR(VLOOKUP(Q$2,Rango_Admin_DailyPred,MATCH($F18,Rango_Admin_DailyPred_Primera,0),0),"-")</f>
        <v>-</v>
      </c>
      <c r="R18" s="835" t="str">
        <f ca="1">IFERROR(VLOOKUP(R$2,Rango_Admin_DailyPred,MATCH($F18,Rango_Admin_DailyPred_Primera,0),0),"-")</f>
        <v>-</v>
      </c>
      <c r="S18" s="835" t="str">
        <f ca="1">IFERROR(VLOOKUP(S$2,Rango_Admin_DailyPred,MATCH($F18,Rango_Admin_DailyPred_Primera,0),0),"-")</f>
        <v>-</v>
      </c>
      <c r="T18" s="835" t="str">
        <f ca="1">IFERROR(VLOOKUP(T$2,Rango_Admin_DailyPred,MATCH($F18,Rango_Admin_DailyPred_Primera,0),0),"-")</f>
        <v>-</v>
      </c>
      <c r="U18" s="835" t="str">
        <f ca="1">IFERROR(VLOOKUP(U$2,Rango_Admin_DailyPred,MATCH($F18,Rango_Admin_DailyPred_Primera,0),0),"-")</f>
        <v>-</v>
      </c>
      <c r="V18" s="835" t="str">
        <f ca="1">IFERROR(VLOOKUP(V$2,Rango_Admin_DailyPred,MATCH($F18,Rango_Admin_DailyPred_Primera,0),0),"-")</f>
        <v>-</v>
      </c>
      <c r="W18" s="835" t="str">
        <f ca="1">IFERROR(VLOOKUP(W$2,Rango_Admin_DailyPred,MATCH($F18,Rango_Admin_DailyPred_Primera,0),0),"-")</f>
        <v>-</v>
      </c>
      <c r="X18" s="835" t="str">
        <f ca="1">IFERROR(VLOOKUP(X$2,Rango_Admin_DailyPred,MATCH($F18,Rango_Admin_DailyPred_Primera,0),0),"-")</f>
        <v>-</v>
      </c>
      <c r="Y18" s="835" t="str">
        <f ca="1">IFERROR(VLOOKUP(Y$2,Rango_Admin_DailyPred,MATCH($F18,Rango_Admin_DailyPred_Primera,0),0),"-")</f>
        <v>-</v>
      </c>
      <c r="Z18" s="835" t="str">
        <f ca="1">IFERROR(VLOOKUP(Z$2,Rango_Admin_DailyPred,MATCH($F18,Rango_Admin_DailyPred_Primera,0),0),"-")</f>
        <v>-</v>
      </c>
      <c r="AA18" s="835" t="str">
        <f ca="1">IFERROR(VLOOKUP(AA$2,Rango_Admin_DailyPred,MATCH($F18,Rango_Admin_DailyPred_Primera,0),0),"-")</f>
        <v>-</v>
      </c>
      <c r="AB18" s="835" t="str">
        <f ca="1">IFERROR(VLOOKUP(AB$2,Rango_Admin_DailyPred,MATCH($F18,Rango_Admin_DailyPred_Primera,0),0),"-")</f>
        <v>-</v>
      </c>
      <c r="AC18" s="835" t="str">
        <f ca="1">IFERROR(VLOOKUP(AC$2,Rango_Admin_DailyPred,MATCH($F18,Rango_Admin_DailyPred_Primera,0),0),"-")</f>
        <v>-</v>
      </c>
      <c r="AD18" s="835" t="str">
        <f ca="1">IFERROR(VLOOKUP(AD$2,Rango_Admin_DailyPred,MATCH($F18,Rango_Admin_DailyPred_Primera,0),0),"-")</f>
        <v>-</v>
      </c>
      <c r="AE18" s="835" t="str">
        <f ca="1">IFERROR(VLOOKUP(AE$2,Rango_Admin_DailyPred,MATCH($F18,Rango_Admin_DailyPred_Primera,0),0),"-")</f>
        <v>-</v>
      </c>
      <c r="AF18" s="835" t="str">
        <f ca="1">IFERROR(VLOOKUP(AF$2,Rango_Admin_DailyPred,MATCH($F18,Rango_Admin_DailyPred_Primera,0),0),"-")</f>
        <v>-</v>
      </c>
      <c r="AG18" s="835" t="str">
        <f ca="1">IFERROR(VLOOKUP(AG$2,Rango_Admin_DailyPred,MATCH($F18,Rango_Admin_DailyPred_Primera,0),0),"-")</f>
        <v>-</v>
      </c>
      <c r="AH18" s="835" t="str">
        <f ca="1">IFERROR(VLOOKUP(AH$2,Rango_Admin_DailyPred,MATCH($F18,Rango_Admin_DailyPred_Primera,0),0),"-")</f>
        <v>-</v>
      </c>
      <c r="AI18" s="835" t="str">
        <f ca="1">IFERROR(VLOOKUP(AI$2,Rango_Admin_DailyPred,MATCH($F18,Rango_Admin_DailyPred_Primera,0),0),"-")</f>
        <v>-</v>
      </c>
      <c r="AJ18" s="835" t="str">
        <f ca="1">IFERROR(VLOOKUP(AJ$2,Rango_Admin_DailyPred,MATCH($F18,Rango_Admin_DailyPred_Primera,0),0),"-")</f>
        <v>-</v>
      </c>
      <c r="AK18" s="835" t="str">
        <f ca="1">IFERROR(VLOOKUP(AK$2,Rango_Admin_DailyPred,MATCH($F18,Rango_Admin_DailyPred_Primera,0),0),"-")</f>
        <v>-</v>
      </c>
      <c r="AL18" s="835" t="str">
        <f ca="1">IFERROR(VLOOKUP(AL$2,Rango_Admin_DailyPred,MATCH($F18,Rango_Admin_DailyPred_Primera,0),0),"-")</f>
        <v>-</v>
      </c>
      <c r="AM18" s="295"/>
      <c r="AN18" s="295"/>
      <c r="AO18" s="295"/>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833" t="str" cm="1">
        <f t="array" ref="F19">IFERROR(INDEX(Rango_Admin_DailyPred_Primera,1,E19),"-")</f>
        <v xml:space="preserve">Jose Juan De Abreu </v>
      </c>
      <c r="G19" s="717" t="str">
        <f ca="1">IFERROR(VLOOKUP(G$2,Rango_Admin_DailyPred,MATCH($F19,Rango_Admin_DailyPred_Primera,0),0),"-")</f>
        <v>2|0-4</v>
      </c>
      <c r="H19" s="717" t="str">
        <f ca="1">IFERROR(VLOOKUP(H$2,Rango_Admin_DailyPred,MATCH($F19,Rango_Admin_DailyPred_Primera,0),0),"-")</f>
        <v>X|1-1</v>
      </c>
      <c r="I19" s="717" t="str">
        <f ca="1">IFERROR(VLOOKUP(I$2,Rango_Admin_DailyPred,MATCH($F19,Rango_Admin_DailyPred_Primera,0),0),"-")</f>
        <v>2|0-4</v>
      </c>
      <c r="J19" s="717" t="str">
        <f ca="1">IFERROR(VLOOKUP(J$2,Rango_Admin_DailyPred,MATCH($F19,Rango_Admin_DailyPred_Primera,0),0),"-")</f>
        <v>2|1-2</v>
      </c>
      <c r="K19" s="717" t="str">
        <f ca="1">IFERROR(VLOOKUP(K$2,Rango_Admin_DailyPred,MATCH($F19,Rango_Admin_DailyPred_Primera,0),0),"-")</f>
        <v>-</v>
      </c>
      <c r="L19" s="717" t="str">
        <f ca="1">IFERROR(VLOOKUP(L$2,Rango_Admin_DailyPred,MATCH($F19,Rango_Admin_DailyPred_Primera,0),0),"-")</f>
        <v>-</v>
      </c>
      <c r="M19" s="717" t="str">
        <f ca="1">IFERROR(VLOOKUP(M$2,Rango_Admin_DailyPred,MATCH($F19,Rango_Admin_DailyPred_Primera,0),0),"-")</f>
        <v>-</v>
      </c>
      <c r="N19" s="717" t="str">
        <f ca="1">IFERROR(VLOOKUP(N$2,Rango_Admin_DailyPred,MATCH($F19,Rango_Admin_DailyPred_Primera,0),0),"-")</f>
        <v>-</v>
      </c>
      <c r="O19" s="717" t="str">
        <f ca="1">IFERROR(VLOOKUP(O$2,Rango_Admin_DailyPred,MATCH($F19,Rango_Admin_DailyPred_Primera,0),0),"-")</f>
        <v>-</v>
      </c>
      <c r="P19" s="717" t="str">
        <f ca="1">IFERROR(VLOOKUP(P$2,Rango_Admin_DailyPred,MATCH($F19,Rango_Admin_DailyPred_Primera,0),0),"-")</f>
        <v>-</v>
      </c>
      <c r="Q19" s="717" t="str">
        <f ca="1">IFERROR(VLOOKUP(Q$2,Rango_Admin_DailyPred,MATCH($F19,Rango_Admin_DailyPred_Primera,0),0),"-")</f>
        <v>-</v>
      </c>
      <c r="R19" s="717" t="str">
        <f ca="1">IFERROR(VLOOKUP(R$2,Rango_Admin_DailyPred,MATCH($F19,Rango_Admin_DailyPred_Primera,0),0),"-")</f>
        <v>-</v>
      </c>
      <c r="S19" s="717" t="str">
        <f ca="1">IFERROR(VLOOKUP(S$2,Rango_Admin_DailyPred,MATCH($F19,Rango_Admin_DailyPred_Primera,0),0),"-")</f>
        <v>-</v>
      </c>
      <c r="T19" s="717" t="str">
        <f ca="1">IFERROR(VLOOKUP(T$2,Rango_Admin_DailyPred,MATCH($F19,Rango_Admin_DailyPred_Primera,0),0),"-")</f>
        <v>-</v>
      </c>
      <c r="U19" s="717" t="str">
        <f ca="1">IFERROR(VLOOKUP(U$2,Rango_Admin_DailyPred,MATCH($F19,Rango_Admin_DailyPred_Primera,0),0),"-")</f>
        <v>-</v>
      </c>
      <c r="V19" s="717" t="str">
        <f ca="1">IFERROR(VLOOKUP(V$2,Rango_Admin_DailyPred,MATCH($F19,Rango_Admin_DailyPred_Primera,0),0),"-")</f>
        <v>-</v>
      </c>
      <c r="W19" s="717" t="str">
        <f ca="1">IFERROR(VLOOKUP(W$2,Rango_Admin_DailyPred,MATCH($F19,Rango_Admin_DailyPred_Primera,0),0),"-")</f>
        <v>-</v>
      </c>
      <c r="X19" s="717" t="str">
        <f ca="1">IFERROR(VLOOKUP(X$2,Rango_Admin_DailyPred,MATCH($F19,Rango_Admin_DailyPred_Primera,0),0),"-")</f>
        <v>-</v>
      </c>
      <c r="Y19" s="717" t="str">
        <f ca="1">IFERROR(VLOOKUP(Y$2,Rango_Admin_DailyPred,MATCH($F19,Rango_Admin_DailyPred_Primera,0),0),"-")</f>
        <v>-</v>
      </c>
      <c r="Z19" s="717" t="str">
        <f ca="1">IFERROR(VLOOKUP(Z$2,Rango_Admin_DailyPred,MATCH($F19,Rango_Admin_DailyPred_Primera,0),0),"-")</f>
        <v>-</v>
      </c>
      <c r="AA19" s="717" t="str">
        <f ca="1">IFERROR(VLOOKUP(AA$2,Rango_Admin_DailyPred,MATCH($F19,Rango_Admin_DailyPred_Primera,0),0),"-")</f>
        <v>-</v>
      </c>
      <c r="AB19" s="717" t="str">
        <f ca="1">IFERROR(VLOOKUP(AB$2,Rango_Admin_DailyPred,MATCH($F19,Rango_Admin_DailyPred_Primera,0),0),"-")</f>
        <v>-</v>
      </c>
      <c r="AC19" s="717" t="str">
        <f ca="1">IFERROR(VLOOKUP(AC$2,Rango_Admin_DailyPred,MATCH($F19,Rango_Admin_DailyPred_Primera,0),0),"-")</f>
        <v>-</v>
      </c>
      <c r="AD19" s="717" t="str">
        <f ca="1">IFERROR(VLOOKUP(AD$2,Rango_Admin_DailyPred,MATCH($F19,Rango_Admin_DailyPred_Primera,0),0),"-")</f>
        <v>-</v>
      </c>
      <c r="AE19" s="717" t="str">
        <f ca="1">IFERROR(VLOOKUP(AE$2,Rango_Admin_DailyPred,MATCH($F19,Rango_Admin_DailyPred_Primera,0),0),"-")</f>
        <v>-</v>
      </c>
      <c r="AF19" s="717" t="str">
        <f ca="1">IFERROR(VLOOKUP(AF$2,Rango_Admin_DailyPred,MATCH($F19,Rango_Admin_DailyPred_Primera,0),0),"-")</f>
        <v>-</v>
      </c>
      <c r="AG19" s="717" t="str">
        <f ca="1">IFERROR(VLOOKUP(AG$2,Rango_Admin_DailyPred,MATCH($F19,Rango_Admin_DailyPred_Primera,0),0),"-")</f>
        <v>-</v>
      </c>
      <c r="AH19" s="717" t="str">
        <f ca="1">IFERROR(VLOOKUP(AH$2,Rango_Admin_DailyPred,MATCH($F19,Rango_Admin_DailyPred_Primera,0),0),"-")</f>
        <v>-</v>
      </c>
      <c r="AI19" s="717" t="str">
        <f ca="1">IFERROR(VLOOKUP(AI$2,Rango_Admin_DailyPred,MATCH($F19,Rango_Admin_DailyPred_Primera,0),0),"-")</f>
        <v>-</v>
      </c>
      <c r="AJ19" s="717" t="str">
        <f ca="1">IFERROR(VLOOKUP(AJ$2,Rango_Admin_DailyPred,MATCH($F19,Rango_Admin_DailyPred_Primera,0),0),"-")</f>
        <v>-</v>
      </c>
      <c r="AK19" s="717" t="str">
        <f ca="1">IFERROR(VLOOKUP(AK$2,Rango_Admin_DailyPred,MATCH($F19,Rango_Admin_DailyPred_Primera,0),0),"-")</f>
        <v>-</v>
      </c>
      <c r="AL19" s="717" t="str">
        <f ca="1">IFERROR(VLOOKUP(AL$2,Rango_Admin_DailyPred,MATCH($F19,Rango_Admin_DailyPred_Primera,0),0),"-")</f>
        <v>-</v>
      </c>
      <c r="AM19" s="295"/>
      <c r="AN19" s="295"/>
      <c r="AO19" s="295"/>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834" t="str" cm="1">
        <f t="array" ref="F20">IFERROR(INDEX(Rango_Admin_DailyPred_Primera,1,E20),"-")</f>
        <v>Juan Sánchez</v>
      </c>
      <c r="G20" s="835" t="str">
        <f ca="1">IFERROR(VLOOKUP(G$2,Rango_Admin_DailyPred,MATCH($F20,Rango_Admin_DailyPred_Primera,0),0),"-")</f>
        <v>2|0-2</v>
      </c>
      <c r="H20" s="835" t="str">
        <f ca="1">IFERROR(VLOOKUP(H$2,Rango_Admin_DailyPred,MATCH($F20,Rango_Admin_DailyPred_Primera,0),0),"-")</f>
        <v>1|3-2</v>
      </c>
      <c r="I20" s="835" t="str">
        <f ca="1">IFERROR(VLOOKUP(I$2,Rango_Admin_DailyPred,MATCH($F20,Rango_Admin_DailyPred_Primera,0),0),"-")</f>
        <v>2|0-2</v>
      </c>
      <c r="J20" s="835" t="str">
        <f ca="1">IFERROR(VLOOKUP(J$2,Rango_Admin_DailyPred,MATCH($F20,Rango_Admin_DailyPred_Primera,0),0),"-")</f>
        <v>2|0-2</v>
      </c>
      <c r="K20" s="835" t="str">
        <f ca="1">IFERROR(VLOOKUP(K$2,Rango_Admin_DailyPred,MATCH($F20,Rango_Admin_DailyPred_Primera,0),0),"-")</f>
        <v>-</v>
      </c>
      <c r="L20" s="835" t="str">
        <f ca="1">IFERROR(VLOOKUP(L$2,Rango_Admin_DailyPred,MATCH($F20,Rango_Admin_DailyPred_Primera,0),0),"-")</f>
        <v>-</v>
      </c>
      <c r="M20" s="835" t="str">
        <f ca="1">IFERROR(VLOOKUP(M$2,Rango_Admin_DailyPred,MATCH($F20,Rango_Admin_DailyPred_Primera,0),0),"-")</f>
        <v>-</v>
      </c>
      <c r="N20" s="835" t="str">
        <f ca="1">IFERROR(VLOOKUP(N$2,Rango_Admin_DailyPred,MATCH($F20,Rango_Admin_DailyPred_Primera,0),0),"-")</f>
        <v>-</v>
      </c>
      <c r="O20" s="835" t="str">
        <f ca="1">IFERROR(VLOOKUP(O$2,Rango_Admin_DailyPred,MATCH($F20,Rango_Admin_DailyPred_Primera,0),0),"-")</f>
        <v>-</v>
      </c>
      <c r="P20" s="835" t="str">
        <f ca="1">IFERROR(VLOOKUP(P$2,Rango_Admin_DailyPred,MATCH($F20,Rango_Admin_DailyPred_Primera,0),0),"-")</f>
        <v>-</v>
      </c>
      <c r="Q20" s="835" t="str">
        <f ca="1">IFERROR(VLOOKUP(Q$2,Rango_Admin_DailyPred,MATCH($F20,Rango_Admin_DailyPred_Primera,0),0),"-")</f>
        <v>-</v>
      </c>
      <c r="R20" s="835" t="str">
        <f ca="1">IFERROR(VLOOKUP(R$2,Rango_Admin_DailyPred,MATCH($F20,Rango_Admin_DailyPred_Primera,0),0),"-")</f>
        <v>-</v>
      </c>
      <c r="S20" s="835" t="str">
        <f ca="1">IFERROR(VLOOKUP(S$2,Rango_Admin_DailyPred,MATCH($F20,Rango_Admin_DailyPred_Primera,0),0),"-")</f>
        <v>-</v>
      </c>
      <c r="T20" s="835" t="str">
        <f ca="1">IFERROR(VLOOKUP(T$2,Rango_Admin_DailyPred,MATCH($F20,Rango_Admin_DailyPred_Primera,0),0),"-")</f>
        <v>-</v>
      </c>
      <c r="U20" s="835" t="str">
        <f ca="1">IFERROR(VLOOKUP(U$2,Rango_Admin_DailyPred,MATCH($F20,Rango_Admin_DailyPred_Primera,0),0),"-")</f>
        <v>-</v>
      </c>
      <c r="V20" s="835" t="str">
        <f ca="1">IFERROR(VLOOKUP(V$2,Rango_Admin_DailyPred,MATCH($F20,Rango_Admin_DailyPred_Primera,0),0),"-")</f>
        <v>-</v>
      </c>
      <c r="W20" s="835" t="str">
        <f ca="1">IFERROR(VLOOKUP(W$2,Rango_Admin_DailyPred,MATCH($F20,Rango_Admin_DailyPred_Primera,0),0),"-")</f>
        <v>-</v>
      </c>
      <c r="X20" s="835" t="str">
        <f ca="1">IFERROR(VLOOKUP(X$2,Rango_Admin_DailyPred,MATCH($F20,Rango_Admin_DailyPred_Primera,0),0),"-")</f>
        <v>-</v>
      </c>
      <c r="Y20" s="835" t="str">
        <f ca="1">IFERROR(VLOOKUP(Y$2,Rango_Admin_DailyPred,MATCH($F20,Rango_Admin_DailyPred_Primera,0),0),"-")</f>
        <v>-</v>
      </c>
      <c r="Z20" s="835" t="str">
        <f ca="1">IFERROR(VLOOKUP(Z$2,Rango_Admin_DailyPred,MATCH($F20,Rango_Admin_DailyPred_Primera,0),0),"-")</f>
        <v>-</v>
      </c>
      <c r="AA20" s="835" t="str">
        <f ca="1">IFERROR(VLOOKUP(AA$2,Rango_Admin_DailyPred,MATCH($F20,Rango_Admin_DailyPred_Primera,0),0),"-")</f>
        <v>-</v>
      </c>
      <c r="AB20" s="835" t="str">
        <f ca="1">IFERROR(VLOOKUP(AB$2,Rango_Admin_DailyPred,MATCH($F20,Rango_Admin_DailyPred_Primera,0),0),"-")</f>
        <v>-</v>
      </c>
      <c r="AC20" s="835" t="str">
        <f ca="1">IFERROR(VLOOKUP(AC$2,Rango_Admin_DailyPred,MATCH($F20,Rango_Admin_DailyPred_Primera,0),0),"-")</f>
        <v>-</v>
      </c>
      <c r="AD20" s="835" t="str">
        <f ca="1">IFERROR(VLOOKUP(AD$2,Rango_Admin_DailyPred,MATCH($F20,Rango_Admin_DailyPred_Primera,0),0),"-")</f>
        <v>-</v>
      </c>
      <c r="AE20" s="835" t="str">
        <f ca="1">IFERROR(VLOOKUP(AE$2,Rango_Admin_DailyPred,MATCH($F20,Rango_Admin_DailyPred_Primera,0),0),"-")</f>
        <v>-</v>
      </c>
      <c r="AF20" s="835" t="str">
        <f ca="1">IFERROR(VLOOKUP(AF$2,Rango_Admin_DailyPred,MATCH($F20,Rango_Admin_DailyPred_Primera,0),0),"-")</f>
        <v>-</v>
      </c>
      <c r="AG20" s="835" t="str">
        <f ca="1">IFERROR(VLOOKUP(AG$2,Rango_Admin_DailyPred,MATCH($F20,Rango_Admin_DailyPred_Primera,0),0),"-")</f>
        <v>-</v>
      </c>
      <c r="AH20" s="835" t="str">
        <f ca="1">IFERROR(VLOOKUP(AH$2,Rango_Admin_DailyPred,MATCH($F20,Rango_Admin_DailyPred_Primera,0),0),"-")</f>
        <v>-</v>
      </c>
      <c r="AI20" s="835" t="str">
        <f ca="1">IFERROR(VLOOKUP(AI$2,Rango_Admin_DailyPred,MATCH($F20,Rango_Admin_DailyPred_Primera,0),0),"-")</f>
        <v>-</v>
      </c>
      <c r="AJ20" s="835" t="str">
        <f ca="1">IFERROR(VLOOKUP(AJ$2,Rango_Admin_DailyPred,MATCH($F20,Rango_Admin_DailyPred_Primera,0),0),"-")</f>
        <v>-</v>
      </c>
      <c r="AK20" s="835" t="str">
        <f ca="1">IFERROR(VLOOKUP(AK$2,Rango_Admin_DailyPred,MATCH($F20,Rango_Admin_DailyPred_Primera,0),0),"-")</f>
        <v>-</v>
      </c>
      <c r="AL20" s="835" t="str">
        <f ca="1">IFERROR(VLOOKUP(AL$2,Rango_Admin_DailyPred,MATCH($F20,Rango_Admin_DailyPred_Primera,0),0),"-")</f>
        <v>-</v>
      </c>
      <c r="AM20" s="295"/>
      <c r="AN20" s="295"/>
      <c r="AO20" s="295"/>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833" t="str" cm="1">
        <f t="array" ref="F21">IFERROR(INDEX(Rango_Admin_DailyPred_Primera,1,E21),"-")</f>
        <v>Juan De Abreu</v>
      </c>
      <c r="G21" s="717" t="str">
        <f ca="1">IFERROR(VLOOKUP(G$2,Rango_Admin_DailyPred,MATCH($F21,Rango_Admin_DailyPred_Primera,0),0),"-")</f>
        <v>2|0-2</v>
      </c>
      <c r="H21" s="717" t="str">
        <f ca="1">IFERROR(VLOOKUP(H$2,Rango_Admin_DailyPred,MATCH($F21,Rango_Admin_DailyPred_Primera,0),0),"-")</f>
        <v>1|2-1</v>
      </c>
      <c r="I21" s="717" t="str">
        <f ca="1">IFERROR(VLOOKUP(I$2,Rango_Admin_DailyPred,MATCH($F21,Rango_Admin_DailyPred_Primera,0),0),"-")</f>
        <v>2|0-3</v>
      </c>
      <c r="J21" s="717" t="str">
        <f ca="1">IFERROR(VLOOKUP(J$2,Rango_Admin_DailyPred,MATCH($F21,Rango_Admin_DailyPred_Primera,0),0),"-")</f>
        <v>2|1-3</v>
      </c>
      <c r="K21" s="717" t="str">
        <f ca="1">IFERROR(VLOOKUP(K$2,Rango_Admin_DailyPred,MATCH($F21,Rango_Admin_DailyPred_Primera,0),0),"-")</f>
        <v>-</v>
      </c>
      <c r="L21" s="717" t="str">
        <f ca="1">IFERROR(VLOOKUP(L$2,Rango_Admin_DailyPred,MATCH($F21,Rango_Admin_DailyPred_Primera,0),0),"-")</f>
        <v>-</v>
      </c>
      <c r="M21" s="717" t="str">
        <f ca="1">IFERROR(VLOOKUP(M$2,Rango_Admin_DailyPred,MATCH($F21,Rango_Admin_DailyPred_Primera,0),0),"-")</f>
        <v>-</v>
      </c>
      <c r="N21" s="717" t="str">
        <f ca="1">IFERROR(VLOOKUP(N$2,Rango_Admin_DailyPred,MATCH($F21,Rango_Admin_DailyPred_Primera,0),0),"-")</f>
        <v>-</v>
      </c>
      <c r="O21" s="717" t="str">
        <f ca="1">IFERROR(VLOOKUP(O$2,Rango_Admin_DailyPred,MATCH($F21,Rango_Admin_DailyPred_Primera,0),0),"-")</f>
        <v>-</v>
      </c>
      <c r="P21" s="717" t="str">
        <f ca="1">IFERROR(VLOOKUP(P$2,Rango_Admin_DailyPred,MATCH($F21,Rango_Admin_DailyPred_Primera,0),0),"-")</f>
        <v>-</v>
      </c>
      <c r="Q21" s="717" t="str">
        <f ca="1">IFERROR(VLOOKUP(Q$2,Rango_Admin_DailyPred,MATCH($F21,Rango_Admin_DailyPred_Primera,0),0),"-")</f>
        <v>-</v>
      </c>
      <c r="R21" s="717" t="str">
        <f ca="1">IFERROR(VLOOKUP(R$2,Rango_Admin_DailyPred,MATCH($F21,Rango_Admin_DailyPred_Primera,0),0),"-")</f>
        <v>-</v>
      </c>
      <c r="S21" s="717" t="str">
        <f ca="1">IFERROR(VLOOKUP(S$2,Rango_Admin_DailyPred,MATCH($F21,Rango_Admin_DailyPred_Primera,0),0),"-")</f>
        <v>-</v>
      </c>
      <c r="T21" s="717" t="str">
        <f ca="1">IFERROR(VLOOKUP(T$2,Rango_Admin_DailyPred,MATCH($F21,Rango_Admin_DailyPred_Primera,0),0),"-")</f>
        <v>-</v>
      </c>
      <c r="U21" s="717" t="str">
        <f ca="1">IFERROR(VLOOKUP(U$2,Rango_Admin_DailyPred,MATCH($F21,Rango_Admin_DailyPred_Primera,0),0),"-")</f>
        <v>-</v>
      </c>
      <c r="V21" s="717" t="str">
        <f ca="1">IFERROR(VLOOKUP(V$2,Rango_Admin_DailyPred,MATCH($F21,Rango_Admin_DailyPred_Primera,0),0),"-")</f>
        <v>-</v>
      </c>
      <c r="W21" s="717" t="str">
        <f ca="1">IFERROR(VLOOKUP(W$2,Rango_Admin_DailyPred,MATCH($F21,Rango_Admin_DailyPred_Primera,0),0),"-")</f>
        <v>-</v>
      </c>
      <c r="X21" s="717" t="str">
        <f ca="1">IFERROR(VLOOKUP(X$2,Rango_Admin_DailyPred,MATCH($F21,Rango_Admin_DailyPred_Primera,0),0),"-")</f>
        <v>-</v>
      </c>
      <c r="Y21" s="717" t="str">
        <f ca="1">IFERROR(VLOOKUP(Y$2,Rango_Admin_DailyPred,MATCH($F21,Rango_Admin_DailyPred_Primera,0),0),"-")</f>
        <v>-</v>
      </c>
      <c r="Z21" s="717" t="str">
        <f ca="1">IFERROR(VLOOKUP(Z$2,Rango_Admin_DailyPred,MATCH($F21,Rango_Admin_DailyPred_Primera,0),0),"-")</f>
        <v>-</v>
      </c>
      <c r="AA21" s="717" t="str">
        <f ca="1">IFERROR(VLOOKUP(AA$2,Rango_Admin_DailyPred,MATCH($F21,Rango_Admin_DailyPred_Primera,0),0),"-")</f>
        <v>-</v>
      </c>
      <c r="AB21" s="717" t="str">
        <f ca="1">IFERROR(VLOOKUP(AB$2,Rango_Admin_DailyPred,MATCH($F21,Rango_Admin_DailyPred_Primera,0),0),"-")</f>
        <v>-</v>
      </c>
      <c r="AC21" s="717" t="str">
        <f ca="1">IFERROR(VLOOKUP(AC$2,Rango_Admin_DailyPred,MATCH($F21,Rango_Admin_DailyPred_Primera,0),0),"-")</f>
        <v>-</v>
      </c>
      <c r="AD21" s="717" t="str">
        <f ca="1">IFERROR(VLOOKUP(AD$2,Rango_Admin_DailyPred,MATCH($F21,Rango_Admin_DailyPred_Primera,0),0),"-")</f>
        <v>-</v>
      </c>
      <c r="AE21" s="717" t="str">
        <f ca="1">IFERROR(VLOOKUP(AE$2,Rango_Admin_DailyPred,MATCH($F21,Rango_Admin_DailyPred_Primera,0),0),"-")</f>
        <v>-</v>
      </c>
      <c r="AF21" s="717" t="str">
        <f ca="1">IFERROR(VLOOKUP(AF$2,Rango_Admin_DailyPred,MATCH($F21,Rango_Admin_DailyPred_Primera,0),0),"-")</f>
        <v>-</v>
      </c>
      <c r="AG21" s="717" t="str">
        <f ca="1">IFERROR(VLOOKUP(AG$2,Rango_Admin_DailyPred,MATCH($F21,Rango_Admin_DailyPred_Primera,0),0),"-")</f>
        <v>-</v>
      </c>
      <c r="AH21" s="717" t="str">
        <f ca="1">IFERROR(VLOOKUP(AH$2,Rango_Admin_DailyPred,MATCH($F21,Rango_Admin_DailyPred_Primera,0),0),"-")</f>
        <v>-</v>
      </c>
      <c r="AI21" s="717" t="str">
        <f ca="1">IFERROR(VLOOKUP(AI$2,Rango_Admin_DailyPred,MATCH($F21,Rango_Admin_DailyPred_Primera,0),0),"-")</f>
        <v>-</v>
      </c>
      <c r="AJ21" s="717" t="str">
        <f ca="1">IFERROR(VLOOKUP(AJ$2,Rango_Admin_DailyPred,MATCH($F21,Rango_Admin_DailyPred_Primera,0),0),"-")</f>
        <v>-</v>
      </c>
      <c r="AK21" s="717" t="str">
        <f ca="1">IFERROR(VLOOKUP(AK$2,Rango_Admin_DailyPred,MATCH($F21,Rango_Admin_DailyPred_Primera,0),0),"-")</f>
        <v>-</v>
      </c>
      <c r="AL21" s="717" t="str">
        <f ca="1">IFERROR(VLOOKUP(AL$2,Rango_Admin_DailyPred,MATCH($F21,Rango_Admin_DailyPred_Primera,0),0),"-")</f>
        <v>-</v>
      </c>
      <c r="AM21" s="295"/>
      <c r="AN21" s="295"/>
      <c r="AO21" s="295"/>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834" t="str" cm="1">
        <f t="array" ref="F22">IFERROR(INDEX(Rango_Admin_DailyPred_Primera,1,E22),"-")</f>
        <v>Luis Piñero</v>
      </c>
      <c r="G22" s="835" t="str">
        <f ca="1">IFERROR(VLOOKUP(G$2,Rango_Admin_DailyPred,MATCH($F22,Rango_Admin_DailyPred_Primera,0),0),"-")</f>
        <v>2|0-1</v>
      </c>
      <c r="H22" s="835" t="str">
        <f ca="1">IFERROR(VLOOKUP(H$2,Rango_Admin_DailyPred,MATCH($F22,Rango_Admin_DailyPred_Primera,0),0),"-")</f>
        <v>1|2-1</v>
      </c>
      <c r="I22" s="835" t="str">
        <f ca="1">IFERROR(VLOOKUP(I$2,Rango_Admin_DailyPred,MATCH($F22,Rango_Admin_DailyPred_Primera,0),0),"-")</f>
        <v>2|1-3</v>
      </c>
      <c r="J22" s="835" t="str">
        <f ca="1">IFERROR(VLOOKUP(J$2,Rango_Admin_DailyPred,MATCH($F22,Rango_Admin_DailyPred_Primera,0),0),"-")</f>
        <v>2|0-2</v>
      </c>
      <c r="K22" s="835" t="str">
        <f ca="1">IFERROR(VLOOKUP(K$2,Rango_Admin_DailyPred,MATCH($F22,Rango_Admin_DailyPred_Primera,0),0),"-")</f>
        <v>-</v>
      </c>
      <c r="L22" s="835" t="str">
        <f ca="1">IFERROR(VLOOKUP(L$2,Rango_Admin_DailyPred,MATCH($F22,Rango_Admin_DailyPred_Primera,0),0),"-")</f>
        <v>-</v>
      </c>
      <c r="M22" s="835" t="str">
        <f ca="1">IFERROR(VLOOKUP(M$2,Rango_Admin_DailyPred,MATCH($F22,Rango_Admin_DailyPred_Primera,0),0),"-")</f>
        <v>-</v>
      </c>
      <c r="N22" s="835" t="str">
        <f ca="1">IFERROR(VLOOKUP(N$2,Rango_Admin_DailyPred,MATCH($F22,Rango_Admin_DailyPred_Primera,0),0),"-")</f>
        <v>-</v>
      </c>
      <c r="O22" s="835" t="str">
        <f ca="1">IFERROR(VLOOKUP(O$2,Rango_Admin_DailyPred,MATCH($F22,Rango_Admin_DailyPred_Primera,0),0),"-")</f>
        <v>-</v>
      </c>
      <c r="P22" s="835" t="str">
        <f ca="1">IFERROR(VLOOKUP(P$2,Rango_Admin_DailyPred,MATCH($F22,Rango_Admin_DailyPred_Primera,0),0),"-")</f>
        <v>-</v>
      </c>
      <c r="Q22" s="835" t="str">
        <f ca="1">IFERROR(VLOOKUP(Q$2,Rango_Admin_DailyPred,MATCH($F22,Rango_Admin_DailyPred_Primera,0),0),"-")</f>
        <v>-</v>
      </c>
      <c r="R22" s="835" t="str">
        <f ca="1">IFERROR(VLOOKUP(R$2,Rango_Admin_DailyPred,MATCH($F22,Rango_Admin_DailyPred_Primera,0),0),"-")</f>
        <v>-</v>
      </c>
      <c r="S22" s="835" t="str">
        <f ca="1">IFERROR(VLOOKUP(S$2,Rango_Admin_DailyPred,MATCH($F22,Rango_Admin_DailyPred_Primera,0),0),"-")</f>
        <v>-</v>
      </c>
      <c r="T22" s="835" t="str">
        <f ca="1">IFERROR(VLOOKUP(T$2,Rango_Admin_DailyPred,MATCH($F22,Rango_Admin_DailyPred_Primera,0),0),"-")</f>
        <v>-</v>
      </c>
      <c r="U22" s="835" t="str">
        <f ca="1">IFERROR(VLOOKUP(U$2,Rango_Admin_DailyPred,MATCH($F22,Rango_Admin_DailyPred_Primera,0),0),"-")</f>
        <v>-</v>
      </c>
      <c r="V22" s="835" t="str">
        <f ca="1">IFERROR(VLOOKUP(V$2,Rango_Admin_DailyPred,MATCH($F22,Rango_Admin_DailyPred_Primera,0),0),"-")</f>
        <v>-</v>
      </c>
      <c r="W22" s="835" t="str">
        <f ca="1">IFERROR(VLOOKUP(W$2,Rango_Admin_DailyPred,MATCH($F22,Rango_Admin_DailyPred_Primera,0),0),"-")</f>
        <v>-</v>
      </c>
      <c r="X22" s="835" t="str">
        <f ca="1">IFERROR(VLOOKUP(X$2,Rango_Admin_DailyPred,MATCH($F22,Rango_Admin_DailyPred_Primera,0),0),"-")</f>
        <v>-</v>
      </c>
      <c r="Y22" s="835" t="str">
        <f ca="1">IFERROR(VLOOKUP(Y$2,Rango_Admin_DailyPred,MATCH($F22,Rango_Admin_DailyPred_Primera,0),0),"-")</f>
        <v>-</v>
      </c>
      <c r="Z22" s="835" t="str">
        <f ca="1">IFERROR(VLOOKUP(Z$2,Rango_Admin_DailyPred,MATCH($F22,Rango_Admin_DailyPred_Primera,0),0),"-")</f>
        <v>-</v>
      </c>
      <c r="AA22" s="835" t="str">
        <f ca="1">IFERROR(VLOOKUP(AA$2,Rango_Admin_DailyPred,MATCH($F22,Rango_Admin_DailyPred_Primera,0),0),"-")</f>
        <v>-</v>
      </c>
      <c r="AB22" s="835" t="str">
        <f ca="1">IFERROR(VLOOKUP(AB$2,Rango_Admin_DailyPred,MATCH($F22,Rango_Admin_DailyPred_Primera,0),0),"-")</f>
        <v>-</v>
      </c>
      <c r="AC22" s="835" t="str">
        <f ca="1">IFERROR(VLOOKUP(AC$2,Rango_Admin_DailyPred,MATCH($F22,Rango_Admin_DailyPred_Primera,0),0),"-")</f>
        <v>-</v>
      </c>
      <c r="AD22" s="835" t="str">
        <f ca="1">IFERROR(VLOOKUP(AD$2,Rango_Admin_DailyPred,MATCH($F22,Rango_Admin_DailyPred_Primera,0),0),"-")</f>
        <v>-</v>
      </c>
      <c r="AE22" s="835" t="str">
        <f ca="1">IFERROR(VLOOKUP(AE$2,Rango_Admin_DailyPred,MATCH($F22,Rango_Admin_DailyPred_Primera,0),0),"-")</f>
        <v>-</v>
      </c>
      <c r="AF22" s="835" t="str">
        <f ca="1">IFERROR(VLOOKUP(AF$2,Rango_Admin_DailyPred,MATCH($F22,Rango_Admin_DailyPred_Primera,0),0),"-")</f>
        <v>-</v>
      </c>
      <c r="AG22" s="835" t="str">
        <f ca="1">IFERROR(VLOOKUP(AG$2,Rango_Admin_DailyPred,MATCH($F22,Rango_Admin_DailyPred_Primera,0),0),"-")</f>
        <v>-</v>
      </c>
      <c r="AH22" s="835" t="str">
        <f ca="1">IFERROR(VLOOKUP(AH$2,Rango_Admin_DailyPred,MATCH($F22,Rango_Admin_DailyPred_Primera,0),0),"-")</f>
        <v>-</v>
      </c>
      <c r="AI22" s="835" t="str">
        <f ca="1">IFERROR(VLOOKUP(AI$2,Rango_Admin_DailyPred,MATCH($F22,Rango_Admin_DailyPred_Primera,0),0),"-")</f>
        <v>-</v>
      </c>
      <c r="AJ22" s="835" t="str">
        <f ca="1">IFERROR(VLOOKUP(AJ$2,Rango_Admin_DailyPred,MATCH($F22,Rango_Admin_DailyPred_Primera,0),0),"-")</f>
        <v>-</v>
      </c>
      <c r="AK22" s="835" t="str">
        <f ca="1">IFERROR(VLOOKUP(AK$2,Rango_Admin_DailyPred,MATCH($F22,Rango_Admin_DailyPred_Primera,0),0),"-")</f>
        <v>-</v>
      </c>
      <c r="AL22" s="835" t="str">
        <f ca="1">IFERROR(VLOOKUP(AL$2,Rango_Admin_DailyPred,MATCH($F22,Rango_Admin_DailyPred_Primera,0),0),"-")</f>
        <v>-</v>
      </c>
      <c r="AM22" s="295"/>
      <c r="AN22" s="295"/>
      <c r="AO22" s="295"/>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833" t="str" cm="1">
        <f t="array" ref="F23">IFERROR(INDEX(Rango_Admin_DailyPred_Primera,1,E23),"-")</f>
        <v>Luis Rondon</v>
      </c>
      <c r="G23" s="717" t="str">
        <f ca="1">IFERROR(VLOOKUP(G$2,Rango_Admin_DailyPred,MATCH($F23,Rango_Admin_DailyPred_Primera,0),0),"-")</f>
        <v>2|0-1</v>
      </c>
      <c r="H23" s="717" t="str">
        <f ca="1">IFERROR(VLOOKUP(H$2,Rango_Admin_DailyPred,MATCH($F23,Rango_Admin_DailyPred_Primera,0),0),"-")</f>
        <v>1|2-1</v>
      </c>
      <c r="I23" s="717" t="str">
        <f ca="1">IFERROR(VLOOKUP(I$2,Rango_Admin_DailyPred,MATCH($F23,Rango_Admin_DailyPred_Primera,0),0),"-")</f>
        <v>2|0-1</v>
      </c>
      <c r="J23" s="717" t="str">
        <f ca="1">IFERROR(VLOOKUP(J$2,Rango_Admin_DailyPred,MATCH($F23,Rango_Admin_DailyPred_Primera,0),0),"-")</f>
        <v>2|0-1</v>
      </c>
      <c r="K23" s="717" t="str">
        <f ca="1">IFERROR(VLOOKUP(K$2,Rango_Admin_DailyPred,MATCH($F23,Rango_Admin_DailyPred_Primera,0),0),"-")</f>
        <v>-</v>
      </c>
      <c r="L23" s="717" t="str">
        <f ca="1">IFERROR(VLOOKUP(L$2,Rango_Admin_DailyPred,MATCH($F23,Rango_Admin_DailyPred_Primera,0),0),"-")</f>
        <v>-</v>
      </c>
      <c r="M23" s="717" t="str">
        <f ca="1">IFERROR(VLOOKUP(M$2,Rango_Admin_DailyPred,MATCH($F23,Rango_Admin_DailyPred_Primera,0),0),"-")</f>
        <v>-</v>
      </c>
      <c r="N23" s="717" t="str">
        <f ca="1">IFERROR(VLOOKUP(N$2,Rango_Admin_DailyPred,MATCH($F23,Rango_Admin_DailyPred_Primera,0),0),"-")</f>
        <v>-</v>
      </c>
      <c r="O23" s="717" t="str">
        <f ca="1">IFERROR(VLOOKUP(O$2,Rango_Admin_DailyPred,MATCH($F23,Rango_Admin_DailyPred_Primera,0),0),"-")</f>
        <v>-</v>
      </c>
      <c r="P23" s="717" t="str">
        <f ca="1">IFERROR(VLOOKUP(P$2,Rango_Admin_DailyPred,MATCH($F23,Rango_Admin_DailyPred_Primera,0),0),"-")</f>
        <v>-</v>
      </c>
      <c r="Q23" s="717" t="str">
        <f ca="1">IFERROR(VLOOKUP(Q$2,Rango_Admin_DailyPred,MATCH($F23,Rango_Admin_DailyPred_Primera,0),0),"-")</f>
        <v>-</v>
      </c>
      <c r="R23" s="717" t="str">
        <f ca="1">IFERROR(VLOOKUP(R$2,Rango_Admin_DailyPred,MATCH($F23,Rango_Admin_DailyPred_Primera,0),0),"-")</f>
        <v>-</v>
      </c>
      <c r="S23" s="717" t="str">
        <f ca="1">IFERROR(VLOOKUP(S$2,Rango_Admin_DailyPred,MATCH($F23,Rango_Admin_DailyPred_Primera,0),0),"-")</f>
        <v>-</v>
      </c>
      <c r="T23" s="717" t="str">
        <f ca="1">IFERROR(VLOOKUP(T$2,Rango_Admin_DailyPred,MATCH($F23,Rango_Admin_DailyPred_Primera,0),0),"-")</f>
        <v>-</v>
      </c>
      <c r="U23" s="717" t="str">
        <f ca="1">IFERROR(VLOOKUP(U$2,Rango_Admin_DailyPred,MATCH($F23,Rango_Admin_DailyPred_Primera,0),0),"-")</f>
        <v>-</v>
      </c>
      <c r="V23" s="717" t="str">
        <f ca="1">IFERROR(VLOOKUP(V$2,Rango_Admin_DailyPred,MATCH($F23,Rango_Admin_DailyPred_Primera,0),0),"-")</f>
        <v>-</v>
      </c>
      <c r="W23" s="717" t="str">
        <f ca="1">IFERROR(VLOOKUP(W$2,Rango_Admin_DailyPred,MATCH($F23,Rango_Admin_DailyPred_Primera,0),0),"-")</f>
        <v>-</v>
      </c>
      <c r="X23" s="717" t="str">
        <f ca="1">IFERROR(VLOOKUP(X$2,Rango_Admin_DailyPred,MATCH($F23,Rango_Admin_DailyPred_Primera,0),0),"-")</f>
        <v>-</v>
      </c>
      <c r="Y23" s="717" t="str">
        <f ca="1">IFERROR(VLOOKUP(Y$2,Rango_Admin_DailyPred,MATCH($F23,Rango_Admin_DailyPred_Primera,0),0),"-")</f>
        <v>-</v>
      </c>
      <c r="Z23" s="717" t="str">
        <f ca="1">IFERROR(VLOOKUP(Z$2,Rango_Admin_DailyPred,MATCH($F23,Rango_Admin_DailyPred_Primera,0),0),"-")</f>
        <v>-</v>
      </c>
      <c r="AA23" s="717" t="str">
        <f ca="1">IFERROR(VLOOKUP(AA$2,Rango_Admin_DailyPred,MATCH($F23,Rango_Admin_DailyPred_Primera,0),0),"-")</f>
        <v>-</v>
      </c>
      <c r="AB23" s="717" t="str">
        <f ca="1">IFERROR(VLOOKUP(AB$2,Rango_Admin_DailyPred,MATCH($F23,Rango_Admin_DailyPred_Primera,0),0),"-")</f>
        <v>-</v>
      </c>
      <c r="AC23" s="717" t="str">
        <f ca="1">IFERROR(VLOOKUP(AC$2,Rango_Admin_DailyPred,MATCH($F23,Rango_Admin_DailyPred_Primera,0),0),"-")</f>
        <v>-</v>
      </c>
      <c r="AD23" s="717" t="str">
        <f ca="1">IFERROR(VLOOKUP(AD$2,Rango_Admin_DailyPred,MATCH($F23,Rango_Admin_DailyPred_Primera,0),0),"-")</f>
        <v>-</v>
      </c>
      <c r="AE23" s="717" t="str">
        <f ca="1">IFERROR(VLOOKUP(AE$2,Rango_Admin_DailyPred,MATCH($F23,Rango_Admin_DailyPred_Primera,0),0),"-")</f>
        <v>-</v>
      </c>
      <c r="AF23" s="717" t="str">
        <f ca="1">IFERROR(VLOOKUP(AF$2,Rango_Admin_DailyPred,MATCH($F23,Rango_Admin_DailyPred_Primera,0),0),"-")</f>
        <v>-</v>
      </c>
      <c r="AG23" s="717" t="str">
        <f ca="1">IFERROR(VLOOKUP(AG$2,Rango_Admin_DailyPred,MATCH($F23,Rango_Admin_DailyPred_Primera,0),0),"-")</f>
        <v>-</v>
      </c>
      <c r="AH23" s="717" t="str">
        <f ca="1">IFERROR(VLOOKUP(AH$2,Rango_Admin_DailyPred,MATCH($F23,Rango_Admin_DailyPred_Primera,0),0),"-")</f>
        <v>-</v>
      </c>
      <c r="AI23" s="717" t="str">
        <f ca="1">IFERROR(VLOOKUP(AI$2,Rango_Admin_DailyPred,MATCH($F23,Rango_Admin_DailyPred_Primera,0),0),"-")</f>
        <v>-</v>
      </c>
      <c r="AJ23" s="717" t="str">
        <f ca="1">IFERROR(VLOOKUP(AJ$2,Rango_Admin_DailyPred,MATCH($F23,Rango_Admin_DailyPred_Primera,0),0),"-")</f>
        <v>-</v>
      </c>
      <c r="AK23" s="717" t="str">
        <f ca="1">IFERROR(VLOOKUP(AK$2,Rango_Admin_DailyPred,MATCH($F23,Rango_Admin_DailyPred_Primera,0),0),"-")</f>
        <v>-</v>
      </c>
      <c r="AL23" s="717" t="str">
        <f ca="1">IFERROR(VLOOKUP(AL$2,Rango_Admin_DailyPred,MATCH($F23,Rango_Admin_DailyPred_Primera,0),0),"-")</f>
        <v>-</v>
      </c>
      <c r="AM23" s="295"/>
      <c r="AN23" s="295"/>
      <c r="AO23" s="295"/>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834" t="str" cm="1">
        <f t="array" ref="F24">IFERROR(INDEX(Rango_Admin_DailyPred_Primera,1,E24),"-")</f>
        <v>Manuel Coa</v>
      </c>
      <c r="G24" s="835" t="str">
        <f ca="1">IFERROR(VLOOKUP(G$2,Rango_Admin_DailyPred,MATCH($F24,Rango_Admin_DailyPred_Primera,0),0),"-")</f>
        <v>2|1-2</v>
      </c>
      <c r="H24" s="835" t="str">
        <f ca="1">IFERROR(VLOOKUP(H$2,Rango_Admin_DailyPred,MATCH($F24,Rango_Admin_DailyPred_Primera,0),0),"-")</f>
        <v>X|2-2</v>
      </c>
      <c r="I24" s="835" t="str">
        <f ca="1">IFERROR(VLOOKUP(I$2,Rango_Admin_DailyPred,MATCH($F24,Rango_Admin_DailyPred_Primera,0),0),"-")</f>
        <v>2|2-3</v>
      </c>
      <c r="J24" s="835" t="str">
        <f ca="1">IFERROR(VLOOKUP(J$2,Rango_Admin_DailyPred,MATCH($F24,Rango_Admin_DailyPred_Primera,0),0),"-")</f>
        <v>2|1-2</v>
      </c>
      <c r="K24" s="835" t="str">
        <f ca="1">IFERROR(VLOOKUP(K$2,Rango_Admin_DailyPred,MATCH($F24,Rango_Admin_DailyPred_Primera,0),0),"-")</f>
        <v>-</v>
      </c>
      <c r="L24" s="835" t="str">
        <f ca="1">IFERROR(VLOOKUP(L$2,Rango_Admin_DailyPred,MATCH($F24,Rango_Admin_DailyPred_Primera,0),0),"-")</f>
        <v>-</v>
      </c>
      <c r="M24" s="835" t="str">
        <f ca="1">IFERROR(VLOOKUP(M$2,Rango_Admin_DailyPred,MATCH($F24,Rango_Admin_DailyPred_Primera,0),0),"-")</f>
        <v>-</v>
      </c>
      <c r="N24" s="835" t="str">
        <f ca="1">IFERROR(VLOOKUP(N$2,Rango_Admin_DailyPred,MATCH($F24,Rango_Admin_DailyPred_Primera,0),0),"-")</f>
        <v>-</v>
      </c>
      <c r="O24" s="835" t="str">
        <f ca="1">IFERROR(VLOOKUP(O$2,Rango_Admin_DailyPred,MATCH($F24,Rango_Admin_DailyPred_Primera,0),0),"-")</f>
        <v>-</v>
      </c>
      <c r="P24" s="835" t="str">
        <f ca="1">IFERROR(VLOOKUP(P$2,Rango_Admin_DailyPred,MATCH($F24,Rango_Admin_DailyPred_Primera,0),0),"-")</f>
        <v>-</v>
      </c>
      <c r="Q24" s="835" t="str">
        <f ca="1">IFERROR(VLOOKUP(Q$2,Rango_Admin_DailyPred,MATCH($F24,Rango_Admin_DailyPred_Primera,0),0),"-")</f>
        <v>-</v>
      </c>
      <c r="R24" s="835" t="str">
        <f ca="1">IFERROR(VLOOKUP(R$2,Rango_Admin_DailyPred,MATCH($F24,Rango_Admin_DailyPred_Primera,0),0),"-")</f>
        <v>-</v>
      </c>
      <c r="S24" s="835" t="str">
        <f ca="1">IFERROR(VLOOKUP(S$2,Rango_Admin_DailyPred,MATCH($F24,Rango_Admin_DailyPred_Primera,0),0),"-")</f>
        <v>-</v>
      </c>
      <c r="T24" s="835" t="str">
        <f ca="1">IFERROR(VLOOKUP(T$2,Rango_Admin_DailyPred,MATCH($F24,Rango_Admin_DailyPred_Primera,0),0),"-")</f>
        <v>-</v>
      </c>
      <c r="U24" s="835" t="str">
        <f ca="1">IFERROR(VLOOKUP(U$2,Rango_Admin_DailyPred,MATCH($F24,Rango_Admin_DailyPred_Primera,0),0),"-")</f>
        <v>-</v>
      </c>
      <c r="V24" s="835" t="str">
        <f ca="1">IFERROR(VLOOKUP(V$2,Rango_Admin_DailyPred,MATCH($F24,Rango_Admin_DailyPred_Primera,0),0),"-")</f>
        <v>-</v>
      </c>
      <c r="W24" s="835" t="str">
        <f ca="1">IFERROR(VLOOKUP(W$2,Rango_Admin_DailyPred,MATCH($F24,Rango_Admin_DailyPred_Primera,0),0),"-")</f>
        <v>-</v>
      </c>
      <c r="X24" s="835" t="str">
        <f ca="1">IFERROR(VLOOKUP(X$2,Rango_Admin_DailyPred,MATCH($F24,Rango_Admin_DailyPred_Primera,0),0),"-")</f>
        <v>-</v>
      </c>
      <c r="Y24" s="835" t="str">
        <f ca="1">IFERROR(VLOOKUP(Y$2,Rango_Admin_DailyPred,MATCH($F24,Rango_Admin_DailyPred_Primera,0),0),"-")</f>
        <v>-</v>
      </c>
      <c r="Z24" s="835" t="str">
        <f ca="1">IFERROR(VLOOKUP(Z$2,Rango_Admin_DailyPred,MATCH($F24,Rango_Admin_DailyPred_Primera,0),0),"-")</f>
        <v>-</v>
      </c>
      <c r="AA24" s="835" t="str">
        <f ca="1">IFERROR(VLOOKUP(AA$2,Rango_Admin_DailyPred,MATCH($F24,Rango_Admin_DailyPred_Primera,0),0),"-")</f>
        <v>-</v>
      </c>
      <c r="AB24" s="835" t="str">
        <f ca="1">IFERROR(VLOOKUP(AB$2,Rango_Admin_DailyPred,MATCH($F24,Rango_Admin_DailyPred_Primera,0),0),"-")</f>
        <v>-</v>
      </c>
      <c r="AC24" s="835" t="str">
        <f ca="1">IFERROR(VLOOKUP(AC$2,Rango_Admin_DailyPred,MATCH($F24,Rango_Admin_DailyPred_Primera,0),0),"-")</f>
        <v>-</v>
      </c>
      <c r="AD24" s="835" t="str">
        <f ca="1">IFERROR(VLOOKUP(AD$2,Rango_Admin_DailyPred,MATCH($F24,Rango_Admin_DailyPred_Primera,0),0),"-")</f>
        <v>-</v>
      </c>
      <c r="AE24" s="835" t="str">
        <f ca="1">IFERROR(VLOOKUP(AE$2,Rango_Admin_DailyPred,MATCH($F24,Rango_Admin_DailyPred_Primera,0),0),"-")</f>
        <v>-</v>
      </c>
      <c r="AF24" s="835" t="str">
        <f ca="1">IFERROR(VLOOKUP(AF$2,Rango_Admin_DailyPred,MATCH($F24,Rango_Admin_DailyPred_Primera,0),0),"-")</f>
        <v>-</v>
      </c>
      <c r="AG24" s="835" t="str">
        <f ca="1">IFERROR(VLOOKUP(AG$2,Rango_Admin_DailyPred,MATCH($F24,Rango_Admin_DailyPred_Primera,0),0),"-")</f>
        <v>-</v>
      </c>
      <c r="AH24" s="835" t="str">
        <f ca="1">IFERROR(VLOOKUP(AH$2,Rango_Admin_DailyPred,MATCH($F24,Rango_Admin_DailyPred_Primera,0),0),"-")</f>
        <v>-</v>
      </c>
      <c r="AI24" s="835" t="str">
        <f ca="1">IFERROR(VLOOKUP(AI$2,Rango_Admin_DailyPred,MATCH($F24,Rango_Admin_DailyPred_Primera,0),0),"-")</f>
        <v>-</v>
      </c>
      <c r="AJ24" s="835" t="str">
        <f ca="1">IFERROR(VLOOKUP(AJ$2,Rango_Admin_DailyPred,MATCH($F24,Rango_Admin_DailyPred_Primera,0),0),"-")</f>
        <v>-</v>
      </c>
      <c r="AK24" s="835" t="str">
        <f ca="1">IFERROR(VLOOKUP(AK$2,Rango_Admin_DailyPred,MATCH($F24,Rango_Admin_DailyPred_Primera,0),0),"-")</f>
        <v>-</v>
      </c>
      <c r="AL24" s="835" t="str">
        <f ca="1">IFERROR(VLOOKUP(AL$2,Rango_Admin_DailyPred,MATCH($F24,Rango_Admin_DailyPred_Primera,0),0),"-")</f>
        <v>-</v>
      </c>
      <c r="AM24" s="295"/>
      <c r="AN24" s="295"/>
      <c r="AO24" s="295"/>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833" t="str" cm="1">
        <f t="array" ref="F25">IFERROR(INDEX(Rango_Admin_DailyPred_Primera,1,E25),"-")</f>
        <v>Miguel Dousdebés</v>
      </c>
      <c r="G25" s="717" t="str">
        <f ca="1">IFERROR(VLOOKUP(G$2,Rango_Admin_DailyPred,MATCH($F25,Rango_Admin_DailyPred_Primera,0),0),"-")</f>
        <v>2|0-2</v>
      </c>
      <c r="H25" s="717" t="str">
        <f ca="1">IFERROR(VLOOKUP(H$2,Rango_Admin_DailyPred,MATCH($F25,Rango_Admin_DailyPred_Primera,0),0),"-")</f>
        <v>1|3-1</v>
      </c>
      <c r="I25" s="717" t="str">
        <f ca="1">IFERROR(VLOOKUP(I$2,Rango_Admin_DailyPred,MATCH($F25,Rango_Admin_DailyPred_Primera,0),0),"-")</f>
        <v>2|0-3</v>
      </c>
      <c r="J25" s="717" t="str">
        <f ca="1">IFERROR(VLOOKUP(J$2,Rango_Admin_DailyPred,MATCH($F25,Rango_Admin_DailyPred_Primera,0),0),"-")</f>
        <v>2|1-3</v>
      </c>
      <c r="K25" s="717" t="str">
        <f ca="1">IFERROR(VLOOKUP(K$2,Rango_Admin_DailyPred,MATCH($F25,Rango_Admin_DailyPred_Primera,0),0),"-")</f>
        <v>-</v>
      </c>
      <c r="L25" s="717" t="str">
        <f ca="1">IFERROR(VLOOKUP(L$2,Rango_Admin_DailyPred,MATCH($F25,Rango_Admin_DailyPred_Primera,0),0),"-")</f>
        <v>-</v>
      </c>
      <c r="M25" s="717" t="str">
        <f ca="1">IFERROR(VLOOKUP(M$2,Rango_Admin_DailyPred,MATCH($F25,Rango_Admin_DailyPred_Primera,0),0),"-")</f>
        <v>-</v>
      </c>
      <c r="N25" s="717" t="str">
        <f ca="1">IFERROR(VLOOKUP(N$2,Rango_Admin_DailyPred,MATCH($F25,Rango_Admin_DailyPred_Primera,0),0),"-")</f>
        <v>-</v>
      </c>
      <c r="O25" s="717" t="str">
        <f ca="1">IFERROR(VLOOKUP(O$2,Rango_Admin_DailyPred,MATCH($F25,Rango_Admin_DailyPred_Primera,0),0),"-")</f>
        <v>-</v>
      </c>
      <c r="P25" s="717" t="str">
        <f ca="1">IFERROR(VLOOKUP(P$2,Rango_Admin_DailyPred,MATCH($F25,Rango_Admin_DailyPred_Primera,0),0),"-")</f>
        <v>-</v>
      </c>
      <c r="Q25" s="717" t="str">
        <f ca="1">IFERROR(VLOOKUP(Q$2,Rango_Admin_DailyPred,MATCH($F25,Rango_Admin_DailyPred_Primera,0),0),"-")</f>
        <v>-</v>
      </c>
      <c r="R25" s="717" t="str">
        <f ca="1">IFERROR(VLOOKUP(R$2,Rango_Admin_DailyPred,MATCH($F25,Rango_Admin_DailyPred_Primera,0),0),"-")</f>
        <v>-</v>
      </c>
      <c r="S25" s="717" t="str">
        <f ca="1">IFERROR(VLOOKUP(S$2,Rango_Admin_DailyPred,MATCH($F25,Rango_Admin_DailyPred_Primera,0),0),"-")</f>
        <v>-</v>
      </c>
      <c r="T25" s="717" t="str">
        <f ca="1">IFERROR(VLOOKUP(T$2,Rango_Admin_DailyPred,MATCH($F25,Rango_Admin_DailyPred_Primera,0),0),"-")</f>
        <v>-</v>
      </c>
      <c r="U25" s="717" t="str">
        <f ca="1">IFERROR(VLOOKUP(U$2,Rango_Admin_DailyPred,MATCH($F25,Rango_Admin_DailyPred_Primera,0),0),"-")</f>
        <v>-</v>
      </c>
      <c r="V25" s="717" t="str">
        <f ca="1">IFERROR(VLOOKUP(V$2,Rango_Admin_DailyPred,MATCH($F25,Rango_Admin_DailyPred_Primera,0),0),"-")</f>
        <v>-</v>
      </c>
      <c r="W25" s="717" t="str">
        <f ca="1">IFERROR(VLOOKUP(W$2,Rango_Admin_DailyPred,MATCH($F25,Rango_Admin_DailyPred_Primera,0),0),"-")</f>
        <v>-</v>
      </c>
      <c r="X25" s="717" t="str">
        <f ca="1">IFERROR(VLOOKUP(X$2,Rango_Admin_DailyPred,MATCH($F25,Rango_Admin_DailyPred_Primera,0),0),"-")</f>
        <v>-</v>
      </c>
      <c r="Y25" s="717" t="str">
        <f ca="1">IFERROR(VLOOKUP(Y$2,Rango_Admin_DailyPred,MATCH($F25,Rango_Admin_DailyPred_Primera,0),0),"-")</f>
        <v>-</v>
      </c>
      <c r="Z25" s="717" t="str">
        <f ca="1">IFERROR(VLOOKUP(Z$2,Rango_Admin_DailyPred,MATCH($F25,Rango_Admin_DailyPred_Primera,0),0),"-")</f>
        <v>-</v>
      </c>
      <c r="AA25" s="717" t="str">
        <f ca="1">IFERROR(VLOOKUP(AA$2,Rango_Admin_DailyPred,MATCH($F25,Rango_Admin_DailyPred_Primera,0),0),"-")</f>
        <v>-</v>
      </c>
      <c r="AB25" s="717" t="str">
        <f ca="1">IFERROR(VLOOKUP(AB$2,Rango_Admin_DailyPred,MATCH($F25,Rango_Admin_DailyPred_Primera,0),0),"-")</f>
        <v>-</v>
      </c>
      <c r="AC25" s="717" t="str">
        <f ca="1">IFERROR(VLOOKUP(AC$2,Rango_Admin_DailyPred,MATCH($F25,Rango_Admin_DailyPred_Primera,0),0),"-")</f>
        <v>-</v>
      </c>
      <c r="AD25" s="717" t="str">
        <f ca="1">IFERROR(VLOOKUP(AD$2,Rango_Admin_DailyPred,MATCH($F25,Rango_Admin_DailyPred_Primera,0),0),"-")</f>
        <v>-</v>
      </c>
      <c r="AE25" s="717" t="str">
        <f ca="1">IFERROR(VLOOKUP(AE$2,Rango_Admin_DailyPred,MATCH($F25,Rango_Admin_DailyPred_Primera,0),0),"-")</f>
        <v>-</v>
      </c>
      <c r="AF25" s="717" t="str">
        <f ca="1">IFERROR(VLOOKUP(AF$2,Rango_Admin_DailyPred,MATCH($F25,Rango_Admin_DailyPred_Primera,0),0),"-")</f>
        <v>-</v>
      </c>
      <c r="AG25" s="717" t="str">
        <f ca="1">IFERROR(VLOOKUP(AG$2,Rango_Admin_DailyPred,MATCH($F25,Rango_Admin_DailyPred_Primera,0),0),"-")</f>
        <v>-</v>
      </c>
      <c r="AH25" s="717" t="str">
        <f ca="1">IFERROR(VLOOKUP(AH$2,Rango_Admin_DailyPred,MATCH($F25,Rango_Admin_DailyPred_Primera,0),0),"-")</f>
        <v>-</v>
      </c>
      <c r="AI25" s="717" t="str">
        <f ca="1">IFERROR(VLOOKUP(AI$2,Rango_Admin_DailyPred,MATCH($F25,Rango_Admin_DailyPred_Primera,0),0),"-")</f>
        <v>-</v>
      </c>
      <c r="AJ25" s="717" t="str">
        <f ca="1">IFERROR(VLOOKUP(AJ$2,Rango_Admin_DailyPred,MATCH($F25,Rango_Admin_DailyPred_Primera,0),0),"-")</f>
        <v>-</v>
      </c>
      <c r="AK25" s="717" t="str">
        <f ca="1">IFERROR(VLOOKUP(AK$2,Rango_Admin_DailyPred,MATCH($F25,Rango_Admin_DailyPred_Primera,0),0),"-")</f>
        <v>-</v>
      </c>
      <c r="AL25" s="717" t="str">
        <f ca="1">IFERROR(VLOOKUP(AL$2,Rango_Admin_DailyPred,MATCH($F25,Rango_Admin_DailyPred_Primera,0),0),"-")</f>
        <v>-</v>
      </c>
      <c r="AM25" s="295"/>
      <c r="AN25" s="295"/>
      <c r="AO25" s="295"/>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834" t="str" cm="1">
        <f t="array" ref="F26">IFERROR(INDEX(Rango_Admin_DailyPred_Primera,1,E26),"-")</f>
        <v>Moisex Contreras</v>
      </c>
      <c r="G26" s="835" t="str">
        <f ca="1">IFERROR(VLOOKUP(G$2,Rango_Admin_DailyPred,MATCH($F26,Rango_Admin_DailyPred_Primera,0),0),"-")</f>
        <v>2|0-2</v>
      </c>
      <c r="H26" s="835" t="str">
        <f ca="1">IFERROR(VLOOKUP(H$2,Rango_Admin_DailyPred,MATCH($F26,Rango_Admin_DailyPred_Primera,0),0),"-")</f>
        <v>X|2-2</v>
      </c>
      <c r="I26" s="835" t="str">
        <f ca="1">IFERROR(VLOOKUP(I$2,Rango_Admin_DailyPred,MATCH($F26,Rango_Admin_DailyPred_Primera,0),0),"-")</f>
        <v>2|0-4</v>
      </c>
      <c r="J26" s="835" t="str">
        <f ca="1">IFERROR(VLOOKUP(J$2,Rango_Admin_DailyPred,MATCH($F26,Rango_Admin_DailyPred_Primera,0),0),"-")</f>
        <v>2|0-3</v>
      </c>
      <c r="K26" s="835" t="str">
        <f ca="1">IFERROR(VLOOKUP(K$2,Rango_Admin_DailyPred,MATCH($F26,Rango_Admin_DailyPred_Primera,0),0),"-")</f>
        <v>-</v>
      </c>
      <c r="L26" s="835" t="str">
        <f ca="1">IFERROR(VLOOKUP(L$2,Rango_Admin_DailyPred,MATCH($F26,Rango_Admin_DailyPred_Primera,0),0),"-")</f>
        <v>-</v>
      </c>
      <c r="M26" s="835" t="str">
        <f ca="1">IFERROR(VLOOKUP(M$2,Rango_Admin_DailyPred,MATCH($F26,Rango_Admin_DailyPred_Primera,0),0),"-")</f>
        <v>-</v>
      </c>
      <c r="N26" s="835" t="str">
        <f ca="1">IFERROR(VLOOKUP(N$2,Rango_Admin_DailyPred,MATCH($F26,Rango_Admin_DailyPred_Primera,0),0),"-")</f>
        <v>-</v>
      </c>
      <c r="O26" s="835" t="str">
        <f ca="1">IFERROR(VLOOKUP(O$2,Rango_Admin_DailyPred,MATCH($F26,Rango_Admin_DailyPred_Primera,0),0),"-")</f>
        <v>-</v>
      </c>
      <c r="P26" s="835" t="str">
        <f ca="1">IFERROR(VLOOKUP(P$2,Rango_Admin_DailyPred,MATCH($F26,Rango_Admin_DailyPred_Primera,0),0),"-")</f>
        <v>-</v>
      </c>
      <c r="Q26" s="835" t="str">
        <f ca="1">IFERROR(VLOOKUP(Q$2,Rango_Admin_DailyPred,MATCH($F26,Rango_Admin_DailyPred_Primera,0),0),"-")</f>
        <v>-</v>
      </c>
      <c r="R26" s="835" t="str">
        <f ca="1">IFERROR(VLOOKUP(R$2,Rango_Admin_DailyPred,MATCH($F26,Rango_Admin_DailyPred_Primera,0),0),"-")</f>
        <v>-</v>
      </c>
      <c r="S26" s="835" t="str">
        <f ca="1">IFERROR(VLOOKUP(S$2,Rango_Admin_DailyPred,MATCH($F26,Rango_Admin_DailyPred_Primera,0),0),"-")</f>
        <v>-</v>
      </c>
      <c r="T26" s="835" t="str">
        <f ca="1">IFERROR(VLOOKUP(T$2,Rango_Admin_DailyPred,MATCH($F26,Rango_Admin_DailyPred_Primera,0),0),"-")</f>
        <v>-</v>
      </c>
      <c r="U26" s="835" t="str">
        <f ca="1">IFERROR(VLOOKUP(U$2,Rango_Admin_DailyPred,MATCH($F26,Rango_Admin_DailyPred_Primera,0),0),"-")</f>
        <v>-</v>
      </c>
      <c r="V26" s="835" t="str">
        <f ca="1">IFERROR(VLOOKUP(V$2,Rango_Admin_DailyPred,MATCH($F26,Rango_Admin_DailyPred_Primera,0),0),"-")</f>
        <v>-</v>
      </c>
      <c r="W26" s="835" t="str">
        <f ca="1">IFERROR(VLOOKUP(W$2,Rango_Admin_DailyPred,MATCH($F26,Rango_Admin_DailyPred_Primera,0),0),"-")</f>
        <v>-</v>
      </c>
      <c r="X26" s="835" t="str">
        <f ca="1">IFERROR(VLOOKUP(X$2,Rango_Admin_DailyPred,MATCH($F26,Rango_Admin_DailyPred_Primera,0),0),"-")</f>
        <v>-</v>
      </c>
      <c r="Y26" s="835" t="str">
        <f ca="1">IFERROR(VLOOKUP(Y$2,Rango_Admin_DailyPred,MATCH($F26,Rango_Admin_DailyPred_Primera,0),0),"-")</f>
        <v>-</v>
      </c>
      <c r="Z26" s="835" t="str">
        <f ca="1">IFERROR(VLOOKUP(Z$2,Rango_Admin_DailyPred,MATCH($F26,Rango_Admin_DailyPred_Primera,0),0),"-")</f>
        <v>-</v>
      </c>
      <c r="AA26" s="835" t="str">
        <f ca="1">IFERROR(VLOOKUP(AA$2,Rango_Admin_DailyPred,MATCH($F26,Rango_Admin_DailyPred_Primera,0),0),"-")</f>
        <v>-</v>
      </c>
      <c r="AB26" s="835" t="str">
        <f ca="1">IFERROR(VLOOKUP(AB$2,Rango_Admin_DailyPred,MATCH($F26,Rango_Admin_DailyPred_Primera,0),0),"-")</f>
        <v>-</v>
      </c>
      <c r="AC26" s="835" t="str">
        <f ca="1">IFERROR(VLOOKUP(AC$2,Rango_Admin_DailyPred,MATCH($F26,Rango_Admin_DailyPred_Primera,0),0),"-")</f>
        <v>-</v>
      </c>
      <c r="AD26" s="835" t="str">
        <f ca="1">IFERROR(VLOOKUP(AD$2,Rango_Admin_DailyPred,MATCH($F26,Rango_Admin_DailyPred_Primera,0),0),"-")</f>
        <v>-</v>
      </c>
      <c r="AE26" s="835" t="str">
        <f ca="1">IFERROR(VLOOKUP(AE$2,Rango_Admin_DailyPred,MATCH($F26,Rango_Admin_DailyPred_Primera,0),0),"-")</f>
        <v>-</v>
      </c>
      <c r="AF26" s="835" t="str">
        <f ca="1">IFERROR(VLOOKUP(AF$2,Rango_Admin_DailyPred,MATCH($F26,Rango_Admin_DailyPred_Primera,0),0),"-")</f>
        <v>-</v>
      </c>
      <c r="AG26" s="835" t="str">
        <f ca="1">IFERROR(VLOOKUP(AG$2,Rango_Admin_DailyPred,MATCH($F26,Rango_Admin_DailyPred_Primera,0),0),"-")</f>
        <v>-</v>
      </c>
      <c r="AH26" s="835" t="str">
        <f ca="1">IFERROR(VLOOKUP(AH$2,Rango_Admin_DailyPred,MATCH($F26,Rango_Admin_DailyPred_Primera,0),0),"-")</f>
        <v>-</v>
      </c>
      <c r="AI26" s="835" t="str">
        <f ca="1">IFERROR(VLOOKUP(AI$2,Rango_Admin_DailyPred,MATCH($F26,Rango_Admin_DailyPred_Primera,0),0),"-")</f>
        <v>-</v>
      </c>
      <c r="AJ26" s="835" t="str">
        <f ca="1">IFERROR(VLOOKUP(AJ$2,Rango_Admin_DailyPred,MATCH($F26,Rango_Admin_DailyPred_Primera,0),0),"-")</f>
        <v>-</v>
      </c>
      <c r="AK26" s="835" t="str">
        <f ca="1">IFERROR(VLOOKUP(AK$2,Rango_Admin_DailyPred,MATCH($F26,Rango_Admin_DailyPred_Primera,0),0),"-")</f>
        <v>-</v>
      </c>
      <c r="AL26" s="835" t="str">
        <f ca="1">IFERROR(VLOOKUP(AL$2,Rango_Admin_DailyPred,MATCH($F26,Rango_Admin_DailyPred_Primera,0),0),"-")</f>
        <v>-</v>
      </c>
      <c r="AM26" s="295"/>
      <c r="AN26" s="295"/>
      <c r="AO26" s="295"/>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833" t="str" cm="1">
        <f t="array" ref="F27">IFERROR(INDEX(Rango_Admin_DailyPred_Primera,1,E27),"-")</f>
        <v>nicolah</v>
      </c>
      <c r="G27" s="717" t="str">
        <f ca="1">IFERROR(VLOOKUP(G$2,Rango_Admin_DailyPred,MATCH($F27,Rango_Admin_DailyPred_Primera,0),0),"-")</f>
        <v>2|0-3</v>
      </c>
      <c r="H27" s="717" t="str">
        <f ca="1">IFERROR(VLOOKUP(H$2,Rango_Admin_DailyPred,MATCH($F27,Rango_Admin_DailyPred_Primera,0),0),"-")</f>
        <v>1|3-2</v>
      </c>
      <c r="I27" s="717" t="str">
        <f ca="1">IFERROR(VLOOKUP(I$2,Rango_Admin_DailyPred,MATCH($F27,Rango_Admin_DailyPred_Primera,0),0),"-")</f>
        <v>2|0-2</v>
      </c>
      <c r="J27" s="717" t="str">
        <f ca="1">IFERROR(VLOOKUP(J$2,Rango_Admin_DailyPred,MATCH($F27,Rango_Admin_DailyPred_Primera,0),0),"-")</f>
        <v>2|0-2</v>
      </c>
      <c r="K27" s="717" t="str">
        <f ca="1">IFERROR(VLOOKUP(K$2,Rango_Admin_DailyPred,MATCH($F27,Rango_Admin_DailyPred_Primera,0),0),"-")</f>
        <v>-</v>
      </c>
      <c r="L27" s="717" t="str">
        <f ca="1">IFERROR(VLOOKUP(L$2,Rango_Admin_DailyPred,MATCH($F27,Rango_Admin_DailyPred_Primera,0),0),"-")</f>
        <v>-</v>
      </c>
      <c r="M27" s="717" t="str">
        <f ca="1">IFERROR(VLOOKUP(M$2,Rango_Admin_DailyPred,MATCH($F27,Rango_Admin_DailyPred_Primera,0),0),"-")</f>
        <v>-</v>
      </c>
      <c r="N27" s="717" t="str">
        <f ca="1">IFERROR(VLOOKUP(N$2,Rango_Admin_DailyPred,MATCH($F27,Rango_Admin_DailyPred_Primera,0),0),"-")</f>
        <v>-</v>
      </c>
      <c r="O27" s="717" t="str">
        <f ca="1">IFERROR(VLOOKUP(O$2,Rango_Admin_DailyPred,MATCH($F27,Rango_Admin_DailyPred_Primera,0),0),"-")</f>
        <v>-</v>
      </c>
      <c r="P27" s="717" t="str">
        <f ca="1">IFERROR(VLOOKUP(P$2,Rango_Admin_DailyPred,MATCH($F27,Rango_Admin_DailyPred_Primera,0),0),"-")</f>
        <v>-</v>
      </c>
      <c r="Q27" s="717" t="str">
        <f ca="1">IFERROR(VLOOKUP(Q$2,Rango_Admin_DailyPred,MATCH($F27,Rango_Admin_DailyPred_Primera,0),0),"-")</f>
        <v>-</v>
      </c>
      <c r="R27" s="717" t="str">
        <f ca="1">IFERROR(VLOOKUP(R$2,Rango_Admin_DailyPred,MATCH($F27,Rango_Admin_DailyPred_Primera,0),0),"-")</f>
        <v>-</v>
      </c>
      <c r="S27" s="717" t="str">
        <f ca="1">IFERROR(VLOOKUP(S$2,Rango_Admin_DailyPred,MATCH($F27,Rango_Admin_DailyPred_Primera,0),0),"-")</f>
        <v>-</v>
      </c>
      <c r="T27" s="717" t="str">
        <f ca="1">IFERROR(VLOOKUP(T$2,Rango_Admin_DailyPred,MATCH($F27,Rango_Admin_DailyPred_Primera,0),0),"-")</f>
        <v>-</v>
      </c>
      <c r="U27" s="717" t="str">
        <f ca="1">IFERROR(VLOOKUP(U$2,Rango_Admin_DailyPred,MATCH($F27,Rango_Admin_DailyPred_Primera,0),0),"-")</f>
        <v>-</v>
      </c>
      <c r="V27" s="717" t="str">
        <f ca="1">IFERROR(VLOOKUP(V$2,Rango_Admin_DailyPred,MATCH($F27,Rango_Admin_DailyPred_Primera,0),0),"-")</f>
        <v>-</v>
      </c>
      <c r="W27" s="717" t="str">
        <f ca="1">IFERROR(VLOOKUP(W$2,Rango_Admin_DailyPred,MATCH($F27,Rango_Admin_DailyPred_Primera,0),0),"-")</f>
        <v>-</v>
      </c>
      <c r="X27" s="717" t="str">
        <f ca="1">IFERROR(VLOOKUP(X$2,Rango_Admin_DailyPred,MATCH($F27,Rango_Admin_DailyPred_Primera,0),0),"-")</f>
        <v>-</v>
      </c>
      <c r="Y27" s="717" t="str">
        <f ca="1">IFERROR(VLOOKUP(Y$2,Rango_Admin_DailyPred,MATCH($F27,Rango_Admin_DailyPred_Primera,0),0),"-")</f>
        <v>-</v>
      </c>
      <c r="Z27" s="717" t="str">
        <f ca="1">IFERROR(VLOOKUP(Z$2,Rango_Admin_DailyPred,MATCH($F27,Rango_Admin_DailyPred_Primera,0),0),"-")</f>
        <v>-</v>
      </c>
      <c r="AA27" s="717" t="str">
        <f ca="1">IFERROR(VLOOKUP(AA$2,Rango_Admin_DailyPred,MATCH($F27,Rango_Admin_DailyPred_Primera,0),0),"-")</f>
        <v>-</v>
      </c>
      <c r="AB27" s="717" t="str">
        <f ca="1">IFERROR(VLOOKUP(AB$2,Rango_Admin_DailyPred,MATCH($F27,Rango_Admin_DailyPred_Primera,0),0),"-")</f>
        <v>-</v>
      </c>
      <c r="AC27" s="717" t="str">
        <f ca="1">IFERROR(VLOOKUP(AC$2,Rango_Admin_DailyPred,MATCH($F27,Rango_Admin_DailyPred_Primera,0),0),"-")</f>
        <v>-</v>
      </c>
      <c r="AD27" s="717" t="str">
        <f ca="1">IFERROR(VLOOKUP(AD$2,Rango_Admin_DailyPred,MATCH($F27,Rango_Admin_DailyPred_Primera,0),0),"-")</f>
        <v>-</v>
      </c>
      <c r="AE27" s="717" t="str">
        <f ca="1">IFERROR(VLOOKUP(AE$2,Rango_Admin_DailyPred,MATCH($F27,Rango_Admin_DailyPred_Primera,0),0),"-")</f>
        <v>-</v>
      </c>
      <c r="AF27" s="717" t="str">
        <f ca="1">IFERROR(VLOOKUP(AF$2,Rango_Admin_DailyPred,MATCH($F27,Rango_Admin_DailyPred_Primera,0),0),"-")</f>
        <v>-</v>
      </c>
      <c r="AG27" s="717" t="str">
        <f ca="1">IFERROR(VLOOKUP(AG$2,Rango_Admin_DailyPred,MATCH($F27,Rango_Admin_DailyPred_Primera,0),0),"-")</f>
        <v>-</v>
      </c>
      <c r="AH27" s="717" t="str">
        <f ca="1">IFERROR(VLOOKUP(AH$2,Rango_Admin_DailyPred,MATCH($F27,Rango_Admin_DailyPred_Primera,0),0),"-")</f>
        <v>-</v>
      </c>
      <c r="AI27" s="717" t="str">
        <f ca="1">IFERROR(VLOOKUP(AI$2,Rango_Admin_DailyPred,MATCH($F27,Rango_Admin_DailyPred_Primera,0),0),"-")</f>
        <v>-</v>
      </c>
      <c r="AJ27" s="717" t="str">
        <f ca="1">IFERROR(VLOOKUP(AJ$2,Rango_Admin_DailyPred,MATCH($F27,Rango_Admin_DailyPred_Primera,0),0),"-")</f>
        <v>-</v>
      </c>
      <c r="AK27" s="717" t="str">
        <f ca="1">IFERROR(VLOOKUP(AK$2,Rango_Admin_DailyPred,MATCH($F27,Rango_Admin_DailyPred_Primera,0),0),"-")</f>
        <v>-</v>
      </c>
      <c r="AL27" s="717" t="str">
        <f ca="1">IFERROR(VLOOKUP(AL$2,Rango_Admin_DailyPred,MATCH($F27,Rango_Admin_DailyPred_Primera,0),0),"-")</f>
        <v>-</v>
      </c>
      <c r="AM27" s="295"/>
      <c r="AN27" s="295"/>
      <c r="AO27" s="295"/>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834" t="str" cm="1">
        <f t="array" ref="F28">IFERROR(INDEX(Rango_Admin_DailyPred_Primera,1,E28),"-")</f>
        <v>DanielCV</v>
      </c>
      <c r="G28" s="835" t="str">
        <f ca="1">IFERROR(VLOOKUP(G$2,Rango_Admin_DailyPred,MATCH($F28,Rango_Admin_DailyPred_Primera,0),0),"-")</f>
        <v>2|1-3</v>
      </c>
      <c r="H28" s="835" t="str">
        <f ca="1">IFERROR(VLOOKUP(H$2,Rango_Admin_DailyPred,MATCH($F28,Rango_Admin_DailyPred_Primera,0),0),"-")</f>
        <v>2|1-2</v>
      </c>
      <c r="I28" s="835" t="str">
        <f ca="1">IFERROR(VLOOKUP(I$2,Rango_Admin_DailyPred,MATCH($F28,Rango_Admin_DailyPred_Primera,0),0),"-")</f>
        <v>2|1-2</v>
      </c>
      <c r="J28" s="835" t="str">
        <f ca="1">IFERROR(VLOOKUP(J$2,Rango_Admin_DailyPred,MATCH($F28,Rango_Admin_DailyPred_Primera,0),0),"-")</f>
        <v>2|1-3</v>
      </c>
      <c r="K28" s="835" t="str">
        <f ca="1">IFERROR(VLOOKUP(K$2,Rango_Admin_DailyPred,MATCH($F28,Rango_Admin_DailyPred_Primera,0),0),"-")</f>
        <v>-</v>
      </c>
      <c r="L28" s="835" t="str">
        <f ca="1">IFERROR(VLOOKUP(L$2,Rango_Admin_DailyPred,MATCH($F28,Rango_Admin_DailyPred_Primera,0),0),"-")</f>
        <v>-</v>
      </c>
      <c r="M28" s="835" t="str">
        <f ca="1">IFERROR(VLOOKUP(M$2,Rango_Admin_DailyPred,MATCH($F28,Rango_Admin_DailyPred_Primera,0),0),"-")</f>
        <v>-</v>
      </c>
      <c r="N28" s="835" t="str">
        <f ca="1">IFERROR(VLOOKUP(N$2,Rango_Admin_DailyPred,MATCH($F28,Rango_Admin_DailyPred_Primera,0),0),"-")</f>
        <v>-</v>
      </c>
      <c r="O28" s="835" t="str">
        <f ca="1">IFERROR(VLOOKUP(O$2,Rango_Admin_DailyPred,MATCH($F28,Rango_Admin_DailyPred_Primera,0),0),"-")</f>
        <v>-</v>
      </c>
      <c r="P28" s="835" t="str">
        <f ca="1">IFERROR(VLOOKUP(P$2,Rango_Admin_DailyPred,MATCH($F28,Rango_Admin_DailyPred_Primera,0),0),"-")</f>
        <v>-</v>
      </c>
      <c r="Q28" s="835" t="str">
        <f ca="1">IFERROR(VLOOKUP(Q$2,Rango_Admin_DailyPred,MATCH($F28,Rango_Admin_DailyPred_Primera,0),0),"-")</f>
        <v>-</v>
      </c>
      <c r="R28" s="835" t="str">
        <f ca="1">IFERROR(VLOOKUP(R$2,Rango_Admin_DailyPred,MATCH($F28,Rango_Admin_DailyPred_Primera,0),0),"-")</f>
        <v>-</v>
      </c>
      <c r="S28" s="835" t="str">
        <f ca="1">IFERROR(VLOOKUP(S$2,Rango_Admin_DailyPred,MATCH($F28,Rango_Admin_DailyPred_Primera,0),0),"-")</f>
        <v>-</v>
      </c>
      <c r="T28" s="835" t="str">
        <f ca="1">IFERROR(VLOOKUP(T$2,Rango_Admin_DailyPred,MATCH($F28,Rango_Admin_DailyPred_Primera,0),0),"-")</f>
        <v>-</v>
      </c>
      <c r="U28" s="835" t="str">
        <f ca="1">IFERROR(VLOOKUP(U$2,Rango_Admin_DailyPred,MATCH($F28,Rango_Admin_DailyPred_Primera,0),0),"-")</f>
        <v>-</v>
      </c>
      <c r="V28" s="835" t="str">
        <f ca="1">IFERROR(VLOOKUP(V$2,Rango_Admin_DailyPred,MATCH($F28,Rango_Admin_DailyPred_Primera,0),0),"-")</f>
        <v>-</v>
      </c>
      <c r="W28" s="835" t="str">
        <f ca="1">IFERROR(VLOOKUP(W$2,Rango_Admin_DailyPred,MATCH($F28,Rango_Admin_DailyPred_Primera,0),0),"-")</f>
        <v>-</v>
      </c>
      <c r="X28" s="835" t="str">
        <f ca="1">IFERROR(VLOOKUP(X$2,Rango_Admin_DailyPred,MATCH($F28,Rango_Admin_DailyPred_Primera,0),0),"-")</f>
        <v>-</v>
      </c>
      <c r="Y28" s="835" t="str">
        <f ca="1">IFERROR(VLOOKUP(Y$2,Rango_Admin_DailyPred,MATCH($F28,Rango_Admin_DailyPred_Primera,0),0),"-")</f>
        <v>-</v>
      </c>
      <c r="Z28" s="835" t="str">
        <f ca="1">IFERROR(VLOOKUP(Z$2,Rango_Admin_DailyPred,MATCH($F28,Rango_Admin_DailyPred_Primera,0),0),"-")</f>
        <v>-</v>
      </c>
      <c r="AA28" s="835" t="str">
        <f ca="1">IFERROR(VLOOKUP(AA$2,Rango_Admin_DailyPred,MATCH($F28,Rango_Admin_DailyPred_Primera,0),0),"-")</f>
        <v>-</v>
      </c>
      <c r="AB28" s="835" t="str">
        <f ca="1">IFERROR(VLOOKUP(AB$2,Rango_Admin_DailyPred,MATCH($F28,Rango_Admin_DailyPred_Primera,0),0),"-")</f>
        <v>-</v>
      </c>
      <c r="AC28" s="835" t="str">
        <f ca="1">IFERROR(VLOOKUP(AC$2,Rango_Admin_DailyPred,MATCH($F28,Rango_Admin_DailyPred_Primera,0),0),"-")</f>
        <v>-</v>
      </c>
      <c r="AD28" s="835" t="str">
        <f ca="1">IFERROR(VLOOKUP(AD$2,Rango_Admin_DailyPred,MATCH($F28,Rango_Admin_DailyPred_Primera,0),0),"-")</f>
        <v>-</v>
      </c>
      <c r="AE28" s="835" t="str">
        <f ca="1">IFERROR(VLOOKUP(AE$2,Rango_Admin_DailyPred,MATCH($F28,Rango_Admin_DailyPred_Primera,0),0),"-")</f>
        <v>-</v>
      </c>
      <c r="AF28" s="835" t="str">
        <f ca="1">IFERROR(VLOOKUP(AF$2,Rango_Admin_DailyPred,MATCH($F28,Rango_Admin_DailyPred_Primera,0),0),"-")</f>
        <v>-</v>
      </c>
      <c r="AG28" s="835" t="str">
        <f ca="1">IFERROR(VLOOKUP(AG$2,Rango_Admin_DailyPred,MATCH($F28,Rango_Admin_DailyPred_Primera,0),0),"-")</f>
        <v>-</v>
      </c>
      <c r="AH28" s="835" t="str">
        <f ca="1">IFERROR(VLOOKUP(AH$2,Rango_Admin_DailyPred,MATCH($F28,Rango_Admin_DailyPred_Primera,0),0),"-")</f>
        <v>-</v>
      </c>
      <c r="AI28" s="835" t="str">
        <f ca="1">IFERROR(VLOOKUP(AI$2,Rango_Admin_DailyPred,MATCH($F28,Rango_Admin_DailyPred_Primera,0),0),"-")</f>
        <v>-</v>
      </c>
      <c r="AJ28" s="835" t="str">
        <f ca="1">IFERROR(VLOOKUP(AJ$2,Rango_Admin_DailyPred,MATCH($F28,Rango_Admin_DailyPred_Primera,0),0),"-")</f>
        <v>-</v>
      </c>
      <c r="AK28" s="835" t="str">
        <f ca="1">IFERROR(VLOOKUP(AK$2,Rango_Admin_DailyPred,MATCH($F28,Rango_Admin_DailyPred_Primera,0),0),"-")</f>
        <v>-</v>
      </c>
      <c r="AL28" s="835" t="str">
        <f ca="1">IFERROR(VLOOKUP(AL$2,Rango_Admin_DailyPred,MATCH($F28,Rango_Admin_DailyPred_Primera,0),0),"-")</f>
        <v>-</v>
      </c>
      <c r="AM28" s="295"/>
      <c r="AN28" s="295"/>
      <c r="AO28" s="295"/>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f t="shared" si="1"/>
        <v>84</v>
      </c>
      <c r="F29" s="833" t="str" cm="1">
        <f t="array" ref="F29">IFERROR(INDEX(Rango_Admin_DailyPred_Primera,1,E29),"-")</f>
        <v>Andres Gioliti</v>
      </c>
      <c r="G29" s="717" t="str">
        <f ca="1">IFERROR(VLOOKUP(G$2,Rango_Admin_DailyPred,MATCH($F29,Rango_Admin_DailyPred_Primera,0),0),"-")</f>
        <v>2|2-3</v>
      </c>
      <c r="H29" s="717" t="str">
        <f ca="1">IFERROR(VLOOKUP(H$2,Rango_Admin_DailyPred,MATCH($F29,Rango_Admin_DailyPred_Primera,0),0),"-")</f>
        <v>1|3-2</v>
      </c>
      <c r="I29" s="717" t="str">
        <f ca="1">IFERROR(VLOOKUP(I$2,Rango_Admin_DailyPred,MATCH($F29,Rango_Admin_DailyPred_Primera,0),0),"-")</f>
        <v>2|0-4</v>
      </c>
      <c r="J29" s="717" t="str">
        <f ca="1">IFERROR(VLOOKUP(J$2,Rango_Admin_DailyPred,MATCH($F29,Rango_Admin_DailyPred_Primera,0),0),"-")</f>
        <v>2|0-2</v>
      </c>
      <c r="K29" s="717" t="str">
        <f ca="1">IFERROR(VLOOKUP(K$2,Rango_Admin_DailyPred,MATCH($F29,Rango_Admin_DailyPred_Primera,0),0),"-")</f>
        <v>-</v>
      </c>
      <c r="L29" s="717" t="str">
        <f ca="1">IFERROR(VLOOKUP(L$2,Rango_Admin_DailyPred,MATCH($F29,Rango_Admin_DailyPred_Primera,0),0),"-")</f>
        <v>-</v>
      </c>
      <c r="M29" s="717" t="str">
        <f ca="1">IFERROR(VLOOKUP(M$2,Rango_Admin_DailyPred,MATCH($F29,Rango_Admin_DailyPred_Primera,0),0),"-")</f>
        <v>-</v>
      </c>
      <c r="N29" s="717" t="str">
        <f ca="1">IFERROR(VLOOKUP(N$2,Rango_Admin_DailyPred,MATCH($F29,Rango_Admin_DailyPred_Primera,0),0),"-")</f>
        <v>-</v>
      </c>
      <c r="O29" s="717" t="str">
        <f ca="1">IFERROR(VLOOKUP(O$2,Rango_Admin_DailyPred,MATCH($F29,Rango_Admin_DailyPred_Primera,0),0),"-")</f>
        <v>-</v>
      </c>
      <c r="P29" s="717" t="str">
        <f ca="1">IFERROR(VLOOKUP(P$2,Rango_Admin_DailyPred,MATCH($F29,Rango_Admin_DailyPred_Primera,0),0),"-")</f>
        <v>-</v>
      </c>
      <c r="Q29" s="717" t="str">
        <f ca="1">IFERROR(VLOOKUP(Q$2,Rango_Admin_DailyPred,MATCH($F29,Rango_Admin_DailyPred_Primera,0),0),"-")</f>
        <v>-</v>
      </c>
      <c r="R29" s="717" t="str">
        <f ca="1">IFERROR(VLOOKUP(R$2,Rango_Admin_DailyPred,MATCH($F29,Rango_Admin_DailyPred_Primera,0),0),"-")</f>
        <v>-</v>
      </c>
      <c r="S29" s="717" t="str">
        <f ca="1">IFERROR(VLOOKUP(S$2,Rango_Admin_DailyPred,MATCH($F29,Rango_Admin_DailyPred_Primera,0),0),"-")</f>
        <v>-</v>
      </c>
      <c r="T29" s="717" t="str">
        <f ca="1">IFERROR(VLOOKUP(T$2,Rango_Admin_DailyPred,MATCH($F29,Rango_Admin_DailyPred_Primera,0),0),"-")</f>
        <v>-</v>
      </c>
      <c r="U29" s="717" t="str">
        <f ca="1">IFERROR(VLOOKUP(U$2,Rango_Admin_DailyPred,MATCH($F29,Rango_Admin_DailyPred_Primera,0),0),"-")</f>
        <v>-</v>
      </c>
      <c r="V29" s="717" t="str">
        <f ca="1">IFERROR(VLOOKUP(V$2,Rango_Admin_DailyPred,MATCH($F29,Rango_Admin_DailyPred_Primera,0),0),"-")</f>
        <v>-</v>
      </c>
      <c r="W29" s="717" t="str">
        <f ca="1">IFERROR(VLOOKUP(W$2,Rango_Admin_DailyPred,MATCH($F29,Rango_Admin_DailyPred_Primera,0),0),"-")</f>
        <v>-</v>
      </c>
      <c r="X29" s="717" t="str">
        <f ca="1">IFERROR(VLOOKUP(X$2,Rango_Admin_DailyPred,MATCH($F29,Rango_Admin_DailyPred_Primera,0),0),"-")</f>
        <v>-</v>
      </c>
      <c r="Y29" s="717" t="str">
        <f ca="1">IFERROR(VLOOKUP(Y$2,Rango_Admin_DailyPred,MATCH($F29,Rango_Admin_DailyPred_Primera,0),0),"-")</f>
        <v>-</v>
      </c>
      <c r="Z29" s="717" t="str">
        <f ca="1">IFERROR(VLOOKUP(Z$2,Rango_Admin_DailyPred,MATCH($F29,Rango_Admin_DailyPred_Primera,0),0),"-")</f>
        <v>-</v>
      </c>
      <c r="AA29" s="717" t="str">
        <f ca="1">IFERROR(VLOOKUP(AA$2,Rango_Admin_DailyPred,MATCH($F29,Rango_Admin_DailyPred_Primera,0),0),"-")</f>
        <v>-</v>
      </c>
      <c r="AB29" s="717" t="str">
        <f ca="1">IFERROR(VLOOKUP(AB$2,Rango_Admin_DailyPred,MATCH($F29,Rango_Admin_DailyPred_Primera,0),0),"-")</f>
        <v>-</v>
      </c>
      <c r="AC29" s="717" t="str">
        <f ca="1">IFERROR(VLOOKUP(AC$2,Rango_Admin_DailyPred,MATCH($F29,Rango_Admin_DailyPred_Primera,0),0),"-")</f>
        <v>-</v>
      </c>
      <c r="AD29" s="717" t="str">
        <f ca="1">IFERROR(VLOOKUP(AD$2,Rango_Admin_DailyPred,MATCH($F29,Rango_Admin_DailyPred_Primera,0),0),"-")</f>
        <v>-</v>
      </c>
      <c r="AE29" s="717" t="str">
        <f ca="1">IFERROR(VLOOKUP(AE$2,Rango_Admin_DailyPred,MATCH($F29,Rango_Admin_DailyPred_Primera,0),0),"-")</f>
        <v>-</v>
      </c>
      <c r="AF29" s="717" t="str">
        <f ca="1">IFERROR(VLOOKUP(AF$2,Rango_Admin_DailyPred,MATCH($F29,Rango_Admin_DailyPred_Primera,0),0),"-")</f>
        <v>-</v>
      </c>
      <c r="AG29" s="717" t="str">
        <f ca="1">IFERROR(VLOOKUP(AG$2,Rango_Admin_DailyPred,MATCH($F29,Rango_Admin_DailyPred_Primera,0),0),"-")</f>
        <v>-</v>
      </c>
      <c r="AH29" s="717" t="str">
        <f ca="1">IFERROR(VLOOKUP(AH$2,Rango_Admin_DailyPred,MATCH($F29,Rango_Admin_DailyPred_Primera,0),0),"-")</f>
        <v>-</v>
      </c>
      <c r="AI29" s="717" t="str">
        <f ca="1">IFERROR(VLOOKUP(AI$2,Rango_Admin_DailyPred,MATCH($F29,Rango_Admin_DailyPred_Primera,0),0),"-")</f>
        <v>-</v>
      </c>
      <c r="AJ29" s="717" t="str">
        <f ca="1">IFERROR(VLOOKUP(AJ$2,Rango_Admin_DailyPred,MATCH($F29,Rango_Admin_DailyPred_Primera,0),0),"-")</f>
        <v>-</v>
      </c>
      <c r="AK29" s="717" t="str">
        <f ca="1">IFERROR(VLOOKUP(AK$2,Rango_Admin_DailyPred,MATCH($F29,Rango_Admin_DailyPred_Primera,0),0),"-")</f>
        <v>-</v>
      </c>
      <c r="AL29" s="717" t="str">
        <f ca="1">IFERROR(VLOOKUP(AL$2,Rango_Admin_DailyPred,MATCH($F29,Rango_Admin_DailyPred_Primera,0),0),"-")</f>
        <v>-</v>
      </c>
      <c r="AM29" s="295"/>
      <c r="AN29" s="295"/>
      <c r="AO29" s="295"/>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f t="shared" si="1"/>
        <v>87</v>
      </c>
      <c r="F30" s="834" t="str" cm="1">
        <f t="array" ref="F30">IFERROR(INDEX(Rango_Admin_DailyPred_Primera,1,E30),"-")</f>
        <v>Francisco Bejarano</v>
      </c>
      <c r="G30" s="835" t="str">
        <f ca="1">IFERROR(VLOOKUP(G$2,Rango_Admin_DailyPred,MATCH($F30,Rango_Admin_DailyPred_Primera,0),0),"-")</f>
        <v>2|0-3</v>
      </c>
      <c r="H30" s="835" t="str">
        <f ca="1">IFERROR(VLOOKUP(H$2,Rango_Admin_DailyPred,MATCH($F30,Rango_Admin_DailyPred_Primera,0),0),"-")</f>
        <v>1|3-0</v>
      </c>
      <c r="I30" s="835" t="str">
        <f ca="1">IFERROR(VLOOKUP(I$2,Rango_Admin_DailyPred,MATCH($F30,Rango_Admin_DailyPred_Primera,0),0),"-")</f>
        <v>X|1-1</v>
      </c>
      <c r="J30" s="835" t="str">
        <f ca="1">IFERROR(VLOOKUP(J$2,Rango_Admin_DailyPred,MATCH($F30,Rango_Admin_DailyPred_Primera,0),0),"-")</f>
        <v>2|0-1</v>
      </c>
      <c r="K30" s="835" t="str">
        <f ca="1">IFERROR(VLOOKUP(K$2,Rango_Admin_DailyPred,MATCH($F30,Rango_Admin_DailyPred_Primera,0),0),"-")</f>
        <v>-</v>
      </c>
      <c r="L30" s="835" t="str">
        <f ca="1">IFERROR(VLOOKUP(L$2,Rango_Admin_DailyPred,MATCH($F30,Rango_Admin_DailyPred_Primera,0),0),"-")</f>
        <v>-</v>
      </c>
      <c r="M30" s="835" t="str">
        <f ca="1">IFERROR(VLOOKUP(M$2,Rango_Admin_DailyPred,MATCH($F30,Rango_Admin_DailyPred_Primera,0),0),"-")</f>
        <v>-</v>
      </c>
      <c r="N30" s="835" t="str">
        <f ca="1">IFERROR(VLOOKUP(N$2,Rango_Admin_DailyPred,MATCH($F30,Rango_Admin_DailyPred_Primera,0),0),"-")</f>
        <v>-</v>
      </c>
      <c r="O30" s="835" t="str">
        <f ca="1">IFERROR(VLOOKUP(O$2,Rango_Admin_DailyPred,MATCH($F30,Rango_Admin_DailyPred_Primera,0),0),"-")</f>
        <v>-</v>
      </c>
      <c r="P30" s="835" t="str">
        <f ca="1">IFERROR(VLOOKUP(P$2,Rango_Admin_DailyPred,MATCH($F30,Rango_Admin_DailyPred_Primera,0),0),"-")</f>
        <v>-</v>
      </c>
      <c r="Q30" s="835" t="str">
        <f ca="1">IFERROR(VLOOKUP(Q$2,Rango_Admin_DailyPred,MATCH($F30,Rango_Admin_DailyPred_Primera,0),0),"-")</f>
        <v>-</v>
      </c>
      <c r="R30" s="835" t="str">
        <f ca="1">IFERROR(VLOOKUP(R$2,Rango_Admin_DailyPred,MATCH($F30,Rango_Admin_DailyPred_Primera,0),0),"-")</f>
        <v>-</v>
      </c>
      <c r="S30" s="835" t="str">
        <f ca="1">IFERROR(VLOOKUP(S$2,Rango_Admin_DailyPred,MATCH($F30,Rango_Admin_DailyPred_Primera,0),0),"-")</f>
        <v>-</v>
      </c>
      <c r="T30" s="835" t="str">
        <f ca="1">IFERROR(VLOOKUP(T$2,Rango_Admin_DailyPred,MATCH($F30,Rango_Admin_DailyPred_Primera,0),0),"-")</f>
        <v>-</v>
      </c>
      <c r="U30" s="835" t="str">
        <f ca="1">IFERROR(VLOOKUP(U$2,Rango_Admin_DailyPred,MATCH($F30,Rango_Admin_DailyPred_Primera,0),0),"-")</f>
        <v>-</v>
      </c>
      <c r="V30" s="835" t="str">
        <f ca="1">IFERROR(VLOOKUP(V$2,Rango_Admin_DailyPred,MATCH($F30,Rango_Admin_DailyPred_Primera,0),0),"-")</f>
        <v>-</v>
      </c>
      <c r="W30" s="835" t="str">
        <f ca="1">IFERROR(VLOOKUP(W$2,Rango_Admin_DailyPred,MATCH($F30,Rango_Admin_DailyPred_Primera,0),0),"-")</f>
        <v>-</v>
      </c>
      <c r="X30" s="835" t="str">
        <f ca="1">IFERROR(VLOOKUP(X$2,Rango_Admin_DailyPred,MATCH($F30,Rango_Admin_DailyPred_Primera,0),0),"-")</f>
        <v>-</v>
      </c>
      <c r="Y30" s="835" t="str">
        <f ca="1">IFERROR(VLOOKUP(Y$2,Rango_Admin_DailyPred,MATCH($F30,Rango_Admin_DailyPred_Primera,0),0),"-")</f>
        <v>-</v>
      </c>
      <c r="Z30" s="835" t="str">
        <f ca="1">IFERROR(VLOOKUP(Z$2,Rango_Admin_DailyPred,MATCH($F30,Rango_Admin_DailyPred_Primera,0),0),"-")</f>
        <v>-</v>
      </c>
      <c r="AA30" s="835" t="str">
        <f ca="1">IFERROR(VLOOKUP(AA$2,Rango_Admin_DailyPred,MATCH($F30,Rango_Admin_DailyPred_Primera,0),0),"-")</f>
        <v>-</v>
      </c>
      <c r="AB30" s="835" t="str">
        <f ca="1">IFERROR(VLOOKUP(AB$2,Rango_Admin_DailyPred,MATCH($F30,Rango_Admin_DailyPred_Primera,0),0),"-")</f>
        <v>-</v>
      </c>
      <c r="AC30" s="835" t="str">
        <f ca="1">IFERROR(VLOOKUP(AC$2,Rango_Admin_DailyPred,MATCH($F30,Rango_Admin_DailyPred_Primera,0),0),"-")</f>
        <v>-</v>
      </c>
      <c r="AD30" s="835" t="str">
        <f ca="1">IFERROR(VLOOKUP(AD$2,Rango_Admin_DailyPred,MATCH($F30,Rango_Admin_DailyPred_Primera,0),0),"-")</f>
        <v>-</v>
      </c>
      <c r="AE30" s="835" t="str">
        <f ca="1">IFERROR(VLOOKUP(AE$2,Rango_Admin_DailyPred,MATCH($F30,Rango_Admin_DailyPred_Primera,0),0),"-")</f>
        <v>-</v>
      </c>
      <c r="AF30" s="835" t="str">
        <f ca="1">IFERROR(VLOOKUP(AF$2,Rango_Admin_DailyPred,MATCH($F30,Rango_Admin_DailyPred_Primera,0),0),"-")</f>
        <v>-</v>
      </c>
      <c r="AG30" s="835" t="str">
        <f ca="1">IFERROR(VLOOKUP(AG$2,Rango_Admin_DailyPred,MATCH($F30,Rango_Admin_DailyPred_Primera,0),0),"-")</f>
        <v>-</v>
      </c>
      <c r="AH30" s="835" t="str">
        <f ca="1">IFERROR(VLOOKUP(AH$2,Rango_Admin_DailyPred,MATCH($F30,Rango_Admin_DailyPred_Primera,0),0),"-")</f>
        <v>-</v>
      </c>
      <c r="AI30" s="835" t="str">
        <f ca="1">IFERROR(VLOOKUP(AI$2,Rango_Admin_DailyPred,MATCH($F30,Rango_Admin_DailyPred_Primera,0),0),"-")</f>
        <v>-</v>
      </c>
      <c r="AJ30" s="835" t="str">
        <f ca="1">IFERROR(VLOOKUP(AJ$2,Rango_Admin_DailyPred,MATCH($F30,Rango_Admin_DailyPred_Primera,0),0),"-")</f>
        <v>-</v>
      </c>
      <c r="AK30" s="835" t="str">
        <f ca="1">IFERROR(VLOOKUP(AK$2,Rango_Admin_DailyPred,MATCH($F30,Rango_Admin_DailyPred_Primera,0),0),"-")</f>
        <v>-</v>
      </c>
      <c r="AL30" s="835" t="str">
        <f ca="1">IFERROR(VLOOKUP(AL$2,Rango_Admin_DailyPred,MATCH($F30,Rango_Admin_DailyPred_Primera,0),0),"-")</f>
        <v>-</v>
      </c>
      <c r="AM30" s="295"/>
      <c r="AN30" s="295"/>
      <c r="AO30" s="295"/>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f t="shared" si="1"/>
        <v>90</v>
      </c>
      <c r="F31" s="833" t="str" cm="1">
        <f t="array" ref="F31">IFERROR(INDEX(Rango_Admin_DailyPred_Primera,1,E31),"-")</f>
        <v>Humberto</v>
      </c>
      <c r="G31" s="717" t="str">
        <f ca="1">IFERROR(VLOOKUP(G$2,Rango_Admin_DailyPred,MATCH($F31,Rango_Admin_DailyPred_Primera,0),0),"-")</f>
        <v>2|0-3</v>
      </c>
      <c r="H31" s="717" t="str">
        <f ca="1">IFERROR(VLOOKUP(H$2,Rango_Admin_DailyPred,MATCH($F31,Rango_Admin_DailyPred_Primera,0),0),"-")</f>
        <v>2|1-2</v>
      </c>
      <c r="I31" s="717" t="str">
        <f ca="1">IFERROR(VLOOKUP(I$2,Rango_Admin_DailyPred,MATCH($F31,Rango_Admin_DailyPred_Primera,0),0),"-")</f>
        <v>2|0-2</v>
      </c>
      <c r="J31" s="717" t="str">
        <f ca="1">IFERROR(VLOOKUP(J$2,Rango_Admin_DailyPred,MATCH($F31,Rango_Admin_DailyPred_Primera,0),0),"-")</f>
        <v>X|2-2</v>
      </c>
      <c r="K31" s="717" t="str">
        <f ca="1">IFERROR(VLOOKUP(K$2,Rango_Admin_DailyPred,MATCH($F31,Rango_Admin_DailyPred_Primera,0),0),"-")</f>
        <v>-</v>
      </c>
      <c r="L31" s="717" t="str">
        <f ca="1">IFERROR(VLOOKUP(L$2,Rango_Admin_DailyPred,MATCH($F31,Rango_Admin_DailyPred_Primera,0),0),"-")</f>
        <v>-</v>
      </c>
      <c r="M31" s="717" t="str">
        <f ca="1">IFERROR(VLOOKUP(M$2,Rango_Admin_DailyPred,MATCH($F31,Rango_Admin_DailyPred_Primera,0),0),"-")</f>
        <v>-</v>
      </c>
      <c r="N31" s="717" t="str">
        <f ca="1">IFERROR(VLOOKUP(N$2,Rango_Admin_DailyPred,MATCH($F31,Rango_Admin_DailyPred_Primera,0),0),"-")</f>
        <v>-</v>
      </c>
      <c r="O31" s="717" t="str">
        <f ca="1">IFERROR(VLOOKUP(O$2,Rango_Admin_DailyPred,MATCH($F31,Rango_Admin_DailyPred_Primera,0),0),"-")</f>
        <v>-</v>
      </c>
      <c r="P31" s="717" t="str">
        <f ca="1">IFERROR(VLOOKUP(P$2,Rango_Admin_DailyPred,MATCH($F31,Rango_Admin_DailyPred_Primera,0),0),"-")</f>
        <v>-</v>
      </c>
      <c r="Q31" s="717" t="str">
        <f ca="1">IFERROR(VLOOKUP(Q$2,Rango_Admin_DailyPred,MATCH($F31,Rango_Admin_DailyPred_Primera,0),0),"-")</f>
        <v>-</v>
      </c>
      <c r="R31" s="717" t="str">
        <f ca="1">IFERROR(VLOOKUP(R$2,Rango_Admin_DailyPred,MATCH($F31,Rango_Admin_DailyPred_Primera,0),0),"-")</f>
        <v>-</v>
      </c>
      <c r="S31" s="717" t="str">
        <f ca="1">IFERROR(VLOOKUP(S$2,Rango_Admin_DailyPred,MATCH($F31,Rango_Admin_DailyPred_Primera,0),0),"-")</f>
        <v>-</v>
      </c>
      <c r="T31" s="717" t="str">
        <f ca="1">IFERROR(VLOOKUP(T$2,Rango_Admin_DailyPred,MATCH($F31,Rango_Admin_DailyPred_Primera,0),0),"-")</f>
        <v>-</v>
      </c>
      <c r="U31" s="717" t="str">
        <f ca="1">IFERROR(VLOOKUP(U$2,Rango_Admin_DailyPred,MATCH($F31,Rango_Admin_DailyPred_Primera,0),0),"-")</f>
        <v>-</v>
      </c>
      <c r="V31" s="717" t="str">
        <f ca="1">IFERROR(VLOOKUP(V$2,Rango_Admin_DailyPred,MATCH($F31,Rango_Admin_DailyPred_Primera,0),0),"-")</f>
        <v>-</v>
      </c>
      <c r="W31" s="717" t="str">
        <f ca="1">IFERROR(VLOOKUP(W$2,Rango_Admin_DailyPred,MATCH($F31,Rango_Admin_DailyPred_Primera,0),0),"-")</f>
        <v>-</v>
      </c>
      <c r="X31" s="717" t="str">
        <f ca="1">IFERROR(VLOOKUP(X$2,Rango_Admin_DailyPred,MATCH($F31,Rango_Admin_DailyPred_Primera,0),0),"-")</f>
        <v>-</v>
      </c>
      <c r="Y31" s="717" t="str">
        <f ca="1">IFERROR(VLOOKUP(Y$2,Rango_Admin_DailyPred,MATCH($F31,Rango_Admin_DailyPred_Primera,0),0),"-")</f>
        <v>-</v>
      </c>
      <c r="Z31" s="717" t="str">
        <f ca="1">IFERROR(VLOOKUP(Z$2,Rango_Admin_DailyPred,MATCH($F31,Rango_Admin_DailyPred_Primera,0),0),"-")</f>
        <v>-</v>
      </c>
      <c r="AA31" s="717" t="str">
        <f ca="1">IFERROR(VLOOKUP(AA$2,Rango_Admin_DailyPred,MATCH($F31,Rango_Admin_DailyPred_Primera,0),0),"-")</f>
        <v>-</v>
      </c>
      <c r="AB31" s="717" t="str">
        <f ca="1">IFERROR(VLOOKUP(AB$2,Rango_Admin_DailyPred,MATCH($F31,Rango_Admin_DailyPred_Primera,0),0),"-")</f>
        <v>-</v>
      </c>
      <c r="AC31" s="717" t="str">
        <f ca="1">IFERROR(VLOOKUP(AC$2,Rango_Admin_DailyPred,MATCH($F31,Rango_Admin_DailyPred_Primera,0),0),"-")</f>
        <v>-</v>
      </c>
      <c r="AD31" s="717" t="str">
        <f ca="1">IFERROR(VLOOKUP(AD$2,Rango_Admin_DailyPred,MATCH($F31,Rango_Admin_DailyPred_Primera,0),0),"-")</f>
        <v>-</v>
      </c>
      <c r="AE31" s="717" t="str">
        <f ca="1">IFERROR(VLOOKUP(AE$2,Rango_Admin_DailyPred,MATCH($F31,Rango_Admin_DailyPred_Primera,0),0),"-")</f>
        <v>-</v>
      </c>
      <c r="AF31" s="717" t="str">
        <f ca="1">IFERROR(VLOOKUP(AF$2,Rango_Admin_DailyPred,MATCH($F31,Rango_Admin_DailyPred_Primera,0),0),"-")</f>
        <v>-</v>
      </c>
      <c r="AG31" s="717" t="str">
        <f ca="1">IFERROR(VLOOKUP(AG$2,Rango_Admin_DailyPred,MATCH($F31,Rango_Admin_DailyPred_Primera,0),0),"-")</f>
        <v>-</v>
      </c>
      <c r="AH31" s="717" t="str">
        <f ca="1">IFERROR(VLOOKUP(AH$2,Rango_Admin_DailyPred,MATCH($F31,Rango_Admin_DailyPred_Primera,0),0),"-")</f>
        <v>-</v>
      </c>
      <c r="AI31" s="717" t="str">
        <f ca="1">IFERROR(VLOOKUP(AI$2,Rango_Admin_DailyPred,MATCH($F31,Rango_Admin_DailyPred_Primera,0),0),"-")</f>
        <v>-</v>
      </c>
      <c r="AJ31" s="717" t="str">
        <f ca="1">IFERROR(VLOOKUP(AJ$2,Rango_Admin_DailyPred,MATCH($F31,Rango_Admin_DailyPred_Primera,0),0),"-")</f>
        <v>-</v>
      </c>
      <c r="AK31" s="717" t="str">
        <f ca="1">IFERROR(VLOOKUP(AK$2,Rango_Admin_DailyPred,MATCH($F31,Rango_Admin_DailyPred_Primera,0),0),"-")</f>
        <v>-</v>
      </c>
      <c r="AL31" s="717" t="str">
        <f ca="1">IFERROR(VLOOKUP(AL$2,Rango_Admin_DailyPred,MATCH($F31,Rango_Admin_DailyPred_Primera,0),0),"-")</f>
        <v>-</v>
      </c>
      <c r="AM31" s="295"/>
      <c r="AN31" s="295"/>
      <c r="AO31" s="295"/>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f t="shared" si="1"/>
        <v>93</v>
      </c>
      <c r="F32" s="834" t="str" cm="1">
        <f t="array" ref="F32">IFERROR(INDEX(Rango_Admin_DailyPred_Primera,1,E32),"-")</f>
        <v>Andres Salcedo</v>
      </c>
      <c r="G32" s="835" t="str">
        <f ca="1">IFERROR(VLOOKUP(G$2,Rango_Admin_DailyPred,MATCH($F32,Rango_Admin_DailyPred_Primera,0),0),"-")</f>
        <v>2|0-2</v>
      </c>
      <c r="H32" s="835" t="str">
        <f ca="1">IFERROR(VLOOKUP(H$2,Rango_Admin_DailyPred,MATCH($F32,Rango_Admin_DailyPred_Primera,0),0),"-")</f>
        <v>1|2-1</v>
      </c>
      <c r="I32" s="835" t="str">
        <f ca="1">IFERROR(VLOOKUP(I$2,Rango_Admin_DailyPred,MATCH($F32,Rango_Admin_DailyPred_Primera,0),0),"-")</f>
        <v>2|0-1</v>
      </c>
      <c r="J32" s="835" t="str">
        <f ca="1">IFERROR(VLOOKUP(J$2,Rango_Admin_DailyPred,MATCH($F32,Rango_Admin_DailyPred_Primera,0),0),"-")</f>
        <v>X|1-1</v>
      </c>
      <c r="K32" s="835" t="str">
        <f ca="1">IFERROR(VLOOKUP(K$2,Rango_Admin_DailyPred,MATCH($F32,Rango_Admin_DailyPred_Primera,0),0),"-")</f>
        <v>-</v>
      </c>
      <c r="L32" s="835" t="str">
        <f ca="1">IFERROR(VLOOKUP(L$2,Rango_Admin_DailyPred,MATCH($F32,Rango_Admin_DailyPred_Primera,0),0),"-")</f>
        <v>-</v>
      </c>
      <c r="M32" s="835" t="str">
        <f ca="1">IFERROR(VLOOKUP(M$2,Rango_Admin_DailyPred,MATCH($F32,Rango_Admin_DailyPred_Primera,0),0),"-")</f>
        <v>-</v>
      </c>
      <c r="N32" s="835" t="str">
        <f ca="1">IFERROR(VLOOKUP(N$2,Rango_Admin_DailyPred,MATCH($F32,Rango_Admin_DailyPred_Primera,0),0),"-")</f>
        <v>-</v>
      </c>
      <c r="O32" s="835" t="str">
        <f ca="1">IFERROR(VLOOKUP(O$2,Rango_Admin_DailyPred,MATCH($F32,Rango_Admin_DailyPred_Primera,0),0),"-")</f>
        <v>-</v>
      </c>
      <c r="P32" s="835" t="str">
        <f ca="1">IFERROR(VLOOKUP(P$2,Rango_Admin_DailyPred,MATCH($F32,Rango_Admin_DailyPred_Primera,0),0),"-")</f>
        <v>-</v>
      </c>
      <c r="Q32" s="835" t="str">
        <f ca="1">IFERROR(VLOOKUP(Q$2,Rango_Admin_DailyPred,MATCH($F32,Rango_Admin_DailyPred_Primera,0),0),"-")</f>
        <v>-</v>
      </c>
      <c r="R32" s="835" t="str">
        <f ca="1">IFERROR(VLOOKUP(R$2,Rango_Admin_DailyPred,MATCH($F32,Rango_Admin_DailyPred_Primera,0),0),"-")</f>
        <v>-</v>
      </c>
      <c r="S32" s="835" t="str">
        <f ca="1">IFERROR(VLOOKUP(S$2,Rango_Admin_DailyPred,MATCH($F32,Rango_Admin_DailyPred_Primera,0),0),"-")</f>
        <v>-</v>
      </c>
      <c r="T32" s="835" t="str">
        <f ca="1">IFERROR(VLOOKUP(T$2,Rango_Admin_DailyPred,MATCH($F32,Rango_Admin_DailyPred_Primera,0),0),"-")</f>
        <v>-</v>
      </c>
      <c r="U32" s="835" t="str">
        <f ca="1">IFERROR(VLOOKUP(U$2,Rango_Admin_DailyPred,MATCH($F32,Rango_Admin_DailyPred_Primera,0),0),"-")</f>
        <v>-</v>
      </c>
      <c r="V32" s="835" t="str">
        <f ca="1">IFERROR(VLOOKUP(V$2,Rango_Admin_DailyPred,MATCH($F32,Rango_Admin_DailyPred_Primera,0),0),"-")</f>
        <v>-</v>
      </c>
      <c r="W32" s="835" t="str">
        <f ca="1">IFERROR(VLOOKUP(W$2,Rango_Admin_DailyPred,MATCH($F32,Rango_Admin_DailyPred_Primera,0),0),"-")</f>
        <v>-</v>
      </c>
      <c r="X32" s="835" t="str">
        <f ca="1">IFERROR(VLOOKUP(X$2,Rango_Admin_DailyPred,MATCH($F32,Rango_Admin_DailyPred_Primera,0),0),"-")</f>
        <v>-</v>
      </c>
      <c r="Y32" s="835" t="str">
        <f ca="1">IFERROR(VLOOKUP(Y$2,Rango_Admin_DailyPred,MATCH($F32,Rango_Admin_DailyPred_Primera,0),0),"-")</f>
        <v>-</v>
      </c>
      <c r="Z32" s="835" t="str">
        <f ca="1">IFERROR(VLOOKUP(Z$2,Rango_Admin_DailyPred,MATCH($F32,Rango_Admin_DailyPred_Primera,0),0),"-")</f>
        <v>-</v>
      </c>
      <c r="AA32" s="835" t="str">
        <f ca="1">IFERROR(VLOOKUP(AA$2,Rango_Admin_DailyPred,MATCH($F32,Rango_Admin_DailyPred_Primera,0),0),"-")</f>
        <v>-</v>
      </c>
      <c r="AB32" s="835" t="str">
        <f ca="1">IFERROR(VLOOKUP(AB$2,Rango_Admin_DailyPred,MATCH($F32,Rango_Admin_DailyPred_Primera,0),0),"-")</f>
        <v>-</v>
      </c>
      <c r="AC32" s="835" t="str">
        <f ca="1">IFERROR(VLOOKUP(AC$2,Rango_Admin_DailyPred,MATCH($F32,Rango_Admin_DailyPred_Primera,0),0),"-")</f>
        <v>-</v>
      </c>
      <c r="AD32" s="835" t="str">
        <f ca="1">IFERROR(VLOOKUP(AD$2,Rango_Admin_DailyPred,MATCH($F32,Rango_Admin_DailyPred_Primera,0),0),"-")</f>
        <v>-</v>
      </c>
      <c r="AE32" s="835" t="str">
        <f ca="1">IFERROR(VLOOKUP(AE$2,Rango_Admin_DailyPred,MATCH($F32,Rango_Admin_DailyPred_Primera,0),0),"-")</f>
        <v>-</v>
      </c>
      <c r="AF32" s="835" t="str">
        <f ca="1">IFERROR(VLOOKUP(AF$2,Rango_Admin_DailyPred,MATCH($F32,Rango_Admin_DailyPred_Primera,0),0),"-")</f>
        <v>-</v>
      </c>
      <c r="AG32" s="835" t="str">
        <f ca="1">IFERROR(VLOOKUP(AG$2,Rango_Admin_DailyPred,MATCH($F32,Rango_Admin_DailyPred_Primera,0),0),"-")</f>
        <v>-</v>
      </c>
      <c r="AH32" s="835" t="str">
        <f ca="1">IFERROR(VLOOKUP(AH$2,Rango_Admin_DailyPred,MATCH($F32,Rango_Admin_DailyPred_Primera,0),0),"-")</f>
        <v>-</v>
      </c>
      <c r="AI32" s="835" t="str">
        <f ca="1">IFERROR(VLOOKUP(AI$2,Rango_Admin_DailyPred,MATCH($F32,Rango_Admin_DailyPred_Primera,0),0),"-")</f>
        <v>-</v>
      </c>
      <c r="AJ32" s="835" t="str">
        <f ca="1">IFERROR(VLOOKUP(AJ$2,Rango_Admin_DailyPred,MATCH($F32,Rango_Admin_DailyPred_Primera,0),0),"-")</f>
        <v>-</v>
      </c>
      <c r="AK32" s="835" t="str">
        <f ca="1">IFERROR(VLOOKUP(AK$2,Rango_Admin_DailyPred,MATCH($F32,Rango_Admin_DailyPred_Primera,0),0),"-")</f>
        <v>-</v>
      </c>
      <c r="AL32" s="835" t="str">
        <f ca="1">IFERROR(VLOOKUP(AL$2,Rango_Admin_DailyPred,MATCH($F32,Rango_Admin_DailyPred_Primera,0),0),"-")</f>
        <v>-</v>
      </c>
      <c r="AM32" s="295"/>
      <c r="AN32" s="295"/>
      <c r="AO32" s="295"/>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f t="shared" si="1"/>
        <v>96</v>
      </c>
      <c r="F33" s="833" t="str" cm="1">
        <f t="array" ref="F33">IFERROR(INDEX(Rango_Admin_DailyPred_Primera,1,E33),"-")</f>
        <v>Francisco Dinis</v>
      </c>
      <c r="G33" s="717" t="str">
        <f ca="1">IFERROR(VLOOKUP(G$2,Rango_Admin_DailyPred,MATCH($F33,Rango_Admin_DailyPred_Primera,0),0),"-")</f>
        <v>2|0-3</v>
      </c>
      <c r="H33" s="717" t="str">
        <f ca="1">IFERROR(VLOOKUP(H$2,Rango_Admin_DailyPred,MATCH($F33,Rango_Admin_DailyPred_Primera,0),0),"-")</f>
        <v>X|1-1</v>
      </c>
      <c r="I33" s="717" t="str">
        <f ca="1">IFERROR(VLOOKUP(I$2,Rango_Admin_DailyPred,MATCH($F33,Rango_Admin_DailyPred_Primera,0),0),"-")</f>
        <v>2|1-2</v>
      </c>
      <c r="J33" s="717" t="str">
        <f ca="1">IFERROR(VLOOKUP(J$2,Rango_Admin_DailyPred,MATCH($F33,Rango_Admin_DailyPred_Primera,0),0),"-")</f>
        <v>2|0-1</v>
      </c>
      <c r="K33" s="717" t="str">
        <f ca="1">IFERROR(VLOOKUP(K$2,Rango_Admin_DailyPred,MATCH($F33,Rango_Admin_DailyPred_Primera,0),0),"-")</f>
        <v>-</v>
      </c>
      <c r="L33" s="717" t="str">
        <f ca="1">IFERROR(VLOOKUP(L$2,Rango_Admin_DailyPred,MATCH($F33,Rango_Admin_DailyPred_Primera,0),0),"-")</f>
        <v>-</v>
      </c>
      <c r="M33" s="717" t="str">
        <f ca="1">IFERROR(VLOOKUP(M$2,Rango_Admin_DailyPred,MATCH($F33,Rango_Admin_DailyPred_Primera,0),0),"-")</f>
        <v>-</v>
      </c>
      <c r="N33" s="717" t="str">
        <f ca="1">IFERROR(VLOOKUP(N$2,Rango_Admin_DailyPred,MATCH($F33,Rango_Admin_DailyPred_Primera,0),0),"-")</f>
        <v>-</v>
      </c>
      <c r="O33" s="717" t="str">
        <f ca="1">IFERROR(VLOOKUP(O$2,Rango_Admin_DailyPred,MATCH($F33,Rango_Admin_DailyPred_Primera,0),0),"-")</f>
        <v>-</v>
      </c>
      <c r="P33" s="717" t="str">
        <f ca="1">IFERROR(VLOOKUP(P$2,Rango_Admin_DailyPred,MATCH($F33,Rango_Admin_DailyPred_Primera,0),0),"-")</f>
        <v>-</v>
      </c>
      <c r="Q33" s="717" t="str">
        <f ca="1">IFERROR(VLOOKUP(Q$2,Rango_Admin_DailyPred,MATCH($F33,Rango_Admin_DailyPred_Primera,0),0),"-")</f>
        <v>-</v>
      </c>
      <c r="R33" s="717" t="str">
        <f ca="1">IFERROR(VLOOKUP(R$2,Rango_Admin_DailyPred,MATCH($F33,Rango_Admin_DailyPred_Primera,0),0),"-")</f>
        <v>-</v>
      </c>
      <c r="S33" s="717" t="str">
        <f ca="1">IFERROR(VLOOKUP(S$2,Rango_Admin_DailyPred,MATCH($F33,Rango_Admin_DailyPred_Primera,0),0),"-")</f>
        <v>-</v>
      </c>
      <c r="T33" s="717" t="str">
        <f ca="1">IFERROR(VLOOKUP(T$2,Rango_Admin_DailyPred,MATCH($F33,Rango_Admin_DailyPred_Primera,0),0),"-")</f>
        <v>-</v>
      </c>
      <c r="U33" s="717" t="str">
        <f ca="1">IFERROR(VLOOKUP(U$2,Rango_Admin_DailyPred,MATCH($F33,Rango_Admin_DailyPred_Primera,0),0),"-")</f>
        <v>-</v>
      </c>
      <c r="V33" s="717" t="str">
        <f ca="1">IFERROR(VLOOKUP(V$2,Rango_Admin_DailyPred,MATCH($F33,Rango_Admin_DailyPred_Primera,0),0),"-")</f>
        <v>-</v>
      </c>
      <c r="W33" s="717" t="str">
        <f ca="1">IFERROR(VLOOKUP(W$2,Rango_Admin_DailyPred,MATCH($F33,Rango_Admin_DailyPred_Primera,0),0),"-")</f>
        <v>-</v>
      </c>
      <c r="X33" s="717" t="str">
        <f ca="1">IFERROR(VLOOKUP(X$2,Rango_Admin_DailyPred,MATCH($F33,Rango_Admin_DailyPred_Primera,0),0),"-")</f>
        <v>-</v>
      </c>
      <c r="Y33" s="717" t="str">
        <f ca="1">IFERROR(VLOOKUP(Y$2,Rango_Admin_DailyPred,MATCH($F33,Rango_Admin_DailyPred_Primera,0),0),"-")</f>
        <v>-</v>
      </c>
      <c r="Z33" s="717" t="str">
        <f ca="1">IFERROR(VLOOKUP(Z$2,Rango_Admin_DailyPred,MATCH($F33,Rango_Admin_DailyPred_Primera,0),0),"-")</f>
        <v>-</v>
      </c>
      <c r="AA33" s="717" t="str">
        <f ca="1">IFERROR(VLOOKUP(AA$2,Rango_Admin_DailyPred,MATCH($F33,Rango_Admin_DailyPred_Primera,0),0),"-")</f>
        <v>-</v>
      </c>
      <c r="AB33" s="717" t="str">
        <f ca="1">IFERROR(VLOOKUP(AB$2,Rango_Admin_DailyPred,MATCH($F33,Rango_Admin_DailyPred_Primera,0),0),"-")</f>
        <v>-</v>
      </c>
      <c r="AC33" s="717" t="str">
        <f ca="1">IFERROR(VLOOKUP(AC$2,Rango_Admin_DailyPred,MATCH($F33,Rango_Admin_DailyPred_Primera,0),0),"-")</f>
        <v>-</v>
      </c>
      <c r="AD33" s="717" t="str">
        <f ca="1">IFERROR(VLOOKUP(AD$2,Rango_Admin_DailyPred,MATCH($F33,Rango_Admin_DailyPred_Primera,0),0),"-")</f>
        <v>-</v>
      </c>
      <c r="AE33" s="717" t="str">
        <f ca="1">IFERROR(VLOOKUP(AE$2,Rango_Admin_DailyPred,MATCH($F33,Rango_Admin_DailyPred_Primera,0),0),"-")</f>
        <v>-</v>
      </c>
      <c r="AF33" s="717" t="str">
        <f ca="1">IFERROR(VLOOKUP(AF$2,Rango_Admin_DailyPred,MATCH($F33,Rango_Admin_DailyPred_Primera,0),0),"-")</f>
        <v>-</v>
      </c>
      <c r="AG33" s="717" t="str">
        <f ca="1">IFERROR(VLOOKUP(AG$2,Rango_Admin_DailyPred,MATCH($F33,Rango_Admin_DailyPred_Primera,0),0),"-")</f>
        <v>-</v>
      </c>
      <c r="AH33" s="717" t="str">
        <f ca="1">IFERROR(VLOOKUP(AH$2,Rango_Admin_DailyPred,MATCH($F33,Rango_Admin_DailyPred_Primera,0),0),"-")</f>
        <v>-</v>
      </c>
      <c r="AI33" s="717" t="str">
        <f ca="1">IFERROR(VLOOKUP(AI$2,Rango_Admin_DailyPred,MATCH($F33,Rango_Admin_DailyPred_Primera,0),0),"-")</f>
        <v>-</v>
      </c>
      <c r="AJ33" s="717" t="str">
        <f ca="1">IFERROR(VLOOKUP(AJ$2,Rango_Admin_DailyPred,MATCH($F33,Rango_Admin_DailyPred_Primera,0),0),"-")</f>
        <v>-</v>
      </c>
      <c r="AK33" s="717" t="str">
        <f ca="1">IFERROR(VLOOKUP(AK$2,Rango_Admin_DailyPred,MATCH($F33,Rango_Admin_DailyPred_Primera,0),0),"-")</f>
        <v>-</v>
      </c>
      <c r="AL33" s="717" t="str">
        <f ca="1">IFERROR(VLOOKUP(AL$2,Rango_Admin_DailyPred,MATCH($F33,Rango_Admin_DailyPred_Primera,0),0),"-")</f>
        <v>-</v>
      </c>
      <c r="AM33" s="295"/>
      <c r="AN33" s="295"/>
      <c r="AO33" s="295"/>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f t="shared" si="1"/>
        <v>99</v>
      </c>
      <c r="F34" s="834" t="str" cm="1">
        <f t="array" ref="F34">IFERROR(INDEX(Rango_Admin_DailyPred_Primera,1,E34),"-")</f>
        <v>Leonardo Herrera</v>
      </c>
      <c r="G34" s="835" t="str">
        <f ca="1">IFERROR(VLOOKUP(G$2,Rango_Admin_DailyPred,MATCH($F34,Rango_Admin_DailyPred_Primera,0),0),"-")</f>
        <v>2|1-3</v>
      </c>
      <c r="H34" s="835" t="str">
        <f ca="1">IFERROR(VLOOKUP(H$2,Rango_Admin_DailyPred,MATCH($F34,Rango_Admin_DailyPred_Primera,0),0),"-")</f>
        <v>1|3-2</v>
      </c>
      <c r="I34" s="835" t="str">
        <f ca="1">IFERROR(VLOOKUP(I$2,Rango_Admin_DailyPred,MATCH($F34,Rango_Admin_DailyPred_Primera,0),0),"-")</f>
        <v>2|1-4</v>
      </c>
      <c r="J34" s="835" t="str">
        <f ca="1">IFERROR(VLOOKUP(J$2,Rango_Admin_DailyPred,MATCH($F34,Rango_Admin_DailyPred_Primera,0),0),"-")</f>
        <v>2|0-3</v>
      </c>
      <c r="K34" s="835" t="str">
        <f ca="1">IFERROR(VLOOKUP(K$2,Rango_Admin_DailyPred,MATCH($F34,Rango_Admin_DailyPred_Primera,0),0),"-")</f>
        <v>-</v>
      </c>
      <c r="L34" s="835" t="str">
        <f ca="1">IFERROR(VLOOKUP(L$2,Rango_Admin_DailyPred,MATCH($F34,Rango_Admin_DailyPred_Primera,0),0),"-")</f>
        <v>-</v>
      </c>
      <c r="M34" s="835" t="str">
        <f ca="1">IFERROR(VLOOKUP(M$2,Rango_Admin_DailyPred,MATCH($F34,Rango_Admin_DailyPred_Primera,0),0),"-")</f>
        <v>-</v>
      </c>
      <c r="N34" s="835" t="str">
        <f ca="1">IFERROR(VLOOKUP(N$2,Rango_Admin_DailyPred,MATCH($F34,Rango_Admin_DailyPred_Primera,0),0),"-")</f>
        <v>-</v>
      </c>
      <c r="O34" s="835" t="str">
        <f ca="1">IFERROR(VLOOKUP(O$2,Rango_Admin_DailyPred,MATCH($F34,Rango_Admin_DailyPred_Primera,0),0),"-")</f>
        <v>-</v>
      </c>
      <c r="P34" s="835" t="str">
        <f ca="1">IFERROR(VLOOKUP(P$2,Rango_Admin_DailyPred,MATCH($F34,Rango_Admin_DailyPred_Primera,0),0),"-")</f>
        <v>-</v>
      </c>
      <c r="Q34" s="835" t="str">
        <f ca="1">IFERROR(VLOOKUP(Q$2,Rango_Admin_DailyPred,MATCH($F34,Rango_Admin_DailyPred_Primera,0),0),"-")</f>
        <v>-</v>
      </c>
      <c r="R34" s="835" t="str">
        <f ca="1">IFERROR(VLOOKUP(R$2,Rango_Admin_DailyPred,MATCH($F34,Rango_Admin_DailyPred_Primera,0),0),"-")</f>
        <v>-</v>
      </c>
      <c r="S34" s="835" t="str">
        <f ca="1">IFERROR(VLOOKUP(S$2,Rango_Admin_DailyPred,MATCH($F34,Rango_Admin_DailyPred_Primera,0),0),"-")</f>
        <v>-</v>
      </c>
      <c r="T34" s="835" t="str">
        <f ca="1">IFERROR(VLOOKUP(T$2,Rango_Admin_DailyPred,MATCH($F34,Rango_Admin_DailyPred_Primera,0),0),"-")</f>
        <v>-</v>
      </c>
      <c r="U34" s="835" t="str">
        <f ca="1">IFERROR(VLOOKUP(U$2,Rango_Admin_DailyPred,MATCH($F34,Rango_Admin_DailyPred_Primera,0),0),"-")</f>
        <v>-</v>
      </c>
      <c r="V34" s="835" t="str">
        <f ca="1">IFERROR(VLOOKUP(V$2,Rango_Admin_DailyPred,MATCH($F34,Rango_Admin_DailyPred_Primera,0),0),"-")</f>
        <v>-</v>
      </c>
      <c r="W34" s="835" t="str">
        <f ca="1">IFERROR(VLOOKUP(W$2,Rango_Admin_DailyPred,MATCH($F34,Rango_Admin_DailyPred_Primera,0),0),"-")</f>
        <v>-</v>
      </c>
      <c r="X34" s="835" t="str">
        <f ca="1">IFERROR(VLOOKUP(X$2,Rango_Admin_DailyPred,MATCH($F34,Rango_Admin_DailyPred_Primera,0),0),"-")</f>
        <v>-</v>
      </c>
      <c r="Y34" s="835" t="str">
        <f ca="1">IFERROR(VLOOKUP(Y$2,Rango_Admin_DailyPred,MATCH($F34,Rango_Admin_DailyPred_Primera,0),0),"-")</f>
        <v>-</v>
      </c>
      <c r="Z34" s="835" t="str">
        <f ca="1">IFERROR(VLOOKUP(Z$2,Rango_Admin_DailyPred,MATCH($F34,Rango_Admin_DailyPred_Primera,0),0),"-")</f>
        <v>-</v>
      </c>
      <c r="AA34" s="835" t="str">
        <f ca="1">IFERROR(VLOOKUP(AA$2,Rango_Admin_DailyPred,MATCH($F34,Rango_Admin_DailyPred_Primera,0),0),"-")</f>
        <v>-</v>
      </c>
      <c r="AB34" s="835" t="str">
        <f ca="1">IFERROR(VLOOKUP(AB$2,Rango_Admin_DailyPred,MATCH($F34,Rango_Admin_DailyPred_Primera,0),0),"-")</f>
        <v>-</v>
      </c>
      <c r="AC34" s="835" t="str">
        <f ca="1">IFERROR(VLOOKUP(AC$2,Rango_Admin_DailyPred,MATCH($F34,Rango_Admin_DailyPred_Primera,0),0),"-")</f>
        <v>-</v>
      </c>
      <c r="AD34" s="835" t="str">
        <f ca="1">IFERROR(VLOOKUP(AD$2,Rango_Admin_DailyPred,MATCH($F34,Rango_Admin_DailyPred_Primera,0),0),"-")</f>
        <v>-</v>
      </c>
      <c r="AE34" s="835" t="str">
        <f ca="1">IFERROR(VLOOKUP(AE$2,Rango_Admin_DailyPred,MATCH($F34,Rango_Admin_DailyPred_Primera,0),0),"-")</f>
        <v>-</v>
      </c>
      <c r="AF34" s="835" t="str">
        <f ca="1">IFERROR(VLOOKUP(AF$2,Rango_Admin_DailyPred,MATCH($F34,Rango_Admin_DailyPred_Primera,0),0),"-")</f>
        <v>-</v>
      </c>
      <c r="AG34" s="835" t="str">
        <f ca="1">IFERROR(VLOOKUP(AG$2,Rango_Admin_DailyPred,MATCH($F34,Rango_Admin_DailyPred_Primera,0),0),"-")</f>
        <v>-</v>
      </c>
      <c r="AH34" s="835" t="str">
        <f ca="1">IFERROR(VLOOKUP(AH$2,Rango_Admin_DailyPred,MATCH($F34,Rango_Admin_DailyPred_Primera,0),0),"-")</f>
        <v>-</v>
      </c>
      <c r="AI34" s="835" t="str">
        <f ca="1">IFERROR(VLOOKUP(AI$2,Rango_Admin_DailyPred,MATCH($F34,Rango_Admin_DailyPred_Primera,0),0),"-")</f>
        <v>-</v>
      </c>
      <c r="AJ34" s="835" t="str">
        <f ca="1">IFERROR(VLOOKUP(AJ$2,Rango_Admin_DailyPred,MATCH($F34,Rango_Admin_DailyPred_Primera,0),0),"-")</f>
        <v>-</v>
      </c>
      <c r="AK34" s="835" t="str">
        <f ca="1">IFERROR(VLOOKUP(AK$2,Rango_Admin_DailyPred,MATCH($F34,Rango_Admin_DailyPred_Primera,0),0),"-")</f>
        <v>-</v>
      </c>
      <c r="AL34" s="835" t="str">
        <f ca="1">IFERROR(VLOOKUP(AL$2,Rango_Admin_DailyPred,MATCH($F34,Rango_Admin_DailyPred_Primera,0),0),"-")</f>
        <v>-</v>
      </c>
      <c r="AM34" s="295"/>
      <c r="AN34" s="295"/>
      <c r="AO34" s="295"/>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f t="shared" si="1"/>
        <v>102</v>
      </c>
      <c r="F35" s="833" t="str" cm="1">
        <f t="array" ref="F35">IFERROR(INDEX(Rango_Admin_DailyPred_Primera,1,E35),"-")</f>
        <v xml:space="preserve">German </v>
      </c>
      <c r="G35" s="717" t="str">
        <f ca="1">IFERROR(VLOOKUP(G$2,Rango_Admin_DailyPred,MATCH($F35,Rango_Admin_DailyPred_Primera,0),0),"-")</f>
        <v>2|1-3</v>
      </c>
      <c r="H35" s="717" t="str">
        <f ca="1">IFERROR(VLOOKUP(H$2,Rango_Admin_DailyPred,MATCH($F35,Rango_Admin_DailyPred_Primera,0),0),"-")</f>
        <v>2|1-2</v>
      </c>
      <c r="I35" s="717" t="str">
        <f ca="1">IFERROR(VLOOKUP(I$2,Rango_Admin_DailyPred,MATCH($F35,Rango_Admin_DailyPred_Primera,0),0),"-")</f>
        <v>2|0-4</v>
      </c>
      <c r="J35" s="717" t="str">
        <f ca="1">IFERROR(VLOOKUP(J$2,Rango_Admin_DailyPred,MATCH($F35,Rango_Admin_DailyPred_Primera,0),0),"-")</f>
        <v>2|0-2</v>
      </c>
      <c r="K35" s="717" t="str">
        <f ca="1">IFERROR(VLOOKUP(K$2,Rango_Admin_DailyPred,MATCH($F35,Rango_Admin_DailyPred_Primera,0),0),"-")</f>
        <v>-</v>
      </c>
      <c r="L35" s="717" t="str">
        <f ca="1">IFERROR(VLOOKUP(L$2,Rango_Admin_DailyPred,MATCH($F35,Rango_Admin_DailyPred_Primera,0),0),"-")</f>
        <v>-</v>
      </c>
      <c r="M35" s="717" t="str">
        <f ca="1">IFERROR(VLOOKUP(M$2,Rango_Admin_DailyPred,MATCH($F35,Rango_Admin_DailyPred_Primera,0),0),"-")</f>
        <v>-</v>
      </c>
      <c r="N35" s="717" t="str">
        <f ca="1">IFERROR(VLOOKUP(N$2,Rango_Admin_DailyPred,MATCH($F35,Rango_Admin_DailyPred_Primera,0),0),"-")</f>
        <v>-</v>
      </c>
      <c r="O35" s="717" t="str">
        <f ca="1">IFERROR(VLOOKUP(O$2,Rango_Admin_DailyPred,MATCH($F35,Rango_Admin_DailyPred_Primera,0),0),"-")</f>
        <v>-</v>
      </c>
      <c r="P35" s="717" t="str">
        <f ca="1">IFERROR(VLOOKUP(P$2,Rango_Admin_DailyPred,MATCH($F35,Rango_Admin_DailyPred_Primera,0),0),"-")</f>
        <v>-</v>
      </c>
      <c r="Q35" s="717" t="str">
        <f ca="1">IFERROR(VLOOKUP(Q$2,Rango_Admin_DailyPred,MATCH($F35,Rango_Admin_DailyPred_Primera,0),0),"-")</f>
        <v>-</v>
      </c>
      <c r="R35" s="717" t="str">
        <f ca="1">IFERROR(VLOOKUP(R$2,Rango_Admin_DailyPred,MATCH($F35,Rango_Admin_DailyPred_Primera,0),0),"-")</f>
        <v>-</v>
      </c>
      <c r="S35" s="717" t="str">
        <f ca="1">IFERROR(VLOOKUP(S$2,Rango_Admin_DailyPred,MATCH($F35,Rango_Admin_DailyPred_Primera,0),0),"-")</f>
        <v>-</v>
      </c>
      <c r="T35" s="717" t="str">
        <f ca="1">IFERROR(VLOOKUP(T$2,Rango_Admin_DailyPred,MATCH($F35,Rango_Admin_DailyPred_Primera,0),0),"-")</f>
        <v>-</v>
      </c>
      <c r="U35" s="717" t="str">
        <f ca="1">IFERROR(VLOOKUP(U$2,Rango_Admin_DailyPred,MATCH($F35,Rango_Admin_DailyPred_Primera,0),0),"-")</f>
        <v>-</v>
      </c>
      <c r="V35" s="717" t="str">
        <f ca="1">IFERROR(VLOOKUP(V$2,Rango_Admin_DailyPred,MATCH($F35,Rango_Admin_DailyPred_Primera,0),0),"-")</f>
        <v>-</v>
      </c>
      <c r="W35" s="717" t="str">
        <f ca="1">IFERROR(VLOOKUP(W$2,Rango_Admin_DailyPred,MATCH($F35,Rango_Admin_DailyPred_Primera,0),0),"-")</f>
        <v>-</v>
      </c>
      <c r="X35" s="717" t="str">
        <f ca="1">IFERROR(VLOOKUP(X$2,Rango_Admin_DailyPred,MATCH($F35,Rango_Admin_DailyPred_Primera,0),0),"-")</f>
        <v>-</v>
      </c>
      <c r="Y35" s="717" t="str">
        <f ca="1">IFERROR(VLOOKUP(Y$2,Rango_Admin_DailyPred,MATCH($F35,Rango_Admin_DailyPred_Primera,0),0),"-")</f>
        <v>-</v>
      </c>
      <c r="Z35" s="717" t="str">
        <f ca="1">IFERROR(VLOOKUP(Z$2,Rango_Admin_DailyPred,MATCH($F35,Rango_Admin_DailyPred_Primera,0),0),"-")</f>
        <v>-</v>
      </c>
      <c r="AA35" s="717" t="str">
        <f ca="1">IFERROR(VLOOKUP(AA$2,Rango_Admin_DailyPred,MATCH($F35,Rango_Admin_DailyPred_Primera,0),0),"-")</f>
        <v>-</v>
      </c>
      <c r="AB35" s="717" t="str">
        <f ca="1">IFERROR(VLOOKUP(AB$2,Rango_Admin_DailyPred,MATCH($F35,Rango_Admin_DailyPred_Primera,0),0),"-")</f>
        <v>-</v>
      </c>
      <c r="AC35" s="717" t="str">
        <f ca="1">IFERROR(VLOOKUP(AC$2,Rango_Admin_DailyPred,MATCH($F35,Rango_Admin_DailyPred_Primera,0),0),"-")</f>
        <v>-</v>
      </c>
      <c r="AD35" s="717" t="str">
        <f ca="1">IFERROR(VLOOKUP(AD$2,Rango_Admin_DailyPred,MATCH($F35,Rango_Admin_DailyPred_Primera,0),0),"-")</f>
        <v>-</v>
      </c>
      <c r="AE35" s="717" t="str">
        <f ca="1">IFERROR(VLOOKUP(AE$2,Rango_Admin_DailyPred,MATCH($F35,Rango_Admin_DailyPred_Primera,0),0),"-")</f>
        <v>-</v>
      </c>
      <c r="AF35" s="717" t="str">
        <f ca="1">IFERROR(VLOOKUP(AF$2,Rango_Admin_DailyPred,MATCH($F35,Rango_Admin_DailyPred_Primera,0),0),"-")</f>
        <v>-</v>
      </c>
      <c r="AG35" s="717" t="str">
        <f ca="1">IFERROR(VLOOKUP(AG$2,Rango_Admin_DailyPred,MATCH($F35,Rango_Admin_DailyPred_Primera,0),0),"-")</f>
        <v>-</v>
      </c>
      <c r="AH35" s="717" t="str">
        <f ca="1">IFERROR(VLOOKUP(AH$2,Rango_Admin_DailyPred,MATCH($F35,Rango_Admin_DailyPred_Primera,0),0),"-")</f>
        <v>-</v>
      </c>
      <c r="AI35" s="717" t="str">
        <f ca="1">IFERROR(VLOOKUP(AI$2,Rango_Admin_DailyPred,MATCH($F35,Rango_Admin_DailyPred_Primera,0),0),"-")</f>
        <v>-</v>
      </c>
      <c r="AJ35" s="717" t="str">
        <f ca="1">IFERROR(VLOOKUP(AJ$2,Rango_Admin_DailyPred,MATCH($F35,Rango_Admin_DailyPred_Primera,0),0),"-")</f>
        <v>-</v>
      </c>
      <c r="AK35" s="717" t="str">
        <f ca="1">IFERROR(VLOOKUP(AK$2,Rango_Admin_DailyPred,MATCH($F35,Rango_Admin_DailyPred_Primera,0),0),"-")</f>
        <v>-</v>
      </c>
      <c r="AL35" s="717" t="str">
        <f ca="1">IFERROR(VLOOKUP(AL$2,Rango_Admin_DailyPred,MATCH($F35,Rango_Admin_DailyPred_Primera,0),0),"-")</f>
        <v>-</v>
      </c>
      <c r="AM35" s="295"/>
      <c r="AN35" s="295"/>
      <c r="AO35" s="295"/>
    </row>
    <row r="36" spans="1:41">
      <c r="E36" s="19">
        <f t="shared" si="1"/>
        <v>105</v>
      </c>
      <c r="F36" s="834" t="str" cm="1">
        <f t="array" ref="F36">IFERROR(INDEX(Rango_Admin_DailyPred_Primera,1,E36),"-")</f>
        <v xml:space="preserve">Orbert </v>
      </c>
      <c r="G36" s="835" t="str">
        <f ca="1">IFERROR(VLOOKUP(G$2,Rango_Admin_DailyPred,MATCH($F36,Rango_Admin_DailyPred_Primera,0),0),"-")</f>
        <v>2|0-2</v>
      </c>
      <c r="H36" s="835" t="str">
        <f ca="1">IFERROR(VLOOKUP(H$2,Rango_Admin_DailyPred,MATCH($F36,Rango_Admin_DailyPred_Primera,0),0),"-")</f>
        <v>X|1-1</v>
      </c>
      <c r="I36" s="835" t="str">
        <f ca="1">IFERROR(VLOOKUP(I$2,Rango_Admin_DailyPred,MATCH($F36,Rango_Admin_DailyPred_Primera,0),0),"-")</f>
        <v>2|0-2</v>
      </c>
      <c r="J36" s="835" t="str">
        <f ca="1">IFERROR(VLOOKUP(J$2,Rango_Admin_DailyPred,MATCH($F36,Rango_Admin_DailyPred_Primera,0),0),"-")</f>
        <v>2|0-1</v>
      </c>
      <c r="K36" s="835" t="str">
        <f ca="1">IFERROR(VLOOKUP(K$2,Rango_Admin_DailyPred,MATCH($F36,Rango_Admin_DailyPred_Primera,0),0),"-")</f>
        <v>-</v>
      </c>
      <c r="L36" s="835" t="str">
        <f ca="1">IFERROR(VLOOKUP(L$2,Rango_Admin_DailyPred,MATCH($F36,Rango_Admin_DailyPred_Primera,0),0),"-")</f>
        <v>-</v>
      </c>
      <c r="M36" s="835" t="str">
        <f ca="1">IFERROR(VLOOKUP(M$2,Rango_Admin_DailyPred,MATCH($F36,Rango_Admin_DailyPred_Primera,0),0),"-")</f>
        <v>-</v>
      </c>
      <c r="N36" s="835" t="str">
        <f ca="1">IFERROR(VLOOKUP(N$2,Rango_Admin_DailyPred,MATCH($F36,Rango_Admin_DailyPred_Primera,0),0),"-")</f>
        <v>-</v>
      </c>
      <c r="O36" s="835" t="str">
        <f ca="1">IFERROR(VLOOKUP(O$2,Rango_Admin_DailyPred,MATCH($F36,Rango_Admin_DailyPred_Primera,0),0),"-")</f>
        <v>-</v>
      </c>
      <c r="P36" s="835" t="str">
        <f ca="1">IFERROR(VLOOKUP(P$2,Rango_Admin_DailyPred,MATCH($F36,Rango_Admin_DailyPred_Primera,0),0),"-")</f>
        <v>-</v>
      </c>
      <c r="Q36" s="835" t="str">
        <f ca="1">IFERROR(VLOOKUP(Q$2,Rango_Admin_DailyPred,MATCH($F36,Rango_Admin_DailyPred_Primera,0),0),"-")</f>
        <v>-</v>
      </c>
      <c r="R36" s="835" t="str">
        <f ca="1">IFERROR(VLOOKUP(R$2,Rango_Admin_DailyPred,MATCH($F36,Rango_Admin_DailyPred_Primera,0),0),"-")</f>
        <v>-</v>
      </c>
      <c r="S36" s="835" t="str">
        <f ca="1">IFERROR(VLOOKUP(S$2,Rango_Admin_DailyPred,MATCH($F36,Rango_Admin_DailyPred_Primera,0),0),"-")</f>
        <v>-</v>
      </c>
      <c r="T36" s="835" t="str">
        <f ca="1">IFERROR(VLOOKUP(T$2,Rango_Admin_DailyPred,MATCH($F36,Rango_Admin_DailyPred_Primera,0),0),"-")</f>
        <v>-</v>
      </c>
      <c r="U36" s="835" t="str">
        <f ca="1">IFERROR(VLOOKUP(U$2,Rango_Admin_DailyPred,MATCH($F36,Rango_Admin_DailyPred_Primera,0),0),"-")</f>
        <v>-</v>
      </c>
      <c r="V36" s="835" t="str">
        <f ca="1">IFERROR(VLOOKUP(V$2,Rango_Admin_DailyPred,MATCH($F36,Rango_Admin_DailyPred_Primera,0),0),"-")</f>
        <v>-</v>
      </c>
      <c r="W36" s="835" t="str">
        <f ca="1">IFERROR(VLOOKUP(W$2,Rango_Admin_DailyPred,MATCH($F36,Rango_Admin_DailyPred_Primera,0),0),"-")</f>
        <v>-</v>
      </c>
      <c r="X36" s="835" t="str">
        <f ca="1">IFERROR(VLOOKUP(X$2,Rango_Admin_DailyPred,MATCH($F36,Rango_Admin_DailyPred_Primera,0),0),"-")</f>
        <v>-</v>
      </c>
      <c r="Y36" s="835" t="str">
        <f ca="1">IFERROR(VLOOKUP(Y$2,Rango_Admin_DailyPred,MATCH($F36,Rango_Admin_DailyPred_Primera,0),0),"-")</f>
        <v>-</v>
      </c>
      <c r="Z36" s="835" t="str">
        <f ca="1">IFERROR(VLOOKUP(Z$2,Rango_Admin_DailyPred,MATCH($F36,Rango_Admin_DailyPred_Primera,0),0),"-")</f>
        <v>-</v>
      </c>
      <c r="AA36" s="835" t="str">
        <f ca="1">IFERROR(VLOOKUP(AA$2,Rango_Admin_DailyPred,MATCH($F36,Rango_Admin_DailyPred_Primera,0),0),"-")</f>
        <v>-</v>
      </c>
      <c r="AB36" s="835" t="str">
        <f ca="1">IFERROR(VLOOKUP(AB$2,Rango_Admin_DailyPred,MATCH($F36,Rango_Admin_DailyPred_Primera,0),0),"-")</f>
        <v>-</v>
      </c>
      <c r="AC36" s="835" t="str">
        <f ca="1">IFERROR(VLOOKUP(AC$2,Rango_Admin_DailyPred,MATCH($F36,Rango_Admin_DailyPred_Primera,0),0),"-")</f>
        <v>-</v>
      </c>
      <c r="AD36" s="835" t="str">
        <f ca="1">IFERROR(VLOOKUP(AD$2,Rango_Admin_DailyPred,MATCH($F36,Rango_Admin_DailyPred_Primera,0),0),"-")</f>
        <v>-</v>
      </c>
      <c r="AE36" s="835" t="str">
        <f ca="1">IFERROR(VLOOKUP(AE$2,Rango_Admin_DailyPred,MATCH($F36,Rango_Admin_DailyPred_Primera,0),0),"-")</f>
        <v>-</v>
      </c>
      <c r="AF36" s="835" t="str">
        <f ca="1">IFERROR(VLOOKUP(AF$2,Rango_Admin_DailyPred,MATCH($F36,Rango_Admin_DailyPred_Primera,0),0),"-")</f>
        <v>-</v>
      </c>
      <c r="AG36" s="835" t="str">
        <f ca="1">IFERROR(VLOOKUP(AG$2,Rango_Admin_DailyPred,MATCH($F36,Rango_Admin_DailyPred_Primera,0),0),"-")</f>
        <v>-</v>
      </c>
      <c r="AH36" s="835" t="str">
        <f ca="1">IFERROR(VLOOKUP(AH$2,Rango_Admin_DailyPred,MATCH($F36,Rango_Admin_DailyPred_Primera,0),0),"-")</f>
        <v>-</v>
      </c>
      <c r="AI36" s="835" t="str">
        <f ca="1">IFERROR(VLOOKUP(AI$2,Rango_Admin_DailyPred,MATCH($F36,Rango_Admin_DailyPred_Primera,0),0),"-")</f>
        <v>-</v>
      </c>
      <c r="AJ36" s="835" t="str">
        <f ca="1">IFERROR(VLOOKUP(AJ$2,Rango_Admin_DailyPred,MATCH($F36,Rango_Admin_DailyPred_Primera,0),0),"-")</f>
        <v>-</v>
      </c>
      <c r="AK36" s="835" t="str">
        <f ca="1">IFERROR(VLOOKUP(AK$2,Rango_Admin_DailyPred,MATCH($F36,Rango_Admin_DailyPred_Primera,0),0),"-")</f>
        <v>-</v>
      </c>
      <c r="AL36" s="835" t="str">
        <f ca="1">IFERROR(VLOOKUP(AL$2,Rango_Admin_DailyPred,MATCH($F36,Rango_Admin_DailyPred_Primera,0),0),"-")</f>
        <v>-</v>
      </c>
    </row>
    <row r="37" spans="1:41">
      <c r="E37" s="19">
        <f t="shared" si="1"/>
        <v>108</v>
      </c>
      <c r="F37" s="833" t="str" cm="1">
        <f t="array" ref="F37">IFERROR(INDEX(Rango_Admin_DailyPred_Primera,1,E37),"-")</f>
        <v>Alex Flores</v>
      </c>
      <c r="G37" s="717" t="str">
        <f ca="1">IFERROR(VLOOKUP(G$2,Rango_Admin_DailyPred,MATCH($F37,Rango_Admin_DailyPred_Primera,0),0),"-")</f>
        <v>2|1-3</v>
      </c>
      <c r="H37" s="717" t="str">
        <f ca="1">IFERROR(VLOOKUP(H$2,Rango_Admin_DailyPred,MATCH($F37,Rango_Admin_DailyPred_Primera,0),0),"-")</f>
        <v>2|1-2</v>
      </c>
      <c r="I37" s="717" t="str">
        <f ca="1">IFERROR(VLOOKUP(I$2,Rango_Admin_DailyPred,MATCH($F37,Rango_Admin_DailyPred_Primera,0),0),"-")</f>
        <v>X|1-1</v>
      </c>
      <c r="J37" s="717" t="str">
        <f ca="1">IFERROR(VLOOKUP(J$2,Rango_Admin_DailyPred,MATCH($F37,Rango_Admin_DailyPred_Primera,0),0),"-")</f>
        <v>1|1-0</v>
      </c>
      <c r="K37" s="717" t="str">
        <f ca="1">IFERROR(VLOOKUP(K$2,Rango_Admin_DailyPred,MATCH($F37,Rango_Admin_DailyPred_Primera,0),0),"-")</f>
        <v>-</v>
      </c>
      <c r="L37" s="717" t="str">
        <f ca="1">IFERROR(VLOOKUP(L$2,Rango_Admin_DailyPred,MATCH($F37,Rango_Admin_DailyPred_Primera,0),0),"-")</f>
        <v>-</v>
      </c>
      <c r="M37" s="717" t="str">
        <f ca="1">IFERROR(VLOOKUP(M$2,Rango_Admin_DailyPred,MATCH($F37,Rango_Admin_DailyPred_Primera,0),0),"-")</f>
        <v>-</v>
      </c>
      <c r="N37" s="717" t="str">
        <f ca="1">IFERROR(VLOOKUP(N$2,Rango_Admin_DailyPred,MATCH($F37,Rango_Admin_DailyPred_Primera,0),0),"-")</f>
        <v>-</v>
      </c>
      <c r="O37" s="717" t="str">
        <f ca="1">IFERROR(VLOOKUP(O$2,Rango_Admin_DailyPred,MATCH($F37,Rango_Admin_DailyPred_Primera,0),0),"-")</f>
        <v>-</v>
      </c>
      <c r="P37" s="717" t="str">
        <f ca="1">IFERROR(VLOOKUP(P$2,Rango_Admin_DailyPred,MATCH($F37,Rango_Admin_DailyPred_Primera,0),0),"-")</f>
        <v>-</v>
      </c>
      <c r="Q37" s="717" t="str">
        <f ca="1">IFERROR(VLOOKUP(Q$2,Rango_Admin_DailyPred,MATCH($F37,Rango_Admin_DailyPred_Primera,0),0),"-")</f>
        <v>-</v>
      </c>
      <c r="R37" s="717" t="str">
        <f ca="1">IFERROR(VLOOKUP(R$2,Rango_Admin_DailyPred,MATCH($F37,Rango_Admin_DailyPred_Primera,0),0),"-")</f>
        <v>-</v>
      </c>
      <c r="S37" s="717" t="str">
        <f ca="1">IFERROR(VLOOKUP(S$2,Rango_Admin_DailyPred,MATCH($F37,Rango_Admin_DailyPred_Primera,0),0),"-")</f>
        <v>-</v>
      </c>
      <c r="T37" s="717" t="str">
        <f ca="1">IFERROR(VLOOKUP(T$2,Rango_Admin_DailyPred,MATCH($F37,Rango_Admin_DailyPred_Primera,0),0),"-")</f>
        <v>-</v>
      </c>
      <c r="U37" s="717" t="str">
        <f ca="1">IFERROR(VLOOKUP(U$2,Rango_Admin_DailyPred,MATCH($F37,Rango_Admin_DailyPred_Primera,0),0),"-")</f>
        <v>-</v>
      </c>
      <c r="V37" s="717" t="str">
        <f ca="1">IFERROR(VLOOKUP(V$2,Rango_Admin_DailyPred,MATCH($F37,Rango_Admin_DailyPred_Primera,0),0),"-")</f>
        <v>-</v>
      </c>
      <c r="W37" s="717" t="str">
        <f ca="1">IFERROR(VLOOKUP(W$2,Rango_Admin_DailyPred,MATCH($F37,Rango_Admin_DailyPred_Primera,0),0),"-")</f>
        <v>-</v>
      </c>
      <c r="X37" s="717" t="str">
        <f ca="1">IFERROR(VLOOKUP(X$2,Rango_Admin_DailyPred,MATCH($F37,Rango_Admin_DailyPred_Primera,0),0),"-")</f>
        <v>-</v>
      </c>
      <c r="Y37" s="717" t="str">
        <f ca="1">IFERROR(VLOOKUP(Y$2,Rango_Admin_DailyPred,MATCH($F37,Rango_Admin_DailyPred_Primera,0),0),"-")</f>
        <v>-</v>
      </c>
      <c r="Z37" s="717" t="str">
        <f ca="1">IFERROR(VLOOKUP(Z$2,Rango_Admin_DailyPred,MATCH($F37,Rango_Admin_DailyPred_Primera,0),0),"-")</f>
        <v>-</v>
      </c>
      <c r="AA37" s="717" t="str">
        <f ca="1">IFERROR(VLOOKUP(AA$2,Rango_Admin_DailyPred,MATCH($F37,Rango_Admin_DailyPred_Primera,0),0),"-")</f>
        <v>-</v>
      </c>
      <c r="AB37" s="717" t="str">
        <f ca="1">IFERROR(VLOOKUP(AB$2,Rango_Admin_DailyPred,MATCH($F37,Rango_Admin_DailyPred_Primera,0),0),"-")</f>
        <v>-</v>
      </c>
      <c r="AC37" s="717" t="str">
        <f ca="1">IFERROR(VLOOKUP(AC$2,Rango_Admin_DailyPred,MATCH($F37,Rango_Admin_DailyPred_Primera,0),0),"-")</f>
        <v>-</v>
      </c>
      <c r="AD37" s="717" t="str">
        <f ca="1">IFERROR(VLOOKUP(AD$2,Rango_Admin_DailyPred,MATCH($F37,Rango_Admin_DailyPred_Primera,0),0),"-")</f>
        <v>-</v>
      </c>
      <c r="AE37" s="717" t="str">
        <f ca="1">IFERROR(VLOOKUP(AE$2,Rango_Admin_DailyPred,MATCH($F37,Rango_Admin_DailyPred_Primera,0),0),"-")</f>
        <v>-</v>
      </c>
      <c r="AF37" s="717" t="str">
        <f ca="1">IFERROR(VLOOKUP(AF$2,Rango_Admin_DailyPred,MATCH($F37,Rango_Admin_DailyPred_Primera,0),0),"-")</f>
        <v>-</v>
      </c>
      <c r="AG37" s="717" t="str">
        <f ca="1">IFERROR(VLOOKUP(AG$2,Rango_Admin_DailyPred,MATCH($F37,Rango_Admin_DailyPred_Primera,0),0),"-")</f>
        <v>-</v>
      </c>
      <c r="AH37" s="717" t="str">
        <f ca="1">IFERROR(VLOOKUP(AH$2,Rango_Admin_DailyPred,MATCH($F37,Rango_Admin_DailyPred_Primera,0),0),"-")</f>
        <v>-</v>
      </c>
      <c r="AI37" s="717" t="str">
        <f ca="1">IFERROR(VLOOKUP(AI$2,Rango_Admin_DailyPred,MATCH($F37,Rango_Admin_DailyPred_Primera,0),0),"-")</f>
        <v>-</v>
      </c>
      <c r="AJ37" s="717" t="str">
        <f ca="1">IFERROR(VLOOKUP(AJ$2,Rango_Admin_DailyPred,MATCH($F37,Rango_Admin_DailyPred_Primera,0),0),"-")</f>
        <v>-</v>
      </c>
      <c r="AK37" s="717" t="str">
        <f ca="1">IFERROR(VLOOKUP(AK$2,Rango_Admin_DailyPred,MATCH($F37,Rango_Admin_DailyPred_Primera,0),0),"-")</f>
        <v>-</v>
      </c>
      <c r="AL37" s="717" t="str">
        <f ca="1">IFERROR(VLOOKUP(AL$2,Rango_Admin_DailyPred,MATCH($F37,Rango_Admin_DailyPred_Primera,0),0),"-")</f>
        <v>-</v>
      </c>
    </row>
    <row r="38" spans="1:41">
      <c r="E38" s="19">
        <f t="shared" si="1"/>
        <v>111</v>
      </c>
      <c r="F38" s="834" t="str" cm="1">
        <f t="array" ref="F38">IFERROR(INDEX(Rango_Admin_DailyPred_Primera,1,E38),"-")</f>
        <v>Erick Lavado</v>
      </c>
      <c r="G38" s="835" t="str">
        <f ca="1">IFERROR(VLOOKUP(G$2,Rango_Admin_DailyPred,MATCH($F38,Rango_Admin_DailyPred_Primera,0),0),"-")</f>
        <v>2|1-2</v>
      </c>
      <c r="H38" s="835" t="str">
        <f ca="1">IFERROR(VLOOKUP(H$2,Rango_Admin_DailyPred,MATCH($F38,Rango_Admin_DailyPred_Primera,0),0),"-")</f>
        <v>X|2-2</v>
      </c>
      <c r="I38" s="835" t="str">
        <f ca="1">IFERROR(VLOOKUP(I$2,Rango_Admin_DailyPred,MATCH($F38,Rango_Admin_DailyPred_Primera,0),0),"-")</f>
        <v>2|0-3</v>
      </c>
      <c r="J38" s="835" t="str">
        <f ca="1">IFERROR(VLOOKUP(J$2,Rango_Admin_DailyPred,MATCH($F38,Rango_Admin_DailyPred_Primera,0),0),"-")</f>
        <v>2|1-3</v>
      </c>
      <c r="K38" s="835" t="str">
        <f ca="1">IFERROR(VLOOKUP(K$2,Rango_Admin_DailyPred,MATCH($F38,Rango_Admin_DailyPred_Primera,0),0),"-")</f>
        <v>-</v>
      </c>
      <c r="L38" s="835" t="str">
        <f ca="1">IFERROR(VLOOKUP(L$2,Rango_Admin_DailyPred,MATCH($F38,Rango_Admin_DailyPred_Primera,0),0),"-")</f>
        <v>-</v>
      </c>
      <c r="M38" s="835" t="str">
        <f ca="1">IFERROR(VLOOKUP(M$2,Rango_Admin_DailyPred,MATCH($F38,Rango_Admin_DailyPred_Primera,0),0),"-")</f>
        <v>-</v>
      </c>
      <c r="N38" s="835" t="str">
        <f ca="1">IFERROR(VLOOKUP(N$2,Rango_Admin_DailyPred,MATCH($F38,Rango_Admin_DailyPred_Primera,0),0),"-")</f>
        <v>-</v>
      </c>
      <c r="O38" s="835" t="str">
        <f ca="1">IFERROR(VLOOKUP(O$2,Rango_Admin_DailyPred,MATCH($F38,Rango_Admin_DailyPred_Primera,0),0),"-")</f>
        <v>-</v>
      </c>
      <c r="P38" s="835" t="str">
        <f ca="1">IFERROR(VLOOKUP(P$2,Rango_Admin_DailyPred,MATCH($F38,Rango_Admin_DailyPred_Primera,0),0),"-")</f>
        <v>-</v>
      </c>
      <c r="Q38" s="835" t="str">
        <f ca="1">IFERROR(VLOOKUP(Q$2,Rango_Admin_DailyPred,MATCH($F38,Rango_Admin_DailyPred_Primera,0),0),"-")</f>
        <v>-</v>
      </c>
      <c r="R38" s="835" t="str">
        <f ca="1">IFERROR(VLOOKUP(R$2,Rango_Admin_DailyPred,MATCH($F38,Rango_Admin_DailyPred_Primera,0),0),"-")</f>
        <v>-</v>
      </c>
      <c r="S38" s="835" t="str">
        <f ca="1">IFERROR(VLOOKUP(S$2,Rango_Admin_DailyPred,MATCH($F38,Rango_Admin_DailyPred_Primera,0),0),"-")</f>
        <v>-</v>
      </c>
      <c r="T38" s="835" t="str">
        <f ca="1">IFERROR(VLOOKUP(T$2,Rango_Admin_DailyPred,MATCH($F38,Rango_Admin_DailyPred_Primera,0),0),"-")</f>
        <v>-</v>
      </c>
      <c r="U38" s="835" t="str">
        <f ca="1">IFERROR(VLOOKUP(U$2,Rango_Admin_DailyPred,MATCH($F38,Rango_Admin_DailyPred_Primera,0),0),"-")</f>
        <v>-</v>
      </c>
      <c r="V38" s="835" t="str">
        <f ca="1">IFERROR(VLOOKUP(V$2,Rango_Admin_DailyPred,MATCH($F38,Rango_Admin_DailyPred_Primera,0),0),"-")</f>
        <v>-</v>
      </c>
      <c r="W38" s="835" t="str">
        <f ca="1">IFERROR(VLOOKUP(W$2,Rango_Admin_DailyPred,MATCH($F38,Rango_Admin_DailyPred_Primera,0),0),"-")</f>
        <v>-</v>
      </c>
      <c r="X38" s="835" t="str">
        <f ca="1">IFERROR(VLOOKUP(X$2,Rango_Admin_DailyPred,MATCH($F38,Rango_Admin_DailyPred_Primera,0),0),"-")</f>
        <v>-</v>
      </c>
      <c r="Y38" s="835" t="str">
        <f ca="1">IFERROR(VLOOKUP(Y$2,Rango_Admin_DailyPred,MATCH($F38,Rango_Admin_DailyPred_Primera,0),0),"-")</f>
        <v>-</v>
      </c>
      <c r="Z38" s="835" t="str">
        <f ca="1">IFERROR(VLOOKUP(Z$2,Rango_Admin_DailyPred,MATCH($F38,Rango_Admin_DailyPred_Primera,0),0),"-")</f>
        <v>-</v>
      </c>
      <c r="AA38" s="835" t="str">
        <f ca="1">IFERROR(VLOOKUP(AA$2,Rango_Admin_DailyPred,MATCH($F38,Rango_Admin_DailyPred_Primera,0),0),"-")</f>
        <v>-</v>
      </c>
      <c r="AB38" s="835" t="str">
        <f ca="1">IFERROR(VLOOKUP(AB$2,Rango_Admin_DailyPred,MATCH($F38,Rango_Admin_DailyPred_Primera,0),0),"-")</f>
        <v>-</v>
      </c>
      <c r="AC38" s="835" t="str">
        <f ca="1">IFERROR(VLOOKUP(AC$2,Rango_Admin_DailyPred,MATCH($F38,Rango_Admin_DailyPred_Primera,0),0),"-")</f>
        <v>-</v>
      </c>
      <c r="AD38" s="835" t="str">
        <f ca="1">IFERROR(VLOOKUP(AD$2,Rango_Admin_DailyPred,MATCH($F38,Rango_Admin_DailyPred_Primera,0),0),"-")</f>
        <v>-</v>
      </c>
      <c r="AE38" s="835" t="str">
        <f ca="1">IFERROR(VLOOKUP(AE$2,Rango_Admin_DailyPred,MATCH($F38,Rango_Admin_DailyPred_Primera,0),0),"-")</f>
        <v>-</v>
      </c>
      <c r="AF38" s="835" t="str">
        <f ca="1">IFERROR(VLOOKUP(AF$2,Rango_Admin_DailyPred,MATCH($F38,Rango_Admin_DailyPred_Primera,0),0),"-")</f>
        <v>-</v>
      </c>
      <c r="AG38" s="835" t="str">
        <f ca="1">IFERROR(VLOOKUP(AG$2,Rango_Admin_DailyPred,MATCH($F38,Rango_Admin_DailyPred_Primera,0),0),"-")</f>
        <v>-</v>
      </c>
      <c r="AH38" s="835" t="str">
        <f ca="1">IFERROR(VLOOKUP(AH$2,Rango_Admin_DailyPred,MATCH($F38,Rango_Admin_DailyPred_Primera,0),0),"-")</f>
        <v>-</v>
      </c>
      <c r="AI38" s="835" t="str">
        <f ca="1">IFERROR(VLOOKUP(AI$2,Rango_Admin_DailyPred,MATCH($F38,Rango_Admin_DailyPred_Primera,0),0),"-")</f>
        <v>-</v>
      </c>
      <c r="AJ38" s="835" t="str">
        <f ca="1">IFERROR(VLOOKUP(AJ$2,Rango_Admin_DailyPred,MATCH($F38,Rango_Admin_DailyPred_Primera,0),0),"-")</f>
        <v>-</v>
      </c>
      <c r="AK38" s="835" t="str">
        <f ca="1">IFERROR(VLOOKUP(AK$2,Rango_Admin_DailyPred,MATCH($F38,Rango_Admin_DailyPred_Primera,0),0),"-")</f>
        <v>-</v>
      </c>
      <c r="AL38" s="835" t="str">
        <f ca="1">IFERROR(VLOOKUP(AL$2,Rango_Admin_DailyPred,MATCH($F38,Rango_Admin_DailyPred_Primera,0),0),"-")</f>
        <v>-</v>
      </c>
    </row>
    <row r="39" spans="1:41">
      <c r="E39" s="19">
        <f t="shared" si="1"/>
        <v>114</v>
      </c>
      <c r="F39" s="833" t="str" cm="1">
        <f t="array" ref="F39">IFERROR(INDEX(Rango_Admin_DailyPred_Primera,1,E39),"-")</f>
        <v xml:space="preserve">Eleyton </v>
      </c>
      <c r="G39" s="717" t="str">
        <f ca="1">IFERROR(VLOOKUP(G$2,Rango_Admin_DailyPred,MATCH($F39,Rango_Admin_DailyPred_Primera,0),0),"-")</f>
        <v>2|0-2</v>
      </c>
      <c r="H39" s="717" t="str">
        <f ca="1">IFERROR(VLOOKUP(H$2,Rango_Admin_DailyPred,MATCH($F39,Rango_Admin_DailyPred_Primera,0),0),"-")</f>
        <v>1|2-1</v>
      </c>
      <c r="I39" s="717" t="str">
        <f ca="1">IFERROR(VLOOKUP(I$2,Rango_Admin_DailyPred,MATCH($F39,Rango_Admin_DailyPred_Primera,0),0),"-")</f>
        <v>2|0-2</v>
      </c>
      <c r="J39" s="717" t="str">
        <f ca="1">IFERROR(VLOOKUP(J$2,Rango_Admin_DailyPred,MATCH($F39,Rango_Admin_DailyPred_Primera,0),0),"-")</f>
        <v>2|1-2</v>
      </c>
      <c r="K39" s="717" t="str">
        <f ca="1">IFERROR(VLOOKUP(K$2,Rango_Admin_DailyPred,MATCH($F39,Rango_Admin_DailyPred_Primera,0),0),"-")</f>
        <v>-</v>
      </c>
      <c r="L39" s="717" t="str">
        <f ca="1">IFERROR(VLOOKUP(L$2,Rango_Admin_DailyPred,MATCH($F39,Rango_Admin_DailyPred_Primera,0),0),"-")</f>
        <v>-</v>
      </c>
      <c r="M39" s="717" t="str">
        <f ca="1">IFERROR(VLOOKUP(M$2,Rango_Admin_DailyPred,MATCH($F39,Rango_Admin_DailyPred_Primera,0),0),"-")</f>
        <v>-</v>
      </c>
      <c r="N39" s="717" t="str">
        <f ca="1">IFERROR(VLOOKUP(N$2,Rango_Admin_DailyPred,MATCH($F39,Rango_Admin_DailyPred_Primera,0),0),"-")</f>
        <v>-</v>
      </c>
      <c r="O39" s="717" t="str">
        <f ca="1">IFERROR(VLOOKUP(O$2,Rango_Admin_DailyPred,MATCH($F39,Rango_Admin_DailyPred_Primera,0),0),"-")</f>
        <v>-</v>
      </c>
      <c r="P39" s="717" t="str">
        <f ca="1">IFERROR(VLOOKUP(P$2,Rango_Admin_DailyPred,MATCH($F39,Rango_Admin_DailyPred_Primera,0),0),"-")</f>
        <v>-</v>
      </c>
      <c r="Q39" s="717" t="str">
        <f ca="1">IFERROR(VLOOKUP(Q$2,Rango_Admin_DailyPred,MATCH($F39,Rango_Admin_DailyPred_Primera,0),0),"-")</f>
        <v>-</v>
      </c>
      <c r="R39" s="717" t="str">
        <f ca="1">IFERROR(VLOOKUP(R$2,Rango_Admin_DailyPred,MATCH($F39,Rango_Admin_DailyPred_Primera,0),0),"-")</f>
        <v>-</v>
      </c>
      <c r="S39" s="717" t="str">
        <f ca="1">IFERROR(VLOOKUP(S$2,Rango_Admin_DailyPred,MATCH($F39,Rango_Admin_DailyPred_Primera,0),0),"-")</f>
        <v>-</v>
      </c>
      <c r="T39" s="717" t="str">
        <f ca="1">IFERROR(VLOOKUP(T$2,Rango_Admin_DailyPred,MATCH($F39,Rango_Admin_DailyPred_Primera,0),0),"-")</f>
        <v>-</v>
      </c>
      <c r="U39" s="717" t="str">
        <f ca="1">IFERROR(VLOOKUP(U$2,Rango_Admin_DailyPred,MATCH($F39,Rango_Admin_DailyPred_Primera,0),0),"-")</f>
        <v>-</v>
      </c>
      <c r="V39" s="717" t="str">
        <f ca="1">IFERROR(VLOOKUP(V$2,Rango_Admin_DailyPred,MATCH($F39,Rango_Admin_DailyPred_Primera,0),0),"-")</f>
        <v>-</v>
      </c>
      <c r="W39" s="717" t="str">
        <f ca="1">IFERROR(VLOOKUP(W$2,Rango_Admin_DailyPred,MATCH($F39,Rango_Admin_DailyPred_Primera,0),0),"-")</f>
        <v>-</v>
      </c>
      <c r="X39" s="717" t="str">
        <f ca="1">IFERROR(VLOOKUP(X$2,Rango_Admin_DailyPred,MATCH($F39,Rango_Admin_DailyPred_Primera,0),0),"-")</f>
        <v>-</v>
      </c>
      <c r="Y39" s="717" t="str">
        <f ca="1">IFERROR(VLOOKUP(Y$2,Rango_Admin_DailyPred,MATCH($F39,Rango_Admin_DailyPred_Primera,0),0),"-")</f>
        <v>-</v>
      </c>
      <c r="Z39" s="717" t="str">
        <f ca="1">IFERROR(VLOOKUP(Z$2,Rango_Admin_DailyPred,MATCH($F39,Rango_Admin_DailyPred_Primera,0),0),"-")</f>
        <v>-</v>
      </c>
      <c r="AA39" s="717" t="str">
        <f ca="1">IFERROR(VLOOKUP(AA$2,Rango_Admin_DailyPred,MATCH($F39,Rango_Admin_DailyPred_Primera,0),0),"-")</f>
        <v>-</v>
      </c>
      <c r="AB39" s="717" t="str">
        <f ca="1">IFERROR(VLOOKUP(AB$2,Rango_Admin_DailyPred,MATCH($F39,Rango_Admin_DailyPred_Primera,0),0),"-")</f>
        <v>-</v>
      </c>
      <c r="AC39" s="717" t="str">
        <f ca="1">IFERROR(VLOOKUP(AC$2,Rango_Admin_DailyPred,MATCH($F39,Rango_Admin_DailyPred_Primera,0),0),"-")</f>
        <v>-</v>
      </c>
      <c r="AD39" s="717" t="str">
        <f ca="1">IFERROR(VLOOKUP(AD$2,Rango_Admin_DailyPred,MATCH($F39,Rango_Admin_DailyPred_Primera,0),0),"-")</f>
        <v>-</v>
      </c>
      <c r="AE39" s="717" t="str">
        <f ca="1">IFERROR(VLOOKUP(AE$2,Rango_Admin_DailyPred,MATCH($F39,Rango_Admin_DailyPred_Primera,0),0),"-")</f>
        <v>-</v>
      </c>
      <c r="AF39" s="717" t="str">
        <f ca="1">IFERROR(VLOOKUP(AF$2,Rango_Admin_DailyPred,MATCH($F39,Rango_Admin_DailyPred_Primera,0),0),"-")</f>
        <v>-</v>
      </c>
      <c r="AG39" s="717" t="str">
        <f ca="1">IFERROR(VLOOKUP(AG$2,Rango_Admin_DailyPred,MATCH($F39,Rango_Admin_DailyPred_Primera,0),0),"-")</f>
        <v>-</v>
      </c>
      <c r="AH39" s="717" t="str">
        <f ca="1">IFERROR(VLOOKUP(AH$2,Rango_Admin_DailyPred,MATCH($F39,Rango_Admin_DailyPred_Primera,0),0),"-")</f>
        <v>-</v>
      </c>
      <c r="AI39" s="717" t="str">
        <f ca="1">IFERROR(VLOOKUP(AI$2,Rango_Admin_DailyPred,MATCH($F39,Rango_Admin_DailyPred_Primera,0),0),"-")</f>
        <v>-</v>
      </c>
      <c r="AJ39" s="717" t="str">
        <f ca="1">IFERROR(VLOOKUP(AJ$2,Rango_Admin_DailyPred,MATCH($F39,Rango_Admin_DailyPred_Primera,0),0),"-")</f>
        <v>-</v>
      </c>
      <c r="AK39" s="717" t="str">
        <f ca="1">IFERROR(VLOOKUP(AK$2,Rango_Admin_DailyPred,MATCH($F39,Rango_Admin_DailyPred_Primera,0),0),"-")</f>
        <v>-</v>
      </c>
      <c r="AL39" s="717" t="str">
        <f ca="1">IFERROR(VLOOKUP(AL$2,Rango_Admin_DailyPred,MATCH($F39,Rango_Admin_DailyPred_Primera,0),0),"-")</f>
        <v>-</v>
      </c>
    </row>
    <row r="40" spans="1:41">
      <c r="E40" s="19">
        <f t="shared" si="1"/>
        <v>117</v>
      </c>
      <c r="F40" s="834" t="str" cm="1">
        <f t="array" ref="F40">IFERROR(INDEX(Rango_Admin_DailyPred_Primera,1,E40),"-")</f>
        <v>-</v>
      </c>
      <c r="G40" s="835" t="str">
        <f ca="1">IFERROR(VLOOKUP(G$2,Rango_Admin_DailyPred,MATCH($F40,Rango_Admin_DailyPred_Primera,0),0),"-")</f>
        <v>-</v>
      </c>
      <c r="H40" s="835" t="str">
        <f ca="1">IFERROR(VLOOKUP(H$2,Rango_Admin_DailyPred,MATCH($F40,Rango_Admin_DailyPred_Primera,0),0),"-")</f>
        <v>-</v>
      </c>
      <c r="I40" s="835" t="str">
        <f ca="1">IFERROR(VLOOKUP(I$2,Rango_Admin_DailyPred,MATCH($F40,Rango_Admin_DailyPred_Primera,0),0),"-")</f>
        <v>-</v>
      </c>
      <c r="J40" s="835" t="str">
        <f ca="1">IFERROR(VLOOKUP(J$2,Rango_Admin_DailyPred,MATCH($F40,Rango_Admin_DailyPred_Primera,0),0),"-")</f>
        <v>-</v>
      </c>
      <c r="K40" s="835" t="str">
        <f ca="1">IFERROR(VLOOKUP(K$2,Rango_Admin_DailyPred,MATCH($F40,Rango_Admin_DailyPred_Primera,0),0),"-")</f>
        <v>-</v>
      </c>
      <c r="L40" s="835" t="str">
        <f ca="1">IFERROR(VLOOKUP(L$2,Rango_Admin_DailyPred,MATCH($F40,Rango_Admin_DailyPred_Primera,0),0),"-")</f>
        <v>-</v>
      </c>
      <c r="M40" s="835" t="str">
        <f ca="1">IFERROR(VLOOKUP(M$2,Rango_Admin_DailyPred,MATCH($F40,Rango_Admin_DailyPred_Primera,0),0),"-")</f>
        <v>-</v>
      </c>
      <c r="N40" s="835" t="str">
        <f ca="1">IFERROR(VLOOKUP(N$2,Rango_Admin_DailyPred,MATCH($F40,Rango_Admin_DailyPred_Primera,0),0),"-")</f>
        <v>-</v>
      </c>
      <c r="O40" s="835" t="str">
        <f ca="1">IFERROR(VLOOKUP(O$2,Rango_Admin_DailyPred,MATCH($F40,Rango_Admin_DailyPred_Primera,0),0),"-")</f>
        <v>-</v>
      </c>
      <c r="P40" s="835" t="str">
        <f ca="1">IFERROR(VLOOKUP(P$2,Rango_Admin_DailyPred,MATCH($F40,Rango_Admin_DailyPred_Primera,0),0),"-")</f>
        <v>-</v>
      </c>
      <c r="Q40" s="835" t="str">
        <f ca="1">IFERROR(VLOOKUP(Q$2,Rango_Admin_DailyPred,MATCH($F40,Rango_Admin_DailyPred_Primera,0),0),"-")</f>
        <v>-</v>
      </c>
      <c r="R40" s="835" t="str">
        <f ca="1">IFERROR(VLOOKUP(R$2,Rango_Admin_DailyPred,MATCH($F40,Rango_Admin_DailyPred_Primera,0),0),"-")</f>
        <v>-</v>
      </c>
      <c r="S40" s="835" t="str">
        <f ca="1">IFERROR(VLOOKUP(S$2,Rango_Admin_DailyPred,MATCH($F40,Rango_Admin_DailyPred_Primera,0),0),"-")</f>
        <v>-</v>
      </c>
      <c r="T40" s="835" t="str">
        <f ca="1">IFERROR(VLOOKUP(T$2,Rango_Admin_DailyPred,MATCH($F40,Rango_Admin_DailyPred_Primera,0),0),"-")</f>
        <v>-</v>
      </c>
      <c r="U40" s="835" t="str">
        <f ca="1">IFERROR(VLOOKUP(U$2,Rango_Admin_DailyPred,MATCH($F40,Rango_Admin_DailyPred_Primera,0),0),"-")</f>
        <v>-</v>
      </c>
      <c r="V40" s="835" t="str">
        <f ca="1">IFERROR(VLOOKUP(V$2,Rango_Admin_DailyPred,MATCH($F40,Rango_Admin_DailyPred_Primera,0),0),"-")</f>
        <v>-</v>
      </c>
      <c r="W40" s="835" t="str">
        <f ca="1">IFERROR(VLOOKUP(W$2,Rango_Admin_DailyPred,MATCH($F40,Rango_Admin_DailyPred_Primera,0),0),"-")</f>
        <v>-</v>
      </c>
      <c r="X40" s="835" t="str">
        <f ca="1">IFERROR(VLOOKUP(X$2,Rango_Admin_DailyPred,MATCH($F40,Rango_Admin_DailyPred_Primera,0),0),"-")</f>
        <v>-</v>
      </c>
      <c r="Y40" s="835" t="str">
        <f ca="1">IFERROR(VLOOKUP(Y$2,Rango_Admin_DailyPred,MATCH($F40,Rango_Admin_DailyPred_Primera,0),0),"-")</f>
        <v>-</v>
      </c>
      <c r="Z40" s="835" t="str">
        <f ca="1">IFERROR(VLOOKUP(Z$2,Rango_Admin_DailyPred,MATCH($F40,Rango_Admin_DailyPred_Primera,0),0),"-")</f>
        <v>-</v>
      </c>
      <c r="AA40" s="835" t="str">
        <f ca="1">IFERROR(VLOOKUP(AA$2,Rango_Admin_DailyPred,MATCH($F40,Rango_Admin_DailyPred_Primera,0),0),"-")</f>
        <v>-</v>
      </c>
      <c r="AB40" s="835" t="str">
        <f ca="1">IFERROR(VLOOKUP(AB$2,Rango_Admin_DailyPred,MATCH($F40,Rango_Admin_DailyPred_Primera,0),0),"-")</f>
        <v>-</v>
      </c>
      <c r="AC40" s="835" t="str">
        <f ca="1">IFERROR(VLOOKUP(AC$2,Rango_Admin_DailyPred,MATCH($F40,Rango_Admin_DailyPred_Primera,0),0),"-")</f>
        <v>-</v>
      </c>
      <c r="AD40" s="835" t="str">
        <f ca="1">IFERROR(VLOOKUP(AD$2,Rango_Admin_DailyPred,MATCH($F40,Rango_Admin_DailyPred_Primera,0),0),"-")</f>
        <v>-</v>
      </c>
      <c r="AE40" s="835" t="str">
        <f ca="1">IFERROR(VLOOKUP(AE$2,Rango_Admin_DailyPred,MATCH($F40,Rango_Admin_DailyPred_Primera,0),0),"-")</f>
        <v>-</v>
      </c>
      <c r="AF40" s="835" t="str">
        <f ca="1">IFERROR(VLOOKUP(AF$2,Rango_Admin_DailyPred,MATCH($F40,Rango_Admin_DailyPred_Primera,0),0),"-")</f>
        <v>-</v>
      </c>
      <c r="AG40" s="835" t="str">
        <f ca="1">IFERROR(VLOOKUP(AG$2,Rango_Admin_DailyPred,MATCH($F40,Rango_Admin_DailyPred_Primera,0),0),"-")</f>
        <v>-</v>
      </c>
      <c r="AH40" s="835" t="str">
        <f ca="1">IFERROR(VLOOKUP(AH$2,Rango_Admin_DailyPred,MATCH($F40,Rango_Admin_DailyPred_Primera,0),0),"-")</f>
        <v>-</v>
      </c>
      <c r="AI40" s="835" t="str">
        <f ca="1">IFERROR(VLOOKUP(AI$2,Rango_Admin_DailyPred,MATCH($F40,Rango_Admin_DailyPred_Primera,0),0),"-")</f>
        <v>-</v>
      </c>
      <c r="AJ40" s="835" t="str">
        <f ca="1">IFERROR(VLOOKUP(AJ$2,Rango_Admin_DailyPred,MATCH($F40,Rango_Admin_DailyPred_Primera,0),0),"-")</f>
        <v>-</v>
      </c>
      <c r="AK40" s="835" t="str">
        <f ca="1">IFERROR(VLOOKUP(AK$2,Rango_Admin_DailyPred,MATCH($F40,Rango_Admin_DailyPred_Primera,0),0),"-")</f>
        <v>-</v>
      </c>
      <c r="AL40" s="835" t="str">
        <f ca="1">IFERROR(VLOOKUP(AL$2,Rango_Admin_DailyPred,MATCH($F40,Rango_Admin_DailyPred_Primera,0),0),"-")</f>
        <v>-</v>
      </c>
    </row>
    <row r="41" spans="1:41">
      <c r="E41" s="19">
        <f t="shared" si="1"/>
        <v>120</v>
      </c>
      <c r="F41" s="833" t="str" cm="1">
        <f t="array" ref="F41">IFERROR(INDEX(Rango_Admin_DailyPred_Primera,1,E41),"-")</f>
        <v>-</v>
      </c>
      <c r="G41" s="717" t="str">
        <f ca="1">IFERROR(VLOOKUP(G$2,Rango_Admin_DailyPred,MATCH($F41,Rango_Admin_DailyPred_Primera,0),0),"-")</f>
        <v>-</v>
      </c>
      <c r="H41" s="717" t="str">
        <f ca="1">IFERROR(VLOOKUP(H$2,Rango_Admin_DailyPred,MATCH($F41,Rango_Admin_DailyPred_Primera,0),0),"-")</f>
        <v>-</v>
      </c>
      <c r="I41" s="717" t="str">
        <f ca="1">IFERROR(VLOOKUP(I$2,Rango_Admin_DailyPred,MATCH($F41,Rango_Admin_DailyPred_Primera,0),0),"-")</f>
        <v>-</v>
      </c>
      <c r="J41" s="717" t="str">
        <f ca="1">IFERROR(VLOOKUP(J$2,Rango_Admin_DailyPred,MATCH($F41,Rango_Admin_DailyPred_Primera,0),0),"-")</f>
        <v>-</v>
      </c>
      <c r="K41" s="717" t="str">
        <f ca="1">IFERROR(VLOOKUP(K$2,Rango_Admin_DailyPred,MATCH($F41,Rango_Admin_DailyPred_Primera,0),0),"-")</f>
        <v>-</v>
      </c>
      <c r="L41" s="717" t="str">
        <f ca="1">IFERROR(VLOOKUP(L$2,Rango_Admin_DailyPred,MATCH($F41,Rango_Admin_DailyPred_Primera,0),0),"-")</f>
        <v>-</v>
      </c>
      <c r="M41" s="717" t="str">
        <f ca="1">IFERROR(VLOOKUP(M$2,Rango_Admin_DailyPred,MATCH($F41,Rango_Admin_DailyPred_Primera,0),0),"-")</f>
        <v>-</v>
      </c>
      <c r="N41" s="717" t="str">
        <f ca="1">IFERROR(VLOOKUP(N$2,Rango_Admin_DailyPred,MATCH($F41,Rango_Admin_DailyPred_Primera,0),0),"-")</f>
        <v>-</v>
      </c>
      <c r="O41" s="717" t="str">
        <f ca="1">IFERROR(VLOOKUP(O$2,Rango_Admin_DailyPred,MATCH($F41,Rango_Admin_DailyPred_Primera,0),0),"-")</f>
        <v>-</v>
      </c>
      <c r="P41" s="717" t="str">
        <f ca="1">IFERROR(VLOOKUP(P$2,Rango_Admin_DailyPred,MATCH($F41,Rango_Admin_DailyPred_Primera,0),0),"-")</f>
        <v>-</v>
      </c>
      <c r="Q41" s="717" t="str">
        <f ca="1">IFERROR(VLOOKUP(Q$2,Rango_Admin_DailyPred,MATCH($F41,Rango_Admin_DailyPred_Primera,0),0),"-")</f>
        <v>-</v>
      </c>
      <c r="R41" s="717" t="str">
        <f ca="1">IFERROR(VLOOKUP(R$2,Rango_Admin_DailyPred,MATCH($F41,Rango_Admin_DailyPred_Primera,0),0),"-")</f>
        <v>-</v>
      </c>
      <c r="S41" s="717" t="str">
        <f ca="1">IFERROR(VLOOKUP(S$2,Rango_Admin_DailyPred,MATCH($F41,Rango_Admin_DailyPred_Primera,0),0),"-")</f>
        <v>-</v>
      </c>
      <c r="T41" s="717" t="str">
        <f ca="1">IFERROR(VLOOKUP(T$2,Rango_Admin_DailyPred,MATCH($F41,Rango_Admin_DailyPred_Primera,0),0),"-")</f>
        <v>-</v>
      </c>
      <c r="U41" s="717" t="str">
        <f ca="1">IFERROR(VLOOKUP(U$2,Rango_Admin_DailyPred,MATCH($F41,Rango_Admin_DailyPred_Primera,0),0),"-")</f>
        <v>-</v>
      </c>
      <c r="V41" s="717" t="str">
        <f ca="1">IFERROR(VLOOKUP(V$2,Rango_Admin_DailyPred,MATCH($F41,Rango_Admin_DailyPred_Primera,0),0),"-")</f>
        <v>-</v>
      </c>
      <c r="W41" s="717" t="str">
        <f ca="1">IFERROR(VLOOKUP(W$2,Rango_Admin_DailyPred,MATCH($F41,Rango_Admin_DailyPred_Primera,0),0),"-")</f>
        <v>-</v>
      </c>
      <c r="X41" s="717" t="str">
        <f ca="1">IFERROR(VLOOKUP(X$2,Rango_Admin_DailyPred,MATCH($F41,Rango_Admin_DailyPred_Primera,0),0),"-")</f>
        <v>-</v>
      </c>
      <c r="Y41" s="717" t="str">
        <f ca="1">IFERROR(VLOOKUP(Y$2,Rango_Admin_DailyPred,MATCH($F41,Rango_Admin_DailyPred_Primera,0),0),"-")</f>
        <v>-</v>
      </c>
      <c r="Z41" s="717" t="str">
        <f ca="1">IFERROR(VLOOKUP(Z$2,Rango_Admin_DailyPred,MATCH($F41,Rango_Admin_DailyPred_Primera,0),0),"-")</f>
        <v>-</v>
      </c>
      <c r="AA41" s="717" t="str">
        <f ca="1">IFERROR(VLOOKUP(AA$2,Rango_Admin_DailyPred,MATCH($F41,Rango_Admin_DailyPred_Primera,0),0),"-")</f>
        <v>-</v>
      </c>
      <c r="AB41" s="717" t="str">
        <f ca="1">IFERROR(VLOOKUP(AB$2,Rango_Admin_DailyPred,MATCH($F41,Rango_Admin_DailyPred_Primera,0),0),"-")</f>
        <v>-</v>
      </c>
      <c r="AC41" s="717" t="str">
        <f ca="1">IFERROR(VLOOKUP(AC$2,Rango_Admin_DailyPred,MATCH($F41,Rango_Admin_DailyPred_Primera,0),0),"-")</f>
        <v>-</v>
      </c>
      <c r="AD41" s="717" t="str">
        <f ca="1">IFERROR(VLOOKUP(AD$2,Rango_Admin_DailyPred,MATCH($F41,Rango_Admin_DailyPred_Primera,0),0),"-")</f>
        <v>-</v>
      </c>
      <c r="AE41" s="717" t="str">
        <f ca="1">IFERROR(VLOOKUP(AE$2,Rango_Admin_DailyPred,MATCH($F41,Rango_Admin_DailyPred_Primera,0),0),"-")</f>
        <v>-</v>
      </c>
      <c r="AF41" s="717" t="str">
        <f ca="1">IFERROR(VLOOKUP(AF$2,Rango_Admin_DailyPred,MATCH($F41,Rango_Admin_DailyPred_Primera,0),0),"-")</f>
        <v>-</v>
      </c>
      <c r="AG41" s="717" t="str">
        <f ca="1">IFERROR(VLOOKUP(AG$2,Rango_Admin_DailyPred,MATCH($F41,Rango_Admin_DailyPred_Primera,0),0),"-")</f>
        <v>-</v>
      </c>
      <c r="AH41" s="717" t="str">
        <f ca="1">IFERROR(VLOOKUP(AH$2,Rango_Admin_DailyPred,MATCH($F41,Rango_Admin_DailyPred_Primera,0),0),"-")</f>
        <v>-</v>
      </c>
      <c r="AI41" s="717" t="str">
        <f ca="1">IFERROR(VLOOKUP(AI$2,Rango_Admin_DailyPred,MATCH($F41,Rango_Admin_DailyPred_Primera,0),0),"-")</f>
        <v>-</v>
      </c>
      <c r="AJ41" s="717" t="str">
        <f ca="1">IFERROR(VLOOKUP(AJ$2,Rango_Admin_DailyPred,MATCH($F41,Rango_Admin_DailyPred_Primera,0),0),"-")</f>
        <v>-</v>
      </c>
      <c r="AK41" s="717" t="str">
        <f ca="1">IFERROR(VLOOKUP(AK$2,Rango_Admin_DailyPred,MATCH($F41,Rango_Admin_DailyPred_Primera,0),0),"-")</f>
        <v>-</v>
      </c>
      <c r="AL41" s="717" t="str">
        <f ca="1">IFERROR(VLOOKUP(AL$2,Rango_Admin_DailyPred,MATCH($F41,Rango_Admin_DailyPred_Primera,0),0),"-")</f>
        <v>-</v>
      </c>
    </row>
    <row r="42" spans="1:41">
      <c r="E42" s="19">
        <f t="shared" si="1"/>
        <v>123</v>
      </c>
      <c r="F42" s="834" t="str" cm="1">
        <f t="array" ref="F42">IFERROR(INDEX(Rango_Admin_DailyPred_Primera,1,E42),"-")</f>
        <v>-</v>
      </c>
      <c r="G42" s="835" t="str">
        <f ca="1">IFERROR(VLOOKUP(G$2,Rango_Admin_DailyPred,MATCH($F42,Rango_Admin_DailyPred_Primera,0),0),"-")</f>
        <v>-</v>
      </c>
      <c r="H42" s="835" t="str">
        <f ca="1">IFERROR(VLOOKUP(H$2,Rango_Admin_DailyPred,MATCH($F42,Rango_Admin_DailyPred_Primera,0),0),"-")</f>
        <v>-</v>
      </c>
      <c r="I42" s="835" t="str">
        <f ca="1">IFERROR(VLOOKUP(I$2,Rango_Admin_DailyPred,MATCH($F42,Rango_Admin_DailyPred_Primera,0),0),"-")</f>
        <v>-</v>
      </c>
      <c r="J42" s="835" t="str">
        <f ca="1">IFERROR(VLOOKUP(J$2,Rango_Admin_DailyPred,MATCH($F42,Rango_Admin_DailyPred_Primera,0),0),"-")</f>
        <v>-</v>
      </c>
      <c r="K42" s="835" t="str">
        <f ca="1">IFERROR(VLOOKUP(K$2,Rango_Admin_DailyPred,MATCH($F42,Rango_Admin_DailyPred_Primera,0),0),"-")</f>
        <v>-</v>
      </c>
      <c r="L42" s="835" t="str">
        <f ca="1">IFERROR(VLOOKUP(L$2,Rango_Admin_DailyPred,MATCH($F42,Rango_Admin_DailyPred_Primera,0),0),"-")</f>
        <v>-</v>
      </c>
      <c r="M42" s="835" t="str">
        <f ca="1">IFERROR(VLOOKUP(M$2,Rango_Admin_DailyPred,MATCH($F42,Rango_Admin_DailyPred_Primera,0),0),"-")</f>
        <v>-</v>
      </c>
      <c r="N42" s="835" t="str">
        <f ca="1">IFERROR(VLOOKUP(N$2,Rango_Admin_DailyPred,MATCH($F42,Rango_Admin_DailyPred_Primera,0),0),"-")</f>
        <v>-</v>
      </c>
      <c r="O42" s="835" t="str">
        <f ca="1">IFERROR(VLOOKUP(O$2,Rango_Admin_DailyPred,MATCH($F42,Rango_Admin_DailyPred_Primera,0),0),"-")</f>
        <v>-</v>
      </c>
      <c r="P42" s="835" t="str">
        <f ca="1">IFERROR(VLOOKUP(P$2,Rango_Admin_DailyPred,MATCH($F42,Rango_Admin_DailyPred_Primera,0),0),"-")</f>
        <v>-</v>
      </c>
      <c r="Q42" s="835" t="str">
        <f ca="1">IFERROR(VLOOKUP(Q$2,Rango_Admin_DailyPred,MATCH($F42,Rango_Admin_DailyPred_Primera,0),0),"-")</f>
        <v>-</v>
      </c>
      <c r="R42" s="835" t="str">
        <f ca="1">IFERROR(VLOOKUP(R$2,Rango_Admin_DailyPred,MATCH($F42,Rango_Admin_DailyPred_Primera,0),0),"-")</f>
        <v>-</v>
      </c>
      <c r="S42" s="835" t="str">
        <f ca="1">IFERROR(VLOOKUP(S$2,Rango_Admin_DailyPred,MATCH($F42,Rango_Admin_DailyPred_Primera,0),0),"-")</f>
        <v>-</v>
      </c>
      <c r="T42" s="835" t="str">
        <f ca="1">IFERROR(VLOOKUP(T$2,Rango_Admin_DailyPred,MATCH($F42,Rango_Admin_DailyPred_Primera,0),0),"-")</f>
        <v>-</v>
      </c>
      <c r="U42" s="835" t="str">
        <f ca="1">IFERROR(VLOOKUP(U$2,Rango_Admin_DailyPred,MATCH($F42,Rango_Admin_DailyPred_Primera,0),0),"-")</f>
        <v>-</v>
      </c>
      <c r="V42" s="835" t="str">
        <f ca="1">IFERROR(VLOOKUP(V$2,Rango_Admin_DailyPred,MATCH($F42,Rango_Admin_DailyPred_Primera,0),0),"-")</f>
        <v>-</v>
      </c>
      <c r="W42" s="835" t="str">
        <f ca="1">IFERROR(VLOOKUP(W$2,Rango_Admin_DailyPred,MATCH($F42,Rango_Admin_DailyPred_Primera,0),0),"-")</f>
        <v>-</v>
      </c>
      <c r="X42" s="835" t="str">
        <f ca="1">IFERROR(VLOOKUP(X$2,Rango_Admin_DailyPred,MATCH($F42,Rango_Admin_DailyPred_Primera,0),0),"-")</f>
        <v>-</v>
      </c>
      <c r="Y42" s="835" t="str">
        <f ca="1">IFERROR(VLOOKUP(Y$2,Rango_Admin_DailyPred,MATCH($F42,Rango_Admin_DailyPred_Primera,0),0),"-")</f>
        <v>-</v>
      </c>
      <c r="Z42" s="835" t="str">
        <f ca="1">IFERROR(VLOOKUP(Z$2,Rango_Admin_DailyPred,MATCH($F42,Rango_Admin_DailyPred_Primera,0),0),"-")</f>
        <v>-</v>
      </c>
      <c r="AA42" s="835" t="str">
        <f ca="1">IFERROR(VLOOKUP(AA$2,Rango_Admin_DailyPred,MATCH($F42,Rango_Admin_DailyPred_Primera,0),0),"-")</f>
        <v>-</v>
      </c>
      <c r="AB42" s="835" t="str">
        <f ca="1">IFERROR(VLOOKUP(AB$2,Rango_Admin_DailyPred,MATCH($F42,Rango_Admin_DailyPred_Primera,0),0),"-")</f>
        <v>-</v>
      </c>
      <c r="AC42" s="835" t="str">
        <f ca="1">IFERROR(VLOOKUP(AC$2,Rango_Admin_DailyPred,MATCH($F42,Rango_Admin_DailyPred_Primera,0),0),"-")</f>
        <v>-</v>
      </c>
      <c r="AD42" s="835" t="str">
        <f ca="1">IFERROR(VLOOKUP(AD$2,Rango_Admin_DailyPred,MATCH($F42,Rango_Admin_DailyPred_Primera,0),0),"-")</f>
        <v>-</v>
      </c>
      <c r="AE42" s="835" t="str">
        <f ca="1">IFERROR(VLOOKUP(AE$2,Rango_Admin_DailyPred,MATCH($F42,Rango_Admin_DailyPred_Primera,0),0),"-")</f>
        <v>-</v>
      </c>
      <c r="AF42" s="835" t="str">
        <f ca="1">IFERROR(VLOOKUP(AF$2,Rango_Admin_DailyPred,MATCH($F42,Rango_Admin_DailyPred_Primera,0),0),"-")</f>
        <v>-</v>
      </c>
      <c r="AG42" s="835" t="str">
        <f ca="1">IFERROR(VLOOKUP(AG$2,Rango_Admin_DailyPred,MATCH($F42,Rango_Admin_DailyPred_Primera,0),0),"-")</f>
        <v>-</v>
      </c>
      <c r="AH42" s="835" t="str">
        <f ca="1">IFERROR(VLOOKUP(AH$2,Rango_Admin_DailyPred,MATCH($F42,Rango_Admin_DailyPred_Primera,0),0),"-")</f>
        <v>-</v>
      </c>
      <c r="AI42" s="835" t="str">
        <f ca="1">IFERROR(VLOOKUP(AI$2,Rango_Admin_DailyPred,MATCH($F42,Rango_Admin_DailyPred_Primera,0),0),"-")</f>
        <v>-</v>
      </c>
      <c r="AJ42" s="835" t="str">
        <f ca="1">IFERROR(VLOOKUP(AJ$2,Rango_Admin_DailyPred,MATCH($F42,Rango_Admin_DailyPred_Primera,0),0),"-")</f>
        <v>-</v>
      </c>
      <c r="AK42" s="835" t="str">
        <f ca="1">IFERROR(VLOOKUP(AK$2,Rango_Admin_DailyPred,MATCH($F42,Rango_Admin_DailyPred_Primera,0),0),"-")</f>
        <v>-</v>
      </c>
      <c r="AL42" s="835" t="str">
        <f ca="1">IFERROR(VLOOKUP(AL$2,Rango_Admin_DailyPred,MATCH($F42,Rango_Admin_DailyPred_Primera,0),0),"-")</f>
        <v>-</v>
      </c>
    </row>
    <row r="43" spans="1:41">
      <c r="E43" s="19">
        <f t="shared" si="1"/>
        <v>126</v>
      </c>
      <c r="F43" s="833" t="str" cm="1">
        <f t="array" ref="F43">IFERROR(INDEX(Rango_Admin_DailyPred_Primera,1,E43),"-")</f>
        <v>-</v>
      </c>
      <c r="G43" s="717" t="str">
        <f ca="1">IFERROR(VLOOKUP(G$2,Rango_Admin_DailyPred,MATCH($F43,Rango_Admin_DailyPred_Primera,0),0),"-")</f>
        <v>-</v>
      </c>
      <c r="H43" s="717" t="str">
        <f ca="1">IFERROR(VLOOKUP(H$2,Rango_Admin_DailyPred,MATCH($F43,Rango_Admin_DailyPred_Primera,0),0),"-")</f>
        <v>-</v>
      </c>
      <c r="I43" s="717" t="str">
        <f ca="1">IFERROR(VLOOKUP(I$2,Rango_Admin_DailyPred,MATCH($F43,Rango_Admin_DailyPred_Primera,0),0),"-")</f>
        <v>-</v>
      </c>
      <c r="J43" s="717" t="str">
        <f ca="1">IFERROR(VLOOKUP(J$2,Rango_Admin_DailyPred,MATCH($F43,Rango_Admin_DailyPred_Primera,0),0),"-")</f>
        <v>-</v>
      </c>
      <c r="K43" s="717" t="str">
        <f ca="1">IFERROR(VLOOKUP(K$2,Rango_Admin_DailyPred,MATCH($F43,Rango_Admin_DailyPred_Primera,0),0),"-")</f>
        <v>-</v>
      </c>
      <c r="L43" s="717" t="str">
        <f ca="1">IFERROR(VLOOKUP(L$2,Rango_Admin_DailyPred,MATCH($F43,Rango_Admin_DailyPred_Primera,0),0),"-")</f>
        <v>-</v>
      </c>
      <c r="M43" s="717" t="str">
        <f ca="1">IFERROR(VLOOKUP(M$2,Rango_Admin_DailyPred,MATCH($F43,Rango_Admin_DailyPred_Primera,0),0),"-")</f>
        <v>-</v>
      </c>
      <c r="N43" s="717" t="str">
        <f ca="1">IFERROR(VLOOKUP(N$2,Rango_Admin_DailyPred,MATCH($F43,Rango_Admin_DailyPred_Primera,0),0),"-")</f>
        <v>-</v>
      </c>
      <c r="O43" s="717" t="str">
        <f ca="1">IFERROR(VLOOKUP(O$2,Rango_Admin_DailyPred,MATCH($F43,Rango_Admin_DailyPred_Primera,0),0),"-")</f>
        <v>-</v>
      </c>
      <c r="P43" s="717" t="str">
        <f ca="1">IFERROR(VLOOKUP(P$2,Rango_Admin_DailyPred,MATCH($F43,Rango_Admin_DailyPred_Primera,0),0),"-")</f>
        <v>-</v>
      </c>
      <c r="Q43" s="717" t="str">
        <f ca="1">IFERROR(VLOOKUP(Q$2,Rango_Admin_DailyPred,MATCH($F43,Rango_Admin_DailyPred_Primera,0),0),"-")</f>
        <v>-</v>
      </c>
      <c r="R43" s="717" t="str">
        <f ca="1">IFERROR(VLOOKUP(R$2,Rango_Admin_DailyPred,MATCH($F43,Rango_Admin_DailyPred_Primera,0),0),"-")</f>
        <v>-</v>
      </c>
      <c r="S43" s="717" t="str">
        <f ca="1">IFERROR(VLOOKUP(S$2,Rango_Admin_DailyPred,MATCH($F43,Rango_Admin_DailyPred_Primera,0),0),"-")</f>
        <v>-</v>
      </c>
      <c r="T43" s="717" t="str">
        <f ca="1">IFERROR(VLOOKUP(T$2,Rango_Admin_DailyPred,MATCH($F43,Rango_Admin_DailyPred_Primera,0),0),"-")</f>
        <v>-</v>
      </c>
      <c r="U43" s="717" t="str">
        <f ca="1">IFERROR(VLOOKUP(U$2,Rango_Admin_DailyPred,MATCH($F43,Rango_Admin_DailyPred_Primera,0),0),"-")</f>
        <v>-</v>
      </c>
      <c r="V43" s="717" t="str">
        <f ca="1">IFERROR(VLOOKUP(V$2,Rango_Admin_DailyPred,MATCH($F43,Rango_Admin_DailyPred_Primera,0),0),"-")</f>
        <v>-</v>
      </c>
      <c r="W43" s="717" t="str">
        <f ca="1">IFERROR(VLOOKUP(W$2,Rango_Admin_DailyPred,MATCH($F43,Rango_Admin_DailyPred_Primera,0),0),"-")</f>
        <v>-</v>
      </c>
      <c r="X43" s="717" t="str">
        <f ca="1">IFERROR(VLOOKUP(X$2,Rango_Admin_DailyPred,MATCH($F43,Rango_Admin_DailyPred_Primera,0),0),"-")</f>
        <v>-</v>
      </c>
      <c r="Y43" s="717" t="str">
        <f ca="1">IFERROR(VLOOKUP(Y$2,Rango_Admin_DailyPred,MATCH($F43,Rango_Admin_DailyPred_Primera,0),0),"-")</f>
        <v>-</v>
      </c>
      <c r="Z43" s="717" t="str">
        <f ca="1">IFERROR(VLOOKUP(Z$2,Rango_Admin_DailyPred,MATCH($F43,Rango_Admin_DailyPred_Primera,0),0),"-")</f>
        <v>-</v>
      </c>
      <c r="AA43" s="717" t="str">
        <f ca="1">IFERROR(VLOOKUP(AA$2,Rango_Admin_DailyPred,MATCH($F43,Rango_Admin_DailyPred_Primera,0),0),"-")</f>
        <v>-</v>
      </c>
      <c r="AB43" s="717" t="str">
        <f ca="1">IFERROR(VLOOKUP(AB$2,Rango_Admin_DailyPred,MATCH($F43,Rango_Admin_DailyPred_Primera,0),0),"-")</f>
        <v>-</v>
      </c>
      <c r="AC43" s="717" t="str">
        <f ca="1">IFERROR(VLOOKUP(AC$2,Rango_Admin_DailyPred,MATCH($F43,Rango_Admin_DailyPred_Primera,0),0),"-")</f>
        <v>-</v>
      </c>
      <c r="AD43" s="717" t="str">
        <f ca="1">IFERROR(VLOOKUP(AD$2,Rango_Admin_DailyPred,MATCH($F43,Rango_Admin_DailyPred_Primera,0),0),"-")</f>
        <v>-</v>
      </c>
      <c r="AE43" s="717" t="str">
        <f ca="1">IFERROR(VLOOKUP(AE$2,Rango_Admin_DailyPred,MATCH($F43,Rango_Admin_DailyPred_Primera,0),0),"-")</f>
        <v>-</v>
      </c>
      <c r="AF43" s="717" t="str">
        <f ca="1">IFERROR(VLOOKUP(AF$2,Rango_Admin_DailyPred,MATCH($F43,Rango_Admin_DailyPred_Primera,0),0),"-")</f>
        <v>-</v>
      </c>
      <c r="AG43" s="717" t="str">
        <f ca="1">IFERROR(VLOOKUP(AG$2,Rango_Admin_DailyPred,MATCH($F43,Rango_Admin_DailyPred_Primera,0),0),"-")</f>
        <v>-</v>
      </c>
      <c r="AH43" s="717" t="str">
        <f ca="1">IFERROR(VLOOKUP(AH$2,Rango_Admin_DailyPred,MATCH($F43,Rango_Admin_DailyPred_Primera,0),0),"-")</f>
        <v>-</v>
      </c>
      <c r="AI43" s="717" t="str">
        <f ca="1">IFERROR(VLOOKUP(AI$2,Rango_Admin_DailyPred,MATCH($F43,Rango_Admin_DailyPred_Primera,0),0),"-")</f>
        <v>-</v>
      </c>
      <c r="AJ43" s="717" t="str">
        <f ca="1">IFERROR(VLOOKUP(AJ$2,Rango_Admin_DailyPred,MATCH($F43,Rango_Admin_DailyPred_Primera,0),0),"-")</f>
        <v>-</v>
      </c>
      <c r="AK43" s="717" t="str">
        <f ca="1">IFERROR(VLOOKUP(AK$2,Rango_Admin_DailyPred,MATCH($F43,Rango_Admin_DailyPred_Primera,0),0),"-")</f>
        <v>-</v>
      </c>
      <c r="AL43" s="717" t="str">
        <f ca="1">IFERROR(VLOOKUP(AL$2,Rango_Admin_DailyPred,MATCH($F43,Rango_Admin_DailyPred_Primera,0),0),"-")</f>
        <v>-</v>
      </c>
    </row>
    <row r="44" spans="1:41">
      <c r="E44" s="19">
        <f t="shared" si="1"/>
        <v>129</v>
      </c>
      <c r="F44" s="834" t="str" cm="1">
        <f t="array" ref="F44">IFERROR(INDEX(Rango_Admin_DailyPred_Primera,1,E44),"-")</f>
        <v>-</v>
      </c>
      <c r="G44" s="835" t="str">
        <f ca="1">IFERROR(VLOOKUP(G$2,Rango_Admin_DailyPred,MATCH($F44,Rango_Admin_DailyPred_Primera,0),0),"-")</f>
        <v>-</v>
      </c>
      <c r="H44" s="835" t="str">
        <f ca="1">IFERROR(VLOOKUP(H$2,Rango_Admin_DailyPred,MATCH($F44,Rango_Admin_DailyPred_Primera,0),0),"-")</f>
        <v>-</v>
      </c>
      <c r="I44" s="835" t="str">
        <f ca="1">IFERROR(VLOOKUP(I$2,Rango_Admin_DailyPred,MATCH($F44,Rango_Admin_DailyPred_Primera,0),0),"-")</f>
        <v>-</v>
      </c>
      <c r="J44" s="835" t="str">
        <f ca="1">IFERROR(VLOOKUP(J$2,Rango_Admin_DailyPred,MATCH($F44,Rango_Admin_DailyPred_Primera,0),0),"-")</f>
        <v>-</v>
      </c>
      <c r="K44" s="835" t="str">
        <f ca="1">IFERROR(VLOOKUP(K$2,Rango_Admin_DailyPred,MATCH($F44,Rango_Admin_DailyPred_Primera,0),0),"-")</f>
        <v>-</v>
      </c>
      <c r="L44" s="835" t="str">
        <f ca="1">IFERROR(VLOOKUP(L$2,Rango_Admin_DailyPred,MATCH($F44,Rango_Admin_DailyPred_Primera,0),0),"-")</f>
        <v>-</v>
      </c>
      <c r="M44" s="835" t="str">
        <f ca="1">IFERROR(VLOOKUP(M$2,Rango_Admin_DailyPred,MATCH($F44,Rango_Admin_DailyPred_Primera,0),0),"-")</f>
        <v>-</v>
      </c>
      <c r="N44" s="835" t="str">
        <f ca="1">IFERROR(VLOOKUP(N$2,Rango_Admin_DailyPred,MATCH($F44,Rango_Admin_DailyPred_Primera,0),0),"-")</f>
        <v>-</v>
      </c>
      <c r="O44" s="835" t="str">
        <f ca="1">IFERROR(VLOOKUP(O$2,Rango_Admin_DailyPred,MATCH($F44,Rango_Admin_DailyPred_Primera,0),0),"-")</f>
        <v>-</v>
      </c>
      <c r="P44" s="835" t="str">
        <f ca="1">IFERROR(VLOOKUP(P$2,Rango_Admin_DailyPred,MATCH($F44,Rango_Admin_DailyPred_Primera,0),0),"-")</f>
        <v>-</v>
      </c>
      <c r="Q44" s="835" t="str">
        <f ca="1">IFERROR(VLOOKUP(Q$2,Rango_Admin_DailyPred,MATCH($F44,Rango_Admin_DailyPred_Primera,0),0),"-")</f>
        <v>-</v>
      </c>
      <c r="R44" s="835" t="str">
        <f ca="1">IFERROR(VLOOKUP(R$2,Rango_Admin_DailyPred,MATCH($F44,Rango_Admin_DailyPred_Primera,0),0),"-")</f>
        <v>-</v>
      </c>
      <c r="S44" s="835" t="str">
        <f ca="1">IFERROR(VLOOKUP(S$2,Rango_Admin_DailyPred,MATCH($F44,Rango_Admin_DailyPred_Primera,0),0),"-")</f>
        <v>-</v>
      </c>
      <c r="T44" s="835" t="str">
        <f ca="1">IFERROR(VLOOKUP(T$2,Rango_Admin_DailyPred,MATCH($F44,Rango_Admin_DailyPred_Primera,0),0),"-")</f>
        <v>-</v>
      </c>
      <c r="U44" s="835" t="str">
        <f ca="1">IFERROR(VLOOKUP(U$2,Rango_Admin_DailyPred,MATCH($F44,Rango_Admin_DailyPred_Primera,0),0),"-")</f>
        <v>-</v>
      </c>
      <c r="V44" s="835" t="str">
        <f ca="1">IFERROR(VLOOKUP(V$2,Rango_Admin_DailyPred,MATCH($F44,Rango_Admin_DailyPred_Primera,0),0),"-")</f>
        <v>-</v>
      </c>
      <c r="W44" s="835" t="str">
        <f ca="1">IFERROR(VLOOKUP(W$2,Rango_Admin_DailyPred,MATCH($F44,Rango_Admin_DailyPred_Primera,0),0),"-")</f>
        <v>-</v>
      </c>
      <c r="X44" s="835" t="str">
        <f ca="1">IFERROR(VLOOKUP(X$2,Rango_Admin_DailyPred,MATCH($F44,Rango_Admin_DailyPred_Primera,0),0),"-")</f>
        <v>-</v>
      </c>
      <c r="Y44" s="835" t="str">
        <f ca="1">IFERROR(VLOOKUP(Y$2,Rango_Admin_DailyPred,MATCH($F44,Rango_Admin_DailyPred_Primera,0),0),"-")</f>
        <v>-</v>
      </c>
      <c r="Z44" s="835" t="str">
        <f ca="1">IFERROR(VLOOKUP(Z$2,Rango_Admin_DailyPred,MATCH($F44,Rango_Admin_DailyPred_Primera,0),0),"-")</f>
        <v>-</v>
      </c>
      <c r="AA44" s="835" t="str">
        <f ca="1">IFERROR(VLOOKUP(AA$2,Rango_Admin_DailyPred,MATCH($F44,Rango_Admin_DailyPred_Primera,0),0),"-")</f>
        <v>-</v>
      </c>
      <c r="AB44" s="835" t="str">
        <f ca="1">IFERROR(VLOOKUP(AB$2,Rango_Admin_DailyPred,MATCH($F44,Rango_Admin_DailyPred_Primera,0),0),"-")</f>
        <v>-</v>
      </c>
      <c r="AC44" s="835" t="str">
        <f ca="1">IFERROR(VLOOKUP(AC$2,Rango_Admin_DailyPred,MATCH($F44,Rango_Admin_DailyPred_Primera,0),0),"-")</f>
        <v>-</v>
      </c>
      <c r="AD44" s="835" t="str">
        <f ca="1">IFERROR(VLOOKUP(AD$2,Rango_Admin_DailyPred,MATCH($F44,Rango_Admin_DailyPred_Primera,0),0),"-")</f>
        <v>-</v>
      </c>
      <c r="AE44" s="835" t="str">
        <f ca="1">IFERROR(VLOOKUP(AE$2,Rango_Admin_DailyPred,MATCH($F44,Rango_Admin_DailyPred_Primera,0),0),"-")</f>
        <v>-</v>
      </c>
      <c r="AF44" s="835" t="str">
        <f ca="1">IFERROR(VLOOKUP(AF$2,Rango_Admin_DailyPred,MATCH($F44,Rango_Admin_DailyPred_Primera,0),0),"-")</f>
        <v>-</v>
      </c>
      <c r="AG44" s="835" t="str">
        <f ca="1">IFERROR(VLOOKUP(AG$2,Rango_Admin_DailyPred,MATCH($F44,Rango_Admin_DailyPred_Primera,0),0),"-")</f>
        <v>-</v>
      </c>
      <c r="AH44" s="835" t="str">
        <f ca="1">IFERROR(VLOOKUP(AH$2,Rango_Admin_DailyPred,MATCH($F44,Rango_Admin_DailyPred_Primera,0),0),"-")</f>
        <v>-</v>
      </c>
      <c r="AI44" s="835" t="str">
        <f ca="1">IFERROR(VLOOKUP(AI$2,Rango_Admin_DailyPred,MATCH($F44,Rango_Admin_DailyPred_Primera,0),0),"-")</f>
        <v>-</v>
      </c>
      <c r="AJ44" s="835" t="str">
        <f ca="1">IFERROR(VLOOKUP(AJ$2,Rango_Admin_DailyPred,MATCH($F44,Rango_Admin_DailyPred_Primera,0),0),"-")</f>
        <v>-</v>
      </c>
      <c r="AK44" s="835" t="str">
        <f ca="1">IFERROR(VLOOKUP(AK$2,Rango_Admin_DailyPred,MATCH($F44,Rango_Admin_DailyPred_Primera,0),0),"-")</f>
        <v>-</v>
      </c>
      <c r="AL44" s="835" t="str">
        <f ca="1">IFERROR(VLOOKUP(AL$2,Rango_Admin_DailyPred,MATCH($F44,Rango_Admin_DailyPred_Primera,0),0),"-")</f>
        <v>-</v>
      </c>
    </row>
    <row r="45" spans="1:41">
      <c r="E45" s="19">
        <f t="shared" si="1"/>
        <v>132</v>
      </c>
      <c r="F45" s="833" t="str" cm="1">
        <f t="array" ref="F45">IFERROR(INDEX(Rango_Admin_DailyPred_Primera,1,E45),"-")</f>
        <v>-</v>
      </c>
      <c r="G45" s="717" t="str">
        <f ca="1">IFERROR(VLOOKUP(G$2,Rango_Admin_DailyPred,MATCH($F45,Rango_Admin_DailyPred_Primera,0),0),"-")</f>
        <v>-</v>
      </c>
      <c r="H45" s="717" t="str">
        <f ca="1">IFERROR(VLOOKUP(H$2,Rango_Admin_DailyPred,MATCH($F45,Rango_Admin_DailyPred_Primera,0),0),"-")</f>
        <v>-</v>
      </c>
      <c r="I45" s="717" t="str">
        <f ca="1">IFERROR(VLOOKUP(I$2,Rango_Admin_DailyPred,MATCH($F45,Rango_Admin_DailyPred_Primera,0),0),"-")</f>
        <v>-</v>
      </c>
      <c r="J45" s="717" t="str">
        <f ca="1">IFERROR(VLOOKUP(J$2,Rango_Admin_DailyPred,MATCH($F45,Rango_Admin_DailyPred_Primera,0),0),"-")</f>
        <v>-</v>
      </c>
      <c r="K45" s="717" t="str">
        <f ca="1">IFERROR(VLOOKUP(K$2,Rango_Admin_DailyPred,MATCH($F45,Rango_Admin_DailyPred_Primera,0),0),"-")</f>
        <v>-</v>
      </c>
      <c r="L45" s="717" t="str">
        <f ca="1">IFERROR(VLOOKUP(L$2,Rango_Admin_DailyPred,MATCH($F45,Rango_Admin_DailyPred_Primera,0),0),"-")</f>
        <v>-</v>
      </c>
      <c r="M45" s="717" t="str">
        <f ca="1">IFERROR(VLOOKUP(M$2,Rango_Admin_DailyPred,MATCH($F45,Rango_Admin_DailyPred_Primera,0),0),"-")</f>
        <v>-</v>
      </c>
      <c r="N45" s="717" t="str">
        <f ca="1">IFERROR(VLOOKUP(N$2,Rango_Admin_DailyPred,MATCH($F45,Rango_Admin_DailyPred_Primera,0),0),"-")</f>
        <v>-</v>
      </c>
      <c r="O45" s="717" t="str">
        <f ca="1">IFERROR(VLOOKUP(O$2,Rango_Admin_DailyPred,MATCH($F45,Rango_Admin_DailyPred_Primera,0),0),"-")</f>
        <v>-</v>
      </c>
      <c r="P45" s="717" t="str">
        <f ca="1">IFERROR(VLOOKUP(P$2,Rango_Admin_DailyPred,MATCH($F45,Rango_Admin_DailyPred_Primera,0),0),"-")</f>
        <v>-</v>
      </c>
      <c r="Q45" s="717" t="str">
        <f ca="1">IFERROR(VLOOKUP(Q$2,Rango_Admin_DailyPred,MATCH($F45,Rango_Admin_DailyPred_Primera,0),0),"-")</f>
        <v>-</v>
      </c>
      <c r="R45" s="717" t="str">
        <f ca="1">IFERROR(VLOOKUP(R$2,Rango_Admin_DailyPred,MATCH($F45,Rango_Admin_DailyPred_Primera,0),0),"-")</f>
        <v>-</v>
      </c>
      <c r="S45" s="717" t="str">
        <f ca="1">IFERROR(VLOOKUP(S$2,Rango_Admin_DailyPred,MATCH($F45,Rango_Admin_DailyPred_Primera,0),0),"-")</f>
        <v>-</v>
      </c>
      <c r="T45" s="717" t="str">
        <f ca="1">IFERROR(VLOOKUP(T$2,Rango_Admin_DailyPred,MATCH($F45,Rango_Admin_DailyPred_Primera,0),0),"-")</f>
        <v>-</v>
      </c>
      <c r="U45" s="717" t="str">
        <f ca="1">IFERROR(VLOOKUP(U$2,Rango_Admin_DailyPred,MATCH($F45,Rango_Admin_DailyPred_Primera,0),0),"-")</f>
        <v>-</v>
      </c>
      <c r="V45" s="717" t="str">
        <f ca="1">IFERROR(VLOOKUP(V$2,Rango_Admin_DailyPred,MATCH($F45,Rango_Admin_DailyPred_Primera,0),0),"-")</f>
        <v>-</v>
      </c>
      <c r="W45" s="717" t="str">
        <f ca="1">IFERROR(VLOOKUP(W$2,Rango_Admin_DailyPred,MATCH($F45,Rango_Admin_DailyPred_Primera,0),0),"-")</f>
        <v>-</v>
      </c>
      <c r="X45" s="717" t="str">
        <f ca="1">IFERROR(VLOOKUP(X$2,Rango_Admin_DailyPred,MATCH($F45,Rango_Admin_DailyPred_Primera,0),0),"-")</f>
        <v>-</v>
      </c>
      <c r="Y45" s="717" t="str">
        <f ca="1">IFERROR(VLOOKUP(Y$2,Rango_Admin_DailyPred,MATCH($F45,Rango_Admin_DailyPred_Primera,0),0),"-")</f>
        <v>-</v>
      </c>
      <c r="Z45" s="717" t="str">
        <f ca="1">IFERROR(VLOOKUP(Z$2,Rango_Admin_DailyPred,MATCH($F45,Rango_Admin_DailyPred_Primera,0),0),"-")</f>
        <v>-</v>
      </c>
      <c r="AA45" s="717" t="str">
        <f ca="1">IFERROR(VLOOKUP(AA$2,Rango_Admin_DailyPred,MATCH($F45,Rango_Admin_DailyPred_Primera,0),0),"-")</f>
        <v>-</v>
      </c>
      <c r="AB45" s="717" t="str">
        <f ca="1">IFERROR(VLOOKUP(AB$2,Rango_Admin_DailyPred,MATCH($F45,Rango_Admin_DailyPred_Primera,0),0),"-")</f>
        <v>-</v>
      </c>
      <c r="AC45" s="717" t="str">
        <f ca="1">IFERROR(VLOOKUP(AC$2,Rango_Admin_DailyPred,MATCH($F45,Rango_Admin_DailyPred_Primera,0),0),"-")</f>
        <v>-</v>
      </c>
      <c r="AD45" s="717" t="str">
        <f ca="1">IFERROR(VLOOKUP(AD$2,Rango_Admin_DailyPred,MATCH($F45,Rango_Admin_DailyPred_Primera,0),0),"-")</f>
        <v>-</v>
      </c>
      <c r="AE45" s="717" t="str">
        <f ca="1">IFERROR(VLOOKUP(AE$2,Rango_Admin_DailyPred,MATCH($F45,Rango_Admin_DailyPred_Primera,0),0),"-")</f>
        <v>-</v>
      </c>
      <c r="AF45" s="717" t="str">
        <f ca="1">IFERROR(VLOOKUP(AF$2,Rango_Admin_DailyPred,MATCH($F45,Rango_Admin_DailyPred_Primera,0),0),"-")</f>
        <v>-</v>
      </c>
      <c r="AG45" s="717" t="str">
        <f ca="1">IFERROR(VLOOKUP(AG$2,Rango_Admin_DailyPred,MATCH($F45,Rango_Admin_DailyPred_Primera,0),0),"-")</f>
        <v>-</v>
      </c>
      <c r="AH45" s="717" t="str">
        <f ca="1">IFERROR(VLOOKUP(AH$2,Rango_Admin_DailyPred,MATCH($F45,Rango_Admin_DailyPred_Primera,0),0),"-")</f>
        <v>-</v>
      </c>
      <c r="AI45" s="717" t="str">
        <f ca="1">IFERROR(VLOOKUP(AI$2,Rango_Admin_DailyPred,MATCH($F45,Rango_Admin_DailyPred_Primera,0),0),"-")</f>
        <v>-</v>
      </c>
      <c r="AJ45" s="717" t="str">
        <f ca="1">IFERROR(VLOOKUP(AJ$2,Rango_Admin_DailyPred,MATCH($F45,Rango_Admin_DailyPred_Primera,0),0),"-")</f>
        <v>-</v>
      </c>
      <c r="AK45" s="717" t="str">
        <f ca="1">IFERROR(VLOOKUP(AK$2,Rango_Admin_DailyPred,MATCH($F45,Rango_Admin_DailyPred_Primera,0),0),"-")</f>
        <v>-</v>
      </c>
      <c r="AL45" s="717" t="str">
        <f ca="1">IFERROR(VLOOKUP(AL$2,Rango_Admin_DailyPred,MATCH($F45,Rango_Admin_DailyPred_Primera,0),0),"-")</f>
        <v>-</v>
      </c>
    </row>
    <row r="46" spans="1:41">
      <c r="E46" s="19">
        <f t="shared" si="1"/>
        <v>135</v>
      </c>
      <c r="F46" s="834" t="str" cm="1">
        <f t="array" ref="F46">IFERROR(INDEX(Rango_Admin_DailyPred_Primera,1,E46),"-")</f>
        <v>-</v>
      </c>
      <c r="G46" s="835" t="str">
        <f ca="1">IFERROR(VLOOKUP(G$2,Rango_Admin_DailyPred,MATCH($F46,Rango_Admin_DailyPred_Primera,0),0),"-")</f>
        <v>-</v>
      </c>
      <c r="H46" s="835" t="str">
        <f ca="1">IFERROR(VLOOKUP(H$2,Rango_Admin_DailyPred,MATCH($F46,Rango_Admin_DailyPred_Primera,0),0),"-")</f>
        <v>-</v>
      </c>
      <c r="I46" s="835" t="str">
        <f ca="1">IFERROR(VLOOKUP(I$2,Rango_Admin_DailyPred,MATCH($F46,Rango_Admin_DailyPred_Primera,0),0),"-")</f>
        <v>-</v>
      </c>
      <c r="J46" s="835" t="str">
        <f ca="1">IFERROR(VLOOKUP(J$2,Rango_Admin_DailyPred,MATCH($F46,Rango_Admin_DailyPred_Primera,0),0),"-")</f>
        <v>-</v>
      </c>
      <c r="K46" s="835" t="str">
        <f ca="1">IFERROR(VLOOKUP(K$2,Rango_Admin_DailyPred,MATCH($F46,Rango_Admin_DailyPred_Primera,0),0),"-")</f>
        <v>-</v>
      </c>
      <c r="L46" s="835" t="str">
        <f ca="1">IFERROR(VLOOKUP(L$2,Rango_Admin_DailyPred,MATCH($F46,Rango_Admin_DailyPred_Primera,0),0),"-")</f>
        <v>-</v>
      </c>
      <c r="M46" s="835" t="str">
        <f ca="1">IFERROR(VLOOKUP(M$2,Rango_Admin_DailyPred,MATCH($F46,Rango_Admin_DailyPred_Primera,0),0),"-")</f>
        <v>-</v>
      </c>
      <c r="N46" s="835" t="str">
        <f ca="1">IFERROR(VLOOKUP(N$2,Rango_Admin_DailyPred,MATCH($F46,Rango_Admin_DailyPred_Primera,0),0),"-")</f>
        <v>-</v>
      </c>
      <c r="O46" s="835" t="str">
        <f ca="1">IFERROR(VLOOKUP(O$2,Rango_Admin_DailyPred,MATCH($F46,Rango_Admin_DailyPred_Primera,0),0),"-")</f>
        <v>-</v>
      </c>
      <c r="P46" s="835" t="str">
        <f ca="1">IFERROR(VLOOKUP(P$2,Rango_Admin_DailyPred,MATCH($F46,Rango_Admin_DailyPred_Primera,0),0),"-")</f>
        <v>-</v>
      </c>
      <c r="Q46" s="835" t="str">
        <f ca="1">IFERROR(VLOOKUP(Q$2,Rango_Admin_DailyPred,MATCH($F46,Rango_Admin_DailyPred_Primera,0),0),"-")</f>
        <v>-</v>
      </c>
      <c r="R46" s="835" t="str">
        <f ca="1">IFERROR(VLOOKUP(R$2,Rango_Admin_DailyPred,MATCH($F46,Rango_Admin_DailyPred_Primera,0),0),"-")</f>
        <v>-</v>
      </c>
      <c r="S46" s="835" t="str">
        <f ca="1">IFERROR(VLOOKUP(S$2,Rango_Admin_DailyPred,MATCH($F46,Rango_Admin_DailyPred_Primera,0),0),"-")</f>
        <v>-</v>
      </c>
      <c r="T46" s="835" t="str">
        <f ca="1">IFERROR(VLOOKUP(T$2,Rango_Admin_DailyPred,MATCH($F46,Rango_Admin_DailyPred_Primera,0),0),"-")</f>
        <v>-</v>
      </c>
      <c r="U46" s="835" t="str">
        <f ca="1">IFERROR(VLOOKUP(U$2,Rango_Admin_DailyPred,MATCH($F46,Rango_Admin_DailyPred_Primera,0),0),"-")</f>
        <v>-</v>
      </c>
      <c r="V46" s="835" t="str">
        <f ca="1">IFERROR(VLOOKUP(V$2,Rango_Admin_DailyPred,MATCH($F46,Rango_Admin_DailyPred_Primera,0),0),"-")</f>
        <v>-</v>
      </c>
      <c r="W46" s="835" t="str">
        <f ca="1">IFERROR(VLOOKUP(W$2,Rango_Admin_DailyPred,MATCH($F46,Rango_Admin_DailyPred_Primera,0),0),"-")</f>
        <v>-</v>
      </c>
      <c r="X46" s="835" t="str">
        <f ca="1">IFERROR(VLOOKUP(X$2,Rango_Admin_DailyPred,MATCH($F46,Rango_Admin_DailyPred_Primera,0),0),"-")</f>
        <v>-</v>
      </c>
      <c r="Y46" s="835" t="str">
        <f ca="1">IFERROR(VLOOKUP(Y$2,Rango_Admin_DailyPred,MATCH($F46,Rango_Admin_DailyPred_Primera,0),0),"-")</f>
        <v>-</v>
      </c>
      <c r="Z46" s="835" t="str">
        <f ca="1">IFERROR(VLOOKUP(Z$2,Rango_Admin_DailyPred,MATCH($F46,Rango_Admin_DailyPred_Primera,0),0),"-")</f>
        <v>-</v>
      </c>
      <c r="AA46" s="835" t="str">
        <f ca="1">IFERROR(VLOOKUP(AA$2,Rango_Admin_DailyPred,MATCH($F46,Rango_Admin_DailyPred_Primera,0),0),"-")</f>
        <v>-</v>
      </c>
      <c r="AB46" s="835" t="str">
        <f ca="1">IFERROR(VLOOKUP(AB$2,Rango_Admin_DailyPred,MATCH($F46,Rango_Admin_DailyPred_Primera,0),0),"-")</f>
        <v>-</v>
      </c>
      <c r="AC46" s="835" t="str">
        <f ca="1">IFERROR(VLOOKUP(AC$2,Rango_Admin_DailyPred,MATCH($F46,Rango_Admin_DailyPred_Primera,0),0),"-")</f>
        <v>-</v>
      </c>
      <c r="AD46" s="835" t="str">
        <f ca="1">IFERROR(VLOOKUP(AD$2,Rango_Admin_DailyPred,MATCH($F46,Rango_Admin_DailyPred_Primera,0),0),"-")</f>
        <v>-</v>
      </c>
      <c r="AE46" s="835" t="str">
        <f ca="1">IFERROR(VLOOKUP(AE$2,Rango_Admin_DailyPred,MATCH($F46,Rango_Admin_DailyPred_Primera,0),0),"-")</f>
        <v>-</v>
      </c>
      <c r="AF46" s="835" t="str">
        <f ca="1">IFERROR(VLOOKUP(AF$2,Rango_Admin_DailyPred,MATCH($F46,Rango_Admin_DailyPred_Primera,0),0),"-")</f>
        <v>-</v>
      </c>
      <c r="AG46" s="835" t="str">
        <f ca="1">IFERROR(VLOOKUP(AG$2,Rango_Admin_DailyPred,MATCH($F46,Rango_Admin_DailyPred_Primera,0),0),"-")</f>
        <v>-</v>
      </c>
      <c r="AH46" s="835" t="str">
        <f ca="1">IFERROR(VLOOKUP(AH$2,Rango_Admin_DailyPred,MATCH($F46,Rango_Admin_DailyPred_Primera,0),0),"-")</f>
        <v>-</v>
      </c>
      <c r="AI46" s="835" t="str">
        <f ca="1">IFERROR(VLOOKUP(AI$2,Rango_Admin_DailyPred,MATCH($F46,Rango_Admin_DailyPred_Primera,0),0),"-")</f>
        <v>-</v>
      </c>
      <c r="AJ46" s="835" t="str">
        <f ca="1">IFERROR(VLOOKUP(AJ$2,Rango_Admin_DailyPred,MATCH($F46,Rango_Admin_DailyPred_Primera,0),0),"-")</f>
        <v>-</v>
      </c>
      <c r="AK46" s="835" t="str">
        <f ca="1">IFERROR(VLOOKUP(AK$2,Rango_Admin_DailyPred,MATCH($F46,Rango_Admin_DailyPred_Primera,0),0),"-")</f>
        <v>-</v>
      </c>
      <c r="AL46" s="835" t="str">
        <f ca="1">IFERROR(VLOOKUP(AL$2,Rango_Admin_DailyPred,MATCH($F46,Rango_Admin_DailyPred_Primera,0),0),"-")</f>
        <v>-</v>
      </c>
    </row>
    <row r="47" spans="1:41">
      <c r="E47" s="19">
        <f t="shared" si="1"/>
        <v>138</v>
      </c>
      <c r="F47" s="833" t="str" cm="1">
        <f t="array" ref="F47">IFERROR(INDEX(Rango_Admin_DailyPred_Primera,1,E47),"-")</f>
        <v>-</v>
      </c>
      <c r="G47" s="717" t="str">
        <f ca="1">IFERROR(VLOOKUP(G$2,Rango_Admin_DailyPred,MATCH($F47,Rango_Admin_DailyPred_Primera,0),0),"-")</f>
        <v>-</v>
      </c>
      <c r="H47" s="717" t="str">
        <f ca="1">IFERROR(VLOOKUP(H$2,Rango_Admin_DailyPred,MATCH($F47,Rango_Admin_DailyPred_Primera,0),0),"-")</f>
        <v>-</v>
      </c>
      <c r="I47" s="717" t="str">
        <f ca="1">IFERROR(VLOOKUP(I$2,Rango_Admin_DailyPred,MATCH($F47,Rango_Admin_DailyPred_Primera,0),0),"-")</f>
        <v>-</v>
      </c>
      <c r="J47" s="717" t="str">
        <f ca="1">IFERROR(VLOOKUP(J$2,Rango_Admin_DailyPred,MATCH($F47,Rango_Admin_DailyPred_Primera,0),0),"-")</f>
        <v>-</v>
      </c>
      <c r="K47" s="717" t="str">
        <f ca="1">IFERROR(VLOOKUP(K$2,Rango_Admin_DailyPred,MATCH($F47,Rango_Admin_DailyPred_Primera,0),0),"-")</f>
        <v>-</v>
      </c>
      <c r="L47" s="717" t="str">
        <f ca="1">IFERROR(VLOOKUP(L$2,Rango_Admin_DailyPred,MATCH($F47,Rango_Admin_DailyPred_Primera,0),0),"-")</f>
        <v>-</v>
      </c>
      <c r="M47" s="717" t="str">
        <f ca="1">IFERROR(VLOOKUP(M$2,Rango_Admin_DailyPred,MATCH($F47,Rango_Admin_DailyPred_Primera,0),0),"-")</f>
        <v>-</v>
      </c>
      <c r="N47" s="717" t="str">
        <f ca="1">IFERROR(VLOOKUP(N$2,Rango_Admin_DailyPred,MATCH($F47,Rango_Admin_DailyPred_Primera,0),0),"-")</f>
        <v>-</v>
      </c>
      <c r="O47" s="717" t="str">
        <f ca="1">IFERROR(VLOOKUP(O$2,Rango_Admin_DailyPred,MATCH($F47,Rango_Admin_DailyPred_Primera,0),0),"-")</f>
        <v>-</v>
      </c>
      <c r="P47" s="717" t="str">
        <f ca="1">IFERROR(VLOOKUP(P$2,Rango_Admin_DailyPred,MATCH($F47,Rango_Admin_DailyPred_Primera,0),0),"-")</f>
        <v>-</v>
      </c>
      <c r="Q47" s="717" t="str">
        <f ca="1">IFERROR(VLOOKUP(Q$2,Rango_Admin_DailyPred,MATCH($F47,Rango_Admin_DailyPred_Primera,0),0),"-")</f>
        <v>-</v>
      </c>
      <c r="R47" s="717" t="str">
        <f ca="1">IFERROR(VLOOKUP(R$2,Rango_Admin_DailyPred,MATCH($F47,Rango_Admin_DailyPred_Primera,0),0),"-")</f>
        <v>-</v>
      </c>
      <c r="S47" s="717" t="str">
        <f ca="1">IFERROR(VLOOKUP(S$2,Rango_Admin_DailyPred,MATCH($F47,Rango_Admin_DailyPred_Primera,0),0),"-")</f>
        <v>-</v>
      </c>
      <c r="T47" s="717" t="str">
        <f ca="1">IFERROR(VLOOKUP(T$2,Rango_Admin_DailyPred,MATCH($F47,Rango_Admin_DailyPred_Primera,0),0),"-")</f>
        <v>-</v>
      </c>
      <c r="U47" s="717" t="str">
        <f ca="1">IFERROR(VLOOKUP(U$2,Rango_Admin_DailyPred,MATCH($F47,Rango_Admin_DailyPred_Primera,0),0),"-")</f>
        <v>-</v>
      </c>
      <c r="V47" s="717" t="str">
        <f ca="1">IFERROR(VLOOKUP(V$2,Rango_Admin_DailyPred,MATCH($F47,Rango_Admin_DailyPred_Primera,0),0),"-")</f>
        <v>-</v>
      </c>
      <c r="W47" s="717" t="str">
        <f ca="1">IFERROR(VLOOKUP(W$2,Rango_Admin_DailyPred,MATCH($F47,Rango_Admin_DailyPred_Primera,0),0),"-")</f>
        <v>-</v>
      </c>
      <c r="X47" s="717" t="str">
        <f ca="1">IFERROR(VLOOKUP(X$2,Rango_Admin_DailyPred,MATCH($F47,Rango_Admin_DailyPred_Primera,0),0),"-")</f>
        <v>-</v>
      </c>
      <c r="Y47" s="717" t="str">
        <f ca="1">IFERROR(VLOOKUP(Y$2,Rango_Admin_DailyPred,MATCH($F47,Rango_Admin_DailyPred_Primera,0),0),"-")</f>
        <v>-</v>
      </c>
      <c r="Z47" s="717" t="str">
        <f ca="1">IFERROR(VLOOKUP(Z$2,Rango_Admin_DailyPred,MATCH($F47,Rango_Admin_DailyPred_Primera,0),0),"-")</f>
        <v>-</v>
      </c>
      <c r="AA47" s="717" t="str">
        <f ca="1">IFERROR(VLOOKUP(AA$2,Rango_Admin_DailyPred,MATCH($F47,Rango_Admin_DailyPred_Primera,0),0),"-")</f>
        <v>-</v>
      </c>
      <c r="AB47" s="717" t="str">
        <f ca="1">IFERROR(VLOOKUP(AB$2,Rango_Admin_DailyPred,MATCH($F47,Rango_Admin_DailyPred_Primera,0),0),"-")</f>
        <v>-</v>
      </c>
      <c r="AC47" s="717" t="str">
        <f ca="1">IFERROR(VLOOKUP(AC$2,Rango_Admin_DailyPred,MATCH($F47,Rango_Admin_DailyPred_Primera,0),0),"-")</f>
        <v>-</v>
      </c>
      <c r="AD47" s="717" t="str">
        <f ca="1">IFERROR(VLOOKUP(AD$2,Rango_Admin_DailyPred,MATCH($F47,Rango_Admin_DailyPred_Primera,0),0),"-")</f>
        <v>-</v>
      </c>
      <c r="AE47" s="717" t="str">
        <f ca="1">IFERROR(VLOOKUP(AE$2,Rango_Admin_DailyPred,MATCH($F47,Rango_Admin_DailyPred_Primera,0),0),"-")</f>
        <v>-</v>
      </c>
      <c r="AF47" s="717" t="str">
        <f ca="1">IFERROR(VLOOKUP(AF$2,Rango_Admin_DailyPred,MATCH($F47,Rango_Admin_DailyPred_Primera,0),0),"-")</f>
        <v>-</v>
      </c>
      <c r="AG47" s="717" t="str">
        <f ca="1">IFERROR(VLOOKUP(AG$2,Rango_Admin_DailyPred,MATCH($F47,Rango_Admin_DailyPred_Primera,0),0),"-")</f>
        <v>-</v>
      </c>
      <c r="AH47" s="717" t="str">
        <f ca="1">IFERROR(VLOOKUP(AH$2,Rango_Admin_DailyPred,MATCH($F47,Rango_Admin_DailyPred_Primera,0),0),"-")</f>
        <v>-</v>
      </c>
      <c r="AI47" s="717" t="str">
        <f ca="1">IFERROR(VLOOKUP(AI$2,Rango_Admin_DailyPred,MATCH($F47,Rango_Admin_DailyPred_Primera,0),0),"-")</f>
        <v>-</v>
      </c>
      <c r="AJ47" s="717" t="str">
        <f ca="1">IFERROR(VLOOKUP(AJ$2,Rango_Admin_DailyPred,MATCH($F47,Rango_Admin_DailyPred_Primera,0),0),"-")</f>
        <v>-</v>
      </c>
      <c r="AK47" s="717" t="str">
        <f ca="1">IFERROR(VLOOKUP(AK$2,Rango_Admin_DailyPred,MATCH($F47,Rango_Admin_DailyPred_Primera,0),0),"-")</f>
        <v>-</v>
      </c>
      <c r="AL47" s="717" t="str">
        <f ca="1">IFERROR(VLOOKUP(AL$2,Rango_Admin_DailyPred,MATCH($F47,Rango_Admin_DailyPred_Primera,0),0),"-")</f>
        <v>-</v>
      </c>
    </row>
    <row r="48" spans="1:41">
      <c r="E48" s="19">
        <f t="shared" si="1"/>
        <v>141</v>
      </c>
      <c r="F48" s="834" t="str" cm="1">
        <f t="array" ref="F48">IFERROR(INDEX(Rango_Admin_DailyPred_Primera,1,E48),"-")</f>
        <v>-</v>
      </c>
      <c r="G48" s="835" t="str">
        <f ca="1">IFERROR(VLOOKUP(G$2,Rango_Admin_DailyPred,MATCH($F48,Rango_Admin_DailyPred_Primera,0),0),"-")</f>
        <v>-</v>
      </c>
      <c r="H48" s="835" t="str">
        <f ca="1">IFERROR(VLOOKUP(H$2,Rango_Admin_DailyPred,MATCH($F48,Rango_Admin_DailyPred_Primera,0),0),"-")</f>
        <v>-</v>
      </c>
      <c r="I48" s="835" t="str">
        <f ca="1">IFERROR(VLOOKUP(I$2,Rango_Admin_DailyPred,MATCH($F48,Rango_Admin_DailyPred_Primera,0),0),"-")</f>
        <v>-</v>
      </c>
      <c r="J48" s="835" t="str">
        <f ca="1">IFERROR(VLOOKUP(J$2,Rango_Admin_DailyPred,MATCH($F48,Rango_Admin_DailyPred_Primera,0),0),"-")</f>
        <v>-</v>
      </c>
      <c r="K48" s="835" t="str">
        <f ca="1">IFERROR(VLOOKUP(K$2,Rango_Admin_DailyPred,MATCH($F48,Rango_Admin_DailyPred_Primera,0),0),"-")</f>
        <v>-</v>
      </c>
      <c r="L48" s="835" t="str">
        <f ca="1">IFERROR(VLOOKUP(L$2,Rango_Admin_DailyPred,MATCH($F48,Rango_Admin_DailyPred_Primera,0),0),"-")</f>
        <v>-</v>
      </c>
      <c r="M48" s="835" t="str">
        <f ca="1">IFERROR(VLOOKUP(M$2,Rango_Admin_DailyPred,MATCH($F48,Rango_Admin_DailyPred_Primera,0),0),"-")</f>
        <v>-</v>
      </c>
      <c r="N48" s="835" t="str">
        <f ca="1">IFERROR(VLOOKUP(N$2,Rango_Admin_DailyPred,MATCH($F48,Rango_Admin_DailyPred_Primera,0),0),"-")</f>
        <v>-</v>
      </c>
      <c r="O48" s="835" t="str">
        <f ca="1">IFERROR(VLOOKUP(O$2,Rango_Admin_DailyPred,MATCH($F48,Rango_Admin_DailyPred_Primera,0),0),"-")</f>
        <v>-</v>
      </c>
      <c r="P48" s="835" t="str">
        <f ca="1">IFERROR(VLOOKUP(P$2,Rango_Admin_DailyPred,MATCH($F48,Rango_Admin_DailyPred_Primera,0),0),"-")</f>
        <v>-</v>
      </c>
      <c r="Q48" s="835" t="str">
        <f ca="1">IFERROR(VLOOKUP(Q$2,Rango_Admin_DailyPred,MATCH($F48,Rango_Admin_DailyPred_Primera,0),0),"-")</f>
        <v>-</v>
      </c>
      <c r="R48" s="835" t="str">
        <f ca="1">IFERROR(VLOOKUP(R$2,Rango_Admin_DailyPred,MATCH($F48,Rango_Admin_DailyPred_Primera,0),0),"-")</f>
        <v>-</v>
      </c>
      <c r="S48" s="835" t="str">
        <f ca="1">IFERROR(VLOOKUP(S$2,Rango_Admin_DailyPred,MATCH($F48,Rango_Admin_DailyPred_Primera,0),0),"-")</f>
        <v>-</v>
      </c>
      <c r="T48" s="835" t="str">
        <f ca="1">IFERROR(VLOOKUP(T$2,Rango_Admin_DailyPred,MATCH($F48,Rango_Admin_DailyPred_Primera,0),0),"-")</f>
        <v>-</v>
      </c>
      <c r="U48" s="835" t="str">
        <f ca="1">IFERROR(VLOOKUP(U$2,Rango_Admin_DailyPred,MATCH($F48,Rango_Admin_DailyPred_Primera,0),0),"-")</f>
        <v>-</v>
      </c>
      <c r="V48" s="835" t="str">
        <f ca="1">IFERROR(VLOOKUP(V$2,Rango_Admin_DailyPred,MATCH($F48,Rango_Admin_DailyPred_Primera,0),0),"-")</f>
        <v>-</v>
      </c>
      <c r="W48" s="835" t="str">
        <f ca="1">IFERROR(VLOOKUP(W$2,Rango_Admin_DailyPred,MATCH($F48,Rango_Admin_DailyPred_Primera,0),0),"-")</f>
        <v>-</v>
      </c>
      <c r="X48" s="835" t="str">
        <f ca="1">IFERROR(VLOOKUP(X$2,Rango_Admin_DailyPred,MATCH($F48,Rango_Admin_DailyPred_Primera,0),0),"-")</f>
        <v>-</v>
      </c>
      <c r="Y48" s="835" t="str">
        <f ca="1">IFERROR(VLOOKUP(Y$2,Rango_Admin_DailyPred,MATCH($F48,Rango_Admin_DailyPred_Primera,0),0),"-")</f>
        <v>-</v>
      </c>
      <c r="Z48" s="835" t="str">
        <f ca="1">IFERROR(VLOOKUP(Z$2,Rango_Admin_DailyPred,MATCH($F48,Rango_Admin_DailyPred_Primera,0),0),"-")</f>
        <v>-</v>
      </c>
      <c r="AA48" s="835" t="str">
        <f ca="1">IFERROR(VLOOKUP(AA$2,Rango_Admin_DailyPred,MATCH($F48,Rango_Admin_DailyPred_Primera,0),0),"-")</f>
        <v>-</v>
      </c>
      <c r="AB48" s="835" t="str">
        <f ca="1">IFERROR(VLOOKUP(AB$2,Rango_Admin_DailyPred,MATCH($F48,Rango_Admin_DailyPred_Primera,0),0),"-")</f>
        <v>-</v>
      </c>
      <c r="AC48" s="835" t="str">
        <f ca="1">IFERROR(VLOOKUP(AC$2,Rango_Admin_DailyPred,MATCH($F48,Rango_Admin_DailyPred_Primera,0),0),"-")</f>
        <v>-</v>
      </c>
      <c r="AD48" s="835" t="str">
        <f ca="1">IFERROR(VLOOKUP(AD$2,Rango_Admin_DailyPred,MATCH($F48,Rango_Admin_DailyPred_Primera,0),0),"-")</f>
        <v>-</v>
      </c>
      <c r="AE48" s="835" t="str">
        <f ca="1">IFERROR(VLOOKUP(AE$2,Rango_Admin_DailyPred,MATCH($F48,Rango_Admin_DailyPred_Primera,0),0),"-")</f>
        <v>-</v>
      </c>
      <c r="AF48" s="835" t="str">
        <f ca="1">IFERROR(VLOOKUP(AF$2,Rango_Admin_DailyPred,MATCH($F48,Rango_Admin_DailyPred_Primera,0),0),"-")</f>
        <v>-</v>
      </c>
      <c r="AG48" s="835" t="str">
        <f ca="1">IFERROR(VLOOKUP(AG$2,Rango_Admin_DailyPred,MATCH($F48,Rango_Admin_DailyPred_Primera,0),0),"-")</f>
        <v>-</v>
      </c>
      <c r="AH48" s="835" t="str">
        <f ca="1">IFERROR(VLOOKUP(AH$2,Rango_Admin_DailyPred,MATCH($F48,Rango_Admin_DailyPred_Primera,0),0),"-")</f>
        <v>-</v>
      </c>
      <c r="AI48" s="835" t="str">
        <f ca="1">IFERROR(VLOOKUP(AI$2,Rango_Admin_DailyPred,MATCH($F48,Rango_Admin_DailyPred_Primera,0),0),"-")</f>
        <v>-</v>
      </c>
      <c r="AJ48" s="835" t="str">
        <f ca="1">IFERROR(VLOOKUP(AJ$2,Rango_Admin_DailyPred,MATCH($F48,Rango_Admin_DailyPred_Primera,0),0),"-")</f>
        <v>-</v>
      </c>
      <c r="AK48" s="835" t="str">
        <f ca="1">IFERROR(VLOOKUP(AK$2,Rango_Admin_DailyPred,MATCH($F48,Rango_Admin_DailyPred_Primera,0),0),"-")</f>
        <v>-</v>
      </c>
      <c r="AL48" s="835" t="str">
        <f ca="1">IFERROR(VLOOKUP(AL$2,Rango_Admin_DailyPred,MATCH($F48,Rango_Admin_DailyPred_Primera,0),0),"-")</f>
        <v>-</v>
      </c>
    </row>
    <row r="49" spans="5:38">
      <c r="E49" s="19">
        <f t="shared" si="1"/>
        <v>144</v>
      </c>
      <c r="F49" s="833" t="str" cm="1">
        <f t="array" ref="F49">IFERROR(INDEX(Rango_Admin_DailyPred_Primera,1,E49),"-")</f>
        <v>-</v>
      </c>
      <c r="G49" s="717" t="str">
        <f ca="1">IFERROR(VLOOKUP(G$2,Rango_Admin_DailyPred,MATCH($F49,Rango_Admin_DailyPred_Primera,0),0),"-")</f>
        <v>-</v>
      </c>
      <c r="H49" s="717" t="str">
        <f ca="1">IFERROR(VLOOKUP(H$2,Rango_Admin_DailyPred,MATCH($F49,Rango_Admin_DailyPred_Primera,0),0),"-")</f>
        <v>-</v>
      </c>
      <c r="I49" s="717" t="str">
        <f ca="1">IFERROR(VLOOKUP(I$2,Rango_Admin_DailyPred,MATCH($F49,Rango_Admin_DailyPred_Primera,0),0),"-")</f>
        <v>-</v>
      </c>
      <c r="J49" s="717" t="str">
        <f ca="1">IFERROR(VLOOKUP(J$2,Rango_Admin_DailyPred,MATCH($F49,Rango_Admin_DailyPred_Primera,0),0),"-")</f>
        <v>-</v>
      </c>
      <c r="K49" s="717" t="str">
        <f ca="1">IFERROR(VLOOKUP(K$2,Rango_Admin_DailyPred,MATCH($F49,Rango_Admin_DailyPred_Primera,0),0),"-")</f>
        <v>-</v>
      </c>
      <c r="L49" s="717" t="str">
        <f ca="1">IFERROR(VLOOKUP(L$2,Rango_Admin_DailyPred,MATCH($F49,Rango_Admin_DailyPred_Primera,0),0),"-")</f>
        <v>-</v>
      </c>
      <c r="M49" s="717" t="str">
        <f ca="1">IFERROR(VLOOKUP(M$2,Rango_Admin_DailyPred,MATCH($F49,Rango_Admin_DailyPred_Primera,0),0),"-")</f>
        <v>-</v>
      </c>
      <c r="N49" s="717" t="str">
        <f ca="1">IFERROR(VLOOKUP(N$2,Rango_Admin_DailyPred,MATCH($F49,Rango_Admin_DailyPred_Primera,0),0),"-")</f>
        <v>-</v>
      </c>
      <c r="O49" s="717" t="str">
        <f ca="1">IFERROR(VLOOKUP(O$2,Rango_Admin_DailyPred,MATCH($F49,Rango_Admin_DailyPred_Primera,0),0),"-")</f>
        <v>-</v>
      </c>
      <c r="P49" s="717" t="str">
        <f ca="1">IFERROR(VLOOKUP(P$2,Rango_Admin_DailyPred,MATCH($F49,Rango_Admin_DailyPred_Primera,0),0),"-")</f>
        <v>-</v>
      </c>
      <c r="Q49" s="717" t="str">
        <f ca="1">IFERROR(VLOOKUP(Q$2,Rango_Admin_DailyPred,MATCH($F49,Rango_Admin_DailyPred_Primera,0),0),"-")</f>
        <v>-</v>
      </c>
      <c r="R49" s="717" t="str">
        <f ca="1">IFERROR(VLOOKUP(R$2,Rango_Admin_DailyPred,MATCH($F49,Rango_Admin_DailyPred_Primera,0),0),"-")</f>
        <v>-</v>
      </c>
      <c r="S49" s="717" t="str">
        <f ca="1">IFERROR(VLOOKUP(S$2,Rango_Admin_DailyPred,MATCH($F49,Rango_Admin_DailyPred_Primera,0),0),"-")</f>
        <v>-</v>
      </c>
      <c r="T49" s="717" t="str">
        <f ca="1">IFERROR(VLOOKUP(T$2,Rango_Admin_DailyPred,MATCH($F49,Rango_Admin_DailyPred_Primera,0),0),"-")</f>
        <v>-</v>
      </c>
      <c r="U49" s="717" t="str">
        <f ca="1">IFERROR(VLOOKUP(U$2,Rango_Admin_DailyPred,MATCH($F49,Rango_Admin_DailyPred_Primera,0),0),"-")</f>
        <v>-</v>
      </c>
      <c r="V49" s="717" t="str">
        <f ca="1">IFERROR(VLOOKUP(V$2,Rango_Admin_DailyPred,MATCH($F49,Rango_Admin_DailyPred_Primera,0),0),"-")</f>
        <v>-</v>
      </c>
      <c r="W49" s="717" t="str">
        <f ca="1">IFERROR(VLOOKUP(W$2,Rango_Admin_DailyPred,MATCH($F49,Rango_Admin_DailyPred_Primera,0),0),"-")</f>
        <v>-</v>
      </c>
      <c r="X49" s="717" t="str">
        <f ca="1">IFERROR(VLOOKUP(X$2,Rango_Admin_DailyPred,MATCH($F49,Rango_Admin_DailyPred_Primera,0),0),"-")</f>
        <v>-</v>
      </c>
      <c r="Y49" s="717" t="str">
        <f ca="1">IFERROR(VLOOKUP(Y$2,Rango_Admin_DailyPred,MATCH($F49,Rango_Admin_DailyPred_Primera,0),0),"-")</f>
        <v>-</v>
      </c>
      <c r="Z49" s="717" t="str">
        <f ca="1">IFERROR(VLOOKUP(Z$2,Rango_Admin_DailyPred,MATCH($F49,Rango_Admin_DailyPred_Primera,0),0),"-")</f>
        <v>-</v>
      </c>
      <c r="AA49" s="717" t="str">
        <f ca="1">IFERROR(VLOOKUP(AA$2,Rango_Admin_DailyPred,MATCH($F49,Rango_Admin_DailyPred_Primera,0),0),"-")</f>
        <v>-</v>
      </c>
      <c r="AB49" s="717" t="str">
        <f ca="1">IFERROR(VLOOKUP(AB$2,Rango_Admin_DailyPred,MATCH($F49,Rango_Admin_DailyPred_Primera,0),0),"-")</f>
        <v>-</v>
      </c>
      <c r="AC49" s="717" t="str">
        <f ca="1">IFERROR(VLOOKUP(AC$2,Rango_Admin_DailyPred,MATCH($F49,Rango_Admin_DailyPred_Primera,0),0),"-")</f>
        <v>-</v>
      </c>
      <c r="AD49" s="717" t="str">
        <f ca="1">IFERROR(VLOOKUP(AD$2,Rango_Admin_DailyPred,MATCH($F49,Rango_Admin_DailyPred_Primera,0),0),"-")</f>
        <v>-</v>
      </c>
      <c r="AE49" s="717" t="str">
        <f ca="1">IFERROR(VLOOKUP(AE$2,Rango_Admin_DailyPred,MATCH($F49,Rango_Admin_DailyPred_Primera,0),0),"-")</f>
        <v>-</v>
      </c>
      <c r="AF49" s="717" t="str">
        <f ca="1">IFERROR(VLOOKUP(AF$2,Rango_Admin_DailyPred,MATCH($F49,Rango_Admin_DailyPred_Primera,0),0),"-")</f>
        <v>-</v>
      </c>
      <c r="AG49" s="717" t="str">
        <f ca="1">IFERROR(VLOOKUP(AG$2,Rango_Admin_DailyPred,MATCH($F49,Rango_Admin_DailyPred_Primera,0),0),"-")</f>
        <v>-</v>
      </c>
      <c r="AH49" s="717" t="str">
        <f ca="1">IFERROR(VLOOKUP(AH$2,Rango_Admin_DailyPred,MATCH($F49,Rango_Admin_DailyPred_Primera,0),0),"-")</f>
        <v>-</v>
      </c>
      <c r="AI49" s="717" t="str">
        <f ca="1">IFERROR(VLOOKUP(AI$2,Rango_Admin_DailyPred,MATCH($F49,Rango_Admin_DailyPred_Primera,0),0),"-")</f>
        <v>-</v>
      </c>
      <c r="AJ49" s="717" t="str">
        <f ca="1">IFERROR(VLOOKUP(AJ$2,Rango_Admin_DailyPred,MATCH($F49,Rango_Admin_DailyPred_Primera,0),0),"-")</f>
        <v>-</v>
      </c>
      <c r="AK49" s="717" t="str">
        <f ca="1">IFERROR(VLOOKUP(AK$2,Rango_Admin_DailyPred,MATCH($F49,Rango_Admin_DailyPred_Primera,0),0),"-")</f>
        <v>-</v>
      </c>
      <c r="AL49" s="717" t="str">
        <f ca="1">IFERROR(VLOOKUP(AL$2,Rango_Admin_DailyPred,MATCH($F49,Rango_Admin_DailyPred_Primera,0),0),"-")</f>
        <v>-</v>
      </c>
    </row>
    <row r="50" spans="5:38">
      <c r="E50" s="19">
        <f t="shared" si="1"/>
        <v>147</v>
      </c>
      <c r="F50" s="834" t="str" cm="1">
        <f t="array" ref="F50">IFERROR(INDEX(Rango_Admin_DailyPred_Primera,1,E50),"-")</f>
        <v>-</v>
      </c>
      <c r="G50" s="835" t="str">
        <f ca="1">IFERROR(VLOOKUP(G$2,Rango_Admin_DailyPred,MATCH($F50,Rango_Admin_DailyPred_Primera,0),0),"-")</f>
        <v>-</v>
      </c>
      <c r="H50" s="835" t="str">
        <f ca="1">IFERROR(VLOOKUP(H$2,Rango_Admin_DailyPred,MATCH($F50,Rango_Admin_DailyPred_Primera,0),0),"-")</f>
        <v>-</v>
      </c>
      <c r="I50" s="835" t="str">
        <f ca="1">IFERROR(VLOOKUP(I$2,Rango_Admin_DailyPred,MATCH($F50,Rango_Admin_DailyPred_Primera,0),0),"-")</f>
        <v>-</v>
      </c>
      <c r="J50" s="835" t="str">
        <f ca="1">IFERROR(VLOOKUP(J$2,Rango_Admin_DailyPred,MATCH($F50,Rango_Admin_DailyPred_Primera,0),0),"-")</f>
        <v>-</v>
      </c>
      <c r="K50" s="835" t="str">
        <f ca="1">IFERROR(VLOOKUP(K$2,Rango_Admin_DailyPred,MATCH($F50,Rango_Admin_DailyPred_Primera,0),0),"-")</f>
        <v>-</v>
      </c>
      <c r="L50" s="835" t="str">
        <f ca="1">IFERROR(VLOOKUP(L$2,Rango_Admin_DailyPred,MATCH($F50,Rango_Admin_DailyPred_Primera,0),0),"-")</f>
        <v>-</v>
      </c>
      <c r="M50" s="835" t="str">
        <f ca="1">IFERROR(VLOOKUP(M$2,Rango_Admin_DailyPred,MATCH($F50,Rango_Admin_DailyPred_Primera,0),0),"-")</f>
        <v>-</v>
      </c>
      <c r="N50" s="835" t="str">
        <f ca="1">IFERROR(VLOOKUP(N$2,Rango_Admin_DailyPred,MATCH($F50,Rango_Admin_DailyPred_Primera,0),0),"-")</f>
        <v>-</v>
      </c>
      <c r="O50" s="835" t="str">
        <f ca="1">IFERROR(VLOOKUP(O$2,Rango_Admin_DailyPred,MATCH($F50,Rango_Admin_DailyPred_Primera,0),0),"-")</f>
        <v>-</v>
      </c>
      <c r="P50" s="835" t="str">
        <f ca="1">IFERROR(VLOOKUP(P$2,Rango_Admin_DailyPred,MATCH($F50,Rango_Admin_DailyPred_Primera,0),0),"-")</f>
        <v>-</v>
      </c>
      <c r="Q50" s="835" t="str">
        <f ca="1">IFERROR(VLOOKUP(Q$2,Rango_Admin_DailyPred,MATCH($F50,Rango_Admin_DailyPred_Primera,0),0),"-")</f>
        <v>-</v>
      </c>
      <c r="R50" s="835" t="str">
        <f ca="1">IFERROR(VLOOKUP(R$2,Rango_Admin_DailyPred,MATCH($F50,Rango_Admin_DailyPred_Primera,0),0),"-")</f>
        <v>-</v>
      </c>
      <c r="S50" s="835" t="str">
        <f ca="1">IFERROR(VLOOKUP(S$2,Rango_Admin_DailyPred,MATCH($F50,Rango_Admin_DailyPred_Primera,0),0),"-")</f>
        <v>-</v>
      </c>
      <c r="T50" s="835" t="str">
        <f ca="1">IFERROR(VLOOKUP(T$2,Rango_Admin_DailyPred,MATCH($F50,Rango_Admin_DailyPred_Primera,0),0),"-")</f>
        <v>-</v>
      </c>
      <c r="U50" s="835" t="str">
        <f ca="1">IFERROR(VLOOKUP(U$2,Rango_Admin_DailyPred,MATCH($F50,Rango_Admin_DailyPred_Primera,0),0),"-")</f>
        <v>-</v>
      </c>
      <c r="V50" s="835" t="str">
        <f ca="1">IFERROR(VLOOKUP(V$2,Rango_Admin_DailyPred,MATCH($F50,Rango_Admin_DailyPred_Primera,0),0),"-")</f>
        <v>-</v>
      </c>
      <c r="W50" s="835" t="str">
        <f ca="1">IFERROR(VLOOKUP(W$2,Rango_Admin_DailyPred,MATCH($F50,Rango_Admin_DailyPred_Primera,0),0),"-")</f>
        <v>-</v>
      </c>
      <c r="X50" s="835" t="str">
        <f ca="1">IFERROR(VLOOKUP(X$2,Rango_Admin_DailyPred,MATCH($F50,Rango_Admin_DailyPred_Primera,0),0),"-")</f>
        <v>-</v>
      </c>
      <c r="Y50" s="835" t="str">
        <f ca="1">IFERROR(VLOOKUP(Y$2,Rango_Admin_DailyPred,MATCH($F50,Rango_Admin_DailyPred_Primera,0),0),"-")</f>
        <v>-</v>
      </c>
      <c r="Z50" s="835" t="str">
        <f ca="1">IFERROR(VLOOKUP(Z$2,Rango_Admin_DailyPred,MATCH($F50,Rango_Admin_DailyPred_Primera,0),0),"-")</f>
        <v>-</v>
      </c>
      <c r="AA50" s="835" t="str">
        <f ca="1">IFERROR(VLOOKUP(AA$2,Rango_Admin_DailyPred,MATCH($F50,Rango_Admin_DailyPred_Primera,0),0),"-")</f>
        <v>-</v>
      </c>
      <c r="AB50" s="835" t="str">
        <f ca="1">IFERROR(VLOOKUP(AB$2,Rango_Admin_DailyPred,MATCH($F50,Rango_Admin_DailyPred_Primera,0),0),"-")</f>
        <v>-</v>
      </c>
      <c r="AC50" s="835" t="str">
        <f ca="1">IFERROR(VLOOKUP(AC$2,Rango_Admin_DailyPred,MATCH($F50,Rango_Admin_DailyPred_Primera,0),0),"-")</f>
        <v>-</v>
      </c>
      <c r="AD50" s="835" t="str">
        <f ca="1">IFERROR(VLOOKUP(AD$2,Rango_Admin_DailyPred,MATCH($F50,Rango_Admin_DailyPred_Primera,0),0),"-")</f>
        <v>-</v>
      </c>
      <c r="AE50" s="835" t="str">
        <f ca="1">IFERROR(VLOOKUP(AE$2,Rango_Admin_DailyPred,MATCH($F50,Rango_Admin_DailyPred_Primera,0),0),"-")</f>
        <v>-</v>
      </c>
      <c r="AF50" s="835" t="str">
        <f ca="1">IFERROR(VLOOKUP(AF$2,Rango_Admin_DailyPred,MATCH($F50,Rango_Admin_DailyPred_Primera,0),0),"-")</f>
        <v>-</v>
      </c>
      <c r="AG50" s="835" t="str">
        <f ca="1">IFERROR(VLOOKUP(AG$2,Rango_Admin_DailyPred,MATCH($F50,Rango_Admin_DailyPred_Primera,0),0),"-")</f>
        <v>-</v>
      </c>
      <c r="AH50" s="835" t="str">
        <f ca="1">IFERROR(VLOOKUP(AH$2,Rango_Admin_DailyPred,MATCH($F50,Rango_Admin_DailyPred_Primera,0),0),"-")</f>
        <v>-</v>
      </c>
      <c r="AI50" s="835" t="str">
        <f ca="1">IFERROR(VLOOKUP(AI$2,Rango_Admin_DailyPred,MATCH($F50,Rango_Admin_DailyPred_Primera,0),0),"-")</f>
        <v>-</v>
      </c>
      <c r="AJ50" s="835" t="str">
        <f ca="1">IFERROR(VLOOKUP(AJ$2,Rango_Admin_DailyPred,MATCH($F50,Rango_Admin_DailyPred_Primera,0),0),"-")</f>
        <v>-</v>
      </c>
      <c r="AK50" s="835" t="str">
        <f ca="1">IFERROR(VLOOKUP(AK$2,Rango_Admin_DailyPred,MATCH($F50,Rango_Admin_DailyPred_Primera,0),0),"-")</f>
        <v>-</v>
      </c>
      <c r="AL50" s="835" t="str">
        <f ca="1">IFERROR(VLOOKUP(AL$2,Rango_Admin_DailyPred,MATCH($F50,Rango_Admin_DailyPred_Primera,0),0),"-")</f>
        <v>-</v>
      </c>
    </row>
    <row r="51" spans="5:38">
      <c r="E51" s="19">
        <f t="shared" si="1"/>
        <v>150</v>
      </c>
      <c r="F51" s="833" t="str" cm="1">
        <f t="array" ref="F51">IFERROR(INDEX(Rango_Admin_DailyPred_Primera,1,E51),"-")</f>
        <v>-</v>
      </c>
      <c r="G51" s="717" t="str">
        <f ca="1">IFERROR(VLOOKUP(G$2,Rango_Admin_DailyPred,MATCH($F51,Rango_Admin_DailyPred_Primera,0),0),"-")</f>
        <v>-</v>
      </c>
      <c r="H51" s="717" t="str">
        <f ca="1">IFERROR(VLOOKUP(H$2,Rango_Admin_DailyPred,MATCH($F51,Rango_Admin_DailyPred_Primera,0),0),"-")</f>
        <v>-</v>
      </c>
      <c r="I51" s="717" t="str">
        <f ca="1">IFERROR(VLOOKUP(I$2,Rango_Admin_DailyPred,MATCH($F51,Rango_Admin_DailyPred_Primera,0),0),"-")</f>
        <v>-</v>
      </c>
      <c r="J51" s="717" t="str">
        <f ca="1">IFERROR(VLOOKUP(J$2,Rango_Admin_DailyPred,MATCH($F51,Rango_Admin_DailyPred_Primera,0),0),"-")</f>
        <v>-</v>
      </c>
      <c r="K51" s="717" t="str">
        <f ca="1">IFERROR(VLOOKUP(K$2,Rango_Admin_DailyPred,MATCH($F51,Rango_Admin_DailyPred_Primera,0),0),"-")</f>
        <v>-</v>
      </c>
      <c r="L51" s="717" t="str">
        <f ca="1">IFERROR(VLOOKUP(L$2,Rango_Admin_DailyPred,MATCH($F51,Rango_Admin_DailyPred_Primera,0),0),"-")</f>
        <v>-</v>
      </c>
      <c r="M51" s="717" t="str">
        <f ca="1">IFERROR(VLOOKUP(M$2,Rango_Admin_DailyPred,MATCH($F51,Rango_Admin_DailyPred_Primera,0),0),"-")</f>
        <v>-</v>
      </c>
      <c r="N51" s="717" t="str">
        <f ca="1">IFERROR(VLOOKUP(N$2,Rango_Admin_DailyPred,MATCH($F51,Rango_Admin_DailyPred_Primera,0),0),"-")</f>
        <v>-</v>
      </c>
      <c r="O51" s="717" t="str">
        <f ca="1">IFERROR(VLOOKUP(O$2,Rango_Admin_DailyPred,MATCH($F51,Rango_Admin_DailyPred_Primera,0),0),"-")</f>
        <v>-</v>
      </c>
      <c r="P51" s="717" t="str">
        <f ca="1">IFERROR(VLOOKUP(P$2,Rango_Admin_DailyPred,MATCH($F51,Rango_Admin_DailyPred_Primera,0),0),"-")</f>
        <v>-</v>
      </c>
      <c r="Q51" s="717" t="str">
        <f ca="1">IFERROR(VLOOKUP(Q$2,Rango_Admin_DailyPred,MATCH($F51,Rango_Admin_DailyPred_Primera,0),0),"-")</f>
        <v>-</v>
      </c>
      <c r="R51" s="717" t="str">
        <f ca="1">IFERROR(VLOOKUP(R$2,Rango_Admin_DailyPred,MATCH($F51,Rango_Admin_DailyPred_Primera,0),0),"-")</f>
        <v>-</v>
      </c>
      <c r="S51" s="717" t="str">
        <f ca="1">IFERROR(VLOOKUP(S$2,Rango_Admin_DailyPred,MATCH($F51,Rango_Admin_DailyPred_Primera,0),0),"-")</f>
        <v>-</v>
      </c>
      <c r="T51" s="717" t="str">
        <f ca="1">IFERROR(VLOOKUP(T$2,Rango_Admin_DailyPred,MATCH($F51,Rango_Admin_DailyPred_Primera,0),0),"-")</f>
        <v>-</v>
      </c>
      <c r="U51" s="717" t="str">
        <f ca="1">IFERROR(VLOOKUP(U$2,Rango_Admin_DailyPred,MATCH($F51,Rango_Admin_DailyPred_Primera,0),0),"-")</f>
        <v>-</v>
      </c>
      <c r="V51" s="717" t="str">
        <f ca="1">IFERROR(VLOOKUP(V$2,Rango_Admin_DailyPred,MATCH($F51,Rango_Admin_DailyPred_Primera,0),0),"-")</f>
        <v>-</v>
      </c>
      <c r="W51" s="717" t="str">
        <f ca="1">IFERROR(VLOOKUP(W$2,Rango_Admin_DailyPred,MATCH($F51,Rango_Admin_DailyPred_Primera,0),0),"-")</f>
        <v>-</v>
      </c>
      <c r="X51" s="717" t="str">
        <f ca="1">IFERROR(VLOOKUP(X$2,Rango_Admin_DailyPred,MATCH($F51,Rango_Admin_DailyPred_Primera,0),0),"-")</f>
        <v>-</v>
      </c>
      <c r="Y51" s="717" t="str">
        <f ca="1">IFERROR(VLOOKUP(Y$2,Rango_Admin_DailyPred,MATCH($F51,Rango_Admin_DailyPred_Primera,0),0),"-")</f>
        <v>-</v>
      </c>
      <c r="Z51" s="717" t="str">
        <f ca="1">IFERROR(VLOOKUP(Z$2,Rango_Admin_DailyPred,MATCH($F51,Rango_Admin_DailyPred_Primera,0),0),"-")</f>
        <v>-</v>
      </c>
      <c r="AA51" s="717" t="str">
        <f ca="1">IFERROR(VLOOKUP(AA$2,Rango_Admin_DailyPred,MATCH($F51,Rango_Admin_DailyPred_Primera,0),0),"-")</f>
        <v>-</v>
      </c>
      <c r="AB51" s="717" t="str">
        <f ca="1">IFERROR(VLOOKUP(AB$2,Rango_Admin_DailyPred,MATCH($F51,Rango_Admin_DailyPred_Primera,0),0),"-")</f>
        <v>-</v>
      </c>
      <c r="AC51" s="717" t="str">
        <f ca="1">IFERROR(VLOOKUP(AC$2,Rango_Admin_DailyPred,MATCH($F51,Rango_Admin_DailyPred_Primera,0),0),"-")</f>
        <v>-</v>
      </c>
      <c r="AD51" s="717" t="str">
        <f ca="1">IFERROR(VLOOKUP(AD$2,Rango_Admin_DailyPred,MATCH($F51,Rango_Admin_DailyPred_Primera,0),0),"-")</f>
        <v>-</v>
      </c>
      <c r="AE51" s="717" t="str">
        <f ca="1">IFERROR(VLOOKUP(AE$2,Rango_Admin_DailyPred,MATCH($F51,Rango_Admin_DailyPred_Primera,0),0),"-")</f>
        <v>-</v>
      </c>
      <c r="AF51" s="717" t="str">
        <f ca="1">IFERROR(VLOOKUP(AF$2,Rango_Admin_DailyPred,MATCH($F51,Rango_Admin_DailyPred_Primera,0),0),"-")</f>
        <v>-</v>
      </c>
      <c r="AG51" s="717" t="str">
        <f ca="1">IFERROR(VLOOKUP(AG$2,Rango_Admin_DailyPred,MATCH($F51,Rango_Admin_DailyPred_Primera,0),0),"-")</f>
        <v>-</v>
      </c>
      <c r="AH51" s="717" t="str">
        <f ca="1">IFERROR(VLOOKUP(AH$2,Rango_Admin_DailyPred,MATCH($F51,Rango_Admin_DailyPred_Primera,0),0),"-")</f>
        <v>-</v>
      </c>
      <c r="AI51" s="717" t="str">
        <f ca="1">IFERROR(VLOOKUP(AI$2,Rango_Admin_DailyPred,MATCH($F51,Rango_Admin_DailyPred_Primera,0),0),"-")</f>
        <v>-</v>
      </c>
      <c r="AJ51" s="717" t="str">
        <f ca="1">IFERROR(VLOOKUP(AJ$2,Rango_Admin_DailyPred,MATCH($F51,Rango_Admin_DailyPred_Primera,0),0),"-")</f>
        <v>-</v>
      </c>
      <c r="AK51" s="717" t="str">
        <f ca="1">IFERROR(VLOOKUP(AK$2,Rango_Admin_DailyPred,MATCH($F51,Rango_Admin_DailyPred_Primera,0),0),"-")</f>
        <v>-</v>
      </c>
      <c r="AL51" s="717" t="str">
        <f ca="1">IFERROR(VLOOKUP(AL$2,Rango_Admin_DailyPred,MATCH($F51,Rango_Admin_DailyPred_Primera,0),0),"-")</f>
        <v>-</v>
      </c>
    </row>
    <row r="52" spans="5:38">
      <c r="E52" s="19">
        <f t="shared" si="1"/>
        <v>153</v>
      </c>
      <c r="F52" s="834" t="str" cm="1">
        <f t="array" ref="F52">IFERROR(INDEX(Rango_Admin_DailyPred_Primera,1,E52),"-")</f>
        <v>-</v>
      </c>
      <c r="G52" s="835" t="str">
        <f ca="1">IFERROR(VLOOKUP(G$2,Rango_Admin_DailyPred,MATCH($F52,Rango_Admin_DailyPred_Primera,0),0),"-")</f>
        <v>-</v>
      </c>
      <c r="H52" s="835" t="str">
        <f ca="1">IFERROR(VLOOKUP(H$2,Rango_Admin_DailyPred,MATCH($F52,Rango_Admin_DailyPred_Primera,0),0),"-")</f>
        <v>-</v>
      </c>
      <c r="I52" s="835" t="str">
        <f ca="1">IFERROR(VLOOKUP(I$2,Rango_Admin_DailyPred,MATCH($F52,Rango_Admin_DailyPred_Primera,0),0),"-")</f>
        <v>-</v>
      </c>
      <c r="J52" s="835" t="str">
        <f ca="1">IFERROR(VLOOKUP(J$2,Rango_Admin_DailyPred,MATCH($F52,Rango_Admin_DailyPred_Primera,0),0),"-")</f>
        <v>-</v>
      </c>
      <c r="K52" s="835" t="str">
        <f ca="1">IFERROR(VLOOKUP(K$2,Rango_Admin_DailyPred,MATCH($F52,Rango_Admin_DailyPred_Primera,0),0),"-")</f>
        <v>-</v>
      </c>
      <c r="L52" s="835" t="str">
        <f ca="1">IFERROR(VLOOKUP(L$2,Rango_Admin_DailyPred,MATCH($F52,Rango_Admin_DailyPred_Primera,0),0),"-")</f>
        <v>-</v>
      </c>
      <c r="M52" s="835" t="str">
        <f ca="1">IFERROR(VLOOKUP(M$2,Rango_Admin_DailyPred,MATCH($F52,Rango_Admin_DailyPred_Primera,0),0),"-")</f>
        <v>-</v>
      </c>
      <c r="N52" s="835" t="str">
        <f ca="1">IFERROR(VLOOKUP(N$2,Rango_Admin_DailyPred,MATCH($F52,Rango_Admin_DailyPred_Primera,0),0),"-")</f>
        <v>-</v>
      </c>
      <c r="O52" s="835" t="str">
        <f ca="1">IFERROR(VLOOKUP(O$2,Rango_Admin_DailyPred,MATCH($F52,Rango_Admin_DailyPred_Primera,0),0),"-")</f>
        <v>-</v>
      </c>
      <c r="P52" s="835" t="str">
        <f ca="1">IFERROR(VLOOKUP(P$2,Rango_Admin_DailyPred,MATCH($F52,Rango_Admin_DailyPred_Primera,0),0),"-")</f>
        <v>-</v>
      </c>
      <c r="Q52" s="835" t="str">
        <f ca="1">IFERROR(VLOOKUP(Q$2,Rango_Admin_DailyPred,MATCH($F52,Rango_Admin_DailyPred_Primera,0),0),"-")</f>
        <v>-</v>
      </c>
      <c r="R52" s="835" t="str">
        <f ca="1">IFERROR(VLOOKUP(R$2,Rango_Admin_DailyPred,MATCH($F52,Rango_Admin_DailyPred_Primera,0),0),"-")</f>
        <v>-</v>
      </c>
      <c r="S52" s="835" t="str">
        <f ca="1">IFERROR(VLOOKUP(S$2,Rango_Admin_DailyPred,MATCH($F52,Rango_Admin_DailyPred_Primera,0),0),"-")</f>
        <v>-</v>
      </c>
      <c r="T52" s="835" t="str">
        <f ca="1">IFERROR(VLOOKUP(T$2,Rango_Admin_DailyPred,MATCH($F52,Rango_Admin_DailyPred_Primera,0),0),"-")</f>
        <v>-</v>
      </c>
      <c r="U52" s="835" t="str">
        <f ca="1">IFERROR(VLOOKUP(U$2,Rango_Admin_DailyPred,MATCH($F52,Rango_Admin_DailyPred_Primera,0),0),"-")</f>
        <v>-</v>
      </c>
      <c r="V52" s="835" t="str">
        <f ca="1">IFERROR(VLOOKUP(V$2,Rango_Admin_DailyPred,MATCH($F52,Rango_Admin_DailyPred_Primera,0),0),"-")</f>
        <v>-</v>
      </c>
      <c r="W52" s="835" t="str">
        <f ca="1">IFERROR(VLOOKUP(W$2,Rango_Admin_DailyPred,MATCH($F52,Rango_Admin_DailyPred_Primera,0),0),"-")</f>
        <v>-</v>
      </c>
      <c r="X52" s="835" t="str">
        <f ca="1">IFERROR(VLOOKUP(X$2,Rango_Admin_DailyPred,MATCH($F52,Rango_Admin_DailyPred_Primera,0),0),"-")</f>
        <v>-</v>
      </c>
      <c r="Y52" s="835" t="str">
        <f ca="1">IFERROR(VLOOKUP(Y$2,Rango_Admin_DailyPred,MATCH($F52,Rango_Admin_DailyPred_Primera,0),0),"-")</f>
        <v>-</v>
      </c>
      <c r="Z52" s="835" t="str">
        <f ca="1">IFERROR(VLOOKUP(Z$2,Rango_Admin_DailyPred,MATCH($F52,Rango_Admin_DailyPred_Primera,0),0),"-")</f>
        <v>-</v>
      </c>
      <c r="AA52" s="835" t="str">
        <f ca="1">IFERROR(VLOOKUP(AA$2,Rango_Admin_DailyPred,MATCH($F52,Rango_Admin_DailyPred_Primera,0),0),"-")</f>
        <v>-</v>
      </c>
      <c r="AB52" s="835" t="str">
        <f ca="1">IFERROR(VLOOKUP(AB$2,Rango_Admin_DailyPred,MATCH($F52,Rango_Admin_DailyPred_Primera,0),0),"-")</f>
        <v>-</v>
      </c>
      <c r="AC52" s="835" t="str">
        <f ca="1">IFERROR(VLOOKUP(AC$2,Rango_Admin_DailyPred,MATCH($F52,Rango_Admin_DailyPred_Primera,0),0),"-")</f>
        <v>-</v>
      </c>
      <c r="AD52" s="835" t="str">
        <f ca="1">IFERROR(VLOOKUP(AD$2,Rango_Admin_DailyPred,MATCH($F52,Rango_Admin_DailyPred_Primera,0),0),"-")</f>
        <v>-</v>
      </c>
      <c r="AE52" s="835" t="str">
        <f ca="1">IFERROR(VLOOKUP(AE$2,Rango_Admin_DailyPred,MATCH($F52,Rango_Admin_DailyPred_Primera,0),0),"-")</f>
        <v>-</v>
      </c>
      <c r="AF52" s="835" t="str">
        <f ca="1">IFERROR(VLOOKUP(AF$2,Rango_Admin_DailyPred,MATCH($F52,Rango_Admin_DailyPred_Primera,0),0),"-")</f>
        <v>-</v>
      </c>
      <c r="AG52" s="835" t="str">
        <f ca="1">IFERROR(VLOOKUP(AG$2,Rango_Admin_DailyPred,MATCH($F52,Rango_Admin_DailyPred_Primera,0),0),"-")</f>
        <v>-</v>
      </c>
      <c r="AH52" s="835" t="str">
        <f ca="1">IFERROR(VLOOKUP(AH$2,Rango_Admin_DailyPred,MATCH($F52,Rango_Admin_DailyPred_Primera,0),0),"-")</f>
        <v>-</v>
      </c>
      <c r="AI52" s="835" t="str">
        <f ca="1">IFERROR(VLOOKUP(AI$2,Rango_Admin_DailyPred,MATCH($F52,Rango_Admin_DailyPred_Primera,0),0),"-")</f>
        <v>-</v>
      </c>
      <c r="AJ52" s="835" t="str">
        <f ca="1">IFERROR(VLOOKUP(AJ$2,Rango_Admin_DailyPred,MATCH($F52,Rango_Admin_DailyPred_Primera,0),0),"-")</f>
        <v>-</v>
      </c>
      <c r="AK52" s="835" t="str">
        <f ca="1">IFERROR(VLOOKUP(AK$2,Rango_Admin_DailyPred,MATCH($F52,Rango_Admin_DailyPred_Primera,0),0),"-")</f>
        <v>-</v>
      </c>
      <c r="AL52" s="835" t="str">
        <f ca="1">IFERROR(VLOOKUP(AL$2,Rango_Admin_DailyPred,MATCH($F52,Rango_Admin_DailyPred_Primera,0),0),"-")</f>
        <v>-</v>
      </c>
    </row>
    <row r="53" spans="5:38">
      <c r="E53" s="19">
        <f t="shared" si="1"/>
        <v>156</v>
      </c>
      <c r="F53" s="833" t="str" cm="1">
        <f t="array" ref="F53">IFERROR(INDEX(Rango_Admin_DailyPred_Primera,1,E53),"-")</f>
        <v>-</v>
      </c>
      <c r="G53" s="717" t="str">
        <f ca="1">IFERROR(VLOOKUP(G$2,Rango_Admin_DailyPred,MATCH($F53,Rango_Admin_DailyPred_Primera,0),0),"-")</f>
        <v>-</v>
      </c>
      <c r="H53" s="717" t="str">
        <f ca="1">IFERROR(VLOOKUP(H$2,Rango_Admin_DailyPred,MATCH($F53,Rango_Admin_DailyPred_Primera,0),0),"-")</f>
        <v>-</v>
      </c>
      <c r="I53" s="717" t="str">
        <f ca="1">IFERROR(VLOOKUP(I$2,Rango_Admin_DailyPred,MATCH($F53,Rango_Admin_DailyPred_Primera,0),0),"-")</f>
        <v>-</v>
      </c>
      <c r="J53" s="717" t="str">
        <f ca="1">IFERROR(VLOOKUP(J$2,Rango_Admin_DailyPred,MATCH($F53,Rango_Admin_DailyPred_Primera,0),0),"-")</f>
        <v>-</v>
      </c>
      <c r="K53" s="717" t="str">
        <f ca="1">IFERROR(VLOOKUP(K$2,Rango_Admin_DailyPred,MATCH($F53,Rango_Admin_DailyPred_Primera,0),0),"-")</f>
        <v>-</v>
      </c>
      <c r="L53" s="717" t="str">
        <f ca="1">IFERROR(VLOOKUP(L$2,Rango_Admin_DailyPred,MATCH($F53,Rango_Admin_DailyPred_Primera,0),0),"-")</f>
        <v>-</v>
      </c>
      <c r="M53" s="717" t="str">
        <f ca="1">IFERROR(VLOOKUP(M$2,Rango_Admin_DailyPred,MATCH($F53,Rango_Admin_DailyPred_Primera,0),0),"-")</f>
        <v>-</v>
      </c>
      <c r="N53" s="717" t="str">
        <f ca="1">IFERROR(VLOOKUP(N$2,Rango_Admin_DailyPred,MATCH($F53,Rango_Admin_DailyPred_Primera,0),0),"-")</f>
        <v>-</v>
      </c>
      <c r="O53" s="717" t="str">
        <f ca="1">IFERROR(VLOOKUP(O$2,Rango_Admin_DailyPred,MATCH($F53,Rango_Admin_DailyPred_Primera,0),0),"-")</f>
        <v>-</v>
      </c>
      <c r="P53" s="717" t="str">
        <f ca="1">IFERROR(VLOOKUP(P$2,Rango_Admin_DailyPred,MATCH($F53,Rango_Admin_DailyPred_Primera,0),0),"-")</f>
        <v>-</v>
      </c>
      <c r="Q53" s="717" t="str">
        <f ca="1">IFERROR(VLOOKUP(Q$2,Rango_Admin_DailyPred,MATCH($F53,Rango_Admin_DailyPred_Primera,0),0),"-")</f>
        <v>-</v>
      </c>
      <c r="R53" s="717" t="str">
        <f ca="1">IFERROR(VLOOKUP(R$2,Rango_Admin_DailyPred,MATCH($F53,Rango_Admin_DailyPred_Primera,0),0),"-")</f>
        <v>-</v>
      </c>
      <c r="S53" s="717" t="str">
        <f ca="1">IFERROR(VLOOKUP(S$2,Rango_Admin_DailyPred,MATCH($F53,Rango_Admin_DailyPred_Primera,0),0),"-")</f>
        <v>-</v>
      </c>
      <c r="T53" s="717" t="str">
        <f ca="1">IFERROR(VLOOKUP(T$2,Rango_Admin_DailyPred,MATCH($F53,Rango_Admin_DailyPred_Primera,0),0),"-")</f>
        <v>-</v>
      </c>
      <c r="U53" s="717" t="str">
        <f ca="1">IFERROR(VLOOKUP(U$2,Rango_Admin_DailyPred,MATCH($F53,Rango_Admin_DailyPred_Primera,0),0),"-")</f>
        <v>-</v>
      </c>
      <c r="V53" s="717" t="str">
        <f ca="1">IFERROR(VLOOKUP(V$2,Rango_Admin_DailyPred,MATCH($F53,Rango_Admin_DailyPred_Primera,0),0),"-")</f>
        <v>-</v>
      </c>
      <c r="W53" s="717" t="str">
        <f ca="1">IFERROR(VLOOKUP(W$2,Rango_Admin_DailyPred,MATCH($F53,Rango_Admin_DailyPred_Primera,0),0),"-")</f>
        <v>-</v>
      </c>
      <c r="X53" s="717" t="str">
        <f ca="1">IFERROR(VLOOKUP(X$2,Rango_Admin_DailyPred,MATCH($F53,Rango_Admin_DailyPred_Primera,0),0),"-")</f>
        <v>-</v>
      </c>
      <c r="Y53" s="717" t="str">
        <f ca="1">IFERROR(VLOOKUP(Y$2,Rango_Admin_DailyPred,MATCH($F53,Rango_Admin_DailyPred_Primera,0),0),"-")</f>
        <v>-</v>
      </c>
      <c r="Z53" s="717" t="str">
        <f ca="1">IFERROR(VLOOKUP(Z$2,Rango_Admin_DailyPred,MATCH($F53,Rango_Admin_DailyPred_Primera,0),0),"-")</f>
        <v>-</v>
      </c>
      <c r="AA53" s="717" t="str">
        <f ca="1">IFERROR(VLOOKUP(AA$2,Rango_Admin_DailyPred,MATCH($F53,Rango_Admin_DailyPred_Primera,0),0),"-")</f>
        <v>-</v>
      </c>
      <c r="AB53" s="717" t="str">
        <f ca="1">IFERROR(VLOOKUP(AB$2,Rango_Admin_DailyPred,MATCH($F53,Rango_Admin_DailyPred_Primera,0),0),"-")</f>
        <v>-</v>
      </c>
      <c r="AC53" s="717" t="str">
        <f ca="1">IFERROR(VLOOKUP(AC$2,Rango_Admin_DailyPred,MATCH($F53,Rango_Admin_DailyPred_Primera,0),0),"-")</f>
        <v>-</v>
      </c>
      <c r="AD53" s="717" t="str">
        <f ca="1">IFERROR(VLOOKUP(AD$2,Rango_Admin_DailyPred,MATCH($F53,Rango_Admin_DailyPred_Primera,0),0),"-")</f>
        <v>-</v>
      </c>
      <c r="AE53" s="717" t="str">
        <f ca="1">IFERROR(VLOOKUP(AE$2,Rango_Admin_DailyPred,MATCH($F53,Rango_Admin_DailyPred_Primera,0),0),"-")</f>
        <v>-</v>
      </c>
      <c r="AF53" s="717" t="str">
        <f ca="1">IFERROR(VLOOKUP(AF$2,Rango_Admin_DailyPred,MATCH($F53,Rango_Admin_DailyPred_Primera,0),0),"-")</f>
        <v>-</v>
      </c>
      <c r="AG53" s="717" t="str">
        <f ca="1">IFERROR(VLOOKUP(AG$2,Rango_Admin_DailyPred,MATCH($F53,Rango_Admin_DailyPred_Primera,0),0),"-")</f>
        <v>-</v>
      </c>
      <c r="AH53" s="717" t="str">
        <f ca="1">IFERROR(VLOOKUP(AH$2,Rango_Admin_DailyPred,MATCH($F53,Rango_Admin_DailyPred_Primera,0),0),"-")</f>
        <v>-</v>
      </c>
      <c r="AI53" s="717" t="str">
        <f ca="1">IFERROR(VLOOKUP(AI$2,Rango_Admin_DailyPred,MATCH($F53,Rango_Admin_DailyPred_Primera,0),0),"-")</f>
        <v>-</v>
      </c>
      <c r="AJ53" s="717" t="str">
        <f ca="1">IFERROR(VLOOKUP(AJ$2,Rango_Admin_DailyPred,MATCH($F53,Rango_Admin_DailyPred_Primera,0),0),"-")</f>
        <v>-</v>
      </c>
      <c r="AK53" s="717" t="str">
        <f ca="1">IFERROR(VLOOKUP(AK$2,Rango_Admin_DailyPred,MATCH($F53,Rango_Admin_DailyPred_Primera,0),0),"-")</f>
        <v>-</v>
      </c>
      <c r="AL53" s="717" t="str">
        <f ca="1">IFERROR(VLOOKUP(AL$2,Rango_Admin_DailyPred,MATCH($F53,Rango_Admin_DailyPred_Primera,0),0),"-")</f>
        <v>-</v>
      </c>
    </row>
    <row r="54" spans="5:38">
      <c r="E54" s="19">
        <f t="shared" si="1"/>
        <v>159</v>
      </c>
      <c r="F54" s="834" t="str" cm="1">
        <f t="array" ref="F54">IFERROR(INDEX(Rango_Admin_DailyPred_Primera,1,E54),"-")</f>
        <v>-</v>
      </c>
      <c r="G54" s="835" t="str">
        <f ca="1">IFERROR(VLOOKUP(G$2,Rango_Admin_DailyPred,MATCH($F54,Rango_Admin_DailyPred_Primera,0),0),"-")</f>
        <v>-</v>
      </c>
      <c r="H54" s="835" t="str">
        <f ca="1">IFERROR(VLOOKUP(H$2,Rango_Admin_DailyPred,MATCH($F54,Rango_Admin_DailyPred_Primera,0),0),"-")</f>
        <v>-</v>
      </c>
      <c r="I54" s="835" t="str">
        <f ca="1">IFERROR(VLOOKUP(I$2,Rango_Admin_DailyPred,MATCH($F54,Rango_Admin_DailyPred_Primera,0),0),"-")</f>
        <v>-</v>
      </c>
      <c r="J54" s="835" t="str">
        <f ca="1">IFERROR(VLOOKUP(J$2,Rango_Admin_DailyPred,MATCH($F54,Rango_Admin_DailyPred_Primera,0),0),"-")</f>
        <v>-</v>
      </c>
      <c r="K54" s="835" t="str">
        <f ca="1">IFERROR(VLOOKUP(K$2,Rango_Admin_DailyPred,MATCH($F54,Rango_Admin_DailyPred_Primera,0),0),"-")</f>
        <v>-</v>
      </c>
      <c r="L54" s="835" t="str">
        <f ca="1">IFERROR(VLOOKUP(L$2,Rango_Admin_DailyPred,MATCH($F54,Rango_Admin_DailyPred_Primera,0),0),"-")</f>
        <v>-</v>
      </c>
      <c r="M54" s="835" t="str">
        <f ca="1">IFERROR(VLOOKUP(M$2,Rango_Admin_DailyPred,MATCH($F54,Rango_Admin_DailyPred_Primera,0),0),"-")</f>
        <v>-</v>
      </c>
      <c r="N54" s="835" t="str">
        <f ca="1">IFERROR(VLOOKUP(N$2,Rango_Admin_DailyPred,MATCH($F54,Rango_Admin_DailyPred_Primera,0),0),"-")</f>
        <v>-</v>
      </c>
      <c r="O54" s="835" t="str">
        <f ca="1">IFERROR(VLOOKUP(O$2,Rango_Admin_DailyPred,MATCH($F54,Rango_Admin_DailyPred_Primera,0),0),"-")</f>
        <v>-</v>
      </c>
      <c r="P54" s="835" t="str">
        <f ca="1">IFERROR(VLOOKUP(P$2,Rango_Admin_DailyPred,MATCH($F54,Rango_Admin_DailyPred_Primera,0),0),"-")</f>
        <v>-</v>
      </c>
      <c r="Q54" s="835" t="str">
        <f ca="1">IFERROR(VLOOKUP(Q$2,Rango_Admin_DailyPred,MATCH($F54,Rango_Admin_DailyPred_Primera,0),0),"-")</f>
        <v>-</v>
      </c>
      <c r="R54" s="835" t="str">
        <f ca="1">IFERROR(VLOOKUP(R$2,Rango_Admin_DailyPred,MATCH($F54,Rango_Admin_DailyPred_Primera,0),0),"-")</f>
        <v>-</v>
      </c>
      <c r="S54" s="835" t="str">
        <f ca="1">IFERROR(VLOOKUP(S$2,Rango_Admin_DailyPred,MATCH($F54,Rango_Admin_DailyPred_Primera,0),0),"-")</f>
        <v>-</v>
      </c>
      <c r="T54" s="835" t="str">
        <f ca="1">IFERROR(VLOOKUP(T$2,Rango_Admin_DailyPred,MATCH($F54,Rango_Admin_DailyPred_Primera,0),0),"-")</f>
        <v>-</v>
      </c>
      <c r="U54" s="835" t="str">
        <f ca="1">IFERROR(VLOOKUP(U$2,Rango_Admin_DailyPred,MATCH($F54,Rango_Admin_DailyPred_Primera,0),0),"-")</f>
        <v>-</v>
      </c>
      <c r="V54" s="835" t="str">
        <f ca="1">IFERROR(VLOOKUP(V$2,Rango_Admin_DailyPred,MATCH($F54,Rango_Admin_DailyPred_Primera,0),0),"-")</f>
        <v>-</v>
      </c>
      <c r="W54" s="835" t="str">
        <f ca="1">IFERROR(VLOOKUP(W$2,Rango_Admin_DailyPred,MATCH($F54,Rango_Admin_DailyPred_Primera,0),0),"-")</f>
        <v>-</v>
      </c>
      <c r="X54" s="835" t="str">
        <f ca="1">IFERROR(VLOOKUP(X$2,Rango_Admin_DailyPred,MATCH($F54,Rango_Admin_DailyPred_Primera,0),0),"-")</f>
        <v>-</v>
      </c>
      <c r="Y54" s="835" t="str">
        <f ca="1">IFERROR(VLOOKUP(Y$2,Rango_Admin_DailyPred,MATCH($F54,Rango_Admin_DailyPred_Primera,0),0),"-")</f>
        <v>-</v>
      </c>
      <c r="Z54" s="835" t="str">
        <f ca="1">IFERROR(VLOOKUP(Z$2,Rango_Admin_DailyPred,MATCH($F54,Rango_Admin_DailyPred_Primera,0),0),"-")</f>
        <v>-</v>
      </c>
      <c r="AA54" s="835" t="str">
        <f ca="1">IFERROR(VLOOKUP(AA$2,Rango_Admin_DailyPred,MATCH($F54,Rango_Admin_DailyPred_Primera,0),0),"-")</f>
        <v>-</v>
      </c>
      <c r="AB54" s="835" t="str">
        <f ca="1">IFERROR(VLOOKUP(AB$2,Rango_Admin_DailyPred,MATCH($F54,Rango_Admin_DailyPred_Primera,0),0),"-")</f>
        <v>-</v>
      </c>
      <c r="AC54" s="835" t="str">
        <f ca="1">IFERROR(VLOOKUP(AC$2,Rango_Admin_DailyPred,MATCH($F54,Rango_Admin_DailyPred_Primera,0),0),"-")</f>
        <v>-</v>
      </c>
      <c r="AD54" s="835" t="str">
        <f ca="1">IFERROR(VLOOKUP(AD$2,Rango_Admin_DailyPred,MATCH($F54,Rango_Admin_DailyPred_Primera,0),0),"-")</f>
        <v>-</v>
      </c>
      <c r="AE54" s="835" t="str">
        <f ca="1">IFERROR(VLOOKUP(AE$2,Rango_Admin_DailyPred,MATCH($F54,Rango_Admin_DailyPred_Primera,0),0),"-")</f>
        <v>-</v>
      </c>
      <c r="AF54" s="835" t="str">
        <f ca="1">IFERROR(VLOOKUP(AF$2,Rango_Admin_DailyPred,MATCH($F54,Rango_Admin_DailyPred_Primera,0),0),"-")</f>
        <v>-</v>
      </c>
      <c r="AG54" s="835" t="str">
        <f ca="1">IFERROR(VLOOKUP(AG$2,Rango_Admin_DailyPred,MATCH($F54,Rango_Admin_DailyPred_Primera,0),0),"-")</f>
        <v>-</v>
      </c>
      <c r="AH54" s="835" t="str">
        <f ca="1">IFERROR(VLOOKUP(AH$2,Rango_Admin_DailyPred,MATCH($F54,Rango_Admin_DailyPred_Primera,0),0),"-")</f>
        <v>-</v>
      </c>
      <c r="AI54" s="835" t="str">
        <f ca="1">IFERROR(VLOOKUP(AI$2,Rango_Admin_DailyPred,MATCH($F54,Rango_Admin_DailyPred_Primera,0),0),"-")</f>
        <v>-</v>
      </c>
      <c r="AJ54" s="835" t="str">
        <f ca="1">IFERROR(VLOOKUP(AJ$2,Rango_Admin_DailyPred,MATCH($F54,Rango_Admin_DailyPred_Primera,0),0),"-")</f>
        <v>-</v>
      </c>
      <c r="AK54" s="835" t="str">
        <f ca="1">IFERROR(VLOOKUP(AK$2,Rango_Admin_DailyPred,MATCH($F54,Rango_Admin_DailyPred_Primera,0),0),"-")</f>
        <v>-</v>
      </c>
      <c r="AL54" s="835" t="str">
        <f ca="1">IFERROR(VLOOKUP(AL$2,Rango_Admin_DailyPred,MATCH($F54,Rango_Admin_DailyPred_Primera,0),0),"-")</f>
        <v>-</v>
      </c>
    </row>
    <row r="55" spans="5:38">
      <c r="E55" s="19">
        <f t="shared" si="1"/>
        <v>162</v>
      </c>
      <c r="F55" s="833" t="str" cm="1">
        <f t="array" ref="F55">IFERROR(INDEX(Rango_Admin_DailyPred_Primera,1,E55),"-")</f>
        <v>-</v>
      </c>
      <c r="G55" s="717" t="str">
        <f ca="1">IFERROR(VLOOKUP(G$2,Rango_Admin_DailyPred,MATCH($F55,Rango_Admin_DailyPred_Primera,0),0),"-")</f>
        <v>-</v>
      </c>
      <c r="H55" s="717" t="str">
        <f ca="1">IFERROR(VLOOKUP(H$2,Rango_Admin_DailyPred,MATCH($F55,Rango_Admin_DailyPred_Primera,0),0),"-")</f>
        <v>-</v>
      </c>
      <c r="I55" s="717" t="str">
        <f ca="1">IFERROR(VLOOKUP(I$2,Rango_Admin_DailyPred,MATCH($F55,Rango_Admin_DailyPred_Primera,0),0),"-")</f>
        <v>-</v>
      </c>
      <c r="J55" s="717" t="str">
        <f ca="1">IFERROR(VLOOKUP(J$2,Rango_Admin_DailyPred,MATCH($F55,Rango_Admin_DailyPred_Primera,0),0),"-")</f>
        <v>-</v>
      </c>
      <c r="K55" s="717" t="str">
        <f ca="1">IFERROR(VLOOKUP(K$2,Rango_Admin_DailyPred,MATCH($F55,Rango_Admin_DailyPred_Primera,0),0),"-")</f>
        <v>-</v>
      </c>
      <c r="L55" s="717" t="str">
        <f ca="1">IFERROR(VLOOKUP(L$2,Rango_Admin_DailyPred,MATCH($F55,Rango_Admin_DailyPred_Primera,0),0),"-")</f>
        <v>-</v>
      </c>
      <c r="M55" s="717" t="str">
        <f ca="1">IFERROR(VLOOKUP(M$2,Rango_Admin_DailyPred,MATCH($F55,Rango_Admin_DailyPred_Primera,0),0),"-")</f>
        <v>-</v>
      </c>
      <c r="N55" s="717" t="str">
        <f ca="1">IFERROR(VLOOKUP(N$2,Rango_Admin_DailyPred,MATCH($F55,Rango_Admin_DailyPred_Primera,0),0),"-")</f>
        <v>-</v>
      </c>
      <c r="O55" s="717" t="str">
        <f ca="1">IFERROR(VLOOKUP(O$2,Rango_Admin_DailyPred,MATCH($F55,Rango_Admin_DailyPred_Primera,0),0),"-")</f>
        <v>-</v>
      </c>
      <c r="P55" s="717" t="str">
        <f ca="1">IFERROR(VLOOKUP(P$2,Rango_Admin_DailyPred,MATCH($F55,Rango_Admin_DailyPred_Primera,0),0),"-")</f>
        <v>-</v>
      </c>
      <c r="Q55" s="717" t="str">
        <f ca="1">IFERROR(VLOOKUP(Q$2,Rango_Admin_DailyPred,MATCH($F55,Rango_Admin_DailyPred_Primera,0),0),"-")</f>
        <v>-</v>
      </c>
      <c r="R55" s="717" t="str">
        <f ca="1">IFERROR(VLOOKUP(R$2,Rango_Admin_DailyPred,MATCH($F55,Rango_Admin_DailyPred_Primera,0),0),"-")</f>
        <v>-</v>
      </c>
      <c r="S55" s="717" t="str">
        <f ca="1">IFERROR(VLOOKUP(S$2,Rango_Admin_DailyPred,MATCH($F55,Rango_Admin_DailyPred_Primera,0),0),"-")</f>
        <v>-</v>
      </c>
      <c r="T55" s="717" t="str">
        <f ca="1">IFERROR(VLOOKUP(T$2,Rango_Admin_DailyPred,MATCH($F55,Rango_Admin_DailyPred_Primera,0),0),"-")</f>
        <v>-</v>
      </c>
      <c r="U55" s="717" t="str">
        <f ca="1">IFERROR(VLOOKUP(U$2,Rango_Admin_DailyPred,MATCH($F55,Rango_Admin_DailyPred_Primera,0),0),"-")</f>
        <v>-</v>
      </c>
      <c r="V55" s="717" t="str">
        <f ca="1">IFERROR(VLOOKUP(V$2,Rango_Admin_DailyPred,MATCH($F55,Rango_Admin_DailyPred_Primera,0),0),"-")</f>
        <v>-</v>
      </c>
      <c r="W55" s="717" t="str">
        <f ca="1">IFERROR(VLOOKUP(W$2,Rango_Admin_DailyPred,MATCH($F55,Rango_Admin_DailyPred_Primera,0),0),"-")</f>
        <v>-</v>
      </c>
      <c r="X55" s="717" t="str">
        <f ca="1">IFERROR(VLOOKUP(X$2,Rango_Admin_DailyPred,MATCH($F55,Rango_Admin_DailyPred_Primera,0),0),"-")</f>
        <v>-</v>
      </c>
      <c r="Y55" s="717" t="str">
        <f ca="1">IFERROR(VLOOKUP(Y$2,Rango_Admin_DailyPred,MATCH($F55,Rango_Admin_DailyPred_Primera,0),0),"-")</f>
        <v>-</v>
      </c>
      <c r="Z55" s="717" t="str">
        <f ca="1">IFERROR(VLOOKUP(Z$2,Rango_Admin_DailyPred,MATCH($F55,Rango_Admin_DailyPred_Primera,0),0),"-")</f>
        <v>-</v>
      </c>
      <c r="AA55" s="717" t="str">
        <f ca="1">IFERROR(VLOOKUP(AA$2,Rango_Admin_DailyPred,MATCH($F55,Rango_Admin_DailyPred_Primera,0),0),"-")</f>
        <v>-</v>
      </c>
      <c r="AB55" s="717" t="str">
        <f ca="1">IFERROR(VLOOKUP(AB$2,Rango_Admin_DailyPred,MATCH($F55,Rango_Admin_DailyPred_Primera,0),0),"-")</f>
        <v>-</v>
      </c>
      <c r="AC55" s="717" t="str">
        <f ca="1">IFERROR(VLOOKUP(AC$2,Rango_Admin_DailyPred,MATCH($F55,Rango_Admin_DailyPred_Primera,0),0),"-")</f>
        <v>-</v>
      </c>
      <c r="AD55" s="717" t="str">
        <f ca="1">IFERROR(VLOOKUP(AD$2,Rango_Admin_DailyPred,MATCH($F55,Rango_Admin_DailyPred_Primera,0),0),"-")</f>
        <v>-</v>
      </c>
      <c r="AE55" s="717" t="str">
        <f ca="1">IFERROR(VLOOKUP(AE$2,Rango_Admin_DailyPred,MATCH($F55,Rango_Admin_DailyPred_Primera,0),0),"-")</f>
        <v>-</v>
      </c>
      <c r="AF55" s="717" t="str">
        <f ca="1">IFERROR(VLOOKUP(AF$2,Rango_Admin_DailyPred,MATCH($F55,Rango_Admin_DailyPred_Primera,0),0),"-")</f>
        <v>-</v>
      </c>
      <c r="AG55" s="717" t="str">
        <f ca="1">IFERROR(VLOOKUP(AG$2,Rango_Admin_DailyPred,MATCH($F55,Rango_Admin_DailyPred_Primera,0),0),"-")</f>
        <v>-</v>
      </c>
      <c r="AH55" s="717" t="str">
        <f ca="1">IFERROR(VLOOKUP(AH$2,Rango_Admin_DailyPred,MATCH($F55,Rango_Admin_DailyPred_Primera,0),0),"-")</f>
        <v>-</v>
      </c>
      <c r="AI55" s="717" t="str">
        <f ca="1">IFERROR(VLOOKUP(AI$2,Rango_Admin_DailyPred,MATCH($F55,Rango_Admin_DailyPred_Primera,0),0),"-")</f>
        <v>-</v>
      </c>
      <c r="AJ55" s="717" t="str">
        <f ca="1">IFERROR(VLOOKUP(AJ$2,Rango_Admin_DailyPred,MATCH($F55,Rango_Admin_DailyPred_Primera,0),0),"-")</f>
        <v>-</v>
      </c>
      <c r="AK55" s="717" t="str">
        <f ca="1">IFERROR(VLOOKUP(AK$2,Rango_Admin_DailyPred,MATCH($F55,Rango_Admin_DailyPred_Primera,0),0),"-")</f>
        <v>-</v>
      </c>
      <c r="AL55" s="717" t="str">
        <f ca="1">IFERROR(VLOOKUP(AL$2,Rango_Admin_DailyPred,MATCH($F55,Rango_Admin_DailyPred_Primera,0),0),"-")</f>
        <v>-</v>
      </c>
    </row>
    <row r="56" spans="5:38">
      <c r="E56" s="19">
        <f t="shared" si="1"/>
        <v>165</v>
      </c>
      <c r="F56" s="834" t="str" cm="1">
        <f t="array" ref="F56">IFERROR(INDEX(Rango_Admin_DailyPred_Primera,1,E56),"-")</f>
        <v>-</v>
      </c>
      <c r="G56" s="835" t="str">
        <f ca="1">IFERROR(VLOOKUP(G$2,Rango_Admin_DailyPred,MATCH($F56,Rango_Admin_DailyPred_Primera,0),0),"-")</f>
        <v>-</v>
      </c>
      <c r="H56" s="835" t="str">
        <f ca="1">IFERROR(VLOOKUP(H$2,Rango_Admin_DailyPred,MATCH($F56,Rango_Admin_DailyPred_Primera,0),0),"-")</f>
        <v>-</v>
      </c>
      <c r="I56" s="835" t="str">
        <f ca="1">IFERROR(VLOOKUP(I$2,Rango_Admin_DailyPred,MATCH($F56,Rango_Admin_DailyPred_Primera,0),0),"-")</f>
        <v>-</v>
      </c>
      <c r="J56" s="835" t="str">
        <f ca="1">IFERROR(VLOOKUP(J$2,Rango_Admin_DailyPred,MATCH($F56,Rango_Admin_DailyPred_Primera,0),0),"-")</f>
        <v>-</v>
      </c>
      <c r="K56" s="835" t="str">
        <f ca="1">IFERROR(VLOOKUP(K$2,Rango_Admin_DailyPred,MATCH($F56,Rango_Admin_DailyPred_Primera,0),0),"-")</f>
        <v>-</v>
      </c>
      <c r="L56" s="835" t="str">
        <f ca="1">IFERROR(VLOOKUP(L$2,Rango_Admin_DailyPred,MATCH($F56,Rango_Admin_DailyPred_Primera,0),0),"-")</f>
        <v>-</v>
      </c>
      <c r="M56" s="835" t="str">
        <f ca="1">IFERROR(VLOOKUP(M$2,Rango_Admin_DailyPred,MATCH($F56,Rango_Admin_DailyPred_Primera,0),0),"-")</f>
        <v>-</v>
      </c>
      <c r="N56" s="835" t="str">
        <f ca="1">IFERROR(VLOOKUP(N$2,Rango_Admin_DailyPred,MATCH($F56,Rango_Admin_DailyPred_Primera,0),0),"-")</f>
        <v>-</v>
      </c>
      <c r="O56" s="835" t="str">
        <f ca="1">IFERROR(VLOOKUP(O$2,Rango_Admin_DailyPred,MATCH($F56,Rango_Admin_DailyPred_Primera,0),0),"-")</f>
        <v>-</v>
      </c>
      <c r="P56" s="835" t="str">
        <f ca="1">IFERROR(VLOOKUP(P$2,Rango_Admin_DailyPred,MATCH($F56,Rango_Admin_DailyPred_Primera,0),0),"-")</f>
        <v>-</v>
      </c>
      <c r="Q56" s="835" t="str">
        <f ca="1">IFERROR(VLOOKUP(Q$2,Rango_Admin_DailyPred,MATCH($F56,Rango_Admin_DailyPred_Primera,0),0),"-")</f>
        <v>-</v>
      </c>
      <c r="R56" s="835" t="str">
        <f ca="1">IFERROR(VLOOKUP(R$2,Rango_Admin_DailyPred,MATCH($F56,Rango_Admin_DailyPred_Primera,0),0),"-")</f>
        <v>-</v>
      </c>
      <c r="S56" s="835" t="str">
        <f ca="1">IFERROR(VLOOKUP(S$2,Rango_Admin_DailyPred,MATCH($F56,Rango_Admin_DailyPred_Primera,0),0),"-")</f>
        <v>-</v>
      </c>
      <c r="T56" s="835" t="str">
        <f ca="1">IFERROR(VLOOKUP(T$2,Rango_Admin_DailyPred,MATCH($F56,Rango_Admin_DailyPred_Primera,0),0),"-")</f>
        <v>-</v>
      </c>
      <c r="U56" s="835" t="str">
        <f ca="1">IFERROR(VLOOKUP(U$2,Rango_Admin_DailyPred,MATCH($F56,Rango_Admin_DailyPred_Primera,0),0),"-")</f>
        <v>-</v>
      </c>
      <c r="V56" s="835" t="str">
        <f ca="1">IFERROR(VLOOKUP(V$2,Rango_Admin_DailyPred,MATCH($F56,Rango_Admin_DailyPred_Primera,0),0),"-")</f>
        <v>-</v>
      </c>
      <c r="W56" s="835" t="str">
        <f ca="1">IFERROR(VLOOKUP(W$2,Rango_Admin_DailyPred,MATCH($F56,Rango_Admin_DailyPred_Primera,0),0),"-")</f>
        <v>-</v>
      </c>
      <c r="X56" s="835" t="str">
        <f ca="1">IFERROR(VLOOKUP(X$2,Rango_Admin_DailyPred,MATCH($F56,Rango_Admin_DailyPred_Primera,0),0),"-")</f>
        <v>-</v>
      </c>
      <c r="Y56" s="835" t="str">
        <f ca="1">IFERROR(VLOOKUP(Y$2,Rango_Admin_DailyPred,MATCH($F56,Rango_Admin_DailyPred_Primera,0),0),"-")</f>
        <v>-</v>
      </c>
      <c r="Z56" s="835" t="str">
        <f ca="1">IFERROR(VLOOKUP(Z$2,Rango_Admin_DailyPred,MATCH($F56,Rango_Admin_DailyPred_Primera,0),0),"-")</f>
        <v>-</v>
      </c>
      <c r="AA56" s="835" t="str">
        <f ca="1">IFERROR(VLOOKUP(AA$2,Rango_Admin_DailyPred,MATCH($F56,Rango_Admin_DailyPred_Primera,0),0),"-")</f>
        <v>-</v>
      </c>
      <c r="AB56" s="835" t="str">
        <f ca="1">IFERROR(VLOOKUP(AB$2,Rango_Admin_DailyPred,MATCH($F56,Rango_Admin_DailyPred_Primera,0),0),"-")</f>
        <v>-</v>
      </c>
      <c r="AC56" s="835" t="str">
        <f ca="1">IFERROR(VLOOKUP(AC$2,Rango_Admin_DailyPred,MATCH($F56,Rango_Admin_DailyPred_Primera,0),0),"-")</f>
        <v>-</v>
      </c>
      <c r="AD56" s="835" t="str">
        <f ca="1">IFERROR(VLOOKUP(AD$2,Rango_Admin_DailyPred,MATCH($F56,Rango_Admin_DailyPred_Primera,0),0),"-")</f>
        <v>-</v>
      </c>
      <c r="AE56" s="835" t="str">
        <f ca="1">IFERROR(VLOOKUP(AE$2,Rango_Admin_DailyPred,MATCH($F56,Rango_Admin_DailyPred_Primera,0),0),"-")</f>
        <v>-</v>
      </c>
      <c r="AF56" s="835" t="str">
        <f ca="1">IFERROR(VLOOKUP(AF$2,Rango_Admin_DailyPred,MATCH($F56,Rango_Admin_DailyPred_Primera,0),0),"-")</f>
        <v>-</v>
      </c>
      <c r="AG56" s="835" t="str">
        <f ca="1">IFERROR(VLOOKUP(AG$2,Rango_Admin_DailyPred,MATCH($F56,Rango_Admin_DailyPred_Primera,0),0),"-")</f>
        <v>-</v>
      </c>
      <c r="AH56" s="835" t="str">
        <f ca="1">IFERROR(VLOOKUP(AH$2,Rango_Admin_DailyPred,MATCH($F56,Rango_Admin_DailyPred_Primera,0),0),"-")</f>
        <v>-</v>
      </c>
      <c r="AI56" s="835" t="str">
        <f ca="1">IFERROR(VLOOKUP(AI$2,Rango_Admin_DailyPred,MATCH($F56,Rango_Admin_DailyPred_Primera,0),0),"-")</f>
        <v>-</v>
      </c>
      <c r="AJ56" s="835" t="str">
        <f ca="1">IFERROR(VLOOKUP(AJ$2,Rango_Admin_DailyPred,MATCH($F56,Rango_Admin_DailyPred_Primera,0),0),"-")</f>
        <v>-</v>
      </c>
      <c r="AK56" s="835" t="str">
        <f ca="1">IFERROR(VLOOKUP(AK$2,Rango_Admin_DailyPred,MATCH($F56,Rango_Admin_DailyPred_Primera,0),0),"-")</f>
        <v>-</v>
      </c>
      <c r="AL56" s="835" t="str">
        <f ca="1">IFERROR(VLOOKUP(AL$2,Rango_Admin_DailyPred,MATCH($F56,Rango_Admin_DailyPred_Primera,0),0),"-")</f>
        <v>-</v>
      </c>
    </row>
    <row r="57" spans="5:38">
      <c r="E57" s="19">
        <f t="shared" si="1"/>
        <v>168</v>
      </c>
      <c r="F57" s="833" t="str" cm="1">
        <f t="array" ref="F57">IFERROR(INDEX(Rango_Admin_DailyPred_Primera,1,E57),"-")</f>
        <v>-</v>
      </c>
      <c r="G57" s="717" t="str">
        <f ca="1">IFERROR(VLOOKUP(G$2,Rango_Admin_DailyPred,MATCH($F57,Rango_Admin_DailyPred_Primera,0),0),"-")</f>
        <v>-</v>
      </c>
      <c r="H57" s="717" t="str">
        <f ca="1">IFERROR(VLOOKUP(H$2,Rango_Admin_DailyPred,MATCH($F57,Rango_Admin_DailyPred_Primera,0),0),"-")</f>
        <v>-</v>
      </c>
      <c r="I57" s="717" t="str">
        <f ca="1">IFERROR(VLOOKUP(I$2,Rango_Admin_DailyPred,MATCH($F57,Rango_Admin_DailyPred_Primera,0),0),"-")</f>
        <v>-</v>
      </c>
      <c r="J57" s="717" t="str">
        <f ca="1">IFERROR(VLOOKUP(J$2,Rango_Admin_DailyPred,MATCH($F57,Rango_Admin_DailyPred_Primera,0),0),"-")</f>
        <v>-</v>
      </c>
      <c r="K57" s="717" t="str">
        <f ca="1">IFERROR(VLOOKUP(K$2,Rango_Admin_DailyPred,MATCH($F57,Rango_Admin_DailyPred_Primera,0),0),"-")</f>
        <v>-</v>
      </c>
      <c r="L57" s="717" t="str">
        <f ca="1">IFERROR(VLOOKUP(L$2,Rango_Admin_DailyPred,MATCH($F57,Rango_Admin_DailyPred_Primera,0),0),"-")</f>
        <v>-</v>
      </c>
      <c r="M57" s="717" t="str">
        <f ca="1">IFERROR(VLOOKUP(M$2,Rango_Admin_DailyPred,MATCH($F57,Rango_Admin_DailyPred_Primera,0),0),"-")</f>
        <v>-</v>
      </c>
      <c r="N57" s="717" t="str">
        <f ca="1">IFERROR(VLOOKUP(N$2,Rango_Admin_DailyPred,MATCH($F57,Rango_Admin_DailyPred_Primera,0),0),"-")</f>
        <v>-</v>
      </c>
      <c r="O57" s="717" t="str">
        <f ca="1">IFERROR(VLOOKUP(O$2,Rango_Admin_DailyPred,MATCH($F57,Rango_Admin_DailyPred_Primera,0),0),"-")</f>
        <v>-</v>
      </c>
      <c r="P57" s="717" t="str">
        <f ca="1">IFERROR(VLOOKUP(P$2,Rango_Admin_DailyPred,MATCH($F57,Rango_Admin_DailyPred_Primera,0),0),"-")</f>
        <v>-</v>
      </c>
      <c r="Q57" s="717" t="str">
        <f ca="1">IFERROR(VLOOKUP(Q$2,Rango_Admin_DailyPred,MATCH($F57,Rango_Admin_DailyPred_Primera,0),0),"-")</f>
        <v>-</v>
      </c>
      <c r="R57" s="717" t="str">
        <f ca="1">IFERROR(VLOOKUP(R$2,Rango_Admin_DailyPred,MATCH($F57,Rango_Admin_DailyPred_Primera,0),0),"-")</f>
        <v>-</v>
      </c>
      <c r="S57" s="717" t="str">
        <f ca="1">IFERROR(VLOOKUP(S$2,Rango_Admin_DailyPred,MATCH($F57,Rango_Admin_DailyPred_Primera,0),0),"-")</f>
        <v>-</v>
      </c>
      <c r="T57" s="717" t="str">
        <f ca="1">IFERROR(VLOOKUP(T$2,Rango_Admin_DailyPred,MATCH($F57,Rango_Admin_DailyPred_Primera,0),0),"-")</f>
        <v>-</v>
      </c>
      <c r="U57" s="717" t="str">
        <f ca="1">IFERROR(VLOOKUP(U$2,Rango_Admin_DailyPred,MATCH($F57,Rango_Admin_DailyPred_Primera,0),0),"-")</f>
        <v>-</v>
      </c>
      <c r="V57" s="717" t="str">
        <f ca="1">IFERROR(VLOOKUP(V$2,Rango_Admin_DailyPred,MATCH($F57,Rango_Admin_DailyPred_Primera,0),0),"-")</f>
        <v>-</v>
      </c>
      <c r="W57" s="717" t="str">
        <f ca="1">IFERROR(VLOOKUP(W$2,Rango_Admin_DailyPred,MATCH($F57,Rango_Admin_DailyPred_Primera,0),0),"-")</f>
        <v>-</v>
      </c>
      <c r="X57" s="717" t="str">
        <f ca="1">IFERROR(VLOOKUP(X$2,Rango_Admin_DailyPred,MATCH($F57,Rango_Admin_DailyPred_Primera,0),0),"-")</f>
        <v>-</v>
      </c>
      <c r="Y57" s="717" t="str">
        <f ca="1">IFERROR(VLOOKUP(Y$2,Rango_Admin_DailyPred,MATCH($F57,Rango_Admin_DailyPred_Primera,0),0),"-")</f>
        <v>-</v>
      </c>
      <c r="Z57" s="717" t="str">
        <f ca="1">IFERROR(VLOOKUP(Z$2,Rango_Admin_DailyPred,MATCH($F57,Rango_Admin_DailyPred_Primera,0),0),"-")</f>
        <v>-</v>
      </c>
      <c r="AA57" s="717" t="str">
        <f ca="1">IFERROR(VLOOKUP(AA$2,Rango_Admin_DailyPred,MATCH($F57,Rango_Admin_DailyPred_Primera,0),0),"-")</f>
        <v>-</v>
      </c>
      <c r="AB57" s="717" t="str">
        <f ca="1">IFERROR(VLOOKUP(AB$2,Rango_Admin_DailyPred,MATCH($F57,Rango_Admin_DailyPred_Primera,0),0),"-")</f>
        <v>-</v>
      </c>
      <c r="AC57" s="717" t="str">
        <f ca="1">IFERROR(VLOOKUP(AC$2,Rango_Admin_DailyPred,MATCH($F57,Rango_Admin_DailyPred_Primera,0),0),"-")</f>
        <v>-</v>
      </c>
      <c r="AD57" s="717" t="str">
        <f ca="1">IFERROR(VLOOKUP(AD$2,Rango_Admin_DailyPred,MATCH($F57,Rango_Admin_DailyPred_Primera,0),0),"-")</f>
        <v>-</v>
      </c>
      <c r="AE57" s="717" t="str">
        <f ca="1">IFERROR(VLOOKUP(AE$2,Rango_Admin_DailyPred,MATCH($F57,Rango_Admin_DailyPred_Primera,0),0),"-")</f>
        <v>-</v>
      </c>
      <c r="AF57" s="717" t="str">
        <f ca="1">IFERROR(VLOOKUP(AF$2,Rango_Admin_DailyPred,MATCH($F57,Rango_Admin_DailyPred_Primera,0),0),"-")</f>
        <v>-</v>
      </c>
      <c r="AG57" s="717" t="str">
        <f ca="1">IFERROR(VLOOKUP(AG$2,Rango_Admin_DailyPred,MATCH($F57,Rango_Admin_DailyPred_Primera,0),0),"-")</f>
        <v>-</v>
      </c>
      <c r="AH57" s="717" t="str">
        <f ca="1">IFERROR(VLOOKUP(AH$2,Rango_Admin_DailyPred,MATCH($F57,Rango_Admin_DailyPred_Primera,0),0),"-")</f>
        <v>-</v>
      </c>
      <c r="AI57" s="717" t="str">
        <f ca="1">IFERROR(VLOOKUP(AI$2,Rango_Admin_DailyPred,MATCH($F57,Rango_Admin_DailyPred_Primera,0),0),"-")</f>
        <v>-</v>
      </c>
      <c r="AJ57" s="717" t="str">
        <f ca="1">IFERROR(VLOOKUP(AJ$2,Rango_Admin_DailyPred,MATCH($F57,Rango_Admin_DailyPred_Primera,0),0),"-")</f>
        <v>-</v>
      </c>
      <c r="AK57" s="717" t="str">
        <f ca="1">IFERROR(VLOOKUP(AK$2,Rango_Admin_DailyPred,MATCH($F57,Rango_Admin_DailyPred_Primera,0),0),"-")</f>
        <v>-</v>
      </c>
      <c r="AL57" s="717" t="str">
        <f ca="1">IFERROR(VLOOKUP(AL$2,Rango_Admin_DailyPred,MATCH($F57,Rango_Admin_DailyPred_Primera,0),0),"-")</f>
        <v>-</v>
      </c>
    </row>
    <row r="58" spans="5:38">
      <c r="E58" s="19">
        <f t="shared" si="1"/>
        <v>171</v>
      </c>
      <c r="F58" s="834" t="str" cm="1">
        <f t="array" ref="F58">IFERROR(INDEX(Rango_Admin_DailyPred_Primera,1,E58),"-")</f>
        <v>-</v>
      </c>
      <c r="G58" s="835" t="str">
        <f ca="1">IFERROR(VLOOKUP(G$2,Rango_Admin_DailyPred,MATCH($F58,Rango_Admin_DailyPred_Primera,0),0),"-")</f>
        <v>-</v>
      </c>
      <c r="H58" s="835" t="str">
        <f ca="1">IFERROR(VLOOKUP(H$2,Rango_Admin_DailyPred,MATCH($F58,Rango_Admin_DailyPred_Primera,0),0),"-")</f>
        <v>-</v>
      </c>
      <c r="I58" s="835" t="str">
        <f ca="1">IFERROR(VLOOKUP(I$2,Rango_Admin_DailyPred,MATCH($F58,Rango_Admin_DailyPred_Primera,0),0),"-")</f>
        <v>-</v>
      </c>
      <c r="J58" s="835" t="str">
        <f ca="1">IFERROR(VLOOKUP(J$2,Rango_Admin_DailyPred,MATCH($F58,Rango_Admin_DailyPred_Primera,0),0),"-")</f>
        <v>-</v>
      </c>
      <c r="K58" s="835" t="str">
        <f ca="1">IFERROR(VLOOKUP(K$2,Rango_Admin_DailyPred,MATCH($F58,Rango_Admin_DailyPred_Primera,0),0),"-")</f>
        <v>-</v>
      </c>
      <c r="L58" s="835" t="str">
        <f ca="1">IFERROR(VLOOKUP(L$2,Rango_Admin_DailyPred,MATCH($F58,Rango_Admin_DailyPred_Primera,0),0),"-")</f>
        <v>-</v>
      </c>
      <c r="M58" s="835" t="str">
        <f ca="1">IFERROR(VLOOKUP(M$2,Rango_Admin_DailyPred,MATCH($F58,Rango_Admin_DailyPred_Primera,0),0),"-")</f>
        <v>-</v>
      </c>
      <c r="N58" s="835" t="str">
        <f ca="1">IFERROR(VLOOKUP(N$2,Rango_Admin_DailyPred,MATCH($F58,Rango_Admin_DailyPred_Primera,0),0),"-")</f>
        <v>-</v>
      </c>
      <c r="O58" s="835" t="str">
        <f ca="1">IFERROR(VLOOKUP(O$2,Rango_Admin_DailyPred,MATCH($F58,Rango_Admin_DailyPred_Primera,0),0),"-")</f>
        <v>-</v>
      </c>
      <c r="P58" s="835" t="str">
        <f ca="1">IFERROR(VLOOKUP(P$2,Rango_Admin_DailyPred,MATCH($F58,Rango_Admin_DailyPred_Primera,0),0),"-")</f>
        <v>-</v>
      </c>
      <c r="Q58" s="835" t="str">
        <f ca="1">IFERROR(VLOOKUP(Q$2,Rango_Admin_DailyPred,MATCH($F58,Rango_Admin_DailyPred_Primera,0),0),"-")</f>
        <v>-</v>
      </c>
      <c r="R58" s="835" t="str">
        <f ca="1">IFERROR(VLOOKUP(R$2,Rango_Admin_DailyPred,MATCH($F58,Rango_Admin_DailyPred_Primera,0),0),"-")</f>
        <v>-</v>
      </c>
      <c r="S58" s="835" t="str">
        <f ca="1">IFERROR(VLOOKUP(S$2,Rango_Admin_DailyPred,MATCH($F58,Rango_Admin_DailyPred_Primera,0),0),"-")</f>
        <v>-</v>
      </c>
      <c r="T58" s="835" t="str">
        <f ca="1">IFERROR(VLOOKUP(T$2,Rango_Admin_DailyPred,MATCH($F58,Rango_Admin_DailyPred_Primera,0),0),"-")</f>
        <v>-</v>
      </c>
      <c r="U58" s="835" t="str">
        <f ca="1">IFERROR(VLOOKUP(U$2,Rango_Admin_DailyPred,MATCH($F58,Rango_Admin_DailyPred_Primera,0),0),"-")</f>
        <v>-</v>
      </c>
      <c r="V58" s="835" t="str">
        <f ca="1">IFERROR(VLOOKUP(V$2,Rango_Admin_DailyPred,MATCH($F58,Rango_Admin_DailyPred_Primera,0),0),"-")</f>
        <v>-</v>
      </c>
      <c r="W58" s="835" t="str">
        <f ca="1">IFERROR(VLOOKUP(W$2,Rango_Admin_DailyPred,MATCH($F58,Rango_Admin_DailyPred_Primera,0),0),"-")</f>
        <v>-</v>
      </c>
      <c r="X58" s="835" t="str">
        <f ca="1">IFERROR(VLOOKUP(X$2,Rango_Admin_DailyPred,MATCH($F58,Rango_Admin_DailyPred_Primera,0),0),"-")</f>
        <v>-</v>
      </c>
      <c r="Y58" s="835" t="str">
        <f ca="1">IFERROR(VLOOKUP(Y$2,Rango_Admin_DailyPred,MATCH($F58,Rango_Admin_DailyPred_Primera,0),0),"-")</f>
        <v>-</v>
      </c>
      <c r="Z58" s="835" t="str">
        <f ca="1">IFERROR(VLOOKUP(Z$2,Rango_Admin_DailyPred,MATCH($F58,Rango_Admin_DailyPred_Primera,0),0),"-")</f>
        <v>-</v>
      </c>
      <c r="AA58" s="835" t="str">
        <f ca="1">IFERROR(VLOOKUP(AA$2,Rango_Admin_DailyPred,MATCH($F58,Rango_Admin_DailyPred_Primera,0),0),"-")</f>
        <v>-</v>
      </c>
      <c r="AB58" s="835" t="str">
        <f ca="1">IFERROR(VLOOKUP(AB$2,Rango_Admin_DailyPred,MATCH($F58,Rango_Admin_DailyPred_Primera,0),0),"-")</f>
        <v>-</v>
      </c>
      <c r="AC58" s="835" t="str">
        <f ca="1">IFERROR(VLOOKUP(AC$2,Rango_Admin_DailyPred,MATCH($F58,Rango_Admin_DailyPred_Primera,0),0),"-")</f>
        <v>-</v>
      </c>
      <c r="AD58" s="835" t="str">
        <f ca="1">IFERROR(VLOOKUP(AD$2,Rango_Admin_DailyPred,MATCH($F58,Rango_Admin_DailyPred_Primera,0),0),"-")</f>
        <v>-</v>
      </c>
      <c r="AE58" s="835" t="str">
        <f ca="1">IFERROR(VLOOKUP(AE$2,Rango_Admin_DailyPred,MATCH($F58,Rango_Admin_DailyPred_Primera,0),0),"-")</f>
        <v>-</v>
      </c>
      <c r="AF58" s="835" t="str">
        <f ca="1">IFERROR(VLOOKUP(AF$2,Rango_Admin_DailyPred,MATCH($F58,Rango_Admin_DailyPred_Primera,0),0),"-")</f>
        <v>-</v>
      </c>
      <c r="AG58" s="835" t="str">
        <f ca="1">IFERROR(VLOOKUP(AG$2,Rango_Admin_DailyPred,MATCH($F58,Rango_Admin_DailyPred_Primera,0),0),"-")</f>
        <v>-</v>
      </c>
      <c r="AH58" s="835" t="str">
        <f ca="1">IFERROR(VLOOKUP(AH$2,Rango_Admin_DailyPred,MATCH($F58,Rango_Admin_DailyPred_Primera,0),0),"-")</f>
        <v>-</v>
      </c>
      <c r="AI58" s="835" t="str">
        <f ca="1">IFERROR(VLOOKUP(AI$2,Rango_Admin_DailyPred,MATCH($F58,Rango_Admin_DailyPred_Primera,0),0),"-")</f>
        <v>-</v>
      </c>
      <c r="AJ58" s="835" t="str">
        <f ca="1">IFERROR(VLOOKUP(AJ$2,Rango_Admin_DailyPred,MATCH($F58,Rango_Admin_DailyPred_Primera,0),0),"-")</f>
        <v>-</v>
      </c>
      <c r="AK58" s="835" t="str">
        <f ca="1">IFERROR(VLOOKUP(AK$2,Rango_Admin_DailyPred,MATCH($F58,Rango_Admin_DailyPred_Primera,0),0),"-")</f>
        <v>-</v>
      </c>
      <c r="AL58" s="835" t="str">
        <f ca="1">IFERROR(VLOOKUP(AL$2,Rango_Admin_DailyPred,MATCH($F58,Rango_Admin_DailyPred_Primera,0),0),"-")</f>
        <v>-</v>
      </c>
    </row>
    <row r="59" spans="5:38">
      <c r="E59" s="19">
        <f t="shared" si="1"/>
        <v>174</v>
      </c>
      <c r="F59" s="833" t="str" cm="1">
        <f t="array" ref="F59">IFERROR(INDEX(Rango_Admin_DailyPred_Primera,1,E59),"-")</f>
        <v>-</v>
      </c>
      <c r="G59" s="717" t="str">
        <f ca="1">IFERROR(VLOOKUP(G$2,Rango_Admin_DailyPred,MATCH($F59,Rango_Admin_DailyPred_Primera,0),0),"-")</f>
        <v>-</v>
      </c>
      <c r="H59" s="717" t="str">
        <f ca="1">IFERROR(VLOOKUP(H$2,Rango_Admin_DailyPred,MATCH($F59,Rango_Admin_DailyPred_Primera,0),0),"-")</f>
        <v>-</v>
      </c>
      <c r="I59" s="717" t="str">
        <f ca="1">IFERROR(VLOOKUP(I$2,Rango_Admin_DailyPred,MATCH($F59,Rango_Admin_DailyPred_Primera,0),0),"-")</f>
        <v>-</v>
      </c>
      <c r="J59" s="717" t="str">
        <f ca="1">IFERROR(VLOOKUP(J$2,Rango_Admin_DailyPred,MATCH($F59,Rango_Admin_DailyPred_Primera,0),0),"-")</f>
        <v>-</v>
      </c>
      <c r="K59" s="717" t="str">
        <f ca="1">IFERROR(VLOOKUP(K$2,Rango_Admin_DailyPred,MATCH($F59,Rango_Admin_DailyPred_Primera,0),0),"-")</f>
        <v>-</v>
      </c>
      <c r="L59" s="717" t="str">
        <f ca="1">IFERROR(VLOOKUP(L$2,Rango_Admin_DailyPred,MATCH($F59,Rango_Admin_DailyPred_Primera,0),0),"-")</f>
        <v>-</v>
      </c>
      <c r="M59" s="717" t="str">
        <f ca="1">IFERROR(VLOOKUP(M$2,Rango_Admin_DailyPred,MATCH($F59,Rango_Admin_DailyPred_Primera,0),0),"-")</f>
        <v>-</v>
      </c>
      <c r="N59" s="717" t="str">
        <f ca="1">IFERROR(VLOOKUP(N$2,Rango_Admin_DailyPred,MATCH($F59,Rango_Admin_DailyPred_Primera,0),0),"-")</f>
        <v>-</v>
      </c>
      <c r="O59" s="717" t="str">
        <f ca="1">IFERROR(VLOOKUP(O$2,Rango_Admin_DailyPred,MATCH($F59,Rango_Admin_DailyPred_Primera,0),0),"-")</f>
        <v>-</v>
      </c>
      <c r="P59" s="717" t="str">
        <f ca="1">IFERROR(VLOOKUP(P$2,Rango_Admin_DailyPred,MATCH($F59,Rango_Admin_DailyPred_Primera,0),0),"-")</f>
        <v>-</v>
      </c>
      <c r="Q59" s="717" t="str">
        <f ca="1">IFERROR(VLOOKUP(Q$2,Rango_Admin_DailyPred,MATCH($F59,Rango_Admin_DailyPred_Primera,0),0),"-")</f>
        <v>-</v>
      </c>
      <c r="R59" s="717" t="str">
        <f ca="1">IFERROR(VLOOKUP(R$2,Rango_Admin_DailyPred,MATCH($F59,Rango_Admin_DailyPred_Primera,0),0),"-")</f>
        <v>-</v>
      </c>
      <c r="S59" s="717" t="str">
        <f ca="1">IFERROR(VLOOKUP(S$2,Rango_Admin_DailyPred,MATCH($F59,Rango_Admin_DailyPred_Primera,0),0),"-")</f>
        <v>-</v>
      </c>
      <c r="T59" s="717" t="str">
        <f ca="1">IFERROR(VLOOKUP(T$2,Rango_Admin_DailyPred,MATCH($F59,Rango_Admin_DailyPred_Primera,0),0),"-")</f>
        <v>-</v>
      </c>
      <c r="U59" s="717" t="str">
        <f ca="1">IFERROR(VLOOKUP(U$2,Rango_Admin_DailyPred,MATCH($F59,Rango_Admin_DailyPred_Primera,0),0),"-")</f>
        <v>-</v>
      </c>
      <c r="V59" s="717" t="str">
        <f ca="1">IFERROR(VLOOKUP(V$2,Rango_Admin_DailyPred,MATCH($F59,Rango_Admin_DailyPred_Primera,0),0),"-")</f>
        <v>-</v>
      </c>
      <c r="W59" s="717" t="str">
        <f ca="1">IFERROR(VLOOKUP(W$2,Rango_Admin_DailyPred,MATCH($F59,Rango_Admin_DailyPred_Primera,0),0),"-")</f>
        <v>-</v>
      </c>
      <c r="X59" s="717" t="str">
        <f ca="1">IFERROR(VLOOKUP(X$2,Rango_Admin_DailyPred,MATCH($F59,Rango_Admin_DailyPred_Primera,0),0),"-")</f>
        <v>-</v>
      </c>
      <c r="Y59" s="717" t="str">
        <f ca="1">IFERROR(VLOOKUP(Y$2,Rango_Admin_DailyPred,MATCH($F59,Rango_Admin_DailyPred_Primera,0),0),"-")</f>
        <v>-</v>
      </c>
      <c r="Z59" s="717" t="str">
        <f ca="1">IFERROR(VLOOKUP(Z$2,Rango_Admin_DailyPred,MATCH($F59,Rango_Admin_DailyPred_Primera,0),0),"-")</f>
        <v>-</v>
      </c>
      <c r="AA59" s="717" t="str">
        <f ca="1">IFERROR(VLOOKUP(AA$2,Rango_Admin_DailyPred,MATCH($F59,Rango_Admin_DailyPred_Primera,0),0),"-")</f>
        <v>-</v>
      </c>
      <c r="AB59" s="717" t="str">
        <f ca="1">IFERROR(VLOOKUP(AB$2,Rango_Admin_DailyPred,MATCH($F59,Rango_Admin_DailyPred_Primera,0),0),"-")</f>
        <v>-</v>
      </c>
      <c r="AC59" s="717" t="str">
        <f ca="1">IFERROR(VLOOKUP(AC$2,Rango_Admin_DailyPred,MATCH($F59,Rango_Admin_DailyPred_Primera,0),0),"-")</f>
        <v>-</v>
      </c>
      <c r="AD59" s="717" t="str">
        <f ca="1">IFERROR(VLOOKUP(AD$2,Rango_Admin_DailyPred,MATCH($F59,Rango_Admin_DailyPred_Primera,0),0),"-")</f>
        <v>-</v>
      </c>
      <c r="AE59" s="717" t="str">
        <f ca="1">IFERROR(VLOOKUP(AE$2,Rango_Admin_DailyPred,MATCH($F59,Rango_Admin_DailyPred_Primera,0),0),"-")</f>
        <v>-</v>
      </c>
      <c r="AF59" s="717" t="str">
        <f ca="1">IFERROR(VLOOKUP(AF$2,Rango_Admin_DailyPred,MATCH($F59,Rango_Admin_DailyPred_Primera,0),0),"-")</f>
        <v>-</v>
      </c>
      <c r="AG59" s="717" t="str">
        <f ca="1">IFERROR(VLOOKUP(AG$2,Rango_Admin_DailyPred,MATCH($F59,Rango_Admin_DailyPred_Primera,0),0),"-")</f>
        <v>-</v>
      </c>
      <c r="AH59" s="717" t="str">
        <f ca="1">IFERROR(VLOOKUP(AH$2,Rango_Admin_DailyPred,MATCH($F59,Rango_Admin_DailyPred_Primera,0),0),"-")</f>
        <v>-</v>
      </c>
      <c r="AI59" s="717" t="str">
        <f ca="1">IFERROR(VLOOKUP(AI$2,Rango_Admin_DailyPred,MATCH($F59,Rango_Admin_DailyPred_Primera,0),0),"-")</f>
        <v>-</v>
      </c>
      <c r="AJ59" s="717" t="str">
        <f ca="1">IFERROR(VLOOKUP(AJ$2,Rango_Admin_DailyPred,MATCH($F59,Rango_Admin_DailyPred_Primera,0),0),"-")</f>
        <v>-</v>
      </c>
      <c r="AK59" s="717" t="str">
        <f ca="1">IFERROR(VLOOKUP(AK$2,Rango_Admin_DailyPred,MATCH($F59,Rango_Admin_DailyPred_Primera,0),0),"-")</f>
        <v>-</v>
      </c>
      <c r="AL59" s="717" t="str">
        <f ca="1">IFERROR(VLOOKUP(AL$2,Rango_Admin_DailyPred,MATCH($F59,Rango_Admin_DailyPred_Primera,0),0),"-")</f>
        <v>-</v>
      </c>
    </row>
    <row r="60" spans="5:38">
      <c r="E60" s="19">
        <f t="shared" si="1"/>
        <v>177</v>
      </c>
      <c r="F60" s="834" t="str" cm="1">
        <f t="array" ref="F60">IFERROR(INDEX(Rango_Admin_DailyPred_Primera,1,E60),"-")</f>
        <v>-</v>
      </c>
      <c r="G60" s="835" t="str">
        <f ca="1">IFERROR(VLOOKUP(G$2,Rango_Admin_DailyPred,MATCH($F60,Rango_Admin_DailyPred_Primera,0),0),"-")</f>
        <v>-</v>
      </c>
      <c r="H60" s="835" t="str">
        <f ca="1">IFERROR(VLOOKUP(H$2,Rango_Admin_DailyPred,MATCH($F60,Rango_Admin_DailyPred_Primera,0),0),"-")</f>
        <v>-</v>
      </c>
      <c r="I60" s="835" t="str">
        <f ca="1">IFERROR(VLOOKUP(I$2,Rango_Admin_DailyPred,MATCH($F60,Rango_Admin_DailyPred_Primera,0),0),"-")</f>
        <v>-</v>
      </c>
      <c r="J60" s="835" t="str">
        <f ca="1">IFERROR(VLOOKUP(J$2,Rango_Admin_DailyPred,MATCH($F60,Rango_Admin_DailyPred_Primera,0),0),"-")</f>
        <v>-</v>
      </c>
      <c r="K60" s="835" t="str">
        <f ca="1">IFERROR(VLOOKUP(K$2,Rango_Admin_DailyPred,MATCH($F60,Rango_Admin_DailyPred_Primera,0),0),"-")</f>
        <v>-</v>
      </c>
      <c r="L60" s="835" t="str">
        <f ca="1">IFERROR(VLOOKUP(L$2,Rango_Admin_DailyPred,MATCH($F60,Rango_Admin_DailyPred_Primera,0),0),"-")</f>
        <v>-</v>
      </c>
      <c r="M60" s="835" t="str">
        <f ca="1">IFERROR(VLOOKUP(M$2,Rango_Admin_DailyPred,MATCH($F60,Rango_Admin_DailyPred_Primera,0),0),"-")</f>
        <v>-</v>
      </c>
      <c r="N60" s="835" t="str">
        <f ca="1">IFERROR(VLOOKUP(N$2,Rango_Admin_DailyPred,MATCH($F60,Rango_Admin_DailyPred_Primera,0),0),"-")</f>
        <v>-</v>
      </c>
      <c r="O60" s="835" t="str">
        <f ca="1">IFERROR(VLOOKUP(O$2,Rango_Admin_DailyPred,MATCH($F60,Rango_Admin_DailyPred_Primera,0),0),"-")</f>
        <v>-</v>
      </c>
      <c r="P60" s="835" t="str">
        <f ca="1">IFERROR(VLOOKUP(P$2,Rango_Admin_DailyPred,MATCH($F60,Rango_Admin_DailyPred_Primera,0),0),"-")</f>
        <v>-</v>
      </c>
      <c r="Q60" s="835" t="str">
        <f ca="1">IFERROR(VLOOKUP(Q$2,Rango_Admin_DailyPred,MATCH($F60,Rango_Admin_DailyPred_Primera,0),0),"-")</f>
        <v>-</v>
      </c>
      <c r="R60" s="835" t="str">
        <f ca="1">IFERROR(VLOOKUP(R$2,Rango_Admin_DailyPred,MATCH($F60,Rango_Admin_DailyPred_Primera,0),0),"-")</f>
        <v>-</v>
      </c>
      <c r="S60" s="835" t="str">
        <f ca="1">IFERROR(VLOOKUP(S$2,Rango_Admin_DailyPred,MATCH($F60,Rango_Admin_DailyPred_Primera,0),0),"-")</f>
        <v>-</v>
      </c>
      <c r="T60" s="835" t="str">
        <f ca="1">IFERROR(VLOOKUP(T$2,Rango_Admin_DailyPred,MATCH($F60,Rango_Admin_DailyPred_Primera,0),0),"-")</f>
        <v>-</v>
      </c>
      <c r="U60" s="835" t="str">
        <f ca="1">IFERROR(VLOOKUP(U$2,Rango_Admin_DailyPred,MATCH($F60,Rango_Admin_DailyPred_Primera,0),0),"-")</f>
        <v>-</v>
      </c>
      <c r="V60" s="835" t="str">
        <f ca="1">IFERROR(VLOOKUP(V$2,Rango_Admin_DailyPred,MATCH($F60,Rango_Admin_DailyPred_Primera,0),0),"-")</f>
        <v>-</v>
      </c>
      <c r="W60" s="835" t="str">
        <f ca="1">IFERROR(VLOOKUP(W$2,Rango_Admin_DailyPred,MATCH($F60,Rango_Admin_DailyPred_Primera,0),0),"-")</f>
        <v>-</v>
      </c>
      <c r="X60" s="835" t="str">
        <f ca="1">IFERROR(VLOOKUP(X$2,Rango_Admin_DailyPred,MATCH($F60,Rango_Admin_DailyPred_Primera,0),0),"-")</f>
        <v>-</v>
      </c>
      <c r="Y60" s="835" t="str">
        <f ca="1">IFERROR(VLOOKUP(Y$2,Rango_Admin_DailyPred,MATCH($F60,Rango_Admin_DailyPred_Primera,0),0),"-")</f>
        <v>-</v>
      </c>
      <c r="Z60" s="835" t="str">
        <f ca="1">IFERROR(VLOOKUP(Z$2,Rango_Admin_DailyPred,MATCH($F60,Rango_Admin_DailyPred_Primera,0),0),"-")</f>
        <v>-</v>
      </c>
      <c r="AA60" s="835" t="str">
        <f ca="1">IFERROR(VLOOKUP(AA$2,Rango_Admin_DailyPred,MATCH($F60,Rango_Admin_DailyPred_Primera,0),0),"-")</f>
        <v>-</v>
      </c>
      <c r="AB60" s="835" t="str">
        <f ca="1">IFERROR(VLOOKUP(AB$2,Rango_Admin_DailyPred,MATCH($F60,Rango_Admin_DailyPred_Primera,0),0),"-")</f>
        <v>-</v>
      </c>
      <c r="AC60" s="835" t="str">
        <f ca="1">IFERROR(VLOOKUP(AC$2,Rango_Admin_DailyPred,MATCH($F60,Rango_Admin_DailyPred_Primera,0),0),"-")</f>
        <v>-</v>
      </c>
      <c r="AD60" s="835" t="str">
        <f ca="1">IFERROR(VLOOKUP(AD$2,Rango_Admin_DailyPred,MATCH($F60,Rango_Admin_DailyPred_Primera,0),0),"-")</f>
        <v>-</v>
      </c>
      <c r="AE60" s="835" t="str">
        <f ca="1">IFERROR(VLOOKUP(AE$2,Rango_Admin_DailyPred,MATCH($F60,Rango_Admin_DailyPred_Primera,0),0),"-")</f>
        <v>-</v>
      </c>
      <c r="AF60" s="835" t="str">
        <f ca="1">IFERROR(VLOOKUP(AF$2,Rango_Admin_DailyPred,MATCH($F60,Rango_Admin_DailyPred_Primera,0),0),"-")</f>
        <v>-</v>
      </c>
      <c r="AG60" s="835" t="str">
        <f ca="1">IFERROR(VLOOKUP(AG$2,Rango_Admin_DailyPred,MATCH($F60,Rango_Admin_DailyPred_Primera,0),0),"-")</f>
        <v>-</v>
      </c>
      <c r="AH60" s="835" t="str">
        <f ca="1">IFERROR(VLOOKUP(AH$2,Rango_Admin_DailyPred,MATCH($F60,Rango_Admin_DailyPred_Primera,0),0),"-")</f>
        <v>-</v>
      </c>
      <c r="AI60" s="835" t="str">
        <f ca="1">IFERROR(VLOOKUP(AI$2,Rango_Admin_DailyPred,MATCH($F60,Rango_Admin_DailyPred_Primera,0),0),"-")</f>
        <v>-</v>
      </c>
      <c r="AJ60" s="835" t="str">
        <f ca="1">IFERROR(VLOOKUP(AJ$2,Rango_Admin_DailyPred,MATCH($F60,Rango_Admin_DailyPred_Primera,0),0),"-")</f>
        <v>-</v>
      </c>
      <c r="AK60" s="835" t="str">
        <f ca="1">IFERROR(VLOOKUP(AK$2,Rango_Admin_DailyPred,MATCH($F60,Rango_Admin_DailyPred_Primera,0),0),"-")</f>
        <v>-</v>
      </c>
      <c r="AL60" s="835" t="str">
        <f ca="1">IFERROR(VLOOKUP(AL$2,Rango_Admin_DailyPred,MATCH($F60,Rango_Admin_DailyPred_Primera,0),0),"-")</f>
        <v>-</v>
      </c>
    </row>
    <row r="61" spans="5:38">
      <c r="E61" s="19">
        <f t="shared" si="1"/>
        <v>180</v>
      </c>
      <c r="F61" s="833" t="str" cm="1">
        <f t="array" ref="F61">IFERROR(INDEX(Rango_Admin_DailyPred_Primera,1,E61),"-")</f>
        <v>-</v>
      </c>
      <c r="G61" s="717" t="str">
        <f ca="1">IFERROR(VLOOKUP(G$2,Rango_Admin_DailyPred,MATCH($F61,Rango_Admin_DailyPred_Primera,0),0),"-")</f>
        <v>-</v>
      </c>
      <c r="H61" s="717" t="str">
        <f ca="1">IFERROR(VLOOKUP(H$2,Rango_Admin_DailyPred,MATCH($F61,Rango_Admin_DailyPred_Primera,0),0),"-")</f>
        <v>-</v>
      </c>
      <c r="I61" s="717" t="str">
        <f ca="1">IFERROR(VLOOKUP(I$2,Rango_Admin_DailyPred,MATCH($F61,Rango_Admin_DailyPred_Primera,0),0),"-")</f>
        <v>-</v>
      </c>
      <c r="J61" s="717" t="str">
        <f ca="1">IFERROR(VLOOKUP(J$2,Rango_Admin_DailyPred,MATCH($F61,Rango_Admin_DailyPred_Primera,0),0),"-")</f>
        <v>-</v>
      </c>
      <c r="K61" s="717" t="str">
        <f ca="1">IFERROR(VLOOKUP(K$2,Rango_Admin_DailyPred,MATCH($F61,Rango_Admin_DailyPred_Primera,0),0),"-")</f>
        <v>-</v>
      </c>
      <c r="L61" s="717" t="str">
        <f ca="1">IFERROR(VLOOKUP(L$2,Rango_Admin_DailyPred,MATCH($F61,Rango_Admin_DailyPred_Primera,0),0),"-")</f>
        <v>-</v>
      </c>
      <c r="M61" s="717" t="str">
        <f ca="1">IFERROR(VLOOKUP(M$2,Rango_Admin_DailyPred,MATCH($F61,Rango_Admin_DailyPred_Primera,0),0),"-")</f>
        <v>-</v>
      </c>
      <c r="N61" s="717" t="str">
        <f ca="1">IFERROR(VLOOKUP(N$2,Rango_Admin_DailyPred,MATCH($F61,Rango_Admin_DailyPred_Primera,0),0),"-")</f>
        <v>-</v>
      </c>
      <c r="O61" s="717" t="str">
        <f ca="1">IFERROR(VLOOKUP(O$2,Rango_Admin_DailyPred,MATCH($F61,Rango_Admin_DailyPred_Primera,0),0),"-")</f>
        <v>-</v>
      </c>
      <c r="P61" s="717" t="str">
        <f ca="1">IFERROR(VLOOKUP(P$2,Rango_Admin_DailyPred,MATCH($F61,Rango_Admin_DailyPred_Primera,0),0),"-")</f>
        <v>-</v>
      </c>
      <c r="Q61" s="717" t="str">
        <f ca="1">IFERROR(VLOOKUP(Q$2,Rango_Admin_DailyPred,MATCH($F61,Rango_Admin_DailyPred_Primera,0),0),"-")</f>
        <v>-</v>
      </c>
      <c r="R61" s="717" t="str">
        <f ca="1">IFERROR(VLOOKUP(R$2,Rango_Admin_DailyPred,MATCH($F61,Rango_Admin_DailyPred_Primera,0),0),"-")</f>
        <v>-</v>
      </c>
      <c r="S61" s="717" t="str">
        <f ca="1">IFERROR(VLOOKUP(S$2,Rango_Admin_DailyPred,MATCH($F61,Rango_Admin_DailyPred_Primera,0),0),"-")</f>
        <v>-</v>
      </c>
      <c r="T61" s="717" t="str">
        <f ca="1">IFERROR(VLOOKUP(T$2,Rango_Admin_DailyPred,MATCH($F61,Rango_Admin_DailyPred_Primera,0),0),"-")</f>
        <v>-</v>
      </c>
      <c r="U61" s="717" t="str">
        <f ca="1">IFERROR(VLOOKUP(U$2,Rango_Admin_DailyPred,MATCH($F61,Rango_Admin_DailyPred_Primera,0),0),"-")</f>
        <v>-</v>
      </c>
      <c r="V61" s="717" t="str">
        <f ca="1">IFERROR(VLOOKUP(V$2,Rango_Admin_DailyPred,MATCH($F61,Rango_Admin_DailyPred_Primera,0),0),"-")</f>
        <v>-</v>
      </c>
      <c r="W61" s="717" t="str">
        <f ca="1">IFERROR(VLOOKUP(W$2,Rango_Admin_DailyPred,MATCH($F61,Rango_Admin_DailyPred_Primera,0),0),"-")</f>
        <v>-</v>
      </c>
      <c r="X61" s="717" t="str">
        <f ca="1">IFERROR(VLOOKUP(X$2,Rango_Admin_DailyPred,MATCH($F61,Rango_Admin_DailyPred_Primera,0),0),"-")</f>
        <v>-</v>
      </c>
      <c r="Y61" s="717" t="str">
        <f ca="1">IFERROR(VLOOKUP(Y$2,Rango_Admin_DailyPred,MATCH($F61,Rango_Admin_DailyPred_Primera,0),0),"-")</f>
        <v>-</v>
      </c>
      <c r="Z61" s="717" t="str">
        <f ca="1">IFERROR(VLOOKUP(Z$2,Rango_Admin_DailyPred,MATCH($F61,Rango_Admin_DailyPred_Primera,0),0),"-")</f>
        <v>-</v>
      </c>
      <c r="AA61" s="717" t="str">
        <f ca="1">IFERROR(VLOOKUP(AA$2,Rango_Admin_DailyPred,MATCH($F61,Rango_Admin_DailyPred_Primera,0),0),"-")</f>
        <v>-</v>
      </c>
      <c r="AB61" s="717" t="str">
        <f ca="1">IFERROR(VLOOKUP(AB$2,Rango_Admin_DailyPred,MATCH($F61,Rango_Admin_DailyPred_Primera,0),0),"-")</f>
        <v>-</v>
      </c>
      <c r="AC61" s="717" t="str">
        <f ca="1">IFERROR(VLOOKUP(AC$2,Rango_Admin_DailyPred,MATCH($F61,Rango_Admin_DailyPred_Primera,0),0),"-")</f>
        <v>-</v>
      </c>
      <c r="AD61" s="717" t="str">
        <f ca="1">IFERROR(VLOOKUP(AD$2,Rango_Admin_DailyPred,MATCH($F61,Rango_Admin_DailyPred_Primera,0),0),"-")</f>
        <v>-</v>
      </c>
      <c r="AE61" s="717" t="str">
        <f ca="1">IFERROR(VLOOKUP(AE$2,Rango_Admin_DailyPred,MATCH($F61,Rango_Admin_DailyPred_Primera,0),0),"-")</f>
        <v>-</v>
      </c>
      <c r="AF61" s="717" t="str">
        <f ca="1">IFERROR(VLOOKUP(AF$2,Rango_Admin_DailyPred,MATCH($F61,Rango_Admin_DailyPred_Primera,0),0),"-")</f>
        <v>-</v>
      </c>
      <c r="AG61" s="717" t="str">
        <f ca="1">IFERROR(VLOOKUP(AG$2,Rango_Admin_DailyPred,MATCH($F61,Rango_Admin_DailyPred_Primera,0),0),"-")</f>
        <v>-</v>
      </c>
      <c r="AH61" s="717" t="str">
        <f ca="1">IFERROR(VLOOKUP(AH$2,Rango_Admin_DailyPred,MATCH($F61,Rango_Admin_DailyPred_Primera,0),0),"-")</f>
        <v>-</v>
      </c>
      <c r="AI61" s="717" t="str">
        <f ca="1">IFERROR(VLOOKUP(AI$2,Rango_Admin_DailyPred,MATCH($F61,Rango_Admin_DailyPred_Primera,0),0),"-")</f>
        <v>-</v>
      </c>
      <c r="AJ61" s="717" t="str">
        <f ca="1">IFERROR(VLOOKUP(AJ$2,Rango_Admin_DailyPred,MATCH($F61,Rango_Admin_DailyPred_Primera,0),0),"-")</f>
        <v>-</v>
      </c>
      <c r="AK61" s="717" t="str">
        <f ca="1">IFERROR(VLOOKUP(AK$2,Rango_Admin_DailyPred,MATCH($F61,Rango_Admin_DailyPred_Primera,0),0),"-")</f>
        <v>-</v>
      </c>
      <c r="AL61" s="717" t="str">
        <f ca="1">IFERROR(VLOOKUP(AL$2,Rango_Admin_DailyPred,MATCH($F61,Rango_Admin_DailyPred_Primera,0),0),"-")</f>
        <v>-</v>
      </c>
    </row>
    <row r="62" spans="5:38">
      <c r="E62" s="19">
        <f t="shared" si="1"/>
        <v>183</v>
      </c>
      <c r="F62" s="833" t="str" cm="1">
        <f t="array" ref="F62">IFERROR(INDEX(Rango_Admin_DailyPred_Primera,1,E62),"-")</f>
        <v>-</v>
      </c>
      <c r="G62" s="717" t="str">
        <f ca="1">IFERROR(VLOOKUP(G$2,Rango_Admin_DailyPred,MATCH($F62,Rango_Admin_DailyPred_Primera,0),0),"-")</f>
        <v>-</v>
      </c>
      <c r="H62" s="717" t="str">
        <f ca="1">IFERROR(VLOOKUP(H$2,Rango_Admin_DailyPred,MATCH($F62,Rango_Admin_DailyPred_Primera,0),0),"-")</f>
        <v>-</v>
      </c>
      <c r="I62" s="717" t="str">
        <f ca="1">IFERROR(VLOOKUP(I$2,Rango_Admin_DailyPred,MATCH($F62,Rango_Admin_DailyPred_Primera,0),0),"-")</f>
        <v>-</v>
      </c>
      <c r="J62" s="717" t="str">
        <f ca="1">IFERROR(VLOOKUP(J$2,Rango_Admin_DailyPred,MATCH($F62,Rango_Admin_DailyPred_Primera,0),0),"-")</f>
        <v>-</v>
      </c>
      <c r="K62" s="717" t="str">
        <f ca="1">IFERROR(VLOOKUP(K$2,Rango_Admin_DailyPred,MATCH($F62,Rango_Admin_DailyPred_Primera,0),0),"-")</f>
        <v>-</v>
      </c>
      <c r="L62" s="717" t="str">
        <f ca="1">IFERROR(VLOOKUP(L$2,Rango_Admin_DailyPred,MATCH($F62,Rango_Admin_DailyPred_Primera,0),0),"-")</f>
        <v>-</v>
      </c>
      <c r="M62" s="717" t="str">
        <f ca="1">IFERROR(VLOOKUP(M$2,Rango_Admin_DailyPred,MATCH($F62,Rango_Admin_DailyPred_Primera,0),0),"-")</f>
        <v>-</v>
      </c>
      <c r="N62" s="717" t="str">
        <f ca="1">IFERROR(VLOOKUP(N$2,Rango_Admin_DailyPred,MATCH($F62,Rango_Admin_DailyPred_Primera,0),0),"-")</f>
        <v>-</v>
      </c>
      <c r="O62" s="717" t="str">
        <f ca="1">IFERROR(VLOOKUP(O$2,Rango_Admin_DailyPred,MATCH($F62,Rango_Admin_DailyPred_Primera,0),0),"-")</f>
        <v>-</v>
      </c>
      <c r="P62" s="717" t="str">
        <f ca="1">IFERROR(VLOOKUP(P$2,Rango_Admin_DailyPred,MATCH($F62,Rango_Admin_DailyPred_Primera,0),0),"-")</f>
        <v>-</v>
      </c>
      <c r="Q62" s="717" t="str">
        <f ca="1">IFERROR(VLOOKUP(Q$2,Rango_Admin_DailyPred,MATCH($F62,Rango_Admin_DailyPred_Primera,0),0),"-")</f>
        <v>-</v>
      </c>
      <c r="R62" s="717" t="str">
        <f ca="1">IFERROR(VLOOKUP(R$2,Rango_Admin_DailyPred,MATCH($F62,Rango_Admin_DailyPred_Primera,0),0),"-")</f>
        <v>-</v>
      </c>
      <c r="S62" s="717" t="str">
        <f ca="1">IFERROR(VLOOKUP(S$2,Rango_Admin_DailyPred,MATCH($F62,Rango_Admin_DailyPred_Primera,0),0),"-")</f>
        <v>-</v>
      </c>
      <c r="T62" s="717" t="str">
        <f ca="1">IFERROR(VLOOKUP(T$2,Rango_Admin_DailyPred,MATCH($F62,Rango_Admin_DailyPred_Primera,0),0),"-")</f>
        <v>-</v>
      </c>
      <c r="U62" s="717" t="str">
        <f ca="1">IFERROR(VLOOKUP(U$2,Rango_Admin_DailyPred,MATCH($F62,Rango_Admin_DailyPred_Primera,0),0),"-")</f>
        <v>-</v>
      </c>
      <c r="V62" s="717" t="str">
        <f ca="1">IFERROR(VLOOKUP(V$2,Rango_Admin_DailyPred,MATCH($F62,Rango_Admin_DailyPred_Primera,0),0),"-")</f>
        <v>-</v>
      </c>
      <c r="W62" s="717" t="str">
        <f ca="1">IFERROR(VLOOKUP(W$2,Rango_Admin_DailyPred,MATCH($F62,Rango_Admin_DailyPred_Primera,0),0),"-")</f>
        <v>-</v>
      </c>
      <c r="X62" s="717" t="str">
        <f ca="1">IFERROR(VLOOKUP(X$2,Rango_Admin_DailyPred,MATCH($F62,Rango_Admin_DailyPred_Primera,0),0),"-")</f>
        <v>-</v>
      </c>
      <c r="Y62" s="717" t="str">
        <f ca="1">IFERROR(VLOOKUP(Y$2,Rango_Admin_DailyPred,MATCH($F62,Rango_Admin_DailyPred_Primera,0),0),"-")</f>
        <v>-</v>
      </c>
      <c r="Z62" s="717" t="str">
        <f ca="1">IFERROR(VLOOKUP(Z$2,Rango_Admin_DailyPred,MATCH($F62,Rango_Admin_DailyPred_Primera,0),0),"-")</f>
        <v>-</v>
      </c>
      <c r="AA62" s="717" t="str">
        <f ca="1">IFERROR(VLOOKUP(AA$2,Rango_Admin_DailyPred,MATCH($F62,Rango_Admin_DailyPred_Primera,0),0),"-")</f>
        <v>-</v>
      </c>
      <c r="AB62" s="717" t="str">
        <f ca="1">IFERROR(VLOOKUP(AB$2,Rango_Admin_DailyPred,MATCH($F62,Rango_Admin_DailyPred_Primera,0),0),"-")</f>
        <v>-</v>
      </c>
      <c r="AC62" s="717" t="str">
        <f ca="1">IFERROR(VLOOKUP(AC$2,Rango_Admin_DailyPred,MATCH($F62,Rango_Admin_DailyPred_Primera,0),0),"-")</f>
        <v>-</v>
      </c>
      <c r="AD62" s="717" t="str">
        <f ca="1">IFERROR(VLOOKUP(AD$2,Rango_Admin_DailyPred,MATCH($F62,Rango_Admin_DailyPred_Primera,0),0),"-")</f>
        <v>-</v>
      </c>
      <c r="AE62" s="717" t="str">
        <f ca="1">IFERROR(VLOOKUP(AE$2,Rango_Admin_DailyPred,MATCH($F62,Rango_Admin_DailyPred_Primera,0),0),"-")</f>
        <v>-</v>
      </c>
      <c r="AF62" s="717" t="str">
        <f ca="1">IFERROR(VLOOKUP(AF$2,Rango_Admin_DailyPred,MATCH($F62,Rango_Admin_DailyPred_Primera,0),0),"-")</f>
        <v>-</v>
      </c>
      <c r="AG62" s="717" t="str">
        <f ca="1">IFERROR(VLOOKUP(AG$2,Rango_Admin_DailyPred,MATCH($F62,Rango_Admin_DailyPred_Primera,0),0),"-")</f>
        <v>-</v>
      </c>
      <c r="AH62" s="717" t="str">
        <f ca="1">IFERROR(VLOOKUP(AH$2,Rango_Admin_DailyPred,MATCH($F62,Rango_Admin_DailyPred_Primera,0),0),"-")</f>
        <v>-</v>
      </c>
      <c r="AI62" s="717" t="str">
        <f ca="1">IFERROR(VLOOKUP(AI$2,Rango_Admin_DailyPred,MATCH($F62,Rango_Admin_DailyPred_Primera,0),0),"-")</f>
        <v>-</v>
      </c>
      <c r="AJ62" s="717" t="str">
        <f ca="1">IFERROR(VLOOKUP(AJ$2,Rango_Admin_DailyPred,MATCH($F62,Rango_Admin_DailyPred_Primera,0),0),"-")</f>
        <v>-</v>
      </c>
      <c r="AK62" s="717" t="str">
        <f ca="1">IFERROR(VLOOKUP(AK$2,Rango_Admin_DailyPred,MATCH($F62,Rango_Admin_DailyPred_Primera,0),0),"-")</f>
        <v>-</v>
      </c>
      <c r="AL62" s="717" t="str">
        <f ca="1">IFERROR(VLOOKUP(AL$2,Rango_Admin_DailyPred,MATCH($F62,Rango_Admin_DailyPred_Primera,0),0),"-")</f>
        <v>-</v>
      </c>
    </row>
    <row r="63" spans="5:38">
      <c r="E63" s="19">
        <f t="shared" si="1"/>
        <v>186</v>
      </c>
      <c r="F63" s="833" t="str" cm="1">
        <f t="array" ref="F63">IFERROR(INDEX(Rango_Admin_DailyPred_Primera,1,E63),"-")</f>
        <v>-</v>
      </c>
      <c r="G63" s="717" t="str">
        <f ca="1">IFERROR(VLOOKUP(G$2,Rango_Admin_DailyPred,MATCH($F63,Rango_Admin_DailyPred_Primera,0),0),"-")</f>
        <v>-</v>
      </c>
      <c r="H63" s="717" t="str">
        <f ca="1">IFERROR(VLOOKUP(H$2,Rango_Admin_DailyPred,MATCH($F63,Rango_Admin_DailyPred_Primera,0),0),"-")</f>
        <v>-</v>
      </c>
      <c r="I63" s="717" t="str">
        <f ca="1">IFERROR(VLOOKUP(I$2,Rango_Admin_DailyPred,MATCH($F63,Rango_Admin_DailyPred_Primera,0),0),"-")</f>
        <v>-</v>
      </c>
      <c r="J63" s="717" t="str">
        <f ca="1">IFERROR(VLOOKUP(J$2,Rango_Admin_DailyPred,MATCH($F63,Rango_Admin_DailyPred_Primera,0),0),"-")</f>
        <v>-</v>
      </c>
      <c r="K63" s="717" t="str">
        <f ca="1">IFERROR(VLOOKUP(K$2,Rango_Admin_DailyPred,MATCH($F63,Rango_Admin_DailyPred_Primera,0),0),"-")</f>
        <v>-</v>
      </c>
      <c r="L63" s="717" t="str">
        <f ca="1">IFERROR(VLOOKUP(L$2,Rango_Admin_DailyPred,MATCH($F63,Rango_Admin_DailyPred_Primera,0),0),"-")</f>
        <v>-</v>
      </c>
      <c r="M63" s="717" t="str">
        <f ca="1">IFERROR(VLOOKUP(M$2,Rango_Admin_DailyPred,MATCH($F63,Rango_Admin_DailyPred_Primera,0),0),"-")</f>
        <v>-</v>
      </c>
      <c r="N63" s="717" t="str">
        <f ca="1">IFERROR(VLOOKUP(N$2,Rango_Admin_DailyPred,MATCH($F63,Rango_Admin_DailyPred_Primera,0),0),"-")</f>
        <v>-</v>
      </c>
      <c r="O63" s="717" t="str">
        <f ca="1">IFERROR(VLOOKUP(O$2,Rango_Admin_DailyPred,MATCH($F63,Rango_Admin_DailyPred_Primera,0),0),"-")</f>
        <v>-</v>
      </c>
      <c r="P63" s="717" t="str">
        <f ca="1">IFERROR(VLOOKUP(P$2,Rango_Admin_DailyPred,MATCH($F63,Rango_Admin_DailyPred_Primera,0),0),"-")</f>
        <v>-</v>
      </c>
      <c r="Q63" s="717" t="str">
        <f ca="1">IFERROR(VLOOKUP(Q$2,Rango_Admin_DailyPred,MATCH($F63,Rango_Admin_DailyPred_Primera,0),0),"-")</f>
        <v>-</v>
      </c>
      <c r="R63" s="717" t="str">
        <f ca="1">IFERROR(VLOOKUP(R$2,Rango_Admin_DailyPred,MATCH($F63,Rango_Admin_DailyPred_Primera,0),0),"-")</f>
        <v>-</v>
      </c>
      <c r="S63" s="717" t="str">
        <f ca="1">IFERROR(VLOOKUP(S$2,Rango_Admin_DailyPred,MATCH($F63,Rango_Admin_DailyPred_Primera,0),0),"-")</f>
        <v>-</v>
      </c>
      <c r="T63" s="717" t="str">
        <f ca="1">IFERROR(VLOOKUP(T$2,Rango_Admin_DailyPred,MATCH($F63,Rango_Admin_DailyPred_Primera,0),0),"-")</f>
        <v>-</v>
      </c>
      <c r="U63" s="717" t="str">
        <f ca="1">IFERROR(VLOOKUP(U$2,Rango_Admin_DailyPred,MATCH($F63,Rango_Admin_DailyPred_Primera,0),0),"-")</f>
        <v>-</v>
      </c>
      <c r="V63" s="717" t="str">
        <f ca="1">IFERROR(VLOOKUP(V$2,Rango_Admin_DailyPred,MATCH($F63,Rango_Admin_DailyPred_Primera,0),0),"-")</f>
        <v>-</v>
      </c>
      <c r="W63" s="717" t="str">
        <f ca="1">IFERROR(VLOOKUP(W$2,Rango_Admin_DailyPred,MATCH($F63,Rango_Admin_DailyPred_Primera,0),0),"-")</f>
        <v>-</v>
      </c>
      <c r="X63" s="717" t="str">
        <f ca="1">IFERROR(VLOOKUP(X$2,Rango_Admin_DailyPred,MATCH($F63,Rango_Admin_DailyPred_Primera,0),0),"-")</f>
        <v>-</v>
      </c>
      <c r="Y63" s="717" t="str">
        <f ca="1">IFERROR(VLOOKUP(Y$2,Rango_Admin_DailyPred,MATCH($F63,Rango_Admin_DailyPred_Primera,0),0),"-")</f>
        <v>-</v>
      </c>
      <c r="Z63" s="717" t="str">
        <f ca="1">IFERROR(VLOOKUP(Z$2,Rango_Admin_DailyPred,MATCH($F63,Rango_Admin_DailyPred_Primera,0),0),"-")</f>
        <v>-</v>
      </c>
      <c r="AA63" s="717" t="str">
        <f ca="1">IFERROR(VLOOKUP(AA$2,Rango_Admin_DailyPred,MATCH($F63,Rango_Admin_DailyPred_Primera,0),0),"-")</f>
        <v>-</v>
      </c>
      <c r="AB63" s="717" t="str">
        <f ca="1">IFERROR(VLOOKUP(AB$2,Rango_Admin_DailyPred,MATCH($F63,Rango_Admin_DailyPred_Primera,0),0),"-")</f>
        <v>-</v>
      </c>
      <c r="AC63" s="717" t="str">
        <f ca="1">IFERROR(VLOOKUP(AC$2,Rango_Admin_DailyPred,MATCH($F63,Rango_Admin_DailyPred_Primera,0),0),"-")</f>
        <v>-</v>
      </c>
      <c r="AD63" s="717" t="str">
        <f ca="1">IFERROR(VLOOKUP(AD$2,Rango_Admin_DailyPred,MATCH($F63,Rango_Admin_DailyPred_Primera,0),0),"-")</f>
        <v>-</v>
      </c>
      <c r="AE63" s="717" t="str">
        <f ca="1">IFERROR(VLOOKUP(AE$2,Rango_Admin_DailyPred,MATCH($F63,Rango_Admin_DailyPred_Primera,0),0),"-")</f>
        <v>-</v>
      </c>
      <c r="AF63" s="717" t="str">
        <f ca="1">IFERROR(VLOOKUP(AF$2,Rango_Admin_DailyPred,MATCH($F63,Rango_Admin_DailyPred_Primera,0),0),"-")</f>
        <v>-</v>
      </c>
      <c r="AG63" s="717" t="str">
        <f ca="1">IFERROR(VLOOKUP(AG$2,Rango_Admin_DailyPred,MATCH($F63,Rango_Admin_DailyPred_Primera,0),0),"-")</f>
        <v>-</v>
      </c>
      <c r="AH63" s="717" t="str">
        <f ca="1">IFERROR(VLOOKUP(AH$2,Rango_Admin_DailyPred,MATCH($F63,Rango_Admin_DailyPred_Primera,0),0),"-")</f>
        <v>-</v>
      </c>
      <c r="AI63" s="717" t="str">
        <f ca="1">IFERROR(VLOOKUP(AI$2,Rango_Admin_DailyPred,MATCH($F63,Rango_Admin_DailyPred_Primera,0),0),"-")</f>
        <v>-</v>
      </c>
      <c r="AJ63" s="717" t="str">
        <f ca="1">IFERROR(VLOOKUP(AJ$2,Rango_Admin_DailyPred,MATCH($F63,Rango_Admin_DailyPred_Primera,0),0),"-")</f>
        <v>-</v>
      </c>
      <c r="AK63" s="717" t="str">
        <f ca="1">IFERROR(VLOOKUP(AK$2,Rango_Admin_DailyPred,MATCH($F63,Rango_Admin_DailyPred_Primera,0),0),"-")</f>
        <v>-</v>
      </c>
      <c r="AL63" s="717" t="str">
        <f ca="1">IFERROR(VLOOKUP(AL$2,Rango_Admin_DailyPred,MATCH($F63,Rango_Admin_DailyPred_Primera,0),0),"-")</f>
        <v>-</v>
      </c>
    </row>
    <row r="64" spans="5:38">
      <c r="E64" s="19">
        <f t="shared" si="1"/>
        <v>189</v>
      </c>
      <c r="F64" s="833" t="str" cm="1">
        <f t="array" ref="F64">IFERROR(INDEX(Rango_Admin_DailyPred_Primera,1,E64),"-")</f>
        <v>-</v>
      </c>
      <c r="G64" s="717" t="str">
        <f ca="1">IFERROR(VLOOKUP(G$2,Rango_Admin_DailyPred,MATCH($F64,Rango_Admin_DailyPred_Primera,0),0),"-")</f>
        <v>-</v>
      </c>
      <c r="H64" s="717" t="str">
        <f ca="1">IFERROR(VLOOKUP(H$2,Rango_Admin_DailyPred,MATCH($F64,Rango_Admin_DailyPred_Primera,0),0),"-")</f>
        <v>-</v>
      </c>
      <c r="I64" s="717" t="str">
        <f ca="1">IFERROR(VLOOKUP(I$2,Rango_Admin_DailyPred,MATCH($F64,Rango_Admin_DailyPred_Primera,0),0),"-")</f>
        <v>-</v>
      </c>
      <c r="J64" s="717" t="str">
        <f ca="1">IFERROR(VLOOKUP(J$2,Rango_Admin_DailyPred,MATCH($F64,Rango_Admin_DailyPred_Primera,0),0),"-")</f>
        <v>-</v>
      </c>
      <c r="K64" s="717" t="str">
        <f ca="1">IFERROR(VLOOKUP(K$2,Rango_Admin_DailyPred,MATCH($F64,Rango_Admin_DailyPred_Primera,0),0),"-")</f>
        <v>-</v>
      </c>
      <c r="L64" s="717" t="str">
        <f ca="1">IFERROR(VLOOKUP(L$2,Rango_Admin_DailyPred,MATCH($F64,Rango_Admin_DailyPred_Primera,0),0),"-")</f>
        <v>-</v>
      </c>
      <c r="M64" s="717" t="str">
        <f ca="1">IFERROR(VLOOKUP(M$2,Rango_Admin_DailyPred,MATCH($F64,Rango_Admin_DailyPred_Primera,0),0),"-")</f>
        <v>-</v>
      </c>
      <c r="N64" s="717" t="str">
        <f ca="1">IFERROR(VLOOKUP(N$2,Rango_Admin_DailyPred,MATCH($F64,Rango_Admin_DailyPred_Primera,0),0),"-")</f>
        <v>-</v>
      </c>
      <c r="O64" s="717" t="str">
        <f ca="1">IFERROR(VLOOKUP(O$2,Rango_Admin_DailyPred,MATCH($F64,Rango_Admin_DailyPred_Primera,0),0),"-")</f>
        <v>-</v>
      </c>
      <c r="P64" s="717" t="str">
        <f ca="1">IFERROR(VLOOKUP(P$2,Rango_Admin_DailyPred,MATCH($F64,Rango_Admin_DailyPred_Primera,0),0),"-")</f>
        <v>-</v>
      </c>
      <c r="Q64" s="717" t="str">
        <f ca="1">IFERROR(VLOOKUP(Q$2,Rango_Admin_DailyPred,MATCH($F64,Rango_Admin_DailyPred_Primera,0),0),"-")</f>
        <v>-</v>
      </c>
      <c r="R64" s="717" t="str">
        <f ca="1">IFERROR(VLOOKUP(R$2,Rango_Admin_DailyPred,MATCH($F64,Rango_Admin_DailyPred_Primera,0),0),"-")</f>
        <v>-</v>
      </c>
      <c r="S64" s="717" t="str">
        <f ca="1">IFERROR(VLOOKUP(S$2,Rango_Admin_DailyPred,MATCH($F64,Rango_Admin_DailyPred_Primera,0),0),"-")</f>
        <v>-</v>
      </c>
      <c r="T64" s="717" t="str">
        <f ca="1">IFERROR(VLOOKUP(T$2,Rango_Admin_DailyPred,MATCH($F64,Rango_Admin_DailyPred_Primera,0),0),"-")</f>
        <v>-</v>
      </c>
      <c r="U64" s="717" t="str">
        <f ca="1">IFERROR(VLOOKUP(U$2,Rango_Admin_DailyPred,MATCH($F64,Rango_Admin_DailyPred_Primera,0),0),"-")</f>
        <v>-</v>
      </c>
      <c r="V64" s="717" t="str">
        <f ca="1">IFERROR(VLOOKUP(V$2,Rango_Admin_DailyPred,MATCH($F64,Rango_Admin_DailyPred_Primera,0),0),"-")</f>
        <v>-</v>
      </c>
      <c r="W64" s="717" t="str">
        <f ca="1">IFERROR(VLOOKUP(W$2,Rango_Admin_DailyPred,MATCH($F64,Rango_Admin_DailyPred_Primera,0),0),"-")</f>
        <v>-</v>
      </c>
      <c r="X64" s="717" t="str">
        <f ca="1">IFERROR(VLOOKUP(X$2,Rango_Admin_DailyPred,MATCH($F64,Rango_Admin_DailyPred_Primera,0),0),"-")</f>
        <v>-</v>
      </c>
      <c r="Y64" s="717" t="str">
        <f ca="1">IFERROR(VLOOKUP(Y$2,Rango_Admin_DailyPred,MATCH($F64,Rango_Admin_DailyPred_Primera,0),0),"-")</f>
        <v>-</v>
      </c>
      <c r="Z64" s="717" t="str">
        <f ca="1">IFERROR(VLOOKUP(Z$2,Rango_Admin_DailyPred,MATCH($F64,Rango_Admin_DailyPred_Primera,0),0),"-")</f>
        <v>-</v>
      </c>
      <c r="AA64" s="717" t="str">
        <f ca="1">IFERROR(VLOOKUP(AA$2,Rango_Admin_DailyPred,MATCH($F64,Rango_Admin_DailyPred_Primera,0),0),"-")</f>
        <v>-</v>
      </c>
      <c r="AB64" s="717" t="str">
        <f ca="1">IFERROR(VLOOKUP(AB$2,Rango_Admin_DailyPred,MATCH($F64,Rango_Admin_DailyPred_Primera,0),0),"-")</f>
        <v>-</v>
      </c>
      <c r="AC64" s="717" t="str">
        <f ca="1">IFERROR(VLOOKUP(AC$2,Rango_Admin_DailyPred,MATCH($F64,Rango_Admin_DailyPred_Primera,0),0),"-")</f>
        <v>-</v>
      </c>
      <c r="AD64" s="717" t="str">
        <f ca="1">IFERROR(VLOOKUP(AD$2,Rango_Admin_DailyPred,MATCH($F64,Rango_Admin_DailyPred_Primera,0),0),"-")</f>
        <v>-</v>
      </c>
      <c r="AE64" s="717" t="str">
        <f ca="1">IFERROR(VLOOKUP(AE$2,Rango_Admin_DailyPred,MATCH($F64,Rango_Admin_DailyPred_Primera,0),0),"-")</f>
        <v>-</v>
      </c>
      <c r="AF64" s="717" t="str">
        <f ca="1">IFERROR(VLOOKUP(AF$2,Rango_Admin_DailyPred,MATCH($F64,Rango_Admin_DailyPred_Primera,0),0),"-")</f>
        <v>-</v>
      </c>
      <c r="AG64" s="717" t="str">
        <f ca="1">IFERROR(VLOOKUP(AG$2,Rango_Admin_DailyPred,MATCH($F64,Rango_Admin_DailyPred_Primera,0),0),"-")</f>
        <v>-</v>
      </c>
      <c r="AH64" s="717" t="str">
        <f ca="1">IFERROR(VLOOKUP(AH$2,Rango_Admin_DailyPred,MATCH($F64,Rango_Admin_DailyPred_Primera,0),0),"-")</f>
        <v>-</v>
      </c>
      <c r="AI64" s="717" t="str">
        <f ca="1">IFERROR(VLOOKUP(AI$2,Rango_Admin_DailyPred,MATCH($F64,Rango_Admin_DailyPred_Primera,0),0),"-")</f>
        <v>-</v>
      </c>
      <c r="AJ64" s="717" t="str">
        <f ca="1">IFERROR(VLOOKUP(AJ$2,Rango_Admin_DailyPred,MATCH($F64,Rango_Admin_DailyPred_Primera,0),0),"-")</f>
        <v>-</v>
      </c>
      <c r="AK64" s="717" t="str">
        <f ca="1">IFERROR(VLOOKUP(AK$2,Rango_Admin_DailyPred,MATCH($F64,Rango_Admin_DailyPred_Primera,0),0),"-")</f>
        <v>-</v>
      </c>
      <c r="AL64" s="717" t="str">
        <f ca="1">IFERROR(VLOOKUP(AL$2,Rango_Admin_DailyPred,MATCH($F64,Rango_Admin_DailyPred_Primera,0),0),"-")</f>
        <v>-</v>
      </c>
    </row>
    <row r="65" spans="5:38">
      <c r="E65" s="19">
        <f t="shared" si="1"/>
        <v>192</v>
      </c>
      <c r="F65" s="833" t="str" cm="1">
        <f t="array" ref="F65">IFERROR(INDEX(Rango_Admin_DailyPred_Primera,1,E65),"-")</f>
        <v>-</v>
      </c>
      <c r="G65" s="717" t="str">
        <f ca="1">IFERROR(VLOOKUP(G$2,Rango_Admin_DailyPred,MATCH($F65,Rango_Admin_DailyPred_Primera,0),0),"-")</f>
        <v>-</v>
      </c>
      <c r="H65" s="717" t="str">
        <f ca="1">IFERROR(VLOOKUP(H$2,Rango_Admin_DailyPred,MATCH($F65,Rango_Admin_DailyPred_Primera,0),0),"-")</f>
        <v>-</v>
      </c>
      <c r="I65" s="717" t="str">
        <f ca="1">IFERROR(VLOOKUP(I$2,Rango_Admin_DailyPred,MATCH($F65,Rango_Admin_DailyPred_Primera,0),0),"-")</f>
        <v>-</v>
      </c>
      <c r="J65" s="717" t="str">
        <f ca="1">IFERROR(VLOOKUP(J$2,Rango_Admin_DailyPred,MATCH($F65,Rango_Admin_DailyPred_Primera,0),0),"-")</f>
        <v>-</v>
      </c>
      <c r="K65" s="717" t="str">
        <f ca="1">IFERROR(VLOOKUP(K$2,Rango_Admin_DailyPred,MATCH($F65,Rango_Admin_DailyPred_Primera,0),0),"-")</f>
        <v>-</v>
      </c>
      <c r="L65" s="717" t="str">
        <f ca="1">IFERROR(VLOOKUP(L$2,Rango_Admin_DailyPred,MATCH($F65,Rango_Admin_DailyPred_Primera,0),0),"-")</f>
        <v>-</v>
      </c>
      <c r="M65" s="717" t="str">
        <f ca="1">IFERROR(VLOOKUP(M$2,Rango_Admin_DailyPred,MATCH($F65,Rango_Admin_DailyPred_Primera,0),0),"-")</f>
        <v>-</v>
      </c>
      <c r="N65" s="717" t="str">
        <f ca="1">IFERROR(VLOOKUP(N$2,Rango_Admin_DailyPred,MATCH($F65,Rango_Admin_DailyPred_Primera,0),0),"-")</f>
        <v>-</v>
      </c>
      <c r="O65" s="717" t="str">
        <f ca="1">IFERROR(VLOOKUP(O$2,Rango_Admin_DailyPred,MATCH($F65,Rango_Admin_DailyPred_Primera,0),0),"-")</f>
        <v>-</v>
      </c>
      <c r="P65" s="717" t="str">
        <f ca="1">IFERROR(VLOOKUP(P$2,Rango_Admin_DailyPred,MATCH($F65,Rango_Admin_DailyPred_Primera,0),0),"-")</f>
        <v>-</v>
      </c>
      <c r="Q65" s="717" t="str">
        <f ca="1">IFERROR(VLOOKUP(Q$2,Rango_Admin_DailyPred,MATCH($F65,Rango_Admin_DailyPred_Primera,0),0),"-")</f>
        <v>-</v>
      </c>
      <c r="R65" s="717" t="str">
        <f ca="1">IFERROR(VLOOKUP(R$2,Rango_Admin_DailyPred,MATCH($F65,Rango_Admin_DailyPred_Primera,0),0),"-")</f>
        <v>-</v>
      </c>
      <c r="S65" s="717" t="str">
        <f ca="1">IFERROR(VLOOKUP(S$2,Rango_Admin_DailyPred,MATCH($F65,Rango_Admin_DailyPred_Primera,0),0),"-")</f>
        <v>-</v>
      </c>
      <c r="T65" s="717" t="str">
        <f ca="1">IFERROR(VLOOKUP(T$2,Rango_Admin_DailyPred,MATCH($F65,Rango_Admin_DailyPred_Primera,0),0),"-")</f>
        <v>-</v>
      </c>
      <c r="U65" s="717" t="str">
        <f ca="1">IFERROR(VLOOKUP(U$2,Rango_Admin_DailyPred,MATCH($F65,Rango_Admin_DailyPred_Primera,0),0),"-")</f>
        <v>-</v>
      </c>
      <c r="V65" s="717" t="str">
        <f ca="1">IFERROR(VLOOKUP(V$2,Rango_Admin_DailyPred,MATCH($F65,Rango_Admin_DailyPred_Primera,0),0),"-")</f>
        <v>-</v>
      </c>
      <c r="W65" s="717" t="str">
        <f ca="1">IFERROR(VLOOKUP(W$2,Rango_Admin_DailyPred,MATCH($F65,Rango_Admin_DailyPred_Primera,0),0),"-")</f>
        <v>-</v>
      </c>
      <c r="X65" s="717" t="str">
        <f ca="1">IFERROR(VLOOKUP(X$2,Rango_Admin_DailyPred,MATCH($F65,Rango_Admin_DailyPred_Primera,0),0),"-")</f>
        <v>-</v>
      </c>
      <c r="Y65" s="717" t="str">
        <f ca="1">IFERROR(VLOOKUP(Y$2,Rango_Admin_DailyPred,MATCH($F65,Rango_Admin_DailyPred_Primera,0),0),"-")</f>
        <v>-</v>
      </c>
      <c r="Z65" s="717" t="str">
        <f ca="1">IFERROR(VLOOKUP(Z$2,Rango_Admin_DailyPred,MATCH($F65,Rango_Admin_DailyPred_Primera,0),0),"-")</f>
        <v>-</v>
      </c>
      <c r="AA65" s="717" t="str">
        <f ca="1">IFERROR(VLOOKUP(AA$2,Rango_Admin_DailyPred,MATCH($F65,Rango_Admin_DailyPred_Primera,0),0),"-")</f>
        <v>-</v>
      </c>
      <c r="AB65" s="717" t="str">
        <f ca="1">IFERROR(VLOOKUP(AB$2,Rango_Admin_DailyPred,MATCH($F65,Rango_Admin_DailyPred_Primera,0),0),"-")</f>
        <v>-</v>
      </c>
      <c r="AC65" s="717" t="str">
        <f ca="1">IFERROR(VLOOKUP(AC$2,Rango_Admin_DailyPred,MATCH($F65,Rango_Admin_DailyPred_Primera,0),0),"-")</f>
        <v>-</v>
      </c>
      <c r="AD65" s="717" t="str">
        <f ca="1">IFERROR(VLOOKUP(AD$2,Rango_Admin_DailyPred,MATCH($F65,Rango_Admin_DailyPred_Primera,0),0),"-")</f>
        <v>-</v>
      </c>
      <c r="AE65" s="717" t="str">
        <f ca="1">IFERROR(VLOOKUP(AE$2,Rango_Admin_DailyPred,MATCH($F65,Rango_Admin_DailyPred_Primera,0),0),"-")</f>
        <v>-</v>
      </c>
      <c r="AF65" s="717" t="str">
        <f ca="1">IFERROR(VLOOKUP(AF$2,Rango_Admin_DailyPred,MATCH($F65,Rango_Admin_DailyPred_Primera,0),0),"-")</f>
        <v>-</v>
      </c>
      <c r="AG65" s="717" t="str">
        <f ca="1">IFERROR(VLOOKUP(AG$2,Rango_Admin_DailyPred,MATCH($F65,Rango_Admin_DailyPred_Primera,0),0),"-")</f>
        <v>-</v>
      </c>
      <c r="AH65" s="717" t="str">
        <f ca="1">IFERROR(VLOOKUP(AH$2,Rango_Admin_DailyPred,MATCH($F65,Rango_Admin_DailyPred_Primera,0),0),"-")</f>
        <v>-</v>
      </c>
      <c r="AI65" s="717" t="str">
        <f ca="1">IFERROR(VLOOKUP(AI$2,Rango_Admin_DailyPred,MATCH($F65,Rango_Admin_DailyPred_Primera,0),0),"-")</f>
        <v>-</v>
      </c>
      <c r="AJ65" s="717" t="str">
        <f ca="1">IFERROR(VLOOKUP(AJ$2,Rango_Admin_DailyPred,MATCH($F65,Rango_Admin_DailyPred_Primera,0),0),"-")</f>
        <v>-</v>
      </c>
      <c r="AK65" s="717" t="str">
        <f ca="1">IFERROR(VLOOKUP(AK$2,Rango_Admin_DailyPred,MATCH($F65,Rango_Admin_DailyPred_Primera,0),0),"-")</f>
        <v>-</v>
      </c>
      <c r="AL65" s="717" t="str">
        <f ca="1">IFERROR(VLOOKUP(AL$2,Rango_Admin_DailyPred,MATCH($F65,Rango_Admin_DailyPred_Primera,0),0),"-")</f>
        <v>-</v>
      </c>
    </row>
    <row r="66" spans="5:38">
      <c r="E66" s="19">
        <f t="shared" si="1"/>
        <v>195</v>
      </c>
      <c r="F66" s="833" t="str" cm="1">
        <f t="array" ref="F66">IFERROR(INDEX(Rango_Admin_DailyPred_Primera,1,E66),"-")</f>
        <v>-</v>
      </c>
      <c r="G66" s="717" t="str">
        <f ca="1">IFERROR(VLOOKUP(G$2,Rango_Admin_DailyPred,MATCH($F66,Rango_Admin_DailyPred_Primera,0),0),"-")</f>
        <v>-</v>
      </c>
      <c r="H66" s="717" t="str">
        <f ca="1">IFERROR(VLOOKUP(H$2,Rango_Admin_DailyPred,MATCH($F66,Rango_Admin_DailyPred_Primera,0),0),"-")</f>
        <v>-</v>
      </c>
      <c r="I66" s="717" t="str">
        <f ca="1">IFERROR(VLOOKUP(I$2,Rango_Admin_DailyPred,MATCH($F66,Rango_Admin_DailyPred_Primera,0),0),"-")</f>
        <v>-</v>
      </c>
      <c r="J66" s="717" t="str">
        <f ca="1">IFERROR(VLOOKUP(J$2,Rango_Admin_DailyPred,MATCH($F66,Rango_Admin_DailyPred_Primera,0),0),"-")</f>
        <v>-</v>
      </c>
      <c r="K66" s="717" t="str">
        <f ca="1">IFERROR(VLOOKUP(K$2,Rango_Admin_DailyPred,MATCH($F66,Rango_Admin_DailyPred_Primera,0),0),"-")</f>
        <v>-</v>
      </c>
      <c r="L66" s="717" t="str">
        <f ca="1">IFERROR(VLOOKUP(L$2,Rango_Admin_DailyPred,MATCH($F66,Rango_Admin_DailyPred_Primera,0),0),"-")</f>
        <v>-</v>
      </c>
      <c r="M66" s="717" t="str">
        <f ca="1">IFERROR(VLOOKUP(M$2,Rango_Admin_DailyPred,MATCH($F66,Rango_Admin_DailyPred_Primera,0),0),"-")</f>
        <v>-</v>
      </c>
      <c r="N66" s="717" t="str">
        <f ca="1">IFERROR(VLOOKUP(N$2,Rango_Admin_DailyPred,MATCH($F66,Rango_Admin_DailyPred_Primera,0),0),"-")</f>
        <v>-</v>
      </c>
      <c r="O66" s="717" t="str">
        <f ca="1">IFERROR(VLOOKUP(O$2,Rango_Admin_DailyPred,MATCH($F66,Rango_Admin_DailyPred_Primera,0),0),"-")</f>
        <v>-</v>
      </c>
      <c r="P66" s="717" t="str">
        <f ca="1">IFERROR(VLOOKUP(P$2,Rango_Admin_DailyPred,MATCH($F66,Rango_Admin_DailyPred_Primera,0),0),"-")</f>
        <v>-</v>
      </c>
      <c r="Q66" s="717" t="str">
        <f ca="1">IFERROR(VLOOKUP(Q$2,Rango_Admin_DailyPred,MATCH($F66,Rango_Admin_DailyPred_Primera,0),0),"-")</f>
        <v>-</v>
      </c>
      <c r="R66" s="717" t="str">
        <f ca="1">IFERROR(VLOOKUP(R$2,Rango_Admin_DailyPred,MATCH($F66,Rango_Admin_DailyPred_Primera,0),0),"-")</f>
        <v>-</v>
      </c>
      <c r="S66" s="717" t="str">
        <f ca="1">IFERROR(VLOOKUP(S$2,Rango_Admin_DailyPred,MATCH($F66,Rango_Admin_DailyPred_Primera,0),0),"-")</f>
        <v>-</v>
      </c>
      <c r="T66" s="717" t="str">
        <f ca="1">IFERROR(VLOOKUP(T$2,Rango_Admin_DailyPred,MATCH($F66,Rango_Admin_DailyPred_Primera,0),0),"-")</f>
        <v>-</v>
      </c>
      <c r="U66" s="717" t="str">
        <f ca="1">IFERROR(VLOOKUP(U$2,Rango_Admin_DailyPred,MATCH($F66,Rango_Admin_DailyPred_Primera,0),0),"-")</f>
        <v>-</v>
      </c>
      <c r="V66" s="717" t="str">
        <f ca="1">IFERROR(VLOOKUP(V$2,Rango_Admin_DailyPred,MATCH($F66,Rango_Admin_DailyPred_Primera,0),0),"-")</f>
        <v>-</v>
      </c>
      <c r="W66" s="717" t="str">
        <f ca="1">IFERROR(VLOOKUP(W$2,Rango_Admin_DailyPred,MATCH($F66,Rango_Admin_DailyPred_Primera,0),0),"-")</f>
        <v>-</v>
      </c>
      <c r="X66" s="717" t="str">
        <f ca="1">IFERROR(VLOOKUP(X$2,Rango_Admin_DailyPred,MATCH($F66,Rango_Admin_DailyPred_Primera,0),0),"-")</f>
        <v>-</v>
      </c>
      <c r="Y66" s="717" t="str">
        <f ca="1">IFERROR(VLOOKUP(Y$2,Rango_Admin_DailyPred,MATCH($F66,Rango_Admin_DailyPred_Primera,0),0),"-")</f>
        <v>-</v>
      </c>
      <c r="Z66" s="717" t="str">
        <f ca="1">IFERROR(VLOOKUP(Z$2,Rango_Admin_DailyPred,MATCH($F66,Rango_Admin_DailyPred_Primera,0),0),"-")</f>
        <v>-</v>
      </c>
      <c r="AA66" s="717" t="str">
        <f ca="1">IFERROR(VLOOKUP(AA$2,Rango_Admin_DailyPred,MATCH($F66,Rango_Admin_DailyPred_Primera,0),0),"-")</f>
        <v>-</v>
      </c>
      <c r="AB66" s="717" t="str">
        <f ca="1">IFERROR(VLOOKUP(AB$2,Rango_Admin_DailyPred,MATCH($F66,Rango_Admin_DailyPred_Primera,0),0),"-")</f>
        <v>-</v>
      </c>
      <c r="AC66" s="717" t="str">
        <f ca="1">IFERROR(VLOOKUP(AC$2,Rango_Admin_DailyPred,MATCH($F66,Rango_Admin_DailyPred_Primera,0),0),"-")</f>
        <v>-</v>
      </c>
      <c r="AD66" s="717" t="str">
        <f ca="1">IFERROR(VLOOKUP(AD$2,Rango_Admin_DailyPred,MATCH($F66,Rango_Admin_DailyPred_Primera,0),0),"-")</f>
        <v>-</v>
      </c>
      <c r="AE66" s="717" t="str">
        <f ca="1">IFERROR(VLOOKUP(AE$2,Rango_Admin_DailyPred,MATCH($F66,Rango_Admin_DailyPred_Primera,0),0),"-")</f>
        <v>-</v>
      </c>
      <c r="AF66" s="717" t="str">
        <f ca="1">IFERROR(VLOOKUP(AF$2,Rango_Admin_DailyPred,MATCH($F66,Rango_Admin_DailyPred_Primera,0),0),"-")</f>
        <v>-</v>
      </c>
      <c r="AG66" s="717" t="str">
        <f ca="1">IFERROR(VLOOKUP(AG$2,Rango_Admin_DailyPred,MATCH($F66,Rango_Admin_DailyPred_Primera,0),0),"-")</f>
        <v>-</v>
      </c>
      <c r="AH66" s="717" t="str">
        <f ca="1">IFERROR(VLOOKUP(AH$2,Rango_Admin_DailyPred,MATCH($F66,Rango_Admin_DailyPred_Primera,0),0),"-")</f>
        <v>-</v>
      </c>
      <c r="AI66" s="717" t="str">
        <f ca="1">IFERROR(VLOOKUP(AI$2,Rango_Admin_DailyPred,MATCH($F66,Rango_Admin_DailyPred_Primera,0),0),"-")</f>
        <v>-</v>
      </c>
      <c r="AJ66" s="717" t="str">
        <f ca="1">IFERROR(VLOOKUP(AJ$2,Rango_Admin_DailyPred,MATCH($F66,Rango_Admin_DailyPred_Primera,0),0),"-")</f>
        <v>-</v>
      </c>
      <c r="AK66" s="717" t="str">
        <f ca="1">IFERROR(VLOOKUP(AK$2,Rango_Admin_DailyPred,MATCH($F66,Rango_Admin_DailyPred_Primera,0),0),"-")</f>
        <v>-</v>
      </c>
      <c r="AL66" s="717" t="str">
        <f ca="1">IFERROR(VLOOKUP(AL$2,Rango_Admin_DailyPred,MATCH($F66,Rango_Admin_DailyPred_Primera,0),0),"-")</f>
        <v>-</v>
      </c>
    </row>
    <row r="67" spans="5:38">
      <c r="E67" s="19">
        <f t="shared" si="1"/>
        <v>198</v>
      </c>
      <c r="F67" s="772" t="str" cm="1">
        <f t="array" ref="F67">IFERROR(INDEX(Rango_Admin_DailyPred_Primera,1,E67),"-")</f>
        <v>-</v>
      </c>
      <c r="G67" s="717" t="str">
        <f ca="1">IFERROR(VLOOKUP(G$2,Rango_Admin_DailyPred,MATCH($F67,Rango_Admin_DailyPred_Primera,0),0),"-")</f>
        <v>-</v>
      </c>
      <c r="H67" s="717" t="str">
        <f ca="1">IFERROR(VLOOKUP(H$2,Rango_Admin_DailyPred,MATCH($F67,Rango_Admin_DailyPred_Primera,0),0),"-")</f>
        <v>-</v>
      </c>
      <c r="I67" s="717" t="str">
        <f ca="1">IFERROR(VLOOKUP(I$2,Rango_Admin_DailyPred,MATCH($F67,Rango_Admin_DailyPred_Primera,0),0),"-")</f>
        <v>-</v>
      </c>
      <c r="J67" s="717" t="str">
        <f ca="1">IFERROR(VLOOKUP(J$2,Rango_Admin_DailyPred,MATCH($F67,Rango_Admin_DailyPred_Primera,0),0),"-")</f>
        <v>-</v>
      </c>
      <c r="K67" s="717" t="str">
        <f ca="1">IFERROR(VLOOKUP(K$2,Rango_Admin_DailyPred,MATCH($F67,Rango_Admin_DailyPred_Primera,0),0),"-")</f>
        <v>-</v>
      </c>
      <c r="L67" s="717" t="str">
        <f ca="1">IFERROR(VLOOKUP(L$2,Rango_Admin_DailyPred,MATCH($F67,Rango_Admin_DailyPred_Primera,0),0),"-")</f>
        <v>-</v>
      </c>
      <c r="M67" s="717" t="str">
        <f ca="1">IFERROR(VLOOKUP(M$2,Rango_Admin_DailyPred,MATCH($F67,Rango_Admin_DailyPred_Primera,0),0),"-")</f>
        <v>-</v>
      </c>
      <c r="N67" s="717" t="str">
        <f ca="1">IFERROR(VLOOKUP(N$2,Rango_Admin_DailyPred,MATCH($F67,Rango_Admin_DailyPred_Primera,0),0),"-")</f>
        <v>-</v>
      </c>
      <c r="O67" s="717" t="str">
        <f ca="1">IFERROR(VLOOKUP(O$2,Rango_Admin_DailyPred,MATCH($F67,Rango_Admin_DailyPred_Primera,0),0),"-")</f>
        <v>-</v>
      </c>
      <c r="P67" s="717" t="str">
        <f ca="1">IFERROR(VLOOKUP(P$2,Rango_Admin_DailyPred,MATCH($F67,Rango_Admin_DailyPred_Primera,0),0),"-")</f>
        <v>-</v>
      </c>
      <c r="Q67" s="717" t="str">
        <f ca="1">IFERROR(VLOOKUP(Q$2,Rango_Admin_DailyPred,MATCH($F67,Rango_Admin_DailyPred_Primera,0),0),"-")</f>
        <v>-</v>
      </c>
      <c r="R67" s="717" t="str">
        <f ca="1">IFERROR(VLOOKUP(R$2,Rango_Admin_DailyPred,MATCH($F67,Rango_Admin_DailyPred_Primera,0),0),"-")</f>
        <v>-</v>
      </c>
      <c r="S67" s="717" t="str">
        <f ca="1">IFERROR(VLOOKUP(S$2,Rango_Admin_DailyPred,MATCH($F67,Rango_Admin_DailyPred_Primera,0),0),"-")</f>
        <v>-</v>
      </c>
      <c r="T67" s="717" t="str">
        <f ca="1">IFERROR(VLOOKUP(T$2,Rango_Admin_DailyPred,MATCH($F67,Rango_Admin_DailyPred_Primera,0),0),"-")</f>
        <v>-</v>
      </c>
      <c r="U67" s="717" t="str">
        <f ca="1">IFERROR(VLOOKUP(U$2,Rango_Admin_DailyPred,MATCH($F67,Rango_Admin_DailyPred_Primera,0),0),"-")</f>
        <v>-</v>
      </c>
      <c r="V67" s="717" t="str">
        <f ca="1">IFERROR(VLOOKUP(V$2,Rango_Admin_DailyPred,MATCH($F67,Rango_Admin_DailyPred_Primera,0),0),"-")</f>
        <v>-</v>
      </c>
      <c r="W67" s="717" t="str">
        <f ca="1">IFERROR(VLOOKUP(W$2,Rango_Admin_DailyPred,MATCH($F67,Rango_Admin_DailyPred_Primera,0),0),"-")</f>
        <v>-</v>
      </c>
      <c r="X67" s="717" t="str">
        <f ca="1">IFERROR(VLOOKUP(X$2,Rango_Admin_DailyPred,MATCH($F67,Rango_Admin_DailyPred_Primera,0),0),"-")</f>
        <v>-</v>
      </c>
      <c r="Y67" s="717" t="str">
        <f ca="1">IFERROR(VLOOKUP(Y$2,Rango_Admin_DailyPred,MATCH($F67,Rango_Admin_DailyPred_Primera,0),0),"-")</f>
        <v>-</v>
      </c>
      <c r="Z67" s="717" t="str">
        <f ca="1">IFERROR(VLOOKUP(Z$2,Rango_Admin_DailyPred,MATCH($F67,Rango_Admin_DailyPred_Primera,0),0),"-")</f>
        <v>-</v>
      </c>
      <c r="AA67" s="717" t="str">
        <f ca="1">IFERROR(VLOOKUP(AA$2,Rango_Admin_DailyPred,MATCH($F67,Rango_Admin_DailyPred_Primera,0),0),"-")</f>
        <v>-</v>
      </c>
      <c r="AB67" s="717" t="str">
        <f ca="1">IFERROR(VLOOKUP(AB$2,Rango_Admin_DailyPred,MATCH($F67,Rango_Admin_DailyPred_Primera,0),0),"-")</f>
        <v>-</v>
      </c>
      <c r="AC67" s="717" t="str">
        <f ca="1">IFERROR(VLOOKUP(AC$2,Rango_Admin_DailyPred,MATCH($F67,Rango_Admin_DailyPred_Primera,0),0),"-")</f>
        <v>-</v>
      </c>
      <c r="AD67" s="717" t="str">
        <f ca="1">IFERROR(VLOOKUP(AD$2,Rango_Admin_DailyPred,MATCH($F67,Rango_Admin_DailyPred_Primera,0),0),"-")</f>
        <v>-</v>
      </c>
      <c r="AE67" s="717" t="str">
        <f ca="1">IFERROR(VLOOKUP(AE$2,Rango_Admin_DailyPred,MATCH($F67,Rango_Admin_DailyPred_Primera,0),0),"-")</f>
        <v>-</v>
      </c>
      <c r="AF67" s="717" t="str">
        <f ca="1">IFERROR(VLOOKUP(AF$2,Rango_Admin_DailyPred,MATCH($F67,Rango_Admin_DailyPred_Primera,0),0),"-")</f>
        <v>-</v>
      </c>
      <c r="AG67" s="717" t="str">
        <f ca="1">IFERROR(VLOOKUP(AG$2,Rango_Admin_DailyPred,MATCH($F67,Rango_Admin_DailyPred_Primera,0),0),"-")</f>
        <v>-</v>
      </c>
      <c r="AH67" s="717" t="str">
        <f ca="1">IFERROR(VLOOKUP(AH$2,Rango_Admin_DailyPred,MATCH($F67,Rango_Admin_DailyPred_Primera,0),0),"-")</f>
        <v>-</v>
      </c>
      <c r="AI67" s="717" t="str">
        <f ca="1">IFERROR(VLOOKUP(AI$2,Rango_Admin_DailyPred,MATCH($F67,Rango_Admin_DailyPred_Primera,0),0),"-")</f>
        <v>-</v>
      </c>
      <c r="AJ67" s="717" t="str">
        <f ca="1">IFERROR(VLOOKUP(AJ$2,Rango_Admin_DailyPred,MATCH($F67,Rango_Admin_DailyPred_Primera,0),0),"-")</f>
        <v>-</v>
      </c>
      <c r="AK67" s="717" t="str">
        <f ca="1">IFERROR(VLOOKUP(AK$2,Rango_Admin_DailyPred,MATCH($F67,Rango_Admin_DailyPred_Primera,0),0),"-")</f>
        <v>-</v>
      </c>
      <c r="AL67" s="717" t="str">
        <f ca="1">IFERROR(VLOOKUP(AL$2,Rango_Admin_DailyPred,MATCH($F67,Rango_Admin_DailyPred_Primera,0),0),"-")</f>
        <v>-</v>
      </c>
    </row>
    <row r="68" spans="5:38">
      <c r="E68" s="19">
        <f t="shared" si="1"/>
        <v>201</v>
      </c>
      <c r="F68" s="772" t="str" cm="1">
        <f t="array" ref="F68">IFERROR(INDEX(Rango_Admin_DailyPred_Primera,1,E68),"-")</f>
        <v>-</v>
      </c>
      <c r="G68" s="717" t="str">
        <f ca="1">IFERROR(VLOOKUP(G$2,Rango_Admin_DailyPred,MATCH($F68,Rango_Admin_DailyPred_Primera,0),0),"-")</f>
        <v>-</v>
      </c>
      <c r="H68" s="717" t="str">
        <f ca="1">IFERROR(VLOOKUP(H$2,Rango_Admin_DailyPred,MATCH($F68,Rango_Admin_DailyPred_Primera,0),0),"-")</f>
        <v>-</v>
      </c>
      <c r="I68" s="717" t="str">
        <f ca="1">IFERROR(VLOOKUP(I$2,Rango_Admin_DailyPred,MATCH($F68,Rango_Admin_DailyPred_Primera,0),0),"-")</f>
        <v>-</v>
      </c>
      <c r="J68" s="717" t="str">
        <f ca="1">IFERROR(VLOOKUP(J$2,Rango_Admin_DailyPred,MATCH($F68,Rango_Admin_DailyPred_Primera,0),0),"-")</f>
        <v>-</v>
      </c>
      <c r="K68" s="717" t="str">
        <f ca="1">IFERROR(VLOOKUP(K$2,Rango_Admin_DailyPred,MATCH($F68,Rango_Admin_DailyPred_Primera,0),0),"-")</f>
        <v>-</v>
      </c>
      <c r="L68" s="717" t="str">
        <f ca="1">IFERROR(VLOOKUP(L$2,Rango_Admin_DailyPred,MATCH($F68,Rango_Admin_DailyPred_Primera,0),0),"-")</f>
        <v>-</v>
      </c>
      <c r="M68" s="717" t="str">
        <f ca="1">IFERROR(VLOOKUP(M$2,Rango_Admin_DailyPred,MATCH($F68,Rango_Admin_DailyPred_Primera,0),0),"-")</f>
        <v>-</v>
      </c>
      <c r="N68" s="717" t="str">
        <f ca="1">IFERROR(VLOOKUP(N$2,Rango_Admin_DailyPred,MATCH($F68,Rango_Admin_DailyPred_Primera,0),0),"-")</f>
        <v>-</v>
      </c>
      <c r="O68" s="717" t="str">
        <f ca="1">IFERROR(VLOOKUP(O$2,Rango_Admin_DailyPred,MATCH($F68,Rango_Admin_DailyPred_Primera,0),0),"-")</f>
        <v>-</v>
      </c>
      <c r="P68" s="717" t="str">
        <f ca="1">IFERROR(VLOOKUP(P$2,Rango_Admin_DailyPred,MATCH($F68,Rango_Admin_DailyPred_Primera,0),0),"-")</f>
        <v>-</v>
      </c>
      <c r="Q68" s="717" t="str">
        <f ca="1">IFERROR(VLOOKUP(Q$2,Rango_Admin_DailyPred,MATCH($F68,Rango_Admin_DailyPred_Primera,0),0),"-")</f>
        <v>-</v>
      </c>
      <c r="R68" s="717" t="str">
        <f ca="1">IFERROR(VLOOKUP(R$2,Rango_Admin_DailyPred,MATCH($F68,Rango_Admin_DailyPred_Primera,0),0),"-")</f>
        <v>-</v>
      </c>
      <c r="S68" s="717" t="str">
        <f ca="1">IFERROR(VLOOKUP(S$2,Rango_Admin_DailyPred,MATCH($F68,Rango_Admin_DailyPred_Primera,0),0),"-")</f>
        <v>-</v>
      </c>
      <c r="T68" s="717" t="str">
        <f ca="1">IFERROR(VLOOKUP(T$2,Rango_Admin_DailyPred,MATCH($F68,Rango_Admin_DailyPred_Primera,0),0),"-")</f>
        <v>-</v>
      </c>
      <c r="U68" s="717" t="str">
        <f ca="1">IFERROR(VLOOKUP(U$2,Rango_Admin_DailyPred,MATCH($F68,Rango_Admin_DailyPred_Primera,0),0),"-")</f>
        <v>-</v>
      </c>
      <c r="V68" s="717" t="str">
        <f ca="1">IFERROR(VLOOKUP(V$2,Rango_Admin_DailyPred,MATCH($F68,Rango_Admin_DailyPred_Primera,0),0),"-")</f>
        <v>-</v>
      </c>
      <c r="W68" s="717" t="str">
        <f ca="1">IFERROR(VLOOKUP(W$2,Rango_Admin_DailyPred,MATCH($F68,Rango_Admin_DailyPred_Primera,0),0),"-")</f>
        <v>-</v>
      </c>
      <c r="X68" s="717" t="str">
        <f ca="1">IFERROR(VLOOKUP(X$2,Rango_Admin_DailyPred,MATCH($F68,Rango_Admin_DailyPred_Primera,0),0),"-")</f>
        <v>-</v>
      </c>
      <c r="Y68" s="717" t="str">
        <f ca="1">IFERROR(VLOOKUP(Y$2,Rango_Admin_DailyPred,MATCH($F68,Rango_Admin_DailyPred_Primera,0),0),"-")</f>
        <v>-</v>
      </c>
      <c r="Z68" s="717" t="str">
        <f ca="1">IFERROR(VLOOKUP(Z$2,Rango_Admin_DailyPred,MATCH($F68,Rango_Admin_DailyPred_Primera,0),0),"-")</f>
        <v>-</v>
      </c>
      <c r="AA68" s="717" t="str">
        <f ca="1">IFERROR(VLOOKUP(AA$2,Rango_Admin_DailyPred,MATCH($F68,Rango_Admin_DailyPred_Primera,0),0),"-")</f>
        <v>-</v>
      </c>
      <c r="AB68" s="717" t="str">
        <f ca="1">IFERROR(VLOOKUP(AB$2,Rango_Admin_DailyPred,MATCH($F68,Rango_Admin_DailyPred_Primera,0),0),"-")</f>
        <v>-</v>
      </c>
      <c r="AC68" s="717" t="str">
        <f ca="1">IFERROR(VLOOKUP(AC$2,Rango_Admin_DailyPred,MATCH($F68,Rango_Admin_DailyPred_Primera,0),0),"-")</f>
        <v>-</v>
      </c>
      <c r="AD68" s="717" t="str">
        <f ca="1">IFERROR(VLOOKUP(AD$2,Rango_Admin_DailyPred,MATCH($F68,Rango_Admin_DailyPred_Primera,0),0),"-")</f>
        <v>-</v>
      </c>
      <c r="AE68" s="717" t="str">
        <f ca="1">IFERROR(VLOOKUP(AE$2,Rango_Admin_DailyPred,MATCH($F68,Rango_Admin_DailyPred_Primera,0),0),"-")</f>
        <v>-</v>
      </c>
      <c r="AF68" s="717" t="str">
        <f ca="1">IFERROR(VLOOKUP(AF$2,Rango_Admin_DailyPred,MATCH($F68,Rango_Admin_DailyPred_Primera,0),0),"-")</f>
        <v>-</v>
      </c>
      <c r="AG68" s="717" t="str">
        <f ca="1">IFERROR(VLOOKUP(AG$2,Rango_Admin_DailyPred,MATCH($F68,Rango_Admin_DailyPred_Primera,0),0),"-")</f>
        <v>-</v>
      </c>
      <c r="AH68" s="717" t="str">
        <f ca="1">IFERROR(VLOOKUP(AH$2,Rango_Admin_DailyPred,MATCH($F68,Rango_Admin_DailyPred_Primera,0),0),"-")</f>
        <v>-</v>
      </c>
      <c r="AI68" s="717" t="str">
        <f ca="1">IFERROR(VLOOKUP(AI$2,Rango_Admin_DailyPred,MATCH($F68,Rango_Admin_DailyPred_Primera,0),0),"-")</f>
        <v>-</v>
      </c>
      <c r="AJ68" s="717" t="str">
        <f ca="1">IFERROR(VLOOKUP(AJ$2,Rango_Admin_DailyPred,MATCH($F68,Rango_Admin_DailyPred_Primera,0),0),"-")</f>
        <v>-</v>
      </c>
      <c r="AK68" s="717" t="str">
        <f ca="1">IFERROR(VLOOKUP(AK$2,Rango_Admin_DailyPred,MATCH($F68,Rango_Admin_DailyPred_Primera,0),0),"-")</f>
        <v>-</v>
      </c>
      <c r="AL68" s="717" t="str">
        <f ca="1">IFERROR(VLOOKUP(AL$2,Rango_Admin_DailyPred,MATCH($F68,Rango_Admin_DailyPred_Primera,0),0),"-")</f>
        <v>-</v>
      </c>
    </row>
    <row r="69" spans="5:38">
      <c r="E69" s="19">
        <f t="shared" si="1"/>
        <v>204</v>
      </c>
      <c r="F69" s="772" t="str" cm="1">
        <f t="array" ref="F69">IFERROR(INDEX(Rango_Admin_DailyPred_Primera,1,E69),"-")</f>
        <v>-</v>
      </c>
      <c r="G69" s="717" t="str">
        <f ca="1">IFERROR(VLOOKUP(G$2,Rango_Admin_DailyPred,MATCH($F69,Rango_Admin_DailyPred_Primera,0),0),"-")</f>
        <v>-</v>
      </c>
      <c r="H69" s="717" t="str">
        <f ca="1">IFERROR(VLOOKUP(H$2,Rango_Admin_DailyPred,MATCH($F69,Rango_Admin_DailyPred_Primera,0),0),"-")</f>
        <v>-</v>
      </c>
      <c r="I69" s="717" t="str">
        <f ca="1">IFERROR(VLOOKUP(I$2,Rango_Admin_DailyPred,MATCH($F69,Rango_Admin_DailyPred_Primera,0),0),"-")</f>
        <v>-</v>
      </c>
      <c r="J69" s="717" t="str">
        <f ca="1">IFERROR(VLOOKUP(J$2,Rango_Admin_DailyPred,MATCH($F69,Rango_Admin_DailyPred_Primera,0),0),"-")</f>
        <v>-</v>
      </c>
      <c r="K69" s="717" t="str">
        <f ca="1">IFERROR(VLOOKUP(K$2,Rango_Admin_DailyPred,MATCH($F69,Rango_Admin_DailyPred_Primera,0),0),"-")</f>
        <v>-</v>
      </c>
      <c r="L69" s="717" t="str">
        <f ca="1">IFERROR(VLOOKUP(L$2,Rango_Admin_DailyPred,MATCH($F69,Rango_Admin_DailyPred_Primera,0),0),"-")</f>
        <v>-</v>
      </c>
      <c r="M69" s="717" t="str">
        <f ca="1">IFERROR(VLOOKUP(M$2,Rango_Admin_DailyPred,MATCH($F69,Rango_Admin_DailyPred_Primera,0),0),"-")</f>
        <v>-</v>
      </c>
      <c r="N69" s="717" t="str">
        <f ca="1">IFERROR(VLOOKUP(N$2,Rango_Admin_DailyPred,MATCH($F69,Rango_Admin_DailyPred_Primera,0),0),"-")</f>
        <v>-</v>
      </c>
      <c r="O69" s="717" t="str">
        <f ca="1">IFERROR(VLOOKUP(O$2,Rango_Admin_DailyPred,MATCH($F69,Rango_Admin_DailyPred_Primera,0),0),"-")</f>
        <v>-</v>
      </c>
      <c r="P69" s="717" t="str">
        <f ca="1">IFERROR(VLOOKUP(P$2,Rango_Admin_DailyPred,MATCH($F69,Rango_Admin_DailyPred_Primera,0),0),"-")</f>
        <v>-</v>
      </c>
      <c r="Q69" s="717" t="str">
        <f ca="1">IFERROR(VLOOKUP(Q$2,Rango_Admin_DailyPred,MATCH($F69,Rango_Admin_DailyPred_Primera,0),0),"-")</f>
        <v>-</v>
      </c>
      <c r="R69" s="717" t="str">
        <f ca="1">IFERROR(VLOOKUP(R$2,Rango_Admin_DailyPred,MATCH($F69,Rango_Admin_DailyPred_Primera,0),0),"-")</f>
        <v>-</v>
      </c>
      <c r="S69" s="717" t="str">
        <f ca="1">IFERROR(VLOOKUP(S$2,Rango_Admin_DailyPred,MATCH($F69,Rango_Admin_DailyPred_Primera,0),0),"-")</f>
        <v>-</v>
      </c>
      <c r="T69" s="717" t="str">
        <f ca="1">IFERROR(VLOOKUP(T$2,Rango_Admin_DailyPred,MATCH($F69,Rango_Admin_DailyPred_Primera,0),0),"-")</f>
        <v>-</v>
      </c>
      <c r="U69" s="717" t="str">
        <f ca="1">IFERROR(VLOOKUP(U$2,Rango_Admin_DailyPred,MATCH($F69,Rango_Admin_DailyPred_Primera,0),0),"-")</f>
        <v>-</v>
      </c>
      <c r="V69" s="717" t="str">
        <f ca="1">IFERROR(VLOOKUP(V$2,Rango_Admin_DailyPred,MATCH($F69,Rango_Admin_DailyPred_Primera,0),0),"-")</f>
        <v>-</v>
      </c>
      <c r="W69" s="717" t="str">
        <f ca="1">IFERROR(VLOOKUP(W$2,Rango_Admin_DailyPred,MATCH($F69,Rango_Admin_DailyPred_Primera,0),0),"-")</f>
        <v>-</v>
      </c>
      <c r="X69" s="717" t="str">
        <f ca="1">IFERROR(VLOOKUP(X$2,Rango_Admin_DailyPred,MATCH($F69,Rango_Admin_DailyPred_Primera,0),0),"-")</f>
        <v>-</v>
      </c>
      <c r="Y69" s="717" t="str">
        <f ca="1">IFERROR(VLOOKUP(Y$2,Rango_Admin_DailyPred,MATCH($F69,Rango_Admin_DailyPred_Primera,0),0),"-")</f>
        <v>-</v>
      </c>
      <c r="Z69" s="717" t="str">
        <f ca="1">IFERROR(VLOOKUP(Z$2,Rango_Admin_DailyPred,MATCH($F69,Rango_Admin_DailyPred_Primera,0),0),"-")</f>
        <v>-</v>
      </c>
      <c r="AA69" s="717" t="str">
        <f ca="1">IFERROR(VLOOKUP(AA$2,Rango_Admin_DailyPred,MATCH($F69,Rango_Admin_DailyPred_Primera,0),0),"-")</f>
        <v>-</v>
      </c>
      <c r="AB69" s="717" t="str">
        <f ca="1">IFERROR(VLOOKUP(AB$2,Rango_Admin_DailyPred,MATCH($F69,Rango_Admin_DailyPred_Primera,0),0),"-")</f>
        <v>-</v>
      </c>
      <c r="AC69" s="717" t="str">
        <f ca="1">IFERROR(VLOOKUP(AC$2,Rango_Admin_DailyPred,MATCH($F69,Rango_Admin_DailyPred_Primera,0),0),"-")</f>
        <v>-</v>
      </c>
      <c r="AD69" s="717" t="str">
        <f ca="1">IFERROR(VLOOKUP(AD$2,Rango_Admin_DailyPred,MATCH($F69,Rango_Admin_DailyPred_Primera,0),0),"-")</f>
        <v>-</v>
      </c>
      <c r="AE69" s="717" t="str">
        <f ca="1">IFERROR(VLOOKUP(AE$2,Rango_Admin_DailyPred,MATCH($F69,Rango_Admin_DailyPred_Primera,0),0),"-")</f>
        <v>-</v>
      </c>
      <c r="AF69" s="717" t="str">
        <f ca="1">IFERROR(VLOOKUP(AF$2,Rango_Admin_DailyPred,MATCH($F69,Rango_Admin_DailyPred_Primera,0),0),"-")</f>
        <v>-</v>
      </c>
      <c r="AG69" s="717" t="str">
        <f ca="1">IFERROR(VLOOKUP(AG$2,Rango_Admin_DailyPred,MATCH($F69,Rango_Admin_DailyPred_Primera,0),0),"-")</f>
        <v>-</v>
      </c>
      <c r="AH69" s="717" t="str">
        <f ca="1">IFERROR(VLOOKUP(AH$2,Rango_Admin_DailyPred,MATCH($F69,Rango_Admin_DailyPred_Primera,0),0),"-")</f>
        <v>-</v>
      </c>
      <c r="AI69" s="717" t="str">
        <f ca="1">IFERROR(VLOOKUP(AI$2,Rango_Admin_DailyPred,MATCH($F69,Rango_Admin_DailyPred_Primera,0),0),"-")</f>
        <v>-</v>
      </c>
      <c r="AJ69" s="717" t="str">
        <f ca="1">IFERROR(VLOOKUP(AJ$2,Rango_Admin_DailyPred,MATCH($F69,Rango_Admin_DailyPred_Primera,0),0),"-")</f>
        <v>-</v>
      </c>
      <c r="AK69" s="717" t="str">
        <f ca="1">IFERROR(VLOOKUP(AK$2,Rango_Admin_DailyPred,MATCH($F69,Rango_Admin_DailyPred_Primera,0),0),"-")</f>
        <v>-</v>
      </c>
      <c r="AL69" s="717" t="str">
        <f ca="1">IFERROR(VLOOKUP(AL$2,Rango_Admin_DailyPred,MATCH($F69,Rango_Admin_DailyPred_Primera,0),0),"-")</f>
        <v>-</v>
      </c>
    </row>
    <row r="70" spans="5:38">
      <c r="E70" s="19">
        <f t="shared" ref="E70:E100" si="2">+E69+3</f>
        <v>207</v>
      </c>
      <c r="F70" s="772" t="str" cm="1">
        <f t="array" ref="F70">IFERROR(INDEX(Rango_Admin_DailyPred_Primera,1,E70),"-")</f>
        <v>-</v>
      </c>
      <c r="G70" s="717" t="str">
        <f ca="1">IFERROR(VLOOKUP(G$2,Rango_Admin_DailyPred,MATCH($F70,Rango_Admin_DailyPred_Primera,0),0),"-")</f>
        <v>-</v>
      </c>
      <c r="H70" s="717" t="str">
        <f ca="1">IFERROR(VLOOKUP(H$2,Rango_Admin_DailyPred,MATCH($F70,Rango_Admin_DailyPred_Primera,0),0),"-")</f>
        <v>-</v>
      </c>
      <c r="I70" s="717" t="str">
        <f ca="1">IFERROR(VLOOKUP(I$2,Rango_Admin_DailyPred,MATCH($F70,Rango_Admin_DailyPred_Primera,0),0),"-")</f>
        <v>-</v>
      </c>
      <c r="J70" s="717" t="str">
        <f ca="1">IFERROR(VLOOKUP(J$2,Rango_Admin_DailyPred,MATCH($F70,Rango_Admin_DailyPred_Primera,0),0),"-")</f>
        <v>-</v>
      </c>
      <c r="K70" s="717" t="str">
        <f ca="1">IFERROR(VLOOKUP(K$2,Rango_Admin_DailyPred,MATCH($F70,Rango_Admin_DailyPred_Primera,0),0),"-")</f>
        <v>-</v>
      </c>
      <c r="L70" s="717" t="str">
        <f ca="1">IFERROR(VLOOKUP(L$2,Rango_Admin_DailyPred,MATCH($F70,Rango_Admin_DailyPred_Primera,0),0),"-")</f>
        <v>-</v>
      </c>
      <c r="M70" s="717" t="str">
        <f ca="1">IFERROR(VLOOKUP(M$2,Rango_Admin_DailyPred,MATCH($F70,Rango_Admin_DailyPred_Primera,0),0),"-")</f>
        <v>-</v>
      </c>
      <c r="N70" s="717" t="str">
        <f ca="1">IFERROR(VLOOKUP(N$2,Rango_Admin_DailyPred,MATCH($F70,Rango_Admin_DailyPred_Primera,0),0),"-")</f>
        <v>-</v>
      </c>
      <c r="O70" s="717" t="str">
        <f ca="1">IFERROR(VLOOKUP(O$2,Rango_Admin_DailyPred,MATCH($F70,Rango_Admin_DailyPred_Primera,0),0),"-")</f>
        <v>-</v>
      </c>
      <c r="P70" s="717" t="str">
        <f ca="1">IFERROR(VLOOKUP(P$2,Rango_Admin_DailyPred,MATCH($F70,Rango_Admin_DailyPred_Primera,0),0),"-")</f>
        <v>-</v>
      </c>
      <c r="Q70" s="717" t="str">
        <f ca="1">IFERROR(VLOOKUP(Q$2,Rango_Admin_DailyPred,MATCH($F70,Rango_Admin_DailyPred_Primera,0),0),"-")</f>
        <v>-</v>
      </c>
      <c r="R70" s="717" t="str">
        <f ca="1">IFERROR(VLOOKUP(R$2,Rango_Admin_DailyPred,MATCH($F70,Rango_Admin_DailyPred_Primera,0),0),"-")</f>
        <v>-</v>
      </c>
      <c r="S70" s="717" t="str">
        <f ca="1">IFERROR(VLOOKUP(S$2,Rango_Admin_DailyPred,MATCH($F70,Rango_Admin_DailyPred_Primera,0),0),"-")</f>
        <v>-</v>
      </c>
      <c r="T70" s="717" t="str">
        <f ca="1">IFERROR(VLOOKUP(T$2,Rango_Admin_DailyPred,MATCH($F70,Rango_Admin_DailyPred_Primera,0),0),"-")</f>
        <v>-</v>
      </c>
      <c r="U70" s="717" t="str">
        <f ca="1">IFERROR(VLOOKUP(U$2,Rango_Admin_DailyPred,MATCH($F70,Rango_Admin_DailyPred_Primera,0),0),"-")</f>
        <v>-</v>
      </c>
      <c r="V70" s="717" t="str">
        <f ca="1">IFERROR(VLOOKUP(V$2,Rango_Admin_DailyPred,MATCH($F70,Rango_Admin_DailyPred_Primera,0),0),"-")</f>
        <v>-</v>
      </c>
      <c r="W70" s="717" t="str">
        <f ca="1">IFERROR(VLOOKUP(W$2,Rango_Admin_DailyPred,MATCH($F70,Rango_Admin_DailyPred_Primera,0),0),"-")</f>
        <v>-</v>
      </c>
      <c r="X70" s="717" t="str">
        <f ca="1">IFERROR(VLOOKUP(X$2,Rango_Admin_DailyPred,MATCH($F70,Rango_Admin_DailyPred_Primera,0),0),"-")</f>
        <v>-</v>
      </c>
      <c r="Y70" s="717" t="str">
        <f ca="1">IFERROR(VLOOKUP(Y$2,Rango_Admin_DailyPred,MATCH($F70,Rango_Admin_DailyPred_Primera,0),0),"-")</f>
        <v>-</v>
      </c>
      <c r="Z70" s="717" t="str">
        <f ca="1">IFERROR(VLOOKUP(Z$2,Rango_Admin_DailyPred,MATCH($F70,Rango_Admin_DailyPred_Primera,0),0),"-")</f>
        <v>-</v>
      </c>
      <c r="AA70" s="717" t="str">
        <f ca="1">IFERROR(VLOOKUP(AA$2,Rango_Admin_DailyPred,MATCH($F70,Rango_Admin_DailyPred_Primera,0),0),"-")</f>
        <v>-</v>
      </c>
      <c r="AB70" s="717" t="str">
        <f ca="1">IFERROR(VLOOKUP(AB$2,Rango_Admin_DailyPred,MATCH($F70,Rango_Admin_DailyPred_Primera,0),0),"-")</f>
        <v>-</v>
      </c>
      <c r="AC70" s="717" t="str">
        <f ca="1">IFERROR(VLOOKUP(AC$2,Rango_Admin_DailyPred,MATCH($F70,Rango_Admin_DailyPred_Primera,0),0),"-")</f>
        <v>-</v>
      </c>
      <c r="AD70" s="717" t="str">
        <f ca="1">IFERROR(VLOOKUP(AD$2,Rango_Admin_DailyPred,MATCH($F70,Rango_Admin_DailyPred_Primera,0),0),"-")</f>
        <v>-</v>
      </c>
      <c r="AE70" s="717" t="str">
        <f ca="1">IFERROR(VLOOKUP(AE$2,Rango_Admin_DailyPred,MATCH($F70,Rango_Admin_DailyPred_Primera,0),0),"-")</f>
        <v>-</v>
      </c>
      <c r="AF70" s="717" t="str">
        <f ca="1">IFERROR(VLOOKUP(AF$2,Rango_Admin_DailyPred,MATCH($F70,Rango_Admin_DailyPred_Primera,0),0),"-")</f>
        <v>-</v>
      </c>
      <c r="AG70" s="717" t="str">
        <f ca="1">IFERROR(VLOOKUP(AG$2,Rango_Admin_DailyPred,MATCH($F70,Rango_Admin_DailyPred_Primera,0),0),"-")</f>
        <v>-</v>
      </c>
      <c r="AH70" s="717" t="str">
        <f ca="1">IFERROR(VLOOKUP(AH$2,Rango_Admin_DailyPred,MATCH($F70,Rango_Admin_DailyPred_Primera,0),0),"-")</f>
        <v>-</v>
      </c>
      <c r="AI70" s="717" t="str">
        <f ca="1">IFERROR(VLOOKUP(AI$2,Rango_Admin_DailyPred,MATCH($F70,Rango_Admin_DailyPred_Primera,0),0),"-")</f>
        <v>-</v>
      </c>
      <c r="AJ70" s="717" t="str">
        <f ca="1">IFERROR(VLOOKUP(AJ$2,Rango_Admin_DailyPred,MATCH($F70,Rango_Admin_DailyPred_Primera,0),0),"-")</f>
        <v>-</v>
      </c>
      <c r="AK70" s="717" t="str">
        <f ca="1">IFERROR(VLOOKUP(AK$2,Rango_Admin_DailyPred,MATCH($F70,Rango_Admin_DailyPred_Primera,0),0),"-")</f>
        <v>-</v>
      </c>
      <c r="AL70" s="717" t="str">
        <f ca="1">IFERROR(VLOOKUP(AL$2,Rango_Admin_DailyPred,MATCH($F70,Rango_Admin_DailyPred_Primera,0),0),"-")</f>
        <v>-</v>
      </c>
    </row>
    <row r="71" spans="5:38">
      <c r="E71" s="19">
        <f t="shared" si="2"/>
        <v>210</v>
      </c>
      <c r="F71" s="772" t="str" cm="1">
        <f t="array" ref="F71">IFERROR(INDEX(Rango_Admin_DailyPred_Primera,1,E71),"-")</f>
        <v>-</v>
      </c>
      <c r="G71" s="717" t="str">
        <f ca="1">IFERROR(VLOOKUP(G$2,Rango_Admin_DailyPred,MATCH($F71,Rango_Admin_DailyPred_Primera,0),0),"-")</f>
        <v>-</v>
      </c>
      <c r="H71" s="717" t="str">
        <f ca="1">IFERROR(VLOOKUP(H$2,Rango_Admin_DailyPred,MATCH($F71,Rango_Admin_DailyPred_Primera,0),0),"-")</f>
        <v>-</v>
      </c>
      <c r="I71" s="717" t="str">
        <f ca="1">IFERROR(VLOOKUP(I$2,Rango_Admin_DailyPred,MATCH($F71,Rango_Admin_DailyPred_Primera,0),0),"-")</f>
        <v>-</v>
      </c>
      <c r="J71" s="717" t="str">
        <f ca="1">IFERROR(VLOOKUP(J$2,Rango_Admin_DailyPred,MATCH($F71,Rango_Admin_DailyPred_Primera,0),0),"-")</f>
        <v>-</v>
      </c>
      <c r="K71" s="717" t="str">
        <f ca="1">IFERROR(VLOOKUP(K$2,Rango_Admin_DailyPred,MATCH($F71,Rango_Admin_DailyPred_Primera,0),0),"-")</f>
        <v>-</v>
      </c>
      <c r="L71" s="717" t="str">
        <f ca="1">IFERROR(VLOOKUP(L$2,Rango_Admin_DailyPred,MATCH($F71,Rango_Admin_DailyPred_Primera,0),0),"-")</f>
        <v>-</v>
      </c>
      <c r="M71" s="717" t="str">
        <f ca="1">IFERROR(VLOOKUP(M$2,Rango_Admin_DailyPred,MATCH($F71,Rango_Admin_DailyPred_Primera,0),0),"-")</f>
        <v>-</v>
      </c>
      <c r="N71" s="717" t="str">
        <f ca="1">IFERROR(VLOOKUP(N$2,Rango_Admin_DailyPred,MATCH($F71,Rango_Admin_DailyPred_Primera,0),0),"-")</f>
        <v>-</v>
      </c>
      <c r="O71" s="717" t="str">
        <f ca="1">IFERROR(VLOOKUP(O$2,Rango_Admin_DailyPred,MATCH($F71,Rango_Admin_DailyPred_Primera,0),0),"-")</f>
        <v>-</v>
      </c>
      <c r="P71" s="717" t="str">
        <f ca="1">IFERROR(VLOOKUP(P$2,Rango_Admin_DailyPred,MATCH($F71,Rango_Admin_DailyPred_Primera,0),0),"-")</f>
        <v>-</v>
      </c>
      <c r="Q71" s="717" t="str">
        <f ca="1">IFERROR(VLOOKUP(Q$2,Rango_Admin_DailyPred,MATCH($F71,Rango_Admin_DailyPred_Primera,0),0),"-")</f>
        <v>-</v>
      </c>
      <c r="R71" s="717" t="str">
        <f ca="1">IFERROR(VLOOKUP(R$2,Rango_Admin_DailyPred,MATCH($F71,Rango_Admin_DailyPred_Primera,0),0),"-")</f>
        <v>-</v>
      </c>
      <c r="S71" s="717" t="str">
        <f ca="1">IFERROR(VLOOKUP(S$2,Rango_Admin_DailyPred,MATCH($F71,Rango_Admin_DailyPred_Primera,0),0),"-")</f>
        <v>-</v>
      </c>
      <c r="T71" s="717" t="str">
        <f ca="1">IFERROR(VLOOKUP(T$2,Rango_Admin_DailyPred,MATCH($F71,Rango_Admin_DailyPred_Primera,0),0),"-")</f>
        <v>-</v>
      </c>
      <c r="U71" s="717" t="str">
        <f ca="1">IFERROR(VLOOKUP(U$2,Rango_Admin_DailyPred,MATCH($F71,Rango_Admin_DailyPred_Primera,0),0),"-")</f>
        <v>-</v>
      </c>
      <c r="V71" s="717" t="str">
        <f ca="1">IFERROR(VLOOKUP(V$2,Rango_Admin_DailyPred,MATCH($F71,Rango_Admin_DailyPred_Primera,0),0),"-")</f>
        <v>-</v>
      </c>
      <c r="W71" s="717" t="str">
        <f ca="1">IFERROR(VLOOKUP(W$2,Rango_Admin_DailyPred,MATCH($F71,Rango_Admin_DailyPred_Primera,0),0),"-")</f>
        <v>-</v>
      </c>
      <c r="X71" s="717" t="str">
        <f ca="1">IFERROR(VLOOKUP(X$2,Rango_Admin_DailyPred,MATCH($F71,Rango_Admin_DailyPred_Primera,0),0),"-")</f>
        <v>-</v>
      </c>
      <c r="Y71" s="717" t="str">
        <f ca="1">IFERROR(VLOOKUP(Y$2,Rango_Admin_DailyPred,MATCH($F71,Rango_Admin_DailyPred_Primera,0),0),"-")</f>
        <v>-</v>
      </c>
      <c r="Z71" s="717" t="str">
        <f ca="1">IFERROR(VLOOKUP(Z$2,Rango_Admin_DailyPred,MATCH($F71,Rango_Admin_DailyPred_Primera,0),0),"-")</f>
        <v>-</v>
      </c>
      <c r="AA71" s="717" t="str">
        <f ca="1">IFERROR(VLOOKUP(AA$2,Rango_Admin_DailyPred,MATCH($F71,Rango_Admin_DailyPred_Primera,0),0),"-")</f>
        <v>-</v>
      </c>
      <c r="AB71" s="717" t="str">
        <f ca="1">IFERROR(VLOOKUP(AB$2,Rango_Admin_DailyPred,MATCH($F71,Rango_Admin_DailyPred_Primera,0),0),"-")</f>
        <v>-</v>
      </c>
      <c r="AC71" s="717" t="str">
        <f ca="1">IFERROR(VLOOKUP(AC$2,Rango_Admin_DailyPred,MATCH($F71,Rango_Admin_DailyPred_Primera,0),0),"-")</f>
        <v>-</v>
      </c>
      <c r="AD71" s="717" t="str">
        <f ca="1">IFERROR(VLOOKUP(AD$2,Rango_Admin_DailyPred,MATCH($F71,Rango_Admin_DailyPred_Primera,0),0),"-")</f>
        <v>-</v>
      </c>
      <c r="AE71" s="717" t="str">
        <f ca="1">IFERROR(VLOOKUP(AE$2,Rango_Admin_DailyPred,MATCH($F71,Rango_Admin_DailyPred_Primera,0),0),"-")</f>
        <v>-</v>
      </c>
      <c r="AF71" s="717" t="str">
        <f ca="1">IFERROR(VLOOKUP(AF$2,Rango_Admin_DailyPred,MATCH($F71,Rango_Admin_DailyPred_Primera,0),0),"-")</f>
        <v>-</v>
      </c>
      <c r="AG71" s="717" t="str">
        <f ca="1">IFERROR(VLOOKUP(AG$2,Rango_Admin_DailyPred,MATCH($F71,Rango_Admin_DailyPred_Primera,0),0),"-")</f>
        <v>-</v>
      </c>
      <c r="AH71" s="717" t="str">
        <f ca="1">IFERROR(VLOOKUP(AH$2,Rango_Admin_DailyPred,MATCH($F71,Rango_Admin_DailyPred_Primera,0),0),"-")</f>
        <v>-</v>
      </c>
      <c r="AI71" s="717" t="str">
        <f ca="1">IFERROR(VLOOKUP(AI$2,Rango_Admin_DailyPred,MATCH($F71,Rango_Admin_DailyPred_Primera,0),0),"-")</f>
        <v>-</v>
      </c>
      <c r="AJ71" s="717" t="str">
        <f ca="1">IFERROR(VLOOKUP(AJ$2,Rango_Admin_DailyPred,MATCH($F71,Rango_Admin_DailyPred_Primera,0),0),"-")</f>
        <v>-</v>
      </c>
      <c r="AK71" s="717" t="str">
        <f ca="1">IFERROR(VLOOKUP(AK$2,Rango_Admin_DailyPred,MATCH($F71,Rango_Admin_DailyPred_Primera,0),0),"-")</f>
        <v>-</v>
      </c>
      <c r="AL71" s="717" t="str">
        <f ca="1">IFERROR(VLOOKUP(AL$2,Rango_Admin_DailyPred,MATCH($F71,Rango_Admin_DailyPred_Primera,0),0),"-")</f>
        <v>-</v>
      </c>
    </row>
    <row r="72" spans="5:38">
      <c r="E72" s="19">
        <f t="shared" si="2"/>
        <v>213</v>
      </c>
      <c r="F72" s="772" t="str" cm="1">
        <f t="array" ref="F72">IFERROR(INDEX(Rango_Admin_DailyPred_Primera,1,E72),"-")</f>
        <v>-</v>
      </c>
      <c r="G72" s="717" t="str">
        <f ca="1">IFERROR(VLOOKUP(G$2,Rango_Admin_DailyPred,MATCH($F72,Rango_Admin_DailyPred_Primera,0),0),"-")</f>
        <v>-</v>
      </c>
      <c r="H72" s="717" t="str">
        <f ca="1">IFERROR(VLOOKUP(H$2,Rango_Admin_DailyPred,MATCH($F72,Rango_Admin_DailyPred_Primera,0),0),"-")</f>
        <v>-</v>
      </c>
      <c r="I72" s="717" t="str">
        <f ca="1">IFERROR(VLOOKUP(I$2,Rango_Admin_DailyPred,MATCH($F72,Rango_Admin_DailyPred_Primera,0),0),"-")</f>
        <v>-</v>
      </c>
      <c r="J72" s="717" t="str">
        <f ca="1">IFERROR(VLOOKUP(J$2,Rango_Admin_DailyPred,MATCH($F72,Rango_Admin_DailyPred_Primera,0),0),"-")</f>
        <v>-</v>
      </c>
      <c r="K72" s="717" t="str">
        <f ca="1">IFERROR(VLOOKUP(K$2,Rango_Admin_DailyPred,MATCH($F72,Rango_Admin_DailyPred_Primera,0),0),"-")</f>
        <v>-</v>
      </c>
      <c r="L72" s="717" t="str">
        <f ca="1">IFERROR(VLOOKUP(L$2,Rango_Admin_DailyPred,MATCH($F72,Rango_Admin_DailyPred_Primera,0),0),"-")</f>
        <v>-</v>
      </c>
      <c r="M72" s="717" t="str">
        <f ca="1">IFERROR(VLOOKUP(M$2,Rango_Admin_DailyPred,MATCH($F72,Rango_Admin_DailyPred_Primera,0),0),"-")</f>
        <v>-</v>
      </c>
      <c r="N72" s="717" t="str">
        <f ca="1">IFERROR(VLOOKUP(N$2,Rango_Admin_DailyPred,MATCH($F72,Rango_Admin_DailyPred_Primera,0),0),"-")</f>
        <v>-</v>
      </c>
      <c r="O72" s="717" t="str">
        <f ca="1">IFERROR(VLOOKUP(O$2,Rango_Admin_DailyPred,MATCH($F72,Rango_Admin_DailyPred_Primera,0),0),"-")</f>
        <v>-</v>
      </c>
      <c r="P72" s="717" t="str">
        <f ca="1">IFERROR(VLOOKUP(P$2,Rango_Admin_DailyPred,MATCH($F72,Rango_Admin_DailyPred_Primera,0),0),"-")</f>
        <v>-</v>
      </c>
      <c r="Q72" s="717" t="str">
        <f ca="1">IFERROR(VLOOKUP(Q$2,Rango_Admin_DailyPred,MATCH($F72,Rango_Admin_DailyPred_Primera,0),0),"-")</f>
        <v>-</v>
      </c>
      <c r="R72" s="717" t="str">
        <f ca="1">IFERROR(VLOOKUP(R$2,Rango_Admin_DailyPred,MATCH($F72,Rango_Admin_DailyPred_Primera,0),0),"-")</f>
        <v>-</v>
      </c>
      <c r="S72" s="717" t="str">
        <f ca="1">IFERROR(VLOOKUP(S$2,Rango_Admin_DailyPred,MATCH($F72,Rango_Admin_DailyPred_Primera,0),0),"-")</f>
        <v>-</v>
      </c>
      <c r="T72" s="717" t="str">
        <f ca="1">IFERROR(VLOOKUP(T$2,Rango_Admin_DailyPred,MATCH($F72,Rango_Admin_DailyPred_Primera,0),0),"-")</f>
        <v>-</v>
      </c>
      <c r="U72" s="717" t="str">
        <f ca="1">IFERROR(VLOOKUP(U$2,Rango_Admin_DailyPred,MATCH($F72,Rango_Admin_DailyPred_Primera,0),0),"-")</f>
        <v>-</v>
      </c>
      <c r="V72" s="717" t="str">
        <f ca="1">IFERROR(VLOOKUP(V$2,Rango_Admin_DailyPred,MATCH($F72,Rango_Admin_DailyPred_Primera,0),0),"-")</f>
        <v>-</v>
      </c>
      <c r="W72" s="717" t="str">
        <f ca="1">IFERROR(VLOOKUP(W$2,Rango_Admin_DailyPred,MATCH($F72,Rango_Admin_DailyPred_Primera,0),0),"-")</f>
        <v>-</v>
      </c>
      <c r="X72" s="717" t="str">
        <f ca="1">IFERROR(VLOOKUP(X$2,Rango_Admin_DailyPred,MATCH($F72,Rango_Admin_DailyPred_Primera,0),0),"-")</f>
        <v>-</v>
      </c>
      <c r="Y72" s="717" t="str">
        <f ca="1">IFERROR(VLOOKUP(Y$2,Rango_Admin_DailyPred,MATCH($F72,Rango_Admin_DailyPred_Primera,0),0),"-")</f>
        <v>-</v>
      </c>
      <c r="Z72" s="717" t="str">
        <f ca="1">IFERROR(VLOOKUP(Z$2,Rango_Admin_DailyPred,MATCH($F72,Rango_Admin_DailyPred_Primera,0),0),"-")</f>
        <v>-</v>
      </c>
      <c r="AA72" s="717" t="str">
        <f ca="1">IFERROR(VLOOKUP(AA$2,Rango_Admin_DailyPred,MATCH($F72,Rango_Admin_DailyPred_Primera,0),0),"-")</f>
        <v>-</v>
      </c>
      <c r="AB72" s="717" t="str">
        <f ca="1">IFERROR(VLOOKUP(AB$2,Rango_Admin_DailyPred,MATCH($F72,Rango_Admin_DailyPred_Primera,0),0),"-")</f>
        <v>-</v>
      </c>
      <c r="AC72" s="717" t="str">
        <f ca="1">IFERROR(VLOOKUP(AC$2,Rango_Admin_DailyPred,MATCH($F72,Rango_Admin_DailyPred_Primera,0),0),"-")</f>
        <v>-</v>
      </c>
      <c r="AD72" s="717" t="str">
        <f ca="1">IFERROR(VLOOKUP(AD$2,Rango_Admin_DailyPred,MATCH($F72,Rango_Admin_DailyPred_Primera,0),0),"-")</f>
        <v>-</v>
      </c>
      <c r="AE72" s="717" t="str">
        <f ca="1">IFERROR(VLOOKUP(AE$2,Rango_Admin_DailyPred,MATCH($F72,Rango_Admin_DailyPred_Primera,0),0),"-")</f>
        <v>-</v>
      </c>
      <c r="AF72" s="717" t="str">
        <f ca="1">IFERROR(VLOOKUP(AF$2,Rango_Admin_DailyPred,MATCH($F72,Rango_Admin_DailyPred_Primera,0),0),"-")</f>
        <v>-</v>
      </c>
      <c r="AG72" s="717" t="str">
        <f ca="1">IFERROR(VLOOKUP(AG$2,Rango_Admin_DailyPred,MATCH($F72,Rango_Admin_DailyPred_Primera,0),0),"-")</f>
        <v>-</v>
      </c>
      <c r="AH72" s="717" t="str">
        <f ca="1">IFERROR(VLOOKUP(AH$2,Rango_Admin_DailyPred,MATCH($F72,Rango_Admin_DailyPred_Primera,0),0),"-")</f>
        <v>-</v>
      </c>
      <c r="AI72" s="717" t="str">
        <f ca="1">IFERROR(VLOOKUP(AI$2,Rango_Admin_DailyPred,MATCH($F72,Rango_Admin_DailyPred_Primera,0),0),"-")</f>
        <v>-</v>
      </c>
      <c r="AJ72" s="717" t="str">
        <f ca="1">IFERROR(VLOOKUP(AJ$2,Rango_Admin_DailyPred,MATCH($F72,Rango_Admin_DailyPred_Primera,0),0),"-")</f>
        <v>-</v>
      </c>
      <c r="AK72" s="717" t="str">
        <f ca="1">IFERROR(VLOOKUP(AK$2,Rango_Admin_DailyPred,MATCH($F72,Rango_Admin_DailyPred_Primera,0),0),"-")</f>
        <v>-</v>
      </c>
      <c r="AL72" s="717" t="str">
        <f ca="1">IFERROR(VLOOKUP(AL$2,Rango_Admin_DailyPred,MATCH($F72,Rango_Admin_DailyPred_Primera,0),0),"-")</f>
        <v>-</v>
      </c>
    </row>
    <row r="73" spans="5:38">
      <c r="E73" s="19">
        <f t="shared" si="2"/>
        <v>216</v>
      </c>
      <c r="F73" s="772" t="str" cm="1">
        <f t="array" ref="F73">IFERROR(INDEX(Rango_Admin_DailyPred_Primera,1,E73),"-")</f>
        <v>-</v>
      </c>
      <c r="G73" s="717" t="str">
        <f ca="1">IFERROR(VLOOKUP(G$2,Rango_Admin_DailyPred,MATCH($F73,Rango_Admin_DailyPred_Primera,0),0),"-")</f>
        <v>-</v>
      </c>
      <c r="H73" s="717" t="str">
        <f ca="1">IFERROR(VLOOKUP(H$2,Rango_Admin_DailyPred,MATCH($F73,Rango_Admin_DailyPred_Primera,0),0),"-")</f>
        <v>-</v>
      </c>
      <c r="I73" s="717" t="str">
        <f ca="1">IFERROR(VLOOKUP(I$2,Rango_Admin_DailyPred,MATCH($F73,Rango_Admin_DailyPred_Primera,0),0),"-")</f>
        <v>-</v>
      </c>
      <c r="J73" s="717" t="str">
        <f ca="1">IFERROR(VLOOKUP(J$2,Rango_Admin_DailyPred,MATCH($F73,Rango_Admin_DailyPred_Primera,0),0),"-")</f>
        <v>-</v>
      </c>
      <c r="K73" s="717" t="str">
        <f ca="1">IFERROR(VLOOKUP(K$2,Rango_Admin_DailyPred,MATCH($F73,Rango_Admin_DailyPred_Primera,0),0),"-")</f>
        <v>-</v>
      </c>
      <c r="L73" s="717" t="str">
        <f ca="1">IFERROR(VLOOKUP(L$2,Rango_Admin_DailyPred,MATCH($F73,Rango_Admin_DailyPred_Primera,0),0),"-")</f>
        <v>-</v>
      </c>
      <c r="M73" s="717" t="str">
        <f ca="1">IFERROR(VLOOKUP(M$2,Rango_Admin_DailyPred,MATCH($F73,Rango_Admin_DailyPred_Primera,0),0),"-")</f>
        <v>-</v>
      </c>
      <c r="N73" s="717" t="str">
        <f ca="1">IFERROR(VLOOKUP(N$2,Rango_Admin_DailyPred,MATCH($F73,Rango_Admin_DailyPred_Primera,0),0),"-")</f>
        <v>-</v>
      </c>
      <c r="O73" s="717" t="str">
        <f ca="1">IFERROR(VLOOKUP(O$2,Rango_Admin_DailyPred,MATCH($F73,Rango_Admin_DailyPred_Primera,0),0),"-")</f>
        <v>-</v>
      </c>
      <c r="P73" s="717" t="str">
        <f ca="1">IFERROR(VLOOKUP(P$2,Rango_Admin_DailyPred,MATCH($F73,Rango_Admin_DailyPred_Primera,0),0),"-")</f>
        <v>-</v>
      </c>
      <c r="Q73" s="717" t="str">
        <f ca="1">IFERROR(VLOOKUP(Q$2,Rango_Admin_DailyPred,MATCH($F73,Rango_Admin_DailyPred_Primera,0),0),"-")</f>
        <v>-</v>
      </c>
      <c r="R73" s="717" t="str">
        <f ca="1">IFERROR(VLOOKUP(R$2,Rango_Admin_DailyPred,MATCH($F73,Rango_Admin_DailyPred_Primera,0),0),"-")</f>
        <v>-</v>
      </c>
      <c r="S73" s="717" t="str">
        <f ca="1">IFERROR(VLOOKUP(S$2,Rango_Admin_DailyPred,MATCH($F73,Rango_Admin_DailyPred_Primera,0),0),"-")</f>
        <v>-</v>
      </c>
      <c r="T73" s="717" t="str">
        <f ca="1">IFERROR(VLOOKUP(T$2,Rango_Admin_DailyPred,MATCH($F73,Rango_Admin_DailyPred_Primera,0),0),"-")</f>
        <v>-</v>
      </c>
      <c r="U73" s="717" t="str">
        <f ca="1">IFERROR(VLOOKUP(U$2,Rango_Admin_DailyPred,MATCH($F73,Rango_Admin_DailyPred_Primera,0),0),"-")</f>
        <v>-</v>
      </c>
      <c r="V73" s="717" t="str">
        <f ca="1">IFERROR(VLOOKUP(V$2,Rango_Admin_DailyPred,MATCH($F73,Rango_Admin_DailyPred_Primera,0),0),"-")</f>
        <v>-</v>
      </c>
      <c r="W73" s="717" t="str">
        <f ca="1">IFERROR(VLOOKUP(W$2,Rango_Admin_DailyPred,MATCH($F73,Rango_Admin_DailyPred_Primera,0),0),"-")</f>
        <v>-</v>
      </c>
      <c r="X73" s="717" t="str">
        <f ca="1">IFERROR(VLOOKUP(X$2,Rango_Admin_DailyPred,MATCH($F73,Rango_Admin_DailyPred_Primera,0),0),"-")</f>
        <v>-</v>
      </c>
      <c r="Y73" s="717" t="str">
        <f ca="1">IFERROR(VLOOKUP(Y$2,Rango_Admin_DailyPred,MATCH($F73,Rango_Admin_DailyPred_Primera,0),0),"-")</f>
        <v>-</v>
      </c>
      <c r="Z73" s="717" t="str">
        <f ca="1">IFERROR(VLOOKUP(Z$2,Rango_Admin_DailyPred,MATCH($F73,Rango_Admin_DailyPred_Primera,0),0),"-")</f>
        <v>-</v>
      </c>
      <c r="AA73" s="717" t="str">
        <f ca="1">IFERROR(VLOOKUP(AA$2,Rango_Admin_DailyPred,MATCH($F73,Rango_Admin_DailyPred_Primera,0),0),"-")</f>
        <v>-</v>
      </c>
      <c r="AB73" s="717" t="str">
        <f ca="1">IFERROR(VLOOKUP(AB$2,Rango_Admin_DailyPred,MATCH($F73,Rango_Admin_DailyPred_Primera,0),0),"-")</f>
        <v>-</v>
      </c>
      <c r="AC73" s="717" t="str">
        <f ca="1">IFERROR(VLOOKUP(AC$2,Rango_Admin_DailyPred,MATCH($F73,Rango_Admin_DailyPred_Primera,0),0),"-")</f>
        <v>-</v>
      </c>
      <c r="AD73" s="717" t="str">
        <f ca="1">IFERROR(VLOOKUP(AD$2,Rango_Admin_DailyPred,MATCH($F73,Rango_Admin_DailyPred_Primera,0),0),"-")</f>
        <v>-</v>
      </c>
      <c r="AE73" s="717" t="str">
        <f ca="1">IFERROR(VLOOKUP(AE$2,Rango_Admin_DailyPred,MATCH($F73,Rango_Admin_DailyPred_Primera,0),0),"-")</f>
        <v>-</v>
      </c>
      <c r="AF73" s="717" t="str">
        <f ca="1">IFERROR(VLOOKUP(AF$2,Rango_Admin_DailyPred,MATCH($F73,Rango_Admin_DailyPred_Primera,0),0),"-")</f>
        <v>-</v>
      </c>
      <c r="AG73" s="717" t="str">
        <f ca="1">IFERROR(VLOOKUP(AG$2,Rango_Admin_DailyPred,MATCH($F73,Rango_Admin_DailyPred_Primera,0),0),"-")</f>
        <v>-</v>
      </c>
      <c r="AH73" s="717" t="str">
        <f ca="1">IFERROR(VLOOKUP(AH$2,Rango_Admin_DailyPred,MATCH($F73,Rango_Admin_DailyPred_Primera,0),0),"-")</f>
        <v>-</v>
      </c>
      <c r="AI73" s="717" t="str">
        <f ca="1">IFERROR(VLOOKUP(AI$2,Rango_Admin_DailyPred,MATCH($F73,Rango_Admin_DailyPred_Primera,0),0),"-")</f>
        <v>-</v>
      </c>
      <c r="AJ73" s="717" t="str">
        <f ca="1">IFERROR(VLOOKUP(AJ$2,Rango_Admin_DailyPred,MATCH($F73,Rango_Admin_DailyPred_Primera,0),0),"-")</f>
        <v>-</v>
      </c>
      <c r="AK73" s="717" t="str">
        <f ca="1">IFERROR(VLOOKUP(AK$2,Rango_Admin_DailyPred,MATCH($F73,Rango_Admin_DailyPred_Primera,0),0),"-")</f>
        <v>-</v>
      </c>
      <c r="AL73" s="717" t="str">
        <f ca="1">IFERROR(VLOOKUP(AL$2,Rango_Admin_DailyPred,MATCH($F73,Rango_Admin_DailyPred_Primera,0),0),"-")</f>
        <v>-</v>
      </c>
    </row>
    <row r="74" spans="5:38">
      <c r="E74" s="19">
        <f t="shared" si="2"/>
        <v>219</v>
      </c>
      <c r="F74" s="772" t="str" cm="1">
        <f t="array" ref="F74">IFERROR(INDEX(Rango_Admin_DailyPred_Primera,1,E74),"-")</f>
        <v>-</v>
      </c>
      <c r="G74" s="717" t="str">
        <f ca="1">IFERROR(VLOOKUP(G$2,Rango_Admin_DailyPred,MATCH($F74,Rango_Admin_DailyPred_Primera,0),0),"-")</f>
        <v>-</v>
      </c>
      <c r="H74" s="717" t="str">
        <f ca="1">IFERROR(VLOOKUP(H$2,Rango_Admin_DailyPred,MATCH($F74,Rango_Admin_DailyPred_Primera,0),0),"-")</f>
        <v>-</v>
      </c>
      <c r="I74" s="717" t="str">
        <f ca="1">IFERROR(VLOOKUP(I$2,Rango_Admin_DailyPred,MATCH($F74,Rango_Admin_DailyPred_Primera,0),0),"-")</f>
        <v>-</v>
      </c>
      <c r="J74" s="717" t="str">
        <f ca="1">IFERROR(VLOOKUP(J$2,Rango_Admin_DailyPred,MATCH($F74,Rango_Admin_DailyPred_Primera,0),0),"-")</f>
        <v>-</v>
      </c>
      <c r="K74" s="717" t="str">
        <f ca="1">IFERROR(VLOOKUP(K$2,Rango_Admin_DailyPred,MATCH($F74,Rango_Admin_DailyPred_Primera,0),0),"-")</f>
        <v>-</v>
      </c>
      <c r="L74" s="717" t="str">
        <f ca="1">IFERROR(VLOOKUP(L$2,Rango_Admin_DailyPred,MATCH($F74,Rango_Admin_DailyPred_Primera,0),0),"-")</f>
        <v>-</v>
      </c>
      <c r="M74" s="717" t="str">
        <f ca="1">IFERROR(VLOOKUP(M$2,Rango_Admin_DailyPred,MATCH($F74,Rango_Admin_DailyPred_Primera,0),0),"-")</f>
        <v>-</v>
      </c>
      <c r="N74" s="717" t="str">
        <f ca="1">IFERROR(VLOOKUP(N$2,Rango_Admin_DailyPred,MATCH($F74,Rango_Admin_DailyPred_Primera,0),0),"-")</f>
        <v>-</v>
      </c>
      <c r="O74" s="717" t="str">
        <f ca="1">IFERROR(VLOOKUP(O$2,Rango_Admin_DailyPred,MATCH($F74,Rango_Admin_DailyPred_Primera,0),0),"-")</f>
        <v>-</v>
      </c>
      <c r="P74" s="717" t="str">
        <f ca="1">IFERROR(VLOOKUP(P$2,Rango_Admin_DailyPred,MATCH($F74,Rango_Admin_DailyPred_Primera,0),0),"-")</f>
        <v>-</v>
      </c>
      <c r="Q74" s="717" t="str">
        <f ca="1">IFERROR(VLOOKUP(Q$2,Rango_Admin_DailyPred,MATCH($F74,Rango_Admin_DailyPred_Primera,0),0),"-")</f>
        <v>-</v>
      </c>
      <c r="R74" s="717" t="str">
        <f ca="1">IFERROR(VLOOKUP(R$2,Rango_Admin_DailyPred,MATCH($F74,Rango_Admin_DailyPred_Primera,0),0),"-")</f>
        <v>-</v>
      </c>
      <c r="S74" s="717" t="str">
        <f ca="1">IFERROR(VLOOKUP(S$2,Rango_Admin_DailyPred,MATCH($F74,Rango_Admin_DailyPred_Primera,0),0),"-")</f>
        <v>-</v>
      </c>
      <c r="T74" s="717" t="str">
        <f ca="1">IFERROR(VLOOKUP(T$2,Rango_Admin_DailyPred,MATCH($F74,Rango_Admin_DailyPred_Primera,0),0),"-")</f>
        <v>-</v>
      </c>
      <c r="U74" s="717" t="str">
        <f ca="1">IFERROR(VLOOKUP(U$2,Rango_Admin_DailyPred,MATCH($F74,Rango_Admin_DailyPred_Primera,0),0),"-")</f>
        <v>-</v>
      </c>
      <c r="V74" s="717" t="str">
        <f ca="1">IFERROR(VLOOKUP(V$2,Rango_Admin_DailyPred,MATCH($F74,Rango_Admin_DailyPred_Primera,0),0),"-")</f>
        <v>-</v>
      </c>
      <c r="W74" s="717" t="str">
        <f ca="1">IFERROR(VLOOKUP(W$2,Rango_Admin_DailyPred,MATCH($F74,Rango_Admin_DailyPred_Primera,0),0),"-")</f>
        <v>-</v>
      </c>
      <c r="X74" s="717" t="str">
        <f ca="1">IFERROR(VLOOKUP(X$2,Rango_Admin_DailyPred,MATCH($F74,Rango_Admin_DailyPred_Primera,0),0),"-")</f>
        <v>-</v>
      </c>
      <c r="Y74" s="717" t="str">
        <f ca="1">IFERROR(VLOOKUP(Y$2,Rango_Admin_DailyPred,MATCH($F74,Rango_Admin_DailyPred_Primera,0),0),"-")</f>
        <v>-</v>
      </c>
      <c r="Z74" s="717" t="str">
        <f ca="1">IFERROR(VLOOKUP(Z$2,Rango_Admin_DailyPred,MATCH($F74,Rango_Admin_DailyPred_Primera,0),0),"-")</f>
        <v>-</v>
      </c>
      <c r="AA74" s="717" t="str">
        <f ca="1">IFERROR(VLOOKUP(AA$2,Rango_Admin_DailyPred,MATCH($F74,Rango_Admin_DailyPred_Primera,0),0),"-")</f>
        <v>-</v>
      </c>
      <c r="AB74" s="717" t="str">
        <f ca="1">IFERROR(VLOOKUP(AB$2,Rango_Admin_DailyPred,MATCH($F74,Rango_Admin_DailyPred_Primera,0),0),"-")</f>
        <v>-</v>
      </c>
      <c r="AC74" s="717" t="str">
        <f ca="1">IFERROR(VLOOKUP(AC$2,Rango_Admin_DailyPred,MATCH($F74,Rango_Admin_DailyPred_Primera,0),0),"-")</f>
        <v>-</v>
      </c>
      <c r="AD74" s="717" t="str">
        <f ca="1">IFERROR(VLOOKUP(AD$2,Rango_Admin_DailyPred,MATCH($F74,Rango_Admin_DailyPred_Primera,0),0),"-")</f>
        <v>-</v>
      </c>
      <c r="AE74" s="717" t="str">
        <f ca="1">IFERROR(VLOOKUP(AE$2,Rango_Admin_DailyPred,MATCH($F74,Rango_Admin_DailyPred_Primera,0),0),"-")</f>
        <v>-</v>
      </c>
      <c r="AF74" s="717" t="str">
        <f ca="1">IFERROR(VLOOKUP(AF$2,Rango_Admin_DailyPred,MATCH($F74,Rango_Admin_DailyPred_Primera,0),0),"-")</f>
        <v>-</v>
      </c>
      <c r="AG74" s="717" t="str">
        <f ca="1">IFERROR(VLOOKUP(AG$2,Rango_Admin_DailyPred,MATCH($F74,Rango_Admin_DailyPred_Primera,0),0),"-")</f>
        <v>-</v>
      </c>
      <c r="AH74" s="717" t="str">
        <f ca="1">IFERROR(VLOOKUP(AH$2,Rango_Admin_DailyPred,MATCH($F74,Rango_Admin_DailyPred_Primera,0),0),"-")</f>
        <v>-</v>
      </c>
      <c r="AI74" s="717" t="str">
        <f ca="1">IFERROR(VLOOKUP(AI$2,Rango_Admin_DailyPred,MATCH($F74,Rango_Admin_DailyPred_Primera,0),0),"-")</f>
        <v>-</v>
      </c>
      <c r="AJ74" s="717" t="str">
        <f ca="1">IFERROR(VLOOKUP(AJ$2,Rango_Admin_DailyPred,MATCH($F74,Rango_Admin_DailyPred_Primera,0),0),"-")</f>
        <v>-</v>
      </c>
      <c r="AK74" s="717" t="str">
        <f ca="1">IFERROR(VLOOKUP(AK$2,Rango_Admin_DailyPred,MATCH($F74,Rango_Admin_DailyPred_Primera,0),0),"-")</f>
        <v>-</v>
      </c>
      <c r="AL74" s="717" t="str">
        <f ca="1">IFERROR(VLOOKUP(AL$2,Rango_Admin_DailyPred,MATCH($F74,Rango_Admin_DailyPred_Primera,0),0),"-")</f>
        <v>-</v>
      </c>
    </row>
    <row r="75" spans="5:38">
      <c r="E75" s="19">
        <f t="shared" si="2"/>
        <v>222</v>
      </c>
      <c r="F75" s="772" t="str" cm="1">
        <f t="array" ref="F75">IFERROR(INDEX(Rango_Admin_DailyPred_Primera,1,E75),"-")</f>
        <v>-</v>
      </c>
      <c r="G75" s="717" t="str">
        <f ca="1">IFERROR(VLOOKUP(G$2,Rango_Admin_DailyPred,MATCH($F75,Rango_Admin_DailyPred_Primera,0),0),"-")</f>
        <v>-</v>
      </c>
      <c r="H75" s="717" t="str">
        <f ca="1">IFERROR(VLOOKUP(H$2,Rango_Admin_DailyPred,MATCH($F75,Rango_Admin_DailyPred_Primera,0),0),"-")</f>
        <v>-</v>
      </c>
      <c r="I75" s="717" t="str">
        <f ca="1">IFERROR(VLOOKUP(I$2,Rango_Admin_DailyPred,MATCH($F75,Rango_Admin_DailyPred_Primera,0),0),"-")</f>
        <v>-</v>
      </c>
      <c r="J75" s="717" t="str">
        <f ca="1">IFERROR(VLOOKUP(J$2,Rango_Admin_DailyPred,MATCH($F75,Rango_Admin_DailyPred_Primera,0),0),"-")</f>
        <v>-</v>
      </c>
      <c r="K75" s="717" t="str">
        <f ca="1">IFERROR(VLOOKUP(K$2,Rango_Admin_DailyPred,MATCH($F75,Rango_Admin_DailyPred_Primera,0),0),"-")</f>
        <v>-</v>
      </c>
      <c r="L75" s="717" t="str">
        <f ca="1">IFERROR(VLOOKUP(L$2,Rango_Admin_DailyPred,MATCH($F75,Rango_Admin_DailyPred_Primera,0),0),"-")</f>
        <v>-</v>
      </c>
      <c r="M75" s="717" t="str">
        <f ca="1">IFERROR(VLOOKUP(M$2,Rango_Admin_DailyPred,MATCH($F75,Rango_Admin_DailyPred_Primera,0),0),"-")</f>
        <v>-</v>
      </c>
      <c r="N75" s="717" t="str">
        <f ca="1">IFERROR(VLOOKUP(N$2,Rango_Admin_DailyPred,MATCH($F75,Rango_Admin_DailyPred_Primera,0),0),"-")</f>
        <v>-</v>
      </c>
      <c r="O75" s="717" t="str">
        <f ca="1">IFERROR(VLOOKUP(O$2,Rango_Admin_DailyPred,MATCH($F75,Rango_Admin_DailyPred_Primera,0),0),"-")</f>
        <v>-</v>
      </c>
      <c r="P75" s="717" t="str">
        <f ca="1">IFERROR(VLOOKUP(P$2,Rango_Admin_DailyPred,MATCH($F75,Rango_Admin_DailyPred_Primera,0),0),"-")</f>
        <v>-</v>
      </c>
      <c r="Q75" s="717" t="str">
        <f ca="1">IFERROR(VLOOKUP(Q$2,Rango_Admin_DailyPred,MATCH($F75,Rango_Admin_DailyPred_Primera,0),0),"-")</f>
        <v>-</v>
      </c>
      <c r="R75" s="717" t="str">
        <f ca="1">IFERROR(VLOOKUP(R$2,Rango_Admin_DailyPred,MATCH($F75,Rango_Admin_DailyPred_Primera,0),0),"-")</f>
        <v>-</v>
      </c>
      <c r="S75" s="717" t="str">
        <f ca="1">IFERROR(VLOOKUP(S$2,Rango_Admin_DailyPred,MATCH($F75,Rango_Admin_DailyPred_Primera,0),0),"-")</f>
        <v>-</v>
      </c>
      <c r="T75" s="717" t="str">
        <f ca="1">IFERROR(VLOOKUP(T$2,Rango_Admin_DailyPred,MATCH($F75,Rango_Admin_DailyPred_Primera,0),0),"-")</f>
        <v>-</v>
      </c>
      <c r="U75" s="717" t="str">
        <f ca="1">IFERROR(VLOOKUP(U$2,Rango_Admin_DailyPred,MATCH($F75,Rango_Admin_DailyPred_Primera,0),0),"-")</f>
        <v>-</v>
      </c>
      <c r="V75" s="717" t="str">
        <f ca="1">IFERROR(VLOOKUP(V$2,Rango_Admin_DailyPred,MATCH($F75,Rango_Admin_DailyPred_Primera,0),0),"-")</f>
        <v>-</v>
      </c>
      <c r="W75" s="717" t="str">
        <f ca="1">IFERROR(VLOOKUP(W$2,Rango_Admin_DailyPred,MATCH($F75,Rango_Admin_DailyPred_Primera,0),0),"-")</f>
        <v>-</v>
      </c>
      <c r="X75" s="717" t="str">
        <f ca="1">IFERROR(VLOOKUP(X$2,Rango_Admin_DailyPred,MATCH($F75,Rango_Admin_DailyPred_Primera,0),0),"-")</f>
        <v>-</v>
      </c>
      <c r="Y75" s="717" t="str">
        <f ca="1">IFERROR(VLOOKUP(Y$2,Rango_Admin_DailyPred,MATCH($F75,Rango_Admin_DailyPred_Primera,0),0),"-")</f>
        <v>-</v>
      </c>
      <c r="Z75" s="717" t="str">
        <f ca="1">IFERROR(VLOOKUP(Z$2,Rango_Admin_DailyPred,MATCH($F75,Rango_Admin_DailyPred_Primera,0),0),"-")</f>
        <v>-</v>
      </c>
      <c r="AA75" s="717" t="str">
        <f ca="1">IFERROR(VLOOKUP(AA$2,Rango_Admin_DailyPred,MATCH($F75,Rango_Admin_DailyPred_Primera,0),0),"-")</f>
        <v>-</v>
      </c>
      <c r="AB75" s="717" t="str">
        <f ca="1">IFERROR(VLOOKUP(AB$2,Rango_Admin_DailyPred,MATCH($F75,Rango_Admin_DailyPred_Primera,0),0),"-")</f>
        <v>-</v>
      </c>
      <c r="AC75" s="717" t="str">
        <f ca="1">IFERROR(VLOOKUP(AC$2,Rango_Admin_DailyPred,MATCH($F75,Rango_Admin_DailyPred_Primera,0),0),"-")</f>
        <v>-</v>
      </c>
      <c r="AD75" s="717" t="str">
        <f ca="1">IFERROR(VLOOKUP(AD$2,Rango_Admin_DailyPred,MATCH($F75,Rango_Admin_DailyPred_Primera,0),0),"-")</f>
        <v>-</v>
      </c>
      <c r="AE75" s="717" t="str">
        <f ca="1">IFERROR(VLOOKUP(AE$2,Rango_Admin_DailyPred,MATCH($F75,Rango_Admin_DailyPred_Primera,0),0),"-")</f>
        <v>-</v>
      </c>
      <c r="AF75" s="717" t="str">
        <f ca="1">IFERROR(VLOOKUP(AF$2,Rango_Admin_DailyPred,MATCH($F75,Rango_Admin_DailyPred_Primera,0),0),"-")</f>
        <v>-</v>
      </c>
      <c r="AG75" s="717" t="str">
        <f ca="1">IFERROR(VLOOKUP(AG$2,Rango_Admin_DailyPred,MATCH($F75,Rango_Admin_DailyPred_Primera,0),0),"-")</f>
        <v>-</v>
      </c>
      <c r="AH75" s="717" t="str">
        <f ca="1">IFERROR(VLOOKUP(AH$2,Rango_Admin_DailyPred,MATCH($F75,Rango_Admin_DailyPred_Primera,0),0),"-")</f>
        <v>-</v>
      </c>
      <c r="AI75" s="717" t="str">
        <f ca="1">IFERROR(VLOOKUP(AI$2,Rango_Admin_DailyPred,MATCH($F75,Rango_Admin_DailyPred_Primera,0),0),"-")</f>
        <v>-</v>
      </c>
      <c r="AJ75" s="717" t="str">
        <f ca="1">IFERROR(VLOOKUP(AJ$2,Rango_Admin_DailyPred,MATCH($F75,Rango_Admin_DailyPred_Primera,0),0),"-")</f>
        <v>-</v>
      </c>
      <c r="AK75" s="717" t="str">
        <f ca="1">IFERROR(VLOOKUP(AK$2,Rango_Admin_DailyPred,MATCH($F75,Rango_Admin_DailyPred_Primera,0),0),"-")</f>
        <v>-</v>
      </c>
      <c r="AL75" s="717" t="str">
        <f ca="1">IFERROR(VLOOKUP(AL$2,Rango_Admin_DailyPred,MATCH($F75,Rango_Admin_DailyPred_Primera,0),0),"-")</f>
        <v>-</v>
      </c>
    </row>
    <row r="76" spans="5:38">
      <c r="E76" s="19">
        <f t="shared" si="2"/>
        <v>225</v>
      </c>
      <c r="F76" s="772" t="str" cm="1">
        <f t="array" ref="F76">IFERROR(INDEX(Rango_Admin_DailyPred_Primera,1,E76),"-")</f>
        <v>-</v>
      </c>
      <c r="G76" s="717" t="str">
        <f ca="1">IFERROR(VLOOKUP(G$2,Rango_Admin_DailyPred,MATCH($F76,Rango_Admin_DailyPred_Primera,0),0),"-")</f>
        <v>-</v>
      </c>
      <c r="H76" s="717" t="str">
        <f ca="1">IFERROR(VLOOKUP(H$2,Rango_Admin_DailyPred,MATCH($F76,Rango_Admin_DailyPred_Primera,0),0),"-")</f>
        <v>-</v>
      </c>
      <c r="I76" s="717" t="str">
        <f ca="1">IFERROR(VLOOKUP(I$2,Rango_Admin_DailyPred,MATCH($F76,Rango_Admin_DailyPred_Primera,0),0),"-")</f>
        <v>-</v>
      </c>
      <c r="J76" s="717" t="str">
        <f ca="1">IFERROR(VLOOKUP(J$2,Rango_Admin_DailyPred,MATCH($F76,Rango_Admin_DailyPred_Primera,0),0),"-")</f>
        <v>-</v>
      </c>
      <c r="K76" s="717" t="str">
        <f ca="1">IFERROR(VLOOKUP(K$2,Rango_Admin_DailyPred,MATCH($F76,Rango_Admin_DailyPred_Primera,0),0),"-")</f>
        <v>-</v>
      </c>
      <c r="L76" s="717" t="str">
        <f ca="1">IFERROR(VLOOKUP(L$2,Rango_Admin_DailyPred,MATCH($F76,Rango_Admin_DailyPred_Primera,0),0),"-")</f>
        <v>-</v>
      </c>
      <c r="M76" s="717" t="str">
        <f ca="1">IFERROR(VLOOKUP(M$2,Rango_Admin_DailyPred,MATCH($F76,Rango_Admin_DailyPred_Primera,0),0),"-")</f>
        <v>-</v>
      </c>
      <c r="N76" s="717" t="str">
        <f ca="1">IFERROR(VLOOKUP(N$2,Rango_Admin_DailyPred,MATCH($F76,Rango_Admin_DailyPred_Primera,0),0),"-")</f>
        <v>-</v>
      </c>
      <c r="O76" s="717" t="str">
        <f ca="1">IFERROR(VLOOKUP(O$2,Rango_Admin_DailyPred,MATCH($F76,Rango_Admin_DailyPred_Primera,0),0),"-")</f>
        <v>-</v>
      </c>
      <c r="P76" s="717" t="str">
        <f ca="1">IFERROR(VLOOKUP(P$2,Rango_Admin_DailyPred,MATCH($F76,Rango_Admin_DailyPred_Primera,0),0),"-")</f>
        <v>-</v>
      </c>
      <c r="Q76" s="717" t="str">
        <f ca="1">IFERROR(VLOOKUP(Q$2,Rango_Admin_DailyPred,MATCH($F76,Rango_Admin_DailyPred_Primera,0),0),"-")</f>
        <v>-</v>
      </c>
      <c r="R76" s="717" t="str">
        <f ca="1">IFERROR(VLOOKUP(R$2,Rango_Admin_DailyPred,MATCH($F76,Rango_Admin_DailyPred_Primera,0),0),"-")</f>
        <v>-</v>
      </c>
      <c r="S76" s="717" t="str">
        <f ca="1">IFERROR(VLOOKUP(S$2,Rango_Admin_DailyPred,MATCH($F76,Rango_Admin_DailyPred_Primera,0),0),"-")</f>
        <v>-</v>
      </c>
      <c r="T76" s="717" t="str">
        <f ca="1">IFERROR(VLOOKUP(T$2,Rango_Admin_DailyPred,MATCH($F76,Rango_Admin_DailyPred_Primera,0),0),"-")</f>
        <v>-</v>
      </c>
      <c r="U76" s="717" t="str">
        <f ca="1">IFERROR(VLOOKUP(U$2,Rango_Admin_DailyPred,MATCH($F76,Rango_Admin_DailyPred_Primera,0),0),"-")</f>
        <v>-</v>
      </c>
      <c r="V76" s="717" t="str">
        <f ca="1">IFERROR(VLOOKUP(V$2,Rango_Admin_DailyPred,MATCH($F76,Rango_Admin_DailyPred_Primera,0),0),"-")</f>
        <v>-</v>
      </c>
      <c r="W76" s="717" t="str">
        <f ca="1">IFERROR(VLOOKUP(W$2,Rango_Admin_DailyPred,MATCH($F76,Rango_Admin_DailyPred_Primera,0),0),"-")</f>
        <v>-</v>
      </c>
      <c r="X76" s="717" t="str">
        <f ca="1">IFERROR(VLOOKUP(X$2,Rango_Admin_DailyPred,MATCH($F76,Rango_Admin_DailyPred_Primera,0),0),"-")</f>
        <v>-</v>
      </c>
      <c r="Y76" s="717" t="str">
        <f ca="1">IFERROR(VLOOKUP(Y$2,Rango_Admin_DailyPred,MATCH($F76,Rango_Admin_DailyPred_Primera,0),0),"-")</f>
        <v>-</v>
      </c>
      <c r="Z76" s="717" t="str">
        <f ca="1">IFERROR(VLOOKUP(Z$2,Rango_Admin_DailyPred,MATCH($F76,Rango_Admin_DailyPred_Primera,0),0),"-")</f>
        <v>-</v>
      </c>
      <c r="AA76" s="717" t="str">
        <f ca="1">IFERROR(VLOOKUP(AA$2,Rango_Admin_DailyPred,MATCH($F76,Rango_Admin_DailyPred_Primera,0),0),"-")</f>
        <v>-</v>
      </c>
      <c r="AB76" s="717" t="str">
        <f ca="1">IFERROR(VLOOKUP(AB$2,Rango_Admin_DailyPred,MATCH($F76,Rango_Admin_DailyPred_Primera,0),0),"-")</f>
        <v>-</v>
      </c>
      <c r="AC76" s="717" t="str">
        <f ca="1">IFERROR(VLOOKUP(AC$2,Rango_Admin_DailyPred,MATCH($F76,Rango_Admin_DailyPred_Primera,0),0),"-")</f>
        <v>-</v>
      </c>
      <c r="AD76" s="717" t="str">
        <f ca="1">IFERROR(VLOOKUP(AD$2,Rango_Admin_DailyPred,MATCH($F76,Rango_Admin_DailyPred_Primera,0),0),"-")</f>
        <v>-</v>
      </c>
      <c r="AE76" s="717" t="str">
        <f ca="1">IFERROR(VLOOKUP(AE$2,Rango_Admin_DailyPred,MATCH($F76,Rango_Admin_DailyPred_Primera,0),0),"-")</f>
        <v>-</v>
      </c>
      <c r="AF76" s="717" t="str">
        <f ca="1">IFERROR(VLOOKUP(AF$2,Rango_Admin_DailyPred,MATCH($F76,Rango_Admin_DailyPred_Primera,0),0),"-")</f>
        <v>-</v>
      </c>
      <c r="AG76" s="717" t="str">
        <f ca="1">IFERROR(VLOOKUP(AG$2,Rango_Admin_DailyPred,MATCH($F76,Rango_Admin_DailyPred_Primera,0),0),"-")</f>
        <v>-</v>
      </c>
      <c r="AH76" s="717" t="str">
        <f ca="1">IFERROR(VLOOKUP(AH$2,Rango_Admin_DailyPred,MATCH($F76,Rango_Admin_DailyPred_Primera,0),0),"-")</f>
        <v>-</v>
      </c>
      <c r="AI76" s="717" t="str">
        <f ca="1">IFERROR(VLOOKUP(AI$2,Rango_Admin_DailyPred,MATCH($F76,Rango_Admin_DailyPred_Primera,0),0),"-")</f>
        <v>-</v>
      </c>
      <c r="AJ76" s="717" t="str">
        <f ca="1">IFERROR(VLOOKUP(AJ$2,Rango_Admin_DailyPred,MATCH($F76,Rango_Admin_DailyPred_Primera,0),0),"-")</f>
        <v>-</v>
      </c>
      <c r="AK76" s="717" t="str">
        <f ca="1">IFERROR(VLOOKUP(AK$2,Rango_Admin_DailyPred,MATCH($F76,Rango_Admin_DailyPred_Primera,0),0),"-")</f>
        <v>-</v>
      </c>
      <c r="AL76" s="717" t="str">
        <f ca="1">IFERROR(VLOOKUP(AL$2,Rango_Admin_DailyPred,MATCH($F76,Rango_Admin_DailyPred_Primera,0),0),"-")</f>
        <v>-</v>
      </c>
    </row>
    <row r="77" spans="5:38">
      <c r="E77" s="19">
        <f t="shared" si="2"/>
        <v>228</v>
      </c>
      <c r="F77" s="772" t="str" cm="1">
        <f t="array" ref="F77">IFERROR(INDEX(Rango_Admin_DailyPred_Primera,1,E77),"-")</f>
        <v>-</v>
      </c>
      <c r="G77" s="717" t="str">
        <f ca="1">IFERROR(VLOOKUP(G$2,Rango_Admin_DailyPred,MATCH($F77,Rango_Admin_DailyPred_Primera,0),0),"-")</f>
        <v>-</v>
      </c>
      <c r="H77" s="717" t="str">
        <f ca="1">IFERROR(VLOOKUP(H$2,Rango_Admin_DailyPred,MATCH($F77,Rango_Admin_DailyPred_Primera,0),0),"-")</f>
        <v>-</v>
      </c>
      <c r="I77" s="717" t="str">
        <f ca="1">IFERROR(VLOOKUP(I$2,Rango_Admin_DailyPred,MATCH($F77,Rango_Admin_DailyPred_Primera,0),0),"-")</f>
        <v>-</v>
      </c>
      <c r="J77" s="717" t="str">
        <f ca="1">IFERROR(VLOOKUP(J$2,Rango_Admin_DailyPred,MATCH($F77,Rango_Admin_DailyPred_Primera,0),0),"-")</f>
        <v>-</v>
      </c>
      <c r="K77" s="717" t="str">
        <f ca="1">IFERROR(VLOOKUP(K$2,Rango_Admin_DailyPred,MATCH($F77,Rango_Admin_DailyPred_Primera,0),0),"-")</f>
        <v>-</v>
      </c>
      <c r="L77" s="717" t="str">
        <f ca="1">IFERROR(VLOOKUP(L$2,Rango_Admin_DailyPred,MATCH($F77,Rango_Admin_DailyPred_Primera,0),0),"-")</f>
        <v>-</v>
      </c>
      <c r="M77" s="717" t="str">
        <f ca="1">IFERROR(VLOOKUP(M$2,Rango_Admin_DailyPred,MATCH($F77,Rango_Admin_DailyPred_Primera,0),0),"-")</f>
        <v>-</v>
      </c>
      <c r="N77" s="717" t="str">
        <f ca="1">IFERROR(VLOOKUP(N$2,Rango_Admin_DailyPred,MATCH($F77,Rango_Admin_DailyPred_Primera,0),0),"-")</f>
        <v>-</v>
      </c>
      <c r="O77" s="717" t="str">
        <f ca="1">IFERROR(VLOOKUP(O$2,Rango_Admin_DailyPred,MATCH($F77,Rango_Admin_DailyPred_Primera,0),0),"-")</f>
        <v>-</v>
      </c>
      <c r="P77" s="717" t="str">
        <f ca="1">IFERROR(VLOOKUP(P$2,Rango_Admin_DailyPred,MATCH($F77,Rango_Admin_DailyPred_Primera,0),0),"-")</f>
        <v>-</v>
      </c>
      <c r="Q77" s="717" t="str">
        <f ca="1">IFERROR(VLOOKUP(Q$2,Rango_Admin_DailyPred,MATCH($F77,Rango_Admin_DailyPred_Primera,0),0),"-")</f>
        <v>-</v>
      </c>
      <c r="R77" s="717" t="str">
        <f ca="1">IFERROR(VLOOKUP(R$2,Rango_Admin_DailyPred,MATCH($F77,Rango_Admin_DailyPred_Primera,0),0),"-")</f>
        <v>-</v>
      </c>
      <c r="S77" s="717" t="str">
        <f ca="1">IFERROR(VLOOKUP(S$2,Rango_Admin_DailyPred,MATCH($F77,Rango_Admin_DailyPred_Primera,0),0),"-")</f>
        <v>-</v>
      </c>
      <c r="T77" s="717" t="str">
        <f ca="1">IFERROR(VLOOKUP(T$2,Rango_Admin_DailyPred,MATCH($F77,Rango_Admin_DailyPred_Primera,0),0),"-")</f>
        <v>-</v>
      </c>
      <c r="U77" s="717" t="str">
        <f ca="1">IFERROR(VLOOKUP(U$2,Rango_Admin_DailyPred,MATCH($F77,Rango_Admin_DailyPred_Primera,0),0),"-")</f>
        <v>-</v>
      </c>
      <c r="V77" s="717" t="str">
        <f ca="1">IFERROR(VLOOKUP(V$2,Rango_Admin_DailyPred,MATCH($F77,Rango_Admin_DailyPred_Primera,0),0),"-")</f>
        <v>-</v>
      </c>
      <c r="W77" s="717" t="str">
        <f ca="1">IFERROR(VLOOKUP(W$2,Rango_Admin_DailyPred,MATCH($F77,Rango_Admin_DailyPred_Primera,0),0),"-")</f>
        <v>-</v>
      </c>
      <c r="X77" s="717" t="str">
        <f ca="1">IFERROR(VLOOKUP(X$2,Rango_Admin_DailyPred,MATCH($F77,Rango_Admin_DailyPred_Primera,0),0),"-")</f>
        <v>-</v>
      </c>
      <c r="Y77" s="717" t="str">
        <f ca="1">IFERROR(VLOOKUP(Y$2,Rango_Admin_DailyPred,MATCH($F77,Rango_Admin_DailyPred_Primera,0),0),"-")</f>
        <v>-</v>
      </c>
      <c r="Z77" s="717" t="str">
        <f ca="1">IFERROR(VLOOKUP(Z$2,Rango_Admin_DailyPred,MATCH($F77,Rango_Admin_DailyPred_Primera,0),0),"-")</f>
        <v>-</v>
      </c>
      <c r="AA77" s="717" t="str">
        <f ca="1">IFERROR(VLOOKUP(AA$2,Rango_Admin_DailyPred,MATCH($F77,Rango_Admin_DailyPred_Primera,0),0),"-")</f>
        <v>-</v>
      </c>
      <c r="AB77" s="717" t="str">
        <f ca="1">IFERROR(VLOOKUP(AB$2,Rango_Admin_DailyPred,MATCH($F77,Rango_Admin_DailyPred_Primera,0),0),"-")</f>
        <v>-</v>
      </c>
      <c r="AC77" s="717" t="str">
        <f ca="1">IFERROR(VLOOKUP(AC$2,Rango_Admin_DailyPred,MATCH($F77,Rango_Admin_DailyPred_Primera,0),0),"-")</f>
        <v>-</v>
      </c>
      <c r="AD77" s="717" t="str">
        <f ca="1">IFERROR(VLOOKUP(AD$2,Rango_Admin_DailyPred,MATCH($F77,Rango_Admin_DailyPred_Primera,0),0),"-")</f>
        <v>-</v>
      </c>
      <c r="AE77" s="717" t="str">
        <f ca="1">IFERROR(VLOOKUP(AE$2,Rango_Admin_DailyPred,MATCH($F77,Rango_Admin_DailyPred_Primera,0),0),"-")</f>
        <v>-</v>
      </c>
      <c r="AF77" s="717" t="str">
        <f ca="1">IFERROR(VLOOKUP(AF$2,Rango_Admin_DailyPred,MATCH($F77,Rango_Admin_DailyPred_Primera,0),0),"-")</f>
        <v>-</v>
      </c>
      <c r="AG77" s="717" t="str">
        <f ca="1">IFERROR(VLOOKUP(AG$2,Rango_Admin_DailyPred,MATCH($F77,Rango_Admin_DailyPred_Primera,0),0),"-")</f>
        <v>-</v>
      </c>
      <c r="AH77" s="717" t="str">
        <f ca="1">IFERROR(VLOOKUP(AH$2,Rango_Admin_DailyPred,MATCH($F77,Rango_Admin_DailyPred_Primera,0),0),"-")</f>
        <v>-</v>
      </c>
      <c r="AI77" s="717" t="str">
        <f ca="1">IFERROR(VLOOKUP(AI$2,Rango_Admin_DailyPred,MATCH($F77,Rango_Admin_DailyPred_Primera,0),0),"-")</f>
        <v>-</v>
      </c>
      <c r="AJ77" s="717" t="str">
        <f ca="1">IFERROR(VLOOKUP(AJ$2,Rango_Admin_DailyPred,MATCH($F77,Rango_Admin_DailyPred_Primera,0),0),"-")</f>
        <v>-</v>
      </c>
      <c r="AK77" s="717" t="str">
        <f ca="1">IFERROR(VLOOKUP(AK$2,Rango_Admin_DailyPred,MATCH($F77,Rango_Admin_DailyPred_Primera,0),0),"-")</f>
        <v>-</v>
      </c>
      <c r="AL77" s="717" t="str">
        <f ca="1">IFERROR(VLOOKUP(AL$2,Rango_Admin_DailyPred,MATCH($F77,Rango_Admin_DailyPred_Primera,0),0),"-")</f>
        <v>-</v>
      </c>
    </row>
    <row r="78" spans="5:38">
      <c r="E78" s="19">
        <f t="shared" si="2"/>
        <v>231</v>
      </c>
      <c r="F78" s="772" t="str" cm="1">
        <f t="array" ref="F78">IFERROR(INDEX(Rango_Admin_DailyPred_Primera,1,E78),"-")</f>
        <v>-</v>
      </c>
      <c r="G78" s="717" t="str">
        <f ca="1">IFERROR(VLOOKUP(G$2,Rango_Admin_DailyPred,MATCH($F78,Rango_Admin_DailyPred_Primera,0),0),"-")</f>
        <v>-</v>
      </c>
      <c r="H78" s="717" t="str">
        <f ca="1">IFERROR(VLOOKUP(H$2,Rango_Admin_DailyPred,MATCH($F78,Rango_Admin_DailyPred_Primera,0),0),"-")</f>
        <v>-</v>
      </c>
      <c r="I78" s="717" t="str">
        <f ca="1">IFERROR(VLOOKUP(I$2,Rango_Admin_DailyPred,MATCH($F78,Rango_Admin_DailyPred_Primera,0),0),"-")</f>
        <v>-</v>
      </c>
      <c r="J78" s="717" t="str">
        <f ca="1">IFERROR(VLOOKUP(J$2,Rango_Admin_DailyPred,MATCH($F78,Rango_Admin_DailyPred_Primera,0),0),"-")</f>
        <v>-</v>
      </c>
      <c r="K78" s="717" t="str">
        <f ca="1">IFERROR(VLOOKUP(K$2,Rango_Admin_DailyPred,MATCH($F78,Rango_Admin_DailyPred_Primera,0),0),"-")</f>
        <v>-</v>
      </c>
      <c r="L78" s="717" t="str">
        <f ca="1">IFERROR(VLOOKUP(L$2,Rango_Admin_DailyPred,MATCH($F78,Rango_Admin_DailyPred_Primera,0),0),"-")</f>
        <v>-</v>
      </c>
      <c r="M78" s="717" t="str">
        <f ca="1">IFERROR(VLOOKUP(M$2,Rango_Admin_DailyPred,MATCH($F78,Rango_Admin_DailyPred_Primera,0),0),"-")</f>
        <v>-</v>
      </c>
      <c r="N78" s="717" t="str">
        <f ca="1">IFERROR(VLOOKUP(N$2,Rango_Admin_DailyPred,MATCH($F78,Rango_Admin_DailyPred_Primera,0),0),"-")</f>
        <v>-</v>
      </c>
      <c r="O78" s="717" t="str">
        <f ca="1">IFERROR(VLOOKUP(O$2,Rango_Admin_DailyPred,MATCH($F78,Rango_Admin_DailyPred_Primera,0),0),"-")</f>
        <v>-</v>
      </c>
      <c r="P78" s="717" t="str">
        <f ca="1">IFERROR(VLOOKUP(P$2,Rango_Admin_DailyPred,MATCH($F78,Rango_Admin_DailyPred_Primera,0),0),"-")</f>
        <v>-</v>
      </c>
      <c r="Q78" s="717" t="str">
        <f ca="1">IFERROR(VLOOKUP(Q$2,Rango_Admin_DailyPred,MATCH($F78,Rango_Admin_DailyPred_Primera,0),0),"-")</f>
        <v>-</v>
      </c>
      <c r="R78" s="717" t="str">
        <f ca="1">IFERROR(VLOOKUP(R$2,Rango_Admin_DailyPred,MATCH($F78,Rango_Admin_DailyPred_Primera,0),0),"-")</f>
        <v>-</v>
      </c>
      <c r="S78" s="717" t="str">
        <f ca="1">IFERROR(VLOOKUP(S$2,Rango_Admin_DailyPred,MATCH($F78,Rango_Admin_DailyPred_Primera,0),0),"-")</f>
        <v>-</v>
      </c>
      <c r="T78" s="717" t="str">
        <f ca="1">IFERROR(VLOOKUP(T$2,Rango_Admin_DailyPred,MATCH($F78,Rango_Admin_DailyPred_Primera,0),0),"-")</f>
        <v>-</v>
      </c>
      <c r="U78" s="717" t="str">
        <f ca="1">IFERROR(VLOOKUP(U$2,Rango_Admin_DailyPred,MATCH($F78,Rango_Admin_DailyPred_Primera,0),0),"-")</f>
        <v>-</v>
      </c>
      <c r="V78" s="717" t="str">
        <f ca="1">IFERROR(VLOOKUP(V$2,Rango_Admin_DailyPred,MATCH($F78,Rango_Admin_DailyPred_Primera,0),0),"-")</f>
        <v>-</v>
      </c>
      <c r="W78" s="717" t="str">
        <f ca="1">IFERROR(VLOOKUP(W$2,Rango_Admin_DailyPred,MATCH($F78,Rango_Admin_DailyPred_Primera,0),0),"-")</f>
        <v>-</v>
      </c>
      <c r="X78" s="717" t="str">
        <f ca="1">IFERROR(VLOOKUP(X$2,Rango_Admin_DailyPred,MATCH($F78,Rango_Admin_DailyPred_Primera,0),0),"-")</f>
        <v>-</v>
      </c>
      <c r="Y78" s="717" t="str">
        <f ca="1">IFERROR(VLOOKUP(Y$2,Rango_Admin_DailyPred,MATCH($F78,Rango_Admin_DailyPred_Primera,0),0),"-")</f>
        <v>-</v>
      </c>
      <c r="Z78" s="717" t="str">
        <f ca="1">IFERROR(VLOOKUP(Z$2,Rango_Admin_DailyPred,MATCH($F78,Rango_Admin_DailyPred_Primera,0),0),"-")</f>
        <v>-</v>
      </c>
      <c r="AA78" s="717" t="str">
        <f ca="1">IFERROR(VLOOKUP(AA$2,Rango_Admin_DailyPred,MATCH($F78,Rango_Admin_DailyPred_Primera,0),0),"-")</f>
        <v>-</v>
      </c>
      <c r="AB78" s="717" t="str">
        <f ca="1">IFERROR(VLOOKUP(AB$2,Rango_Admin_DailyPred,MATCH($F78,Rango_Admin_DailyPred_Primera,0),0),"-")</f>
        <v>-</v>
      </c>
      <c r="AC78" s="717" t="str">
        <f ca="1">IFERROR(VLOOKUP(AC$2,Rango_Admin_DailyPred,MATCH($F78,Rango_Admin_DailyPred_Primera,0),0),"-")</f>
        <v>-</v>
      </c>
      <c r="AD78" s="717" t="str">
        <f ca="1">IFERROR(VLOOKUP(AD$2,Rango_Admin_DailyPred,MATCH($F78,Rango_Admin_DailyPred_Primera,0),0),"-")</f>
        <v>-</v>
      </c>
      <c r="AE78" s="717" t="str">
        <f ca="1">IFERROR(VLOOKUP(AE$2,Rango_Admin_DailyPred,MATCH($F78,Rango_Admin_DailyPred_Primera,0),0),"-")</f>
        <v>-</v>
      </c>
      <c r="AF78" s="717" t="str">
        <f ca="1">IFERROR(VLOOKUP(AF$2,Rango_Admin_DailyPred,MATCH($F78,Rango_Admin_DailyPred_Primera,0),0),"-")</f>
        <v>-</v>
      </c>
      <c r="AG78" s="717" t="str">
        <f ca="1">IFERROR(VLOOKUP(AG$2,Rango_Admin_DailyPred,MATCH($F78,Rango_Admin_DailyPred_Primera,0),0),"-")</f>
        <v>-</v>
      </c>
      <c r="AH78" s="717" t="str">
        <f ca="1">IFERROR(VLOOKUP(AH$2,Rango_Admin_DailyPred,MATCH($F78,Rango_Admin_DailyPred_Primera,0),0),"-")</f>
        <v>-</v>
      </c>
      <c r="AI78" s="717" t="str">
        <f ca="1">IFERROR(VLOOKUP(AI$2,Rango_Admin_DailyPred,MATCH($F78,Rango_Admin_DailyPred_Primera,0),0),"-")</f>
        <v>-</v>
      </c>
      <c r="AJ78" s="717" t="str">
        <f ca="1">IFERROR(VLOOKUP(AJ$2,Rango_Admin_DailyPred,MATCH($F78,Rango_Admin_DailyPred_Primera,0),0),"-")</f>
        <v>-</v>
      </c>
      <c r="AK78" s="717" t="str">
        <f ca="1">IFERROR(VLOOKUP(AK$2,Rango_Admin_DailyPred,MATCH($F78,Rango_Admin_DailyPred_Primera,0),0),"-")</f>
        <v>-</v>
      </c>
      <c r="AL78" s="717" t="str">
        <f ca="1">IFERROR(VLOOKUP(AL$2,Rango_Admin_DailyPred,MATCH($F78,Rango_Admin_DailyPred_Primera,0),0),"-")</f>
        <v>-</v>
      </c>
    </row>
    <row r="79" spans="5:38">
      <c r="E79" s="19">
        <f t="shared" si="2"/>
        <v>234</v>
      </c>
      <c r="F79" s="772" t="str" cm="1">
        <f t="array" ref="F79">IFERROR(INDEX(Rango_Admin_DailyPred_Primera,1,E79),"-")</f>
        <v>-</v>
      </c>
      <c r="G79" s="717" t="str">
        <f ca="1">IFERROR(VLOOKUP(G$2,Rango_Admin_DailyPred,MATCH($F79,Rango_Admin_DailyPred_Primera,0),0),"-")</f>
        <v>-</v>
      </c>
      <c r="H79" s="717" t="str">
        <f ca="1">IFERROR(VLOOKUP(H$2,Rango_Admin_DailyPred,MATCH($F79,Rango_Admin_DailyPred_Primera,0),0),"-")</f>
        <v>-</v>
      </c>
      <c r="I79" s="717" t="str">
        <f ca="1">IFERROR(VLOOKUP(I$2,Rango_Admin_DailyPred,MATCH($F79,Rango_Admin_DailyPred_Primera,0),0),"-")</f>
        <v>-</v>
      </c>
      <c r="J79" s="717" t="str">
        <f ca="1">IFERROR(VLOOKUP(J$2,Rango_Admin_DailyPred,MATCH($F79,Rango_Admin_DailyPred_Primera,0),0),"-")</f>
        <v>-</v>
      </c>
      <c r="K79" s="717" t="str">
        <f ca="1">IFERROR(VLOOKUP(K$2,Rango_Admin_DailyPred,MATCH($F79,Rango_Admin_DailyPred_Primera,0),0),"-")</f>
        <v>-</v>
      </c>
      <c r="L79" s="717" t="str">
        <f ca="1">IFERROR(VLOOKUP(L$2,Rango_Admin_DailyPred,MATCH($F79,Rango_Admin_DailyPred_Primera,0),0),"-")</f>
        <v>-</v>
      </c>
      <c r="M79" s="717" t="str">
        <f ca="1">IFERROR(VLOOKUP(M$2,Rango_Admin_DailyPred,MATCH($F79,Rango_Admin_DailyPred_Primera,0),0),"-")</f>
        <v>-</v>
      </c>
      <c r="N79" s="717" t="str">
        <f ca="1">IFERROR(VLOOKUP(N$2,Rango_Admin_DailyPred,MATCH($F79,Rango_Admin_DailyPred_Primera,0),0),"-")</f>
        <v>-</v>
      </c>
      <c r="O79" s="717" t="str">
        <f ca="1">IFERROR(VLOOKUP(O$2,Rango_Admin_DailyPred,MATCH($F79,Rango_Admin_DailyPred_Primera,0),0),"-")</f>
        <v>-</v>
      </c>
      <c r="P79" s="717" t="str">
        <f ca="1">IFERROR(VLOOKUP(P$2,Rango_Admin_DailyPred,MATCH($F79,Rango_Admin_DailyPred_Primera,0),0),"-")</f>
        <v>-</v>
      </c>
      <c r="Q79" s="717" t="str">
        <f ca="1">IFERROR(VLOOKUP(Q$2,Rango_Admin_DailyPred,MATCH($F79,Rango_Admin_DailyPred_Primera,0),0),"-")</f>
        <v>-</v>
      </c>
      <c r="R79" s="717" t="str">
        <f ca="1">IFERROR(VLOOKUP(R$2,Rango_Admin_DailyPred,MATCH($F79,Rango_Admin_DailyPred_Primera,0),0),"-")</f>
        <v>-</v>
      </c>
      <c r="S79" s="717" t="str">
        <f ca="1">IFERROR(VLOOKUP(S$2,Rango_Admin_DailyPred,MATCH($F79,Rango_Admin_DailyPred_Primera,0),0),"-")</f>
        <v>-</v>
      </c>
      <c r="T79" s="717" t="str">
        <f ca="1">IFERROR(VLOOKUP(T$2,Rango_Admin_DailyPred,MATCH($F79,Rango_Admin_DailyPred_Primera,0),0),"-")</f>
        <v>-</v>
      </c>
      <c r="U79" s="717" t="str">
        <f ca="1">IFERROR(VLOOKUP(U$2,Rango_Admin_DailyPred,MATCH($F79,Rango_Admin_DailyPred_Primera,0),0),"-")</f>
        <v>-</v>
      </c>
      <c r="V79" s="717" t="str">
        <f ca="1">IFERROR(VLOOKUP(V$2,Rango_Admin_DailyPred,MATCH($F79,Rango_Admin_DailyPred_Primera,0),0),"-")</f>
        <v>-</v>
      </c>
      <c r="W79" s="717" t="str">
        <f ca="1">IFERROR(VLOOKUP(W$2,Rango_Admin_DailyPred,MATCH($F79,Rango_Admin_DailyPred_Primera,0),0),"-")</f>
        <v>-</v>
      </c>
      <c r="X79" s="717" t="str">
        <f ca="1">IFERROR(VLOOKUP(X$2,Rango_Admin_DailyPred,MATCH($F79,Rango_Admin_DailyPred_Primera,0),0),"-")</f>
        <v>-</v>
      </c>
      <c r="Y79" s="717" t="str">
        <f ca="1">IFERROR(VLOOKUP(Y$2,Rango_Admin_DailyPred,MATCH($F79,Rango_Admin_DailyPred_Primera,0),0),"-")</f>
        <v>-</v>
      </c>
      <c r="Z79" s="717" t="str">
        <f ca="1">IFERROR(VLOOKUP(Z$2,Rango_Admin_DailyPred,MATCH($F79,Rango_Admin_DailyPred_Primera,0),0),"-")</f>
        <v>-</v>
      </c>
      <c r="AA79" s="717" t="str">
        <f ca="1">IFERROR(VLOOKUP(AA$2,Rango_Admin_DailyPred,MATCH($F79,Rango_Admin_DailyPred_Primera,0),0),"-")</f>
        <v>-</v>
      </c>
      <c r="AB79" s="717" t="str">
        <f ca="1">IFERROR(VLOOKUP(AB$2,Rango_Admin_DailyPred,MATCH($F79,Rango_Admin_DailyPred_Primera,0),0),"-")</f>
        <v>-</v>
      </c>
      <c r="AC79" s="717" t="str">
        <f ca="1">IFERROR(VLOOKUP(AC$2,Rango_Admin_DailyPred,MATCH($F79,Rango_Admin_DailyPred_Primera,0),0),"-")</f>
        <v>-</v>
      </c>
      <c r="AD79" s="717" t="str">
        <f ca="1">IFERROR(VLOOKUP(AD$2,Rango_Admin_DailyPred,MATCH($F79,Rango_Admin_DailyPred_Primera,0),0),"-")</f>
        <v>-</v>
      </c>
      <c r="AE79" s="717" t="str">
        <f ca="1">IFERROR(VLOOKUP(AE$2,Rango_Admin_DailyPred,MATCH($F79,Rango_Admin_DailyPred_Primera,0),0),"-")</f>
        <v>-</v>
      </c>
      <c r="AF79" s="717" t="str">
        <f ca="1">IFERROR(VLOOKUP(AF$2,Rango_Admin_DailyPred,MATCH($F79,Rango_Admin_DailyPred_Primera,0),0),"-")</f>
        <v>-</v>
      </c>
      <c r="AG79" s="717" t="str">
        <f ca="1">IFERROR(VLOOKUP(AG$2,Rango_Admin_DailyPred,MATCH($F79,Rango_Admin_DailyPred_Primera,0),0),"-")</f>
        <v>-</v>
      </c>
      <c r="AH79" s="717" t="str">
        <f ca="1">IFERROR(VLOOKUP(AH$2,Rango_Admin_DailyPred,MATCH($F79,Rango_Admin_DailyPred_Primera,0),0),"-")</f>
        <v>-</v>
      </c>
      <c r="AI79" s="717" t="str">
        <f ca="1">IFERROR(VLOOKUP(AI$2,Rango_Admin_DailyPred,MATCH($F79,Rango_Admin_DailyPred_Primera,0),0),"-")</f>
        <v>-</v>
      </c>
      <c r="AJ79" s="717" t="str">
        <f ca="1">IFERROR(VLOOKUP(AJ$2,Rango_Admin_DailyPred,MATCH($F79,Rango_Admin_DailyPred_Primera,0),0),"-")</f>
        <v>-</v>
      </c>
      <c r="AK79" s="717" t="str">
        <f ca="1">IFERROR(VLOOKUP(AK$2,Rango_Admin_DailyPred,MATCH($F79,Rango_Admin_DailyPred_Primera,0),0),"-")</f>
        <v>-</v>
      </c>
      <c r="AL79" s="717" t="str">
        <f ca="1">IFERROR(VLOOKUP(AL$2,Rango_Admin_DailyPred,MATCH($F79,Rango_Admin_DailyPred_Primera,0),0),"-")</f>
        <v>-</v>
      </c>
    </row>
    <row r="80" spans="5:38">
      <c r="E80" s="19">
        <f t="shared" si="2"/>
        <v>237</v>
      </c>
      <c r="F80" s="772" t="str" cm="1">
        <f t="array" ref="F80">IFERROR(INDEX(Rango_Admin_DailyPred_Primera,1,E80),"-")</f>
        <v>-</v>
      </c>
      <c r="G80" s="717" t="str">
        <f ca="1">IFERROR(VLOOKUP(G$2,Rango_Admin_DailyPred,MATCH($F80,Rango_Admin_DailyPred_Primera,0),0),"-")</f>
        <v>-</v>
      </c>
      <c r="H80" s="717" t="str">
        <f ca="1">IFERROR(VLOOKUP(H$2,Rango_Admin_DailyPred,MATCH($F80,Rango_Admin_DailyPred_Primera,0),0),"-")</f>
        <v>-</v>
      </c>
      <c r="I80" s="717" t="str">
        <f ca="1">IFERROR(VLOOKUP(I$2,Rango_Admin_DailyPred,MATCH($F80,Rango_Admin_DailyPred_Primera,0),0),"-")</f>
        <v>-</v>
      </c>
      <c r="J80" s="717" t="str">
        <f ca="1">IFERROR(VLOOKUP(J$2,Rango_Admin_DailyPred,MATCH($F80,Rango_Admin_DailyPred_Primera,0),0),"-")</f>
        <v>-</v>
      </c>
      <c r="K80" s="717" t="str">
        <f ca="1">IFERROR(VLOOKUP(K$2,Rango_Admin_DailyPred,MATCH($F80,Rango_Admin_DailyPred_Primera,0),0),"-")</f>
        <v>-</v>
      </c>
      <c r="L80" s="717" t="str">
        <f ca="1">IFERROR(VLOOKUP(L$2,Rango_Admin_DailyPred,MATCH($F80,Rango_Admin_DailyPred_Primera,0),0),"-")</f>
        <v>-</v>
      </c>
      <c r="M80" s="717" t="str">
        <f ca="1">IFERROR(VLOOKUP(M$2,Rango_Admin_DailyPred,MATCH($F80,Rango_Admin_DailyPred_Primera,0),0),"-")</f>
        <v>-</v>
      </c>
      <c r="N80" s="717" t="str">
        <f ca="1">IFERROR(VLOOKUP(N$2,Rango_Admin_DailyPred,MATCH($F80,Rango_Admin_DailyPred_Primera,0),0),"-")</f>
        <v>-</v>
      </c>
      <c r="O80" s="717" t="str">
        <f ca="1">IFERROR(VLOOKUP(O$2,Rango_Admin_DailyPred,MATCH($F80,Rango_Admin_DailyPred_Primera,0),0),"-")</f>
        <v>-</v>
      </c>
      <c r="P80" s="717" t="str">
        <f ca="1">IFERROR(VLOOKUP(P$2,Rango_Admin_DailyPred,MATCH($F80,Rango_Admin_DailyPred_Primera,0),0),"-")</f>
        <v>-</v>
      </c>
      <c r="Q80" s="717" t="str">
        <f ca="1">IFERROR(VLOOKUP(Q$2,Rango_Admin_DailyPred,MATCH($F80,Rango_Admin_DailyPred_Primera,0),0),"-")</f>
        <v>-</v>
      </c>
      <c r="R80" s="717" t="str">
        <f ca="1">IFERROR(VLOOKUP(R$2,Rango_Admin_DailyPred,MATCH($F80,Rango_Admin_DailyPred_Primera,0),0),"-")</f>
        <v>-</v>
      </c>
      <c r="S80" s="717" t="str">
        <f ca="1">IFERROR(VLOOKUP(S$2,Rango_Admin_DailyPred,MATCH($F80,Rango_Admin_DailyPred_Primera,0),0),"-")</f>
        <v>-</v>
      </c>
      <c r="T80" s="717" t="str">
        <f ca="1">IFERROR(VLOOKUP(T$2,Rango_Admin_DailyPred,MATCH($F80,Rango_Admin_DailyPred_Primera,0),0),"-")</f>
        <v>-</v>
      </c>
      <c r="U80" s="717" t="str">
        <f ca="1">IFERROR(VLOOKUP(U$2,Rango_Admin_DailyPred,MATCH($F80,Rango_Admin_DailyPred_Primera,0),0),"-")</f>
        <v>-</v>
      </c>
      <c r="V80" s="717" t="str">
        <f ca="1">IFERROR(VLOOKUP(V$2,Rango_Admin_DailyPred,MATCH($F80,Rango_Admin_DailyPred_Primera,0),0),"-")</f>
        <v>-</v>
      </c>
      <c r="W80" s="717" t="str">
        <f ca="1">IFERROR(VLOOKUP(W$2,Rango_Admin_DailyPred,MATCH($F80,Rango_Admin_DailyPred_Primera,0),0),"-")</f>
        <v>-</v>
      </c>
      <c r="X80" s="717" t="str">
        <f ca="1">IFERROR(VLOOKUP(X$2,Rango_Admin_DailyPred,MATCH($F80,Rango_Admin_DailyPred_Primera,0),0),"-")</f>
        <v>-</v>
      </c>
      <c r="Y80" s="717" t="str">
        <f ca="1">IFERROR(VLOOKUP(Y$2,Rango_Admin_DailyPred,MATCH($F80,Rango_Admin_DailyPred_Primera,0),0),"-")</f>
        <v>-</v>
      </c>
      <c r="Z80" s="717" t="str">
        <f ca="1">IFERROR(VLOOKUP(Z$2,Rango_Admin_DailyPred,MATCH($F80,Rango_Admin_DailyPred_Primera,0),0),"-")</f>
        <v>-</v>
      </c>
      <c r="AA80" s="717" t="str">
        <f ca="1">IFERROR(VLOOKUP(AA$2,Rango_Admin_DailyPred,MATCH($F80,Rango_Admin_DailyPred_Primera,0),0),"-")</f>
        <v>-</v>
      </c>
      <c r="AB80" s="717" t="str">
        <f ca="1">IFERROR(VLOOKUP(AB$2,Rango_Admin_DailyPred,MATCH($F80,Rango_Admin_DailyPred_Primera,0),0),"-")</f>
        <v>-</v>
      </c>
      <c r="AC80" s="717" t="str">
        <f ca="1">IFERROR(VLOOKUP(AC$2,Rango_Admin_DailyPred,MATCH($F80,Rango_Admin_DailyPred_Primera,0),0),"-")</f>
        <v>-</v>
      </c>
      <c r="AD80" s="717" t="str">
        <f ca="1">IFERROR(VLOOKUP(AD$2,Rango_Admin_DailyPred,MATCH($F80,Rango_Admin_DailyPred_Primera,0),0),"-")</f>
        <v>-</v>
      </c>
      <c r="AE80" s="717" t="str">
        <f ca="1">IFERROR(VLOOKUP(AE$2,Rango_Admin_DailyPred,MATCH($F80,Rango_Admin_DailyPred_Primera,0),0),"-")</f>
        <v>-</v>
      </c>
      <c r="AF80" s="717" t="str">
        <f ca="1">IFERROR(VLOOKUP(AF$2,Rango_Admin_DailyPred,MATCH($F80,Rango_Admin_DailyPred_Primera,0),0),"-")</f>
        <v>-</v>
      </c>
      <c r="AG80" s="717" t="str">
        <f ca="1">IFERROR(VLOOKUP(AG$2,Rango_Admin_DailyPred,MATCH($F80,Rango_Admin_DailyPred_Primera,0),0),"-")</f>
        <v>-</v>
      </c>
      <c r="AH80" s="717" t="str">
        <f ca="1">IFERROR(VLOOKUP(AH$2,Rango_Admin_DailyPred,MATCH($F80,Rango_Admin_DailyPred_Primera,0),0),"-")</f>
        <v>-</v>
      </c>
      <c r="AI80" s="717" t="str">
        <f ca="1">IFERROR(VLOOKUP(AI$2,Rango_Admin_DailyPred,MATCH($F80,Rango_Admin_DailyPred_Primera,0),0),"-")</f>
        <v>-</v>
      </c>
      <c r="AJ80" s="717" t="str">
        <f ca="1">IFERROR(VLOOKUP(AJ$2,Rango_Admin_DailyPred,MATCH($F80,Rango_Admin_DailyPred_Primera,0),0),"-")</f>
        <v>-</v>
      </c>
      <c r="AK80" s="717" t="str">
        <f ca="1">IFERROR(VLOOKUP(AK$2,Rango_Admin_DailyPred,MATCH($F80,Rango_Admin_DailyPred_Primera,0),0),"-")</f>
        <v>-</v>
      </c>
      <c r="AL80" s="717" t="str">
        <f ca="1">IFERROR(VLOOKUP(AL$2,Rango_Admin_DailyPred,MATCH($F80,Rango_Admin_DailyPred_Primera,0),0),"-")</f>
        <v>-</v>
      </c>
    </row>
    <row r="81" spans="5:38">
      <c r="E81" s="19">
        <f t="shared" si="2"/>
        <v>240</v>
      </c>
      <c r="F81" s="772" t="str" cm="1">
        <f t="array" ref="F81">IFERROR(INDEX(Rango_Admin_DailyPred_Primera,1,E81),"-")</f>
        <v>-</v>
      </c>
      <c r="G81" s="717" t="str">
        <f ca="1">IFERROR(VLOOKUP(G$2,Rango_Admin_DailyPred,MATCH($F81,Rango_Admin_DailyPred_Primera,0),0),"-")</f>
        <v>-</v>
      </c>
      <c r="H81" s="717" t="str">
        <f ca="1">IFERROR(VLOOKUP(H$2,Rango_Admin_DailyPred,MATCH($F81,Rango_Admin_DailyPred_Primera,0),0),"-")</f>
        <v>-</v>
      </c>
      <c r="I81" s="717" t="str">
        <f ca="1">IFERROR(VLOOKUP(I$2,Rango_Admin_DailyPred,MATCH($F81,Rango_Admin_DailyPred_Primera,0),0),"-")</f>
        <v>-</v>
      </c>
      <c r="J81" s="717" t="str">
        <f ca="1">IFERROR(VLOOKUP(J$2,Rango_Admin_DailyPred,MATCH($F81,Rango_Admin_DailyPred_Primera,0),0),"-")</f>
        <v>-</v>
      </c>
      <c r="K81" s="717" t="str">
        <f ca="1">IFERROR(VLOOKUP(K$2,Rango_Admin_DailyPred,MATCH($F81,Rango_Admin_DailyPred_Primera,0),0),"-")</f>
        <v>-</v>
      </c>
      <c r="L81" s="717" t="str">
        <f ca="1">IFERROR(VLOOKUP(L$2,Rango_Admin_DailyPred,MATCH($F81,Rango_Admin_DailyPred_Primera,0),0),"-")</f>
        <v>-</v>
      </c>
      <c r="M81" s="717" t="str">
        <f ca="1">IFERROR(VLOOKUP(M$2,Rango_Admin_DailyPred,MATCH($F81,Rango_Admin_DailyPred_Primera,0),0),"-")</f>
        <v>-</v>
      </c>
      <c r="N81" s="717" t="str">
        <f ca="1">IFERROR(VLOOKUP(N$2,Rango_Admin_DailyPred,MATCH($F81,Rango_Admin_DailyPred_Primera,0),0),"-")</f>
        <v>-</v>
      </c>
      <c r="O81" s="717" t="str">
        <f ca="1">IFERROR(VLOOKUP(O$2,Rango_Admin_DailyPred,MATCH($F81,Rango_Admin_DailyPred_Primera,0),0),"-")</f>
        <v>-</v>
      </c>
      <c r="P81" s="717" t="str">
        <f ca="1">IFERROR(VLOOKUP(P$2,Rango_Admin_DailyPred,MATCH($F81,Rango_Admin_DailyPred_Primera,0),0),"-")</f>
        <v>-</v>
      </c>
      <c r="Q81" s="717" t="str">
        <f ca="1">IFERROR(VLOOKUP(Q$2,Rango_Admin_DailyPred,MATCH($F81,Rango_Admin_DailyPred_Primera,0),0),"-")</f>
        <v>-</v>
      </c>
      <c r="R81" s="717" t="str">
        <f ca="1">IFERROR(VLOOKUP(R$2,Rango_Admin_DailyPred,MATCH($F81,Rango_Admin_DailyPred_Primera,0),0),"-")</f>
        <v>-</v>
      </c>
      <c r="S81" s="717" t="str">
        <f ca="1">IFERROR(VLOOKUP(S$2,Rango_Admin_DailyPred,MATCH($F81,Rango_Admin_DailyPred_Primera,0),0),"-")</f>
        <v>-</v>
      </c>
      <c r="T81" s="717" t="str">
        <f ca="1">IFERROR(VLOOKUP(T$2,Rango_Admin_DailyPred,MATCH($F81,Rango_Admin_DailyPred_Primera,0),0),"-")</f>
        <v>-</v>
      </c>
      <c r="U81" s="717" t="str">
        <f ca="1">IFERROR(VLOOKUP(U$2,Rango_Admin_DailyPred,MATCH($F81,Rango_Admin_DailyPred_Primera,0),0),"-")</f>
        <v>-</v>
      </c>
      <c r="V81" s="717" t="str">
        <f ca="1">IFERROR(VLOOKUP(V$2,Rango_Admin_DailyPred,MATCH($F81,Rango_Admin_DailyPred_Primera,0),0),"-")</f>
        <v>-</v>
      </c>
      <c r="W81" s="717" t="str">
        <f ca="1">IFERROR(VLOOKUP(W$2,Rango_Admin_DailyPred,MATCH($F81,Rango_Admin_DailyPred_Primera,0),0),"-")</f>
        <v>-</v>
      </c>
      <c r="X81" s="717" t="str">
        <f ca="1">IFERROR(VLOOKUP(X$2,Rango_Admin_DailyPred,MATCH($F81,Rango_Admin_DailyPred_Primera,0),0),"-")</f>
        <v>-</v>
      </c>
      <c r="Y81" s="717" t="str">
        <f ca="1">IFERROR(VLOOKUP(Y$2,Rango_Admin_DailyPred,MATCH($F81,Rango_Admin_DailyPred_Primera,0),0),"-")</f>
        <v>-</v>
      </c>
      <c r="Z81" s="717" t="str">
        <f ca="1">IFERROR(VLOOKUP(Z$2,Rango_Admin_DailyPred,MATCH($F81,Rango_Admin_DailyPred_Primera,0),0),"-")</f>
        <v>-</v>
      </c>
      <c r="AA81" s="717" t="str">
        <f ca="1">IFERROR(VLOOKUP(AA$2,Rango_Admin_DailyPred,MATCH($F81,Rango_Admin_DailyPred_Primera,0),0),"-")</f>
        <v>-</v>
      </c>
      <c r="AB81" s="717" t="str">
        <f ca="1">IFERROR(VLOOKUP(AB$2,Rango_Admin_DailyPred,MATCH($F81,Rango_Admin_DailyPred_Primera,0),0),"-")</f>
        <v>-</v>
      </c>
      <c r="AC81" s="717" t="str">
        <f ca="1">IFERROR(VLOOKUP(AC$2,Rango_Admin_DailyPred,MATCH($F81,Rango_Admin_DailyPred_Primera,0),0),"-")</f>
        <v>-</v>
      </c>
      <c r="AD81" s="717" t="str">
        <f ca="1">IFERROR(VLOOKUP(AD$2,Rango_Admin_DailyPred,MATCH($F81,Rango_Admin_DailyPred_Primera,0),0),"-")</f>
        <v>-</v>
      </c>
      <c r="AE81" s="717" t="str">
        <f ca="1">IFERROR(VLOOKUP(AE$2,Rango_Admin_DailyPred,MATCH($F81,Rango_Admin_DailyPred_Primera,0),0),"-")</f>
        <v>-</v>
      </c>
      <c r="AF81" s="717" t="str">
        <f ca="1">IFERROR(VLOOKUP(AF$2,Rango_Admin_DailyPred,MATCH($F81,Rango_Admin_DailyPred_Primera,0),0),"-")</f>
        <v>-</v>
      </c>
      <c r="AG81" s="717" t="str">
        <f ca="1">IFERROR(VLOOKUP(AG$2,Rango_Admin_DailyPred,MATCH($F81,Rango_Admin_DailyPred_Primera,0),0),"-")</f>
        <v>-</v>
      </c>
      <c r="AH81" s="717" t="str">
        <f ca="1">IFERROR(VLOOKUP(AH$2,Rango_Admin_DailyPred,MATCH($F81,Rango_Admin_DailyPred_Primera,0),0),"-")</f>
        <v>-</v>
      </c>
      <c r="AI81" s="717" t="str">
        <f ca="1">IFERROR(VLOOKUP(AI$2,Rango_Admin_DailyPred,MATCH($F81,Rango_Admin_DailyPred_Primera,0),0),"-")</f>
        <v>-</v>
      </c>
      <c r="AJ81" s="717" t="str">
        <f ca="1">IFERROR(VLOOKUP(AJ$2,Rango_Admin_DailyPred,MATCH($F81,Rango_Admin_DailyPred_Primera,0),0),"-")</f>
        <v>-</v>
      </c>
      <c r="AK81" s="717" t="str">
        <f ca="1">IFERROR(VLOOKUP(AK$2,Rango_Admin_DailyPred,MATCH($F81,Rango_Admin_DailyPred_Primera,0),0),"-")</f>
        <v>-</v>
      </c>
      <c r="AL81" s="717" t="str">
        <f ca="1">IFERROR(VLOOKUP(AL$2,Rango_Admin_DailyPred,MATCH($F81,Rango_Admin_DailyPred_Primera,0),0),"-")</f>
        <v>-</v>
      </c>
    </row>
    <row r="82" spans="5:38">
      <c r="E82" s="19">
        <f t="shared" si="2"/>
        <v>243</v>
      </c>
      <c r="F82" s="772" t="str" cm="1">
        <f t="array" ref="F82">IFERROR(INDEX(Rango_Admin_DailyPred_Primera,1,E82),"-")</f>
        <v>-</v>
      </c>
      <c r="G82" s="717" t="str">
        <f ca="1">IFERROR(VLOOKUP(G$2,Rango_Admin_DailyPred,MATCH($F82,Rango_Admin_DailyPred_Primera,0),0),"-")</f>
        <v>-</v>
      </c>
      <c r="H82" s="717" t="str">
        <f ca="1">IFERROR(VLOOKUP(H$2,Rango_Admin_DailyPred,MATCH($F82,Rango_Admin_DailyPred_Primera,0),0),"-")</f>
        <v>-</v>
      </c>
      <c r="I82" s="717" t="str">
        <f ca="1">IFERROR(VLOOKUP(I$2,Rango_Admin_DailyPred,MATCH($F82,Rango_Admin_DailyPred_Primera,0),0),"-")</f>
        <v>-</v>
      </c>
      <c r="J82" s="717" t="str">
        <f ca="1">IFERROR(VLOOKUP(J$2,Rango_Admin_DailyPred,MATCH($F82,Rango_Admin_DailyPred_Primera,0),0),"-")</f>
        <v>-</v>
      </c>
      <c r="K82" s="717" t="str">
        <f ca="1">IFERROR(VLOOKUP(K$2,Rango_Admin_DailyPred,MATCH($F82,Rango_Admin_DailyPred_Primera,0),0),"-")</f>
        <v>-</v>
      </c>
      <c r="L82" s="717" t="str">
        <f ca="1">IFERROR(VLOOKUP(L$2,Rango_Admin_DailyPred,MATCH($F82,Rango_Admin_DailyPred_Primera,0),0),"-")</f>
        <v>-</v>
      </c>
      <c r="M82" s="717" t="str">
        <f ca="1">IFERROR(VLOOKUP(M$2,Rango_Admin_DailyPred,MATCH($F82,Rango_Admin_DailyPred_Primera,0),0),"-")</f>
        <v>-</v>
      </c>
      <c r="N82" s="717" t="str">
        <f ca="1">IFERROR(VLOOKUP(N$2,Rango_Admin_DailyPred,MATCH($F82,Rango_Admin_DailyPred_Primera,0),0),"-")</f>
        <v>-</v>
      </c>
      <c r="O82" s="717" t="str">
        <f ca="1">IFERROR(VLOOKUP(O$2,Rango_Admin_DailyPred,MATCH($F82,Rango_Admin_DailyPred_Primera,0),0),"-")</f>
        <v>-</v>
      </c>
      <c r="P82" s="717" t="str">
        <f ca="1">IFERROR(VLOOKUP(P$2,Rango_Admin_DailyPred,MATCH($F82,Rango_Admin_DailyPred_Primera,0),0),"-")</f>
        <v>-</v>
      </c>
      <c r="Q82" s="717" t="str">
        <f ca="1">IFERROR(VLOOKUP(Q$2,Rango_Admin_DailyPred,MATCH($F82,Rango_Admin_DailyPred_Primera,0),0),"-")</f>
        <v>-</v>
      </c>
      <c r="R82" s="717" t="str">
        <f ca="1">IFERROR(VLOOKUP(R$2,Rango_Admin_DailyPred,MATCH($F82,Rango_Admin_DailyPred_Primera,0),0),"-")</f>
        <v>-</v>
      </c>
      <c r="S82" s="717" t="str">
        <f ca="1">IFERROR(VLOOKUP(S$2,Rango_Admin_DailyPred,MATCH($F82,Rango_Admin_DailyPred_Primera,0),0),"-")</f>
        <v>-</v>
      </c>
      <c r="T82" s="717" t="str">
        <f ca="1">IFERROR(VLOOKUP(T$2,Rango_Admin_DailyPred,MATCH($F82,Rango_Admin_DailyPred_Primera,0),0),"-")</f>
        <v>-</v>
      </c>
      <c r="U82" s="717" t="str">
        <f ca="1">IFERROR(VLOOKUP(U$2,Rango_Admin_DailyPred,MATCH($F82,Rango_Admin_DailyPred_Primera,0),0),"-")</f>
        <v>-</v>
      </c>
      <c r="V82" s="717" t="str">
        <f ca="1">IFERROR(VLOOKUP(V$2,Rango_Admin_DailyPred,MATCH($F82,Rango_Admin_DailyPred_Primera,0),0),"-")</f>
        <v>-</v>
      </c>
      <c r="W82" s="717" t="str">
        <f ca="1">IFERROR(VLOOKUP(W$2,Rango_Admin_DailyPred,MATCH($F82,Rango_Admin_DailyPred_Primera,0),0),"-")</f>
        <v>-</v>
      </c>
      <c r="X82" s="717" t="str">
        <f ca="1">IFERROR(VLOOKUP(X$2,Rango_Admin_DailyPred,MATCH($F82,Rango_Admin_DailyPred_Primera,0),0),"-")</f>
        <v>-</v>
      </c>
      <c r="Y82" s="717" t="str">
        <f ca="1">IFERROR(VLOOKUP(Y$2,Rango_Admin_DailyPred,MATCH($F82,Rango_Admin_DailyPred_Primera,0),0),"-")</f>
        <v>-</v>
      </c>
      <c r="Z82" s="717" t="str">
        <f ca="1">IFERROR(VLOOKUP(Z$2,Rango_Admin_DailyPred,MATCH($F82,Rango_Admin_DailyPred_Primera,0),0),"-")</f>
        <v>-</v>
      </c>
      <c r="AA82" s="717" t="str">
        <f ca="1">IFERROR(VLOOKUP(AA$2,Rango_Admin_DailyPred,MATCH($F82,Rango_Admin_DailyPred_Primera,0),0),"-")</f>
        <v>-</v>
      </c>
      <c r="AB82" s="717" t="str">
        <f ca="1">IFERROR(VLOOKUP(AB$2,Rango_Admin_DailyPred,MATCH($F82,Rango_Admin_DailyPred_Primera,0),0),"-")</f>
        <v>-</v>
      </c>
      <c r="AC82" s="717" t="str">
        <f ca="1">IFERROR(VLOOKUP(AC$2,Rango_Admin_DailyPred,MATCH($F82,Rango_Admin_DailyPred_Primera,0),0),"-")</f>
        <v>-</v>
      </c>
      <c r="AD82" s="717" t="str">
        <f ca="1">IFERROR(VLOOKUP(AD$2,Rango_Admin_DailyPred,MATCH($F82,Rango_Admin_DailyPred_Primera,0),0),"-")</f>
        <v>-</v>
      </c>
      <c r="AE82" s="717" t="str">
        <f ca="1">IFERROR(VLOOKUP(AE$2,Rango_Admin_DailyPred,MATCH($F82,Rango_Admin_DailyPred_Primera,0),0),"-")</f>
        <v>-</v>
      </c>
      <c r="AF82" s="717" t="str">
        <f ca="1">IFERROR(VLOOKUP(AF$2,Rango_Admin_DailyPred,MATCH($F82,Rango_Admin_DailyPred_Primera,0),0),"-")</f>
        <v>-</v>
      </c>
      <c r="AG82" s="717" t="str">
        <f ca="1">IFERROR(VLOOKUP(AG$2,Rango_Admin_DailyPred,MATCH($F82,Rango_Admin_DailyPred_Primera,0),0),"-")</f>
        <v>-</v>
      </c>
      <c r="AH82" s="717" t="str">
        <f ca="1">IFERROR(VLOOKUP(AH$2,Rango_Admin_DailyPred,MATCH($F82,Rango_Admin_DailyPred_Primera,0),0),"-")</f>
        <v>-</v>
      </c>
      <c r="AI82" s="717" t="str">
        <f ca="1">IFERROR(VLOOKUP(AI$2,Rango_Admin_DailyPred,MATCH($F82,Rango_Admin_DailyPred_Primera,0),0),"-")</f>
        <v>-</v>
      </c>
      <c r="AJ82" s="717" t="str">
        <f ca="1">IFERROR(VLOOKUP(AJ$2,Rango_Admin_DailyPred,MATCH($F82,Rango_Admin_DailyPred_Primera,0),0),"-")</f>
        <v>-</v>
      </c>
      <c r="AK82" s="717" t="str">
        <f ca="1">IFERROR(VLOOKUP(AK$2,Rango_Admin_DailyPred,MATCH($F82,Rango_Admin_DailyPred_Primera,0),0),"-")</f>
        <v>-</v>
      </c>
      <c r="AL82" s="717" t="str">
        <f ca="1">IFERROR(VLOOKUP(AL$2,Rango_Admin_DailyPred,MATCH($F82,Rango_Admin_DailyPred_Primera,0),0),"-")</f>
        <v>-</v>
      </c>
    </row>
    <row r="83" spans="5:38">
      <c r="E83" s="19">
        <f t="shared" si="2"/>
        <v>246</v>
      </c>
      <c r="F83" s="772" t="str" cm="1">
        <f t="array" ref="F83">IFERROR(INDEX(Rango_Admin_DailyPred_Primera,1,E83),"-")</f>
        <v>-</v>
      </c>
      <c r="G83" s="717" t="str">
        <f ca="1">IFERROR(VLOOKUP(G$2,Rango_Admin_DailyPred,MATCH($F83,Rango_Admin_DailyPred_Primera,0),0),"-")</f>
        <v>-</v>
      </c>
      <c r="H83" s="717" t="str">
        <f ca="1">IFERROR(VLOOKUP(H$2,Rango_Admin_DailyPred,MATCH($F83,Rango_Admin_DailyPred_Primera,0),0),"-")</f>
        <v>-</v>
      </c>
      <c r="I83" s="717" t="str">
        <f ca="1">IFERROR(VLOOKUP(I$2,Rango_Admin_DailyPred,MATCH($F83,Rango_Admin_DailyPred_Primera,0),0),"-")</f>
        <v>-</v>
      </c>
      <c r="J83" s="717" t="str">
        <f ca="1">IFERROR(VLOOKUP(J$2,Rango_Admin_DailyPred,MATCH($F83,Rango_Admin_DailyPred_Primera,0),0),"-")</f>
        <v>-</v>
      </c>
      <c r="K83" s="717" t="str">
        <f ca="1">IFERROR(VLOOKUP(K$2,Rango_Admin_DailyPred,MATCH($F83,Rango_Admin_DailyPred_Primera,0),0),"-")</f>
        <v>-</v>
      </c>
      <c r="L83" s="717" t="str">
        <f ca="1">IFERROR(VLOOKUP(L$2,Rango_Admin_DailyPred,MATCH($F83,Rango_Admin_DailyPred_Primera,0),0),"-")</f>
        <v>-</v>
      </c>
      <c r="M83" s="717" t="str">
        <f ca="1">IFERROR(VLOOKUP(M$2,Rango_Admin_DailyPred,MATCH($F83,Rango_Admin_DailyPred_Primera,0),0),"-")</f>
        <v>-</v>
      </c>
      <c r="N83" s="717" t="str">
        <f ca="1">IFERROR(VLOOKUP(N$2,Rango_Admin_DailyPred,MATCH($F83,Rango_Admin_DailyPred_Primera,0),0),"-")</f>
        <v>-</v>
      </c>
      <c r="O83" s="717" t="str">
        <f ca="1">IFERROR(VLOOKUP(O$2,Rango_Admin_DailyPred,MATCH($F83,Rango_Admin_DailyPred_Primera,0),0),"-")</f>
        <v>-</v>
      </c>
      <c r="P83" s="717" t="str">
        <f ca="1">IFERROR(VLOOKUP(P$2,Rango_Admin_DailyPred,MATCH($F83,Rango_Admin_DailyPred_Primera,0),0),"-")</f>
        <v>-</v>
      </c>
      <c r="Q83" s="717" t="str">
        <f ca="1">IFERROR(VLOOKUP(Q$2,Rango_Admin_DailyPred,MATCH($F83,Rango_Admin_DailyPred_Primera,0),0),"-")</f>
        <v>-</v>
      </c>
      <c r="R83" s="717" t="str">
        <f ca="1">IFERROR(VLOOKUP(R$2,Rango_Admin_DailyPred,MATCH($F83,Rango_Admin_DailyPred_Primera,0),0),"-")</f>
        <v>-</v>
      </c>
      <c r="S83" s="717" t="str">
        <f ca="1">IFERROR(VLOOKUP(S$2,Rango_Admin_DailyPred,MATCH($F83,Rango_Admin_DailyPred_Primera,0),0),"-")</f>
        <v>-</v>
      </c>
      <c r="T83" s="717" t="str">
        <f ca="1">IFERROR(VLOOKUP(T$2,Rango_Admin_DailyPred,MATCH($F83,Rango_Admin_DailyPred_Primera,0),0),"-")</f>
        <v>-</v>
      </c>
      <c r="U83" s="717" t="str">
        <f ca="1">IFERROR(VLOOKUP(U$2,Rango_Admin_DailyPred,MATCH($F83,Rango_Admin_DailyPred_Primera,0),0),"-")</f>
        <v>-</v>
      </c>
      <c r="V83" s="717" t="str">
        <f ca="1">IFERROR(VLOOKUP(V$2,Rango_Admin_DailyPred,MATCH($F83,Rango_Admin_DailyPred_Primera,0),0),"-")</f>
        <v>-</v>
      </c>
      <c r="W83" s="717" t="str">
        <f ca="1">IFERROR(VLOOKUP(W$2,Rango_Admin_DailyPred,MATCH($F83,Rango_Admin_DailyPred_Primera,0),0),"-")</f>
        <v>-</v>
      </c>
      <c r="X83" s="717" t="str">
        <f ca="1">IFERROR(VLOOKUP(X$2,Rango_Admin_DailyPred,MATCH($F83,Rango_Admin_DailyPred_Primera,0),0),"-")</f>
        <v>-</v>
      </c>
      <c r="Y83" s="717" t="str">
        <f ca="1">IFERROR(VLOOKUP(Y$2,Rango_Admin_DailyPred,MATCH($F83,Rango_Admin_DailyPred_Primera,0),0),"-")</f>
        <v>-</v>
      </c>
      <c r="Z83" s="717" t="str">
        <f ca="1">IFERROR(VLOOKUP(Z$2,Rango_Admin_DailyPred,MATCH($F83,Rango_Admin_DailyPred_Primera,0),0),"-")</f>
        <v>-</v>
      </c>
      <c r="AA83" s="717" t="str">
        <f ca="1">IFERROR(VLOOKUP(AA$2,Rango_Admin_DailyPred,MATCH($F83,Rango_Admin_DailyPred_Primera,0),0),"-")</f>
        <v>-</v>
      </c>
      <c r="AB83" s="717" t="str">
        <f ca="1">IFERROR(VLOOKUP(AB$2,Rango_Admin_DailyPred,MATCH($F83,Rango_Admin_DailyPred_Primera,0),0),"-")</f>
        <v>-</v>
      </c>
      <c r="AC83" s="717" t="str">
        <f ca="1">IFERROR(VLOOKUP(AC$2,Rango_Admin_DailyPred,MATCH($F83,Rango_Admin_DailyPred_Primera,0),0),"-")</f>
        <v>-</v>
      </c>
      <c r="AD83" s="717" t="str">
        <f ca="1">IFERROR(VLOOKUP(AD$2,Rango_Admin_DailyPred,MATCH($F83,Rango_Admin_DailyPred_Primera,0),0),"-")</f>
        <v>-</v>
      </c>
      <c r="AE83" s="717" t="str">
        <f ca="1">IFERROR(VLOOKUP(AE$2,Rango_Admin_DailyPred,MATCH($F83,Rango_Admin_DailyPred_Primera,0),0),"-")</f>
        <v>-</v>
      </c>
      <c r="AF83" s="717" t="str">
        <f ca="1">IFERROR(VLOOKUP(AF$2,Rango_Admin_DailyPred,MATCH($F83,Rango_Admin_DailyPred_Primera,0),0),"-")</f>
        <v>-</v>
      </c>
      <c r="AG83" s="717" t="str">
        <f ca="1">IFERROR(VLOOKUP(AG$2,Rango_Admin_DailyPred,MATCH($F83,Rango_Admin_DailyPred_Primera,0),0),"-")</f>
        <v>-</v>
      </c>
      <c r="AH83" s="717" t="str">
        <f ca="1">IFERROR(VLOOKUP(AH$2,Rango_Admin_DailyPred,MATCH($F83,Rango_Admin_DailyPred_Primera,0),0),"-")</f>
        <v>-</v>
      </c>
      <c r="AI83" s="717" t="str">
        <f ca="1">IFERROR(VLOOKUP(AI$2,Rango_Admin_DailyPred,MATCH($F83,Rango_Admin_DailyPred_Primera,0),0),"-")</f>
        <v>-</v>
      </c>
      <c r="AJ83" s="717" t="str">
        <f ca="1">IFERROR(VLOOKUP(AJ$2,Rango_Admin_DailyPred,MATCH($F83,Rango_Admin_DailyPred_Primera,0),0),"-")</f>
        <v>-</v>
      </c>
      <c r="AK83" s="717" t="str">
        <f ca="1">IFERROR(VLOOKUP(AK$2,Rango_Admin_DailyPred,MATCH($F83,Rango_Admin_DailyPred_Primera,0),0),"-")</f>
        <v>-</v>
      </c>
      <c r="AL83" s="717" t="str">
        <f ca="1">IFERROR(VLOOKUP(AL$2,Rango_Admin_DailyPred,MATCH($F83,Rango_Admin_DailyPred_Primera,0),0),"-")</f>
        <v>-</v>
      </c>
    </row>
    <row r="84" spans="5:38">
      <c r="E84" s="19">
        <f t="shared" si="2"/>
        <v>249</v>
      </c>
      <c r="F84" s="772" t="str" cm="1">
        <f t="array" ref="F84">IFERROR(INDEX(Rango_Admin_DailyPred_Primera,1,E84),"-")</f>
        <v>-</v>
      </c>
      <c r="G84" s="717" t="str">
        <f ca="1">IFERROR(VLOOKUP(G$2,Rango_Admin_DailyPred,MATCH($F84,Rango_Admin_DailyPred_Primera,0),0),"-")</f>
        <v>-</v>
      </c>
      <c r="H84" s="717" t="str">
        <f ca="1">IFERROR(VLOOKUP(H$2,Rango_Admin_DailyPred,MATCH($F84,Rango_Admin_DailyPred_Primera,0),0),"-")</f>
        <v>-</v>
      </c>
      <c r="I84" s="717" t="str">
        <f ca="1">IFERROR(VLOOKUP(I$2,Rango_Admin_DailyPred,MATCH($F84,Rango_Admin_DailyPred_Primera,0),0),"-")</f>
        <v>-</v>
      </c>
      <c r="J84" s="717" t="str">
        <f ca="1">IFERROR(VLOOKUP(J$2,Rango_Admin_DailyPred,MATCH($F84,Rango_Admin_DailyPred_Primera,0),0),"-")</f>
        <v>-</v>
      </c>
      <c r="K84" s="717" t="str">
        <f ca="1">IFERROR(VLOOKUP(K$2,Rango_Admin_DailyPred,MATCH($F84,Rango_Admin_DailyPred_Primera,0),0),"-")</f>
        <v>-</v>
      </c>
      <c r="L84" s="717" t="str">
        <f ca="1">IFERROR(VLOOKUP(L$2,Rango_Admin_DailyPred,MATCH($F84,Rango_Admin_DailyPred_Primera,0),0),"-")</f>
        <v>-</v>
      </c>
      <c r="M84" s="717" t="str">
        <f ca="1">IFERROR(VLOOKUP(M$2,Rango_Admin_DailyPred,MATCH($F84,Rango_Admin_DailyPred_Primera,0),0),"-")</f>
        <v>-</v>
      </c>
      <c r="N84" s="717" t="str">
        <f ca="1">IFERROR(VLOOKUP(N$2,Rango_Admin_DailyPred,MATCH($F84,Rango_Admin_DailyPred_Primera,0),0),"-")</f>
        <v>-</v>
      </c>
      <c r="O84" s="717" t="str">
        <f ca="1">IFERROR(VLOOKUP(O$2,Rango_Admin_DailyPred,MATCH($F84,Rango_Admin_DailyPred_Primera,0),0),"-")</f>
        <v>-</v>
      </c>
      <c r="P84" s="717" t="str">
        <f ca="1">IFERROR(VLOOKUP(P$2,Rango_Admin_DailyPred,MATCH($F84,Rango_Admin_DailyPred_Primera,0),0),"-")</f>
        <v>-</v>
      </c>
      <c r="Q84" s="717" t="str">
        <f ca="1">IFERROR(VLOOKUP(Q$2,Rango_Admin_DailyPred,MATCH($F84,Rango_Admin_DailyPred_Primera,0),0),"-")</f>
        <v>-</v>
      </c>
      <c r="R84" s="717" t="str">
        <f ca="1">IFERROR(VLOOKUP(R$2,Rango_Admin_DailyPred,MATCH($F84,Rango_Admin_DailyPred_Primera,0),0),"-")</f>
        <v>-</v>
      </c>
      <c r="S84" s="717" t="str">
        <f ca="1">IFERROR(VLOOKUP(S$2,Rango_Admin_DailyPred,MATCH($F84,Rango_Admin_DailyPred_Primera,0),0),"-")</f>
        <v>-</v>
      </c>
      <c r="T84" s="717" t="str">
        <f ca="1">IFERROR(VLOOKUP(T$2,Rango_Admin_DailyPred,MATCH($F84,Rango_Admin_DailyPred_Primera,0),0),"-")</f>
        <v>-</v>
      </c>
      <c r="U84" s="717" t="str">
        <f ca="1">IFERROR(VLOOKUP(U$2,Rango_Admin_DailyPred,MATCH($F84,Rango_Admin_DailyPred_Primera,0),0),"-")</f>
        <v>-</v>
      </c>
      <c r="V84" s="717" t="str">
        <f ca="1">IFERROR(VLOOKUP(V$2,Rango_Admin_DailyPred,MATCH($F84,Rango_Admin_DailyPred_Primera,0),0),"-")</f>
        <v>-</v>
      </c>
      <c r="W84" s="717" t="str">
        <f ca="1">IFERROR(VLOOKUP(W$2,Rango_Admin_DailyPred,MATCH($F84,Rango_Admin_DailyPred_Primera,0),0),"-")</f>
        <v>-</v>
      </c>
      <c r="X84" s="717" t="str">
        <f ca="1">IFERROR(VLOOKUP(X$2,Rango_Admin_DailyPred,MATCH($F84,Rango_Admin_DailyPred_Primera,0),0),"-")</f>
        <v>-</v>
      </c>
      <c r="Y84" s="717" t="str">
        <f ca="1">IFERROR(VLOOKUP(Y$2,Rango_Admin_DailyPred,MATCH($F84,Rango_Admin_DailyPred_Primera,0),0),"-")</f>
        <v>-</v>
      </c>
      <c r="Z84" s="717" t="str">
        <f ca="1">IFERROR(VLOOKUP(Z$2,Rango_Admin_DailyPred,MATCH($F84,Rango_Admin_DailyPred_Primera,0),0),"-")</f>
        <v>-</v>
      </c>
      <c r="AA84" s="717" t="str">
        <f ca="1">IFERROR(VLOOKUP(AA$2,Rango_Admin_DailyPred,MATCH($F84,Rango_Admin_DailyPred_Primera,0),0),"-")</f>
        <v>-</v>
      </c>
      <c r="AB84" s="717" t="str">
        <f ca="1">IFERROR(VLOOKUP(AB$2,Rango_Admin_DailyPred,MATCH($F84,Rango_Admin_DailyPred_Primera,0),0),"-")</f>
        <v>-</v>
      </c>
      <c r="AC84" s="717" t="str">
        <f ca="1">IFERROR(VLOOKUP(AC$2,Rango_Admin_DailyPred,MATCH($F84,Rango_Admin_DailyPred_Primera,0),0),"-")</f>
        <v>-</v>
      </c>
      <c r="AD84" s="717" t="str">
        <f ca="1">IFERROR(VLOOKUP(AD$2,Rango_Admin_DailyPred,MATCH($F84,Rango_Admin_DailyPred_Primera,0),0),"-")</f>
        <v>-</v>
      </c>
      <c r="AE84" s="717" t="str">
        <f ca="1">IFERROR(VLOOKUP(AE$2,Rango_Admin_DailyPred,MATCH($F84,Rango_Admin_DailyPred_Primera,0),0),"-")</f>
        <v>-</v>
      </c>
      <c r="AF84" s="717" t="str">
        <f ca="1">IFERROR(VLOOKUP(AF$2,Rango_Admin_DailyPred,MATCH($F84,Rango_Admin_DailyPred_Primera,0),0),"-")</f>
        <v>-</v>
      </c>
      <c r="AG84" s="717" t="str">
        <f ca="1">IFERROR(VLOOKUP(AG$2,Rango_Admin_DailyPred,MATCH($F84,Rango_Admin_DailyPred_Primera,0),0),"-")</f>
        <v>-</v>
      </c>
      <c r="AH84" s="717" t="str">
        <f ca="1">IFERROR(VLOOKUP(AH$2,Rango_Admin_DailyPred,MATCH($F84,Rango_Admin_DailyPred_Primera,0),0),"-")</f>
        <v>-</v>
      </c>
      <c r="AI84" s="717" t="str">
        <f ca="1">IFERROR(VLOOKUP(AI$2,Rango_Admin_DailyPred,MATCH($F84,Rango_Admin_DailyPred_Primera,0),0),"-")</f>
        <v>-</v>
      </c>
      <c r="AJ84" s="717" t="str">
        <f ca="1">IFERROR(VLOOKUP(AJ$2,Rango_Admin_DailyPred,MATCH($F84,Rango_Admin_DailyPred_Primera,0),0),"-")</f>
        <v>-</v>
      </c>
      <c r="AK84" s="717" t="str">
        <f ca="1">IFERROR(VLOOKUP(AK$2,Rango_Admin_DailyPred,MATCH($F84,Rango_Admin_DailyPred_Primera,0),0),"-")</f>
        <v>-</v>
      </c>
      <c r="AL84" s="717" t="str">
        <f ca="1">IFERROR(VLOOKUP(AL$2,Rango_Admin_DailyPred,MATCH($F84,Rango_Admin_DailyPred_Primera,0),0),"-")</f>
        <v>-</v>
      </c>
    </row>
    <row r="85" spans="5:38">
      <c r="E85" s="19">
        <f t="shared" si="2"/>
        <v>252</v>
      </c>
      <c r="F85" s="772" t="str" cm="1">
        <f t="array" ref="F85">IFERROR(INDEX(Rango_Admin_DailyPred_Primera,1,E85),"-")</f>
        <v>-</v>
      </c>
      <c r="G85" s="717" t="str">
        <f ca="1">IFERROR(VLOOKUP(G$2,Rango_Admin_DailyPred,MATCH($F85,Rango_Admin_DailyPred_Primera,0),0),"-")</f>
        <v>-</v>
      </c>
      <c r="H85" s="717" t="str">
        <f ca="1">IFERROR(VLOOKUP(H$2,Rango_Admin_DailyPred,MATCH($F85,Rango_Admin_DailyPred_Primera,0),0),"-")</f>
        <v>-</v>
      </c>
      <c r="I85" s="717" t="str">
        <f ca="1">IFERROR(VLOOKUP(I$2,Rango_Admin_DailyPred,MATCH($F85,Rango_Admin_DailyPred_Primera,0),0),"-")</f>
        <v>-</v>
      </c>
      <c r="J85" s="717" t="str">
        <f ca="1">IFERROR(VLOOKUP(J$2,Rango_Admin_DailyPred,MATCH($F85,Rango_Admin_DailyPred_Primera,0),0),"-")</f>
        <v>-</v>
      </c>
      <c r="K85" s="717" t="str">
        <f ca="1">IFERROR(VLOOKUP(K$2,Rango_Admin_DailyPred,MATCH($F85,Rango_Admin_DailyPred_Primera,0),0),"-")</f>
        <v>-</v>
      </c>
      <c r="L85" s="717" t="str">
        <f ca="1">IFERROR(VLOOKUP(L$2,Rango_Admin_DailyPred,MATCH($F85,Rango_Admin_DailyPred_Primera,0),0),"-")</f>
        <v>-</v>
      </c>
      <c r="M85" s="717" t="str">
        <f ca="1">IFERROR(VLOOKUP(M$2,Rango_Admin_DailyPred,MATCH($F85,Rango_Admin_DailyPred_Primera,0),0),"-")</f>
        <v>-</v>
      </c>
      <c r="N85" s="717" t="str">
        <f ca="1">IFERROR(VLOOKUP(N$2,Rango_Admin_DailyPred,MATCH($F85,Rango_Admin_DailyPred_Primera,0),0),"-")</f>
        <v>-</v>
      </c>
      <c r="O85" s="717" t="str">
        <f ca="1">IFERROR(VLOOKUP(O$2,Rango_Admin_DailyPred,MATCH($F85,Rango_Admin_DailyPred_Primera,0),0),"-")</f>
        <v>-</v>
      </c>
      <c r="P85" s="717" t="str">
        <f ca="1">IFERROR(VLOOKUP(P$2,Rango_Admin_DailyPred,MATCH($F85,Rango_Admin_DailyPred_Primera,0),0),"-")</f>
        <v>-</v>
      </c>
      <c r="Q85" s="717" t="str">
        <f ca="1">IFERROR(VLOOKUP(Q$2,Rango_Admin_DailyPred,MATCH($F85,Rango_Admin_DailyPred_Primera,0),0),"-")</f>
        <v>-</v>
      </c>
      <c r="R85" s="717" t="str">
        <f ca="1">IFERROR(VLOOKUP(R$2,Rango_Admin_DailyPred,MATCH($F85,Rango_Admin_DailyPred_Primera,0),0),"-")</f>
        <v>-</v>
      </c>
      <c r="S85" s="717" t="str">
        <f ca="1">IFERROR(VLOOKUP(S$2,Rango_Admin_DailyPred,MATCH($F85,Rango_Admin_DailyPred_Primera,0),0),"-")</f>
        <v>-</v>
      </c>
      <c r="T85" s="717" t="str">
        <f ca="1">IFERROR(VLOOKUP(T$2,Rango_Admin_DailyPred,MATCH($F85,Rango_Admin_DailyPred_Primera,0),0),"-")</f>
        <v>-</v>
      </c>
      <c r="U85" s="717" t="str">
        <f ca="1">IFERROR(VLOOKUP(U$2,Rango_Admin_DailyPred,MATCH($F85,Rango_Admin_DailyPred_Primera,0),0),"-")</f>
        <v>-</v>
      </c>
      <c r="V85" s="717" t="str">
        <f ca="1">IFERROR(VLOOKUP(V$2,Rango_Admin_DailyPred,MATCH($F85,Rango_Admin_DailyPred_Primera,0),0),"-")</f>
        <v>-</v>
      </c>
      <c r="W85" s="717" t="str">
        <f ca="1">IFERROR(VLOOKUP(W$2,Rango_Admin_DailyPred,MATCH($F85,Rango_Admin_DailyPred_Primera,0),0),"-")</f>
        <v>-</v>
      </c>
      <c r="X85" s="717" t="str">
        <f ca="1">IFERROR(VLOOKUP(X$2,Rango_Admin_DailyPred,MATCH($F85,Rango_Admin_DailyPred_Primera,0),0),"-")</f>
        <v>-</v>
      </c>
      <c r="Y85" s="717" t="str">
        <f ca="1">IFERROR(VLOOKUP(Y$2,Rango_Admin_DailyPred,MATCH($F85,Rango_Admin_DailyPred_Primera,0),0),"-")</f>
        <v>-</v>
      </c>
      <c r="Z85" s="717" t="str">
        <f ca="1">IFERROR(VLOOKUP(Z$2,Rango_Admin_DailyPred,MATCH($F85,Rango_Admin_DailyPred_Primera,0),0),"-")</f>
        <v>-</v>
      </c>
      <c r="AA85" s="717" t="str">
        <f ca="1">IFERROR(VLOOKUP(AA$2,Rango_Admin_DailyPred,MATCH($F85,Rango_Admin_DailyPred_Primera,0),0),"-")</f>
        <v>-</v>
      </c>
      <c r="AB85" s="717" t="str">
        <f ca="1">IFERROR(VLOOKUP(AB$2,Rango_Admin_DailyPred,MATCH($F85,Rango_Admin_DailyPred_Primera,0),0),"-")</f>
        <v>-</v>
      </c>
      <c r="AC85" s="717" t="str">
        <f ca="1">IFERROR(VLOOKUP(AC$2,Rango_Admin_DailyPred,MATCH($F85,Rango_Admin_DailyPred_Primera,0),0),"-")</f>
        <v>-</v>
      </c>
      <c r="AD85" s="717" t="str">
        <f ca="1">IFERROR(VLOOKUP(AD$2,Rango_Admin_DailyPred,MATCH($F85,Rango_Admin_DailyPred_Primera,0),0),"-")</f>
        <v>-</v>
      </c>
      <c r="AE85" s="717" t="str">
        <f ca="1">IFERROR(VLOOKUP(AE$2,Rango_Admin_DailyPred,MATCH($F85,Rango_Admin_DailyPred_Primera,0),0),"-")</f>
        <v>-</v>
      </c>
      <c r="AF85" s="717" t="str">
        <f ca="1">IFERROR(VLOOKUP(AF$2,Rango_Admin_DailyPred,MATCH($F85,Rango_Admin_DailyPred_Primera,0),0),"-")</f>
        <v>-</v>
      </c>
      <c r="AG85" s="717" t="str">
        <f ca="1">IFERROR(VLOOKUP(AG$2,Rango_Admin_DailyPred,MATCH($F85,Rango_Admin_DailyPred_Primera,0),0),"-")</f>
        <v>-</v>
      </c>
      <c r="AH85" s="717" t="str">
        <f ca="1">IFERROR(VLOOKUP(AH$2,Rango_Admin_DailyPred,MATCH($F85,Rango_Admin_DailyPred_Primera,0),0),"-")</f>
        <v>-</v>
      </c>
      <c r="AI85" s="717" t="str">
        <f ca="1">IFERROR(VLOOKUP(AI$2,Rango_Admin_DailyPred,MATCH($F85,Rango_Admin_DailyPred_Primera,0),0),"-")</f>
        <v>-</v>
      </c>
      <c r="AJ85" s="717" t="str">
        <f ca="1">IFERROR(VLOOKUP(AJ$2,Rango_Admin_DailyPred,MATCH($F85,Rango_Admin_DailyPred_Primera,0),0),"-")</f>
        <v>-</v>
      </c>
      <c r="AK85" s="717" t="str">
        <f ca="1">IFERROR(VLOOKUP(AK$2,Rango_Admin_DailyPred,MATCH($F85,Rango_Admin_DailyPred_Primera,0),0),"-")</f>
        <v>-</v>
      </c>
      <c r="AL85" s="717" t="str">
        <f ca="1">IFERROR(VLOOKUP(AL$2,Rango_Admin_DailyPred,MATCH($F85,Rango_Admin_DailyPred_Primera,0),0),"-")</f>
        <v>-</v>
      </c>
    </row>
    <row r="86" spans="5:38">
      <c r="E86" s="19">
        <f t="shared" si="2"/>
        <v>255</v>
      </c>
      <c r="F86" s="772" t="str" cm="1">
        <f t="array" ref="F86">IFERROR(INDEX(Rango_Admin_DailyPred_Primera,1,E86),"-")</f>
        <v>-</v>
      </c>
      <c r="G86" s="717" t="str">
        <f ca="1">IFERROR(VLOOKUP(G$2,Rango_Admin_DailyPred,MATCH($F86,Rango_Admin_DailyPred_Primera,0),0),"-")</f>
        <v>-</v>
      </c>
      <c r="H86" s="717" t="str">
        <f ca="1">IFERROR(VLOOKUP(H$2,Rango_Admin_DailyPred,MATCH($F86,Rango_Admin_DailyPred_Primera,0),0),"-")</f>
        <v>-</v>
      </c>
      <c r="I86" s="717" t="str">
        <f ca="1">IFERROR(VLOOKUP(I$2,Rango_Admin_DailyPred,MATCH($F86,Rango_Admin_DailyPred_Primera,0),0),"-")</f>
        <v>-</v>
      </c>
      <c r="J86" s="717" t="str">
        <f ca="1">IFERROR(VLOOKUP(J$2,Rango_Admin_DailyPred,MATCH($F86,Rango_Admin_DailyPred_Primera,0),0),"-")</f>
        <v>-</v>
      </c>
      <c r="K86" s="717" t="str">
        <f ca="1">IFERROR(VLOOKUP(K$2,Rango_Admin_DailyPred,MATCH($F86,Rango_Admin_DailyPred_Primera,0),0),"-")</f>
        <v>-</v>
      </c>
      <c r="L86" s="717" t="str">
        <f ca="1">IFERROR(VLOOKUP(L$2,Rango_Admin_DailyPred,MATCH($F86,Rango_Admin_DailyPred_Primera,0),0),"-")</f>
        <v>-</v>
      </c>
      <c r="M86" s="717" t="str">
        <f ca="1">IFERROR(VLOOKUP(M$2,Rango_Admin_DailyPred,MATCH($F86,Rango_Admin_DailyPred_Primera,0),0),"-")</f>
        <v>-</v>
      </c>
      <c r="N86" s="717" t="str">
        <f ca="1">IFERROR(VLOOKUP(N$2,Rango_Admin_DailyPred,MATCH($F86,Rango_Admin_DailyPred_Primera,0),0),"-")</f>
        <v>-</v>
      </c>
      <c r="O86" s="717" t="str">
        <f ca="1">IFERROR(VLOOKUP(O$2,Rango_Admin_DailyPred,MATCH($F86,Rango_Admin_DailyPred_Primera,0),0),"-")</f>
        <v>-</v>
      </c>
      <c r="P86" s="717" t="str">
        <f ca="1">IFERROR(VLOOKUP(P$2,Rango_Admin_DailyPred,MATCH($F86,Rango_Admin_DailyPred_Primera,0),0),"-")</f>
        <v>-</v>
      </c>
      <c r="Q86" s="717" t="str">
        <f ca="1">IFERROR(VLOOKUP(Q$2,Rango_Admin_DailyPred,MATCH($F86,Rango_Admin_DailyPred_Primera,0),0),"-")</f>
        <v>-</v>
      </c>
      <c r="R86" s="717" t="str">
        <f ca="1">IFERROR(VLOOKUP(R$2,Rango_Admin_DailyPred,MATCH($F86,Rango_Admin_DailyPred_Primera,0),0),"-")</f>
        <v>-</v>
      </c>
      <c r="S86" s="717" t="str">
        <f ca="1">IFERROR(VLOOKUP(S$2,Rango_Admin_DailyPred,MATCH($F86,Rango_Admin_DailyPred_Primera,0),0),"-")</f>
        <v>-</v>
      </c>
      <c r="T86" s="717" t="str">
        <f ca="1">IFERROR(VLOOKUP(T$2,Rango_Admin_DailyPred,MATCH($F86,Rango_Admin_DailyPred_Primera,0),0),"-")</f>
        <v>-</v>
      </c>
      <c r="U86" s="717" t="str">
        <f ca="1">IFERROR(VLOOKUP(U$2,Rango_Admin_DailyPred,MATCH($F86,Rango_Admin_DailyPred_Primera,0),0),"-")</f>
        <v>-</v>
      </c>
      <c r="V86" s="717" t="str">
        <f ca="1">IFERROR(VLOOKUP(V$2,Rango_Admin_DailyPred,MATCH($F86,Rango_Admin_DailyPred_Primera,0),0),"-")</f>
        <v>-</v>
      </c>
      <c r="W86" s="717" t="str">
        <f ca="1">IFERROR(VLOOKUP(W$2,Rango_Admin_DailyPred,MATCH($F86,Rango_Admin_DailyPred_Primera,0),0),"-")</f>
        <v>-</v>
      </c>
      <c r="X86" s="717" t="str">
        <f ca="1">IFERROR(VLOOKUP(X$2,Rango_Admin_DailyPred,MATCH($F86,Rango_Admin_DailyPred_Primera,0),0),"-")</f>
        <v>-</v>
      </c>
      <c r="Y86" s="717" t="str">
        <f ca="1">IFERROR(VLOOKUP(Y$2,Rango_Admin_DailyPred,MATCH($F86,Rango_Admin_DailyPred_Primera,0),0),"-")</f>
        <v>-</v>
      </c>
      <c r="Z86" s="717" t="str">
        <f ca="1">IFERROR(VLOOKUP(Z$2,Rango_Admin_DailyPred,MATCH($F86,Rango_Admin_DailyPred_Primera,0),0),"-")</f>
        <v>-</v>
      </c>
      <c r="AA86" s="717" t="str">
        <f ca="1">IFERROR(VLOOKUP(AA$2,Rango_Admin_DailyPred,MATCH($F86,Rango_Admin_DailyPred_Primera,0),0),"-")</f>
        <v>-</v>
      </c>
      <c r="AB86" s="717" t="str">
        <f ca="1">IFERROR(VLOOKUP(AB$2,Rango_Admin_DailyPred,MATCH($F86,Rango_Admin_DailyPred_Primera,0),0),"-")</f>
        <v>-</v>
      </c>
      <c r="AC86" s="717" t="str">
        <f ca="1">IFERROR(VLOOKUP(AC$2,Rango_Admin_DailyPred,MATCH($F86,Rango_Admin_DailyPred_Primera,0),0),"-")</f>
        <v>-</v>
      </c>
      <c r="AD86" s="717" t="str">
        <f ca="1">IFERROR(VLOOKUP(AD$2,Rango_Admin_DailyPred,MATCH($F86,Rango_Admin_DailyPred_Primera,0),0),"-")</f>
        <v>-</v>
      </c>
      <c r="AE86" s="717" t="str">
        <f ca="1">IFERROR(VLOOKUP(AE$2,Rango_Admin_DailyPred,MATCH($F86,Rango_Admin_DailyPred_Primera,0),0),"-")</f>
        <v>-</v>
      </c>
      <c r="AF86" s="717" t="str">
        <f ca="1">IFERROR(VLOOKUP(AF$2,Rango_Admin_DailyPred,MATCH($F86,Rango_Admin_DailyPred_Primera,0),0),"-")</f>
        <v>-</v>
      </c>
      <c r="AG86" s="717" t="str">
        <f ca="1">IFERROR(VLOOKUP(AG$2,Rango_Admin_DailyPred,MATCH($F86,Rango_Admin_DailyPred_Primera,0),0),"-")</f>
        <v>-</v>
      </c>
      <c r="AH86" s="717" t="str">
        <f ca="1">IFERROR(VLOOKUP(AH$2,Rango_Admin_DailyPred,MATCH($F86,Rango_Admin_DailyPred_Primera,0),0),"-")</f>
        <v>-</v>
      </c>
      <c r="AI86" s="717" t="str">
        <f ca="1">IFERROR(VLOOKUP(AI$2,Rango_Admin_DailyPred,MATCH($F86,Rango_Admin_DailyPred_Primera,0),0),"-")</f>
        <v>-</v>
      </c>
      <c r="AJ86" s="717" t="str">
        <f ca="1">IFERROR(VLOOKUP(AJ$2,Rango_Admin_DailyPred,MATCH($F86,Rango_Admin_DailyPred_Primera,0),0),"-")</f>
        <v>-</v>
      </c>
      <c r="AK86" s="717" t="str">
        <f ca="1">IFERROR(VLOOKUP(AK$2,Rango_Admin_DailyPred,MATCH($F86,Rango_Admin_DailyPred_Primera,0),0),"-")</f>
        <v>-</v>
      </c>
      <c r="AL86" s="717" t="str">
        <f ca="1">IFERROR(VLOOKUP(AL$2,Rango_Admin_DailyPred,MATCH($F86,Rango_Admin_DailyPred_Primera,0),0),"-")</f>
        <v>-</v>
      </c>
    </row>
    <row r="87" spans="5:38">
      <c r="E87" s="19">
        <f t="shared" si="2"/>
        <v>258</v>
      </c>
      <c r="F87" s="772" t="str" cm="1">
        <f t="array" ref="F87">IFERROR(INDEX(Rango_Admin_DailyPred_Primera,1,E87),"-")</f>
        <v>-</v>
      </c>
      <c r="G87" s="717" t="str">
        <f ca="1">IFERROR(VLOOKUP(G$2,Rango_Admin_DailyPred,MATCH($F87,Rango_Admin_DailyPred_Primera,0),0),"-")</f>
        <v>-</v>
      </c>
      <c r="H87" s="717" t="str">
        <f ca="1">IFERROR(VLOOKUP(H$2,Rango_Admin_DailyPred,MATCH($F87,Rango_Admin_DailyPred_Primera,0),0),"-")</f>
        <v>-</v>
      </c>
      <c r="I87" s="717" t="str">
        <f ca="1">IFERROR(VLOOKUP(I$2,Rango_Admin_DailyPred,MATCH($F87,Rango_Admin_DailyPred_Primera,0),0),"-")</f>
        <v>-</v>
      </c>
      <c r="J87" s="717" t="str">
        <f ca="1">IFERROR(VLOOKUP(J$2,Rango_Admin_DailyPred,MATCH($F87,Rango_Admin_DailyPred_Primera,0),0),"-")</f>
        <v>-</v>
      </c>
      <c r="K87" s="717" t="str">
        <f ca="1">IFERROR(VLOOKUP(K$2,Rango_Admin_DailyPred,MATCH($F87,Rango_Admin_DailyPred_Primera,0),0),"-")</f>
        <v>-</v>
      </c>
      <c r="L87" s="717" t="str">
        <f ca="1">IFERROR(VLOOKUP(L$2,Rango_Admin_DailyPred,MATCH($F87,Rango_Admin_DailyPred_Primera,0),0),"-")</f>
        <v>-</v>
      </c>
      <c r="M87" s="717" t="str">
        <f ca="1">IFERROR(VLOOKUP(M$2,Rango_Admin_DailyPred,MATCH($F87,Rango_Admin_DailyPred_Primera,0),0),"-")</f>
        <v>-</v>
      </c>
      <c r="N87" s="717" t="str">
        <f ca="1">IFERROR(VLOOKUP(N$2,Rango_Admin_DailyPred,MATCH($F87,Rango_Admin_DailyPred_Primera,0),0),"-")</f>
        <v>-</v>
      </c>
      <c r="O87" s="717" t="str">
        <f ca="1">IFERROR(VLOOKUP(O$2,Rango_Admin_DailyPred,MATCH($F87,Rango_Admin_DailyPred_Primera,0),0),"-")</f>
        <v>-</v>
      </c>
      <c r="P87" s="717" t="str">
        <f ca="1">IFERROR(VLOOKUP(P$2,Rango_Admin_DailyPred,MATCH($F87,Rango_Admin_DailyPred_Primera,0),0),"-")</f>
        <v>-</v>
      </c>
      <c r="Q87" s="717" t="str">
        <f ca="1">IFERROR(VLOOKUP(Q$2,Rango_Admin_DailyPred,MATCH($F87,Rango_Admin_DailyPred_Primera,0),0),"-")</f>
        <v>-</v>
      </c>
      <c r="R87" s="717" t="str">
        <f ca="1">IFERROR(VLOOKUP(R$2,Rango_Admin_DailyPred,MATCH($F87,Rango_Admin_DailyPred_Primera,0),0),"-")</f>
        <v>-</v>
      </c>
      <c r="S87" s="717" t="str">
        <f ca="1">IFERROR(VLOOKUP(S$2,Rango_Admin_DailyPred,MATCH($F87,Rango_Admin_DailyPred_Primera,0),0),"-")</f>
        <v>-</v>
      </c>
      <c r="T87" s="717" t="str">
        <f ca="1">IFERROR(VLOOKUP(T$2,Rango_Admin_DailyPred,MATCH($F87,Rango_Admin_DailyPred_Primera,0),0),"-")</f>
        <v>-</v>
      </c>
      <c r="U87" s="717" t="str">
        <f ca="1">IFERROR(VLOOKUP(U$2,Rango_Admin_DailyPred,MATCH($F87,Rango_Admin_DailyPred_Primera,0),0),"-")</f>
        <v>-</v>
      </c>
      <c r="V87" s="717" t="str">
        <f ca="1">IFERROR(VLOOKUP(V$2,Rango_Admin_DailyPred,MATCH($F87,Rango_Admin_DailyPred_Primera,0),0),"-")</f>
        <v>-</v>
      </c>
      <c r="W87" s="717" t="str">
        <f ca="1">IFERROR(VLOOKUP(W$2,Rango_Admin_DailyPred,MATCH($F87,Rango_Admin_DailyPred_Primera,0),0),"-")</f>
        <v>-</v>
      </c>
      <c r="X87" s="717" t="str">
        <f ca="1">IFERROR(VLOOKUP(X$2,Rango_Admin_DailyPred,MATCH($F87,Rango_Admin_DailyPred_Primera,0),0),"-")</f>
        <v>-</v>
      </c>
      <c r="Y87" s="717" t="str">
        <f ca="1">IFERROR(VLOOKUP(Y$2,Rango_Admin_DailyPred,MATCH($F87,Rango_Admin_DailyPred_Primera,0),0),"-")</f>
        <v>-</v>
      </c>
      <c r="Z87" s="717" t="str">
        <f ca="1">IFERROR(VLOOKUP(Z$2,Rango_Admin_DailyPred,MATCH($F87,Rango_Admin_DailyPred_Primera,0),0),"-")</f>
        <v>-</v>
      </c>
      <c r="AA87" s="717" t="str">
        <f ca="1">IFERROR(VLOOKUP(AA$2,Rango_Admin_DailyPred,MATCH($F87,Rango_Admin_DailyPred_Primera,0),0),"-")</f>
        <v>-</v>
      </c>
      <c r="AB87" s="717" t="str">
        <f ca="1">IFERROR(VLOOKUP(AB$2,Rango_Admin_DailyPred,MATCH($F87,Rango_Admin_DailyPred_Primera,0),0),"-")</f>
        <v>-</v>
      </c>
      <c r="AC87" s="717" t="str">
        <f ca="1">IFERROR(VLOOKUP(AC$2,Rango_Admin_DailyPred,MATCH($F87,Rango_Admin_DailyPred_Primera,0),0),"-")</f>
        <v>-</v>
      </c>
      <c r="AD87" s="717" t="str">
        <f ca="1">IFERROR(VLOOKUP(AD$2,Rango_Admin_DailyPred,MATCH($F87,Rango_Admin_DailyPred_Primera,0),0),"-")</f>
        <v>-</v>
      </c>
      <c r="AE87" s="717" t="str">
        <f ca="1">IFERROR(VLOOKUP(AE$2,Rango_Admin_DailyPred,MATCH($F87,Rango_Admin_DailyPred_Primera,0),0),"-")</f>
        <v>-</v>
      </c>
      <c r="AF87" s="717" t="str">
        <f ca="1">IFERROR(VLOOKUP(AF$2,Rango_Admin_DailyPred,MATCH($F87,Rango_Admin_DailyPred_Primera,0),0),"-")</f>
        <v>-</v>
      </c>
      <c r="AG87" s="717" t="str">
        <f ca="1">IFERROR(VLOOKUP(AG$2,Rango_Admin_DailyPred,MATCH($F87,Rango_Admin_DailyPred_Primera,0),0),"-")</f>
        <v>-</v>
      </c>
      <c r="AH87" s="717" t="str">
        <f ca="1">IFERROR(VLOOKUP(AH$2,Rango_Admin_DailyPred,MATCH($F87,Rango_Admin_DailyPred_Primera,0),0),"-")</f>
        <v>-</v>
      </c>
      <c r="AI87" s="717" t="str">
        <f ca="1">IFERROR(VLOOKUP(AI$2,Rango_Admin_DailyPred,MATCH($F87,Rango_Admin_DailyPred_Primera,0),0),"-")</f>
        <v>-</v>
      </c>
      <c r="AJ87" s="717" t="str">
        <f ca="1">IFERROR(VLOOKUP(AJ$2,Rango_Admin_DailyPred,MATCH($F87,Rango_Admin_DailyPred_Primera,0),0),"-")</f>
        <v>-</v>
      </c>
      <c r="AK87" s="717" t="str">
        <f ca="1">IFERROR(VLOOKUP(AK$2,Rango_Admin_DailyPred,MATCH($F87,Rango_Admin_DailyPred_Primera,0),0),"-")</f>
        <v>-</v>
      </c>
      <c r="AL87" s="717" t="str">
        <f ca="1">IFERROR(VLOOKUP(AL$2,Rango_Admin_DailyPred,MATCH($F87,Rango_Admin_DailyPred_Primera,0),0),"-")</f>
        <v>-</v>
      </c>
    </row>
    <row r="88" spans="5:38">
      <c r="E88" s="19">
        <f t="shared" si="2"/>
        <v>261</v>
      </c>
      <c r="F88" s="772" t="str" cm="1">
        <f t="array" ref="F88">IFERROR(INDEX(Rango_Admin_DailyPred_Primera,1,E88),"-")</f>
        <v>-</v>
      </c>
      <c r="G88" s="717" t="str">
        <f ca="1">IFERROR(VLOOKUP(G$2,Rango_Admin_DailyPred,MATCH($F88,Rango_Admin_DailyPred_Primera,0),0),"-")</f>
        <v>-</v>
      </c>
      <c r="H88" s="717" t="str">
        <f ca="1">IFERROR(VLOOKUP(H$2,Rango_Admin_DailyPred,MATCH($F88,Rango_Admin_DailyPred_Primera,0),0),"-")</f>
        <v>-</v>
      </c>
      <c r="I88" s="717" t="str">
        <f ca="1">IFERROR(VLOOKUP(I$2,Rango_Admin_DailyPred,MATCH($F88,Rango_Admin_DailyPred_Primera,0),0),"-")</f>
        <v>-</v>
      </c>
      <c r="J88" s="717" t="str">
        <f ca="1">IFERROR(VLOOKUP(J$2,Rango_Admin_DailyPred,MATCH($F88,Rango_Admin_DailyPred_Primera,0),0),"-")</f>
        <v>-</v>
      </c>
      <c r="K88" s="717" t="str">
        <f ca="1">IFERROR(VLOOKUP(K$2,Rango_Admin_DailyPred,MATCH($F88,Rango_Admin_DailyPred_Primera,0),0),"-")</f>
        <v>-</v>
      </c>
      <c r="L88" s="717" t="str">
        <f ca="1">IFERROR(VLOOKUP(L$2,Rango_Admin_DailyPred,MATCH($F88,Rango_Admin_DailyPred_Primera,0),0),"-")</f>
        <v>-</v>
      </c>
      <c r="M88" s="717" t="str">
        <f ca="1">IFERROR(VLOOKUP(M$2,Rango_Admin_DailyPred,MATCH($F88,Rango_Admin_DailyPred_Primera,0),0),"-")</f>
        <v>-</v>
      </c>
      <c r="N88" s="717" t="str">
        <f ca="1">IFERROR(VLOOKUP(N$2,Rango_Admin_DailyPred,MATCH($F88,Rango_Admin_DailyPred_Primera,0),0),"-")</f>
        <v>-</v>
      </c>
      <c r="O88" s="717" t="str">
        <f ca="1">IFERROR(VLOOKUP(O$2,Rango_Admin_DailyPred,MATCH($F88,Rango_Admin_DailyPred_Primera,0),0),"-")</f>
        <v>-</v>
      </c>
      <c r="P88" s="717" t="str">
        <f ca="1">IFERROR(VLOOKUP(P$2,Rango_Admin_DailyPred,MATCH($F88,Rango_Admin_DailyPred_Primera,0),0),"-")</f>
        <v>-</v>
      </c>
      <c r="Q88" s="717" t="str">
        <f ca="1">IFERROR(VLOOKUP(Q$2,Rango_Admin_DailyPred,MATCH($F88,Rango_Admin_DailyPred_Primera,0),0),"-")</f>
        <v>-</v>
      </c>
      <c r="R88" s="717" t="str">
        <f ca="1">IFERROR(VLOOKUP(R$2,Rango_Admin_DailyPred,MATCH($F88,Rango_Admin_DailyPred_Primera,0),0),"-")</f>
        <v>-</v>
      </c>
      <c r="S88" s="717" t="str">
        <f ca="1">IFERROR(VLOOKUP(S$2,Rango_Admin_DailyPred,MATCH($F88,Rango_Admin_DailyPred_Primera,0),0),"-")</f>
        <v>-</v>
      </c>
      <c r="T88" s="717" t="str">
        <f ca="1">IFERROR(VLOOKUP(T$2,Rango_Admin_DailyPred,MATCH($F88,Rango_Admin_DailyPred_Primera,0),0),"-")</f>
        <v>-</v>
      </c>
      <c r="U88" s="717" t="str">
        <f ca="1">IFERROR(VLOOKUP(U$2,Rango_Admin_DailyPred,MATCH($F88,Rango_Admin_DailyPred_Primera,0),0),"-")</f>
        <v>-</v>
      </c>
      <c r="V88" s="717" t="str">
        <f ca="1">IFERROR(VLOOKUP(V$2,Rango_Admin_DailyPred,MATCH($F88,Rango_Admin_DailyPred_Primera,0),0),"-")</f>
        <v>-</v>
      </c>
      <c r="W88" s="717" t="str">
        <f ca="1">IFERROR(VLOOKUP(W$2,Rango_Admin_DailyPred,MATCH($F88,Rango_Admin_DailyPred_Primera,0),0),"-")</f>
        <v>-</v>
      </c>
      <c r="X88" s="717" t="str">
        <f ca="1">IFERROR(VLOOKUP(X$2,Rango_Admin_DailyPred,MATCH($F88,Rango_Admin_DailyPred_Primera,0),0),"-")</f>
        <v>-</v>
      </c>
      <c r="Y88" s="717" t="str">
        <f ca="1">IFERROR(VLOOKUP(Y$2,Rango_Admin_DailyPred,MATCH($F88,Rango_Admin_DailyPred_Primera,0),0),"-")</f>
        <v>-</v>
      </c>
      <c r="Z88" s="717" t="str">
        <f ca="1">IFERROR(VLOOKUP(Z$2,Rango_Admin_DailyPred,MATCH($F88,Rango_Admin_DailyPred_Primera,0),0),"-")</f>
        <v>-</v>
      </c>
      <c r="AA88" s="717" t="str">
        <f ca="1">IFERROR(VLOOKUP(AA$2,Rango_Admin_DailyPred,MATCH($F88,Rango_Admin_DailyPred_Primera,0),0),"-")</f>
        <v>-</v>
      </c>
      <c r="AB88" s="717" t="str">
        <f ca="1">IFERROR(VLOOKUP(AB$2,Rango_Admin_DailyPred,MATCH($F88,Rango_Admin_DailyPred_Primera,0),0),"-")</f>
        <v>-</v>
      </c>
      <c r="AC88" s="717" t="str">
        <f ca="1">IFERROR(VLOOKUP(AC$2,Rango_Admin_DailyPred,MATCH($F88,Rango_Admin_DailyPred_Primera,0),0),"-")</f>
        <v>-</v>
      </c>
      <c r="AD88" s="717" t="str">
        <f ca="1">IFERROR(VLOOKUP(AD$2,Rango_Admin_DailyPred,MATCH($F88,Rango_Admin_DailyPred_Primera,0),0),"-")</f>
        <v>-</v>
      </c>
      <c r="AE88" s="717" t="str">
        <f ca="1">IFERROR(VLOOKUP(AE$2,Rango_Admin_DailyPred,MATCH($F88,Rango_Admin_DailyPred_Primera,0),0),"-")</f>
        <v>-</v>
      </c>
      <c r="AF88" s="717" t="str">
        <f ca="1">IFERROR(VLOOKUP(AF$2,Rango_Admin_DailyPred,MATCH($F88,Rango_Admin_DailyPred_Primera,0),0),"-")</f>
        <v>-</v>
      </c>
      <c r="AG88" s="717" t="str">
        <f ca="1">IFERROR(VLOOKUP(AG$2,Rango_Admin_DailyPred,MATCH($F88,Rango_Admin_DailyPred_Primera,0),0),"-")</f>
        <v>-</v>
      </c>
      <c r="AH88" s="717" t="str">
        <f ca="1">IFERROR(VLOOKUP(AH$2,Rango_Admin_DailyPred,MATCH($F88,Rango_Admin_DailyPred_Primera,0),0),"-")</f>
        <v>-</v>
      </c>
      <c r="AI88" s="717" t="str">
        <f ca="1">IFERROR(VLOOKUP(AI$2,Rango_Admin_DailyPred,MATCH($F88,Rango_Admin_DailyPred_Primera,0),0),"-")</f>
        <v>-</v>
      </c>
      <c r="AJ88" s="717" t="str">
        <f ca="1">IFERROR(VLOOKUP(AJ$2,Rango_Admin_DailyPred,MATCH($F88,Rango_Admin_DailyPred_Primera,0),0),"-")</f>
        <v>-</v>
      </c>
      <c r="AK88" s="717" t="str">
        <f ca="1">IFERROR(VLOOKUP(AK$2,Rango_Admin_DailyPred,MATCH($F88,Rango_Admin_DailyPred_Primera,0),0),"-")</f>
        <v>-</v>
      </c>
      <c r="AL88" s="717" t="str">
        <f ca="1">IFERROR(VLOOKUP(AL$2,Rango_Admin_DailyPred,MATCH($F88,Rango_Admin_DailyPred_Primera,0),0),"-")</f>
        <v>-</v>
      </c>
    </row>
    <row r="89" spans="5:38">
      <c r="E89" s="19">
        <f t="shared" si="2"/>
        <v>264</v>
      </c>
      <c r="F89" s="772" t="str" cm="1">
        <f t="array" ref="F89">IFERROR(INDEX(Rango_Admin_DailyPred_Primera,1,E89),"-")</f>
        <v>-</v>
      </c>
      <c r="G89" s="717" t="str">
        <f ca="1">IFERROR(VLOOKUP(G$2,Rango_Admin_DailyPred,MATCH($F89,Rango_Admin_DailyPred_Primera,0),0),"-")</f>
        <v>-</v>
      </c>
      <c r="H89" s="717" t="str">
        <f ca="1">IFERROR(VLOOKUP(H$2,Rango_Admin_DailyPred,MATCH($F89,Rango_Admin_DailyPred_Primera,0),0),"-")</f>
        <v>-</v>
      </c>
      <c r="I89" s="717" t="str">
        <f ca="1">IFERROR(VLOOKUP(I$2,Rango_Admin_DailyPred,MATCH($F89,Rango_Admin_DailyPred_Primera,0),0),"-")</f>
        <v>-</v>
      </c>
      <c r="J89" s="717" t="str">
        <f ca="1">IFERROR(VLOOKUP(J$2,Rango_Admin_DailyPred,MATCH($F89,Rango_Admin_DailyPred_Primera,0),0),"-")</f>
        <v>-</v>
      </c>
      <c r="K89" s="717" t="str">
        <f ca="1">IFERROR(VLOOKUP(K$2,Rango_Admin_DailyPred,MATCH($F89,Rango_Admin_DailyPred_Primera,0),0),"-")</f>
        <v>-</v>
      </c>
      <c r="L89" s="717" t="str">
        <f ca="1">IFERROR(VLOOKUP(L$2,Rango_Admin_DailyPred,MATCH($F89,Rango_Admin_DailyPred_Primera,0),0),"-")</f>
        <v>-</v>
      </c>
      <c r="M89" s="717" t="str">
        <f ca="1">IFERROR(VLOOKUP(M$2,Rango_Admin_DailyPred,MATCH($F89,Rango_Admin_DailyPred_Primera,0),0),"-")</f>
        <v>-</v>
      </c>
      <c r="N89" s="717" t="str">
        <f ca="1">IFERROR(VLOOKUP(N$2,Rango_Admin_DailyPred,MATCH($F89,Rango_Admin_DailyPred_Primera,0),0),"-")</f>
        <v>-</v>
      </c>
      <c r="O89" s="717" t="str">
        <f ca="1">IFERROR(VLOOKUP(O$2,Rango_Admin_DailyPred,MATCH($F89,Rango_Admin_DailyPred_Primera,0),0),"-")</f>
        <v>-</v>
      </c>
      <c r="P89" s="717" t="str">
        <f ca="1">IFERROR(VLOOKUP(P$2,Rango_Admin_DailyPred,MATCH($F89,Rango_Admin_DailyPred_Primera,0),0),"-")</f>
        <v>-</v>
      </c>
      <c r="Q89" s="717" t="str">
        <f ca="1">IFERROR(VLOOKUP(Q$2,Rango_Admin_DailyPred,MATCH($F89,Rango_Admin_DailyPred_Primera,0),0),"-")</f>
        <v>-</v>
      </c>
      <c r="R89" s="717" t="str">
        <f ca="1">IFERROR(VLOOKUP(R$2,Rango_Admin_DailyPred,MATCH($F89,Rango_Admin_DailyPred_Primera,0),0),"-")</f>
        <v>-</v>
      </c>
      <c r="S89" s="717" t="str">
        <f ca="1">IFERROR(VLOOKUP(S$2,Rango_Admin_DailyPred,MATCH($F89,Rango_Admin_DailyPred_Primera,0),0),"-")</f>
        <v>-</v>
      </c>
      <c r="T89" s="717" t="str">
        <f ca="1">IFERROR(VLOOKUP(T$2,Rango_Admin_DailyPred,MATCH($F89,Rango_Admin_DailyPred_Primera,0),0),"-")</f>
        <v>-</v>
      </c>
      <c r="U89" s="717" t="str">
        <f ca="1">IFERROR(VLOOKUP(U$2,Rango_Admin_DailyPred,MATCH($F89,Rango_Admin_DailyPred_Primera,0),0),"-")</f>
        <v>-</v>
      </c>
      <c r="V89" s="717" t="str">
        <f ca="1">IFERROR(VLOOKUP(V$2,Rango_Admin_DailyPred,MATCH($F89,Rango_Admin_DailyPred_Primera,0),0),"-")</f>
        <v>-</v>
      </c>
      <c r="W89" s="717" t="str">
        <f ca="1">IFERROR(VLOOKUP(W$2,Rango_Admin_DailyPred,MATCH($F89,Rango_Admin_DailyPred_Primera,0),0),"-")</f>
        <v>-</v>
      </c>
      <c r="X89" s="717" t="str">
        <f ca="1">IFERROR(VLOOKUP(X$2,Rango_Admin_DailyPred,MATCH($F89,Rango_Admin_DailyPred_Primera,0),0),"-")</f>
        <v>-</v>
      </c>
      <c r="Y89" s="717" t="str">
        <f ca="1">IFERROR(VLOOKUP(Y$2,Rango_Admin_DailyPred,MATCH($F89,Rango_Admin_DailyPred_Primera,0),0),"-")</f>
        <v>-</v>
      </c>
      <c r="Z89" s="717" t="str">
        <f ca="1">IFERROR(VLOOKUP(Z$2,Rango_Admin_DailyPred,MATCH($F89,Rango_Admin_DailyPred_Primera,0),0),"-")</f>
        <v>-</v>
      </c>
      <c r="AA89" s="717" t="str">
        <f ca="1">IFERROR(VLOOKUP(AA$2,Rango_Admin_DailyPred,MATCH($F89,Rango_Admin_DailyPred_Primera,0),0),"-")</f>
        <v>-</v>
      </c>
      <c r="AB89" s="717" t="str">
        <f ca="1">IFERROR(VLOOKUP(AB$2,Rango_Admin_DailyPred,MATCH($F89,Rango_Admin_DailyPred_Primera,0),0),"-")</f>
        <v>-</v>
      </c>
      <c r="AC89" s="717" t="str">
        <f ca="1">IFERROR(VLOOKUP(AC$2,Rango_Admin_DailyPred,MATCH($F89,Rango_Admin_DailyPred_Primera,0),0),"-")</f>
        <v>-</v>
      </c>
      <c r="AD89" s="717" t="str">
        <f ca="1">IFERROR(VLOOKUP(AD$2,Rango_Admin_DailyPred,MATCH($F89,Rango_Admin_DailyPred_Primera,0),0),"-")</f>
        <v>-</v>
      </c>
      <c r="AE89" s="717" t="str">
        <f ca="1">IFERROR(VLOOKUP(AE$2,Rango_Admin_DailyPred,MATCH($F89,Rango_Admin_DailyPred_Primera,0),0),"-")</f>
        <v>-</v>
      </c>
      <c r="AF89" s="717" t="str">
        <f ca="1">IFERROR(VLOOKUP(AF$2,Rango_Admin_DailyPred,MATCH($F89,Rango_Admin_DailyPred_Primera,0),0),"-")</f>
        <v>-</v>
      </c>
      <c r="AG89" s="717" t="str">
        <f ca="1">IFERROR(VLOOKUP(AG$2,Rango_Admin_DailyPred,MATCH($F89,Rango_Admin_DailyPred_Primera,0),0),"-")</f>
        <v>-</v>
      </c>
      <c r="AH89" s="717" t="str">
        <f ca="1">IFERROR(VLOOKUP(AH$2,Rango_Admin_DailyPred,MATCH($F89,Rango_Admin_DailyPred_Primera,0),0),"-")</f>
        <v>-</v>
      </c>
      <c r="AI89" s="717" t="str">
        <f ca="1">IFERROR(VLOOKUP(AI$2,Rango_Admin_DailyPred,MATCH($F89,Rango_Admin_DailyPred_Primera,0),0),"-")</f>
        <v>-</v>
      </c>
      <c r="AJ89" s="717" t="str">
        <f ca="1">IFERROR(VLOOKUP(AJ$2,Rango_Admin_DailyPred,MATCH($F89,Rango_Admin_DailyPred_Primera,0),0),"-")</f>
        <v>-</v>
      </c>
      <c r="AK89" s="717" t="str">
        <f ca="1">IFERROR(VLOOKUP(AK$2,Rango_Admin_DailyPred,MATCH($F89,Rango_Admin_DailyPred_Primera,0),0),"-")</f>
        <v>-</v>
      </c>
      <c r="AL89" s="717" t="str">
        <f ca="1">IFERROR(VLOOKUP(AL$2,Rango_Admin_DailyPred,MATCH($F89,Rango_Admin_DailyPred_Primera,0),0),"-")</f>
        <v>-</v>
      </c>
    </row>
    <row r="90" spans="5:38">
      <c r="E90" s="19">
        <f t="shared" si="2"/>
        <v>267</v>
      </c>
      <c r="F90" s="772" t="str" cm="1">
        <f t="array" ref="F90">IFERROR(INDEX(Rango_Admin_DailyPred_Primera,1,E90),"-")</f>
        <v>-</v>
      </c>
      <c r="G90" s="717" t="str">
        <f ca="1">IFERROR(VLOOKUP(G$2,Rango_Admin_DailyPred,MATCH($F90,Rango_Admin_DailyPred_Primera,0),0),"-")</f>
        <v>-</v>
      </c>
      <c r="H90" s="717" t="str">
        <f ca="1">IFERROR(VLOOKUP(H$2,Rango_Admin_DailyPred,MATCH($F90,Rango_Admin_DailyPred_Primera,0),0),"-")</f>
        <v>-</v>
      </c>
      <c r="I90" s="717" t="str">
        <f ca="1">IFERROR(VLOOKUP(I$2,Rango_Admin_DailyPred,MATCH($F90,Rango_Admin_DailyPred_Primera,0),0),"-")</f>
        <v>-</v>
      </c>
      <c r="J90" s="717" t="str">
        <f ca="1">IFERROR(VLOOKUP(J$2,Rango_Admin_DailyPred,MATCH($F90,Rango_Admin_DailyPred_Primera,0),0),"-")</f>
        <v>-</v>
      </c>
      <c r="K90" s="717" t="str">
        <f ca="1">IFERROR(VLOOKUP(K$2,Rango_Admin_DailyPred,MATCH($F90,Rango_Admin_DailyPred_Primera,0),0),"-")</f>
        <v>-</v>
      </c>
      <c r="L90" s="717" t="str">
        <f ca="1">IFERROR(VLOOKUP(L$2,Rango_Admin_DailyPred,MATCH($F90,Rango_Admin_DailyPred_Primera,0),0),"-")</f>
        <v>-</v>
      </c>
      <c r="M90" s="717" t="str">
        <f ca="1">IFERROR(VLOOKUP(M$2,Rango_Admin_DailyPred,MATCH($F90,Rango_Admin_DailyPred_Primera,0),0),"-")</f>
        <v>-</v>
      </c>
      <c r="N90" s="717" t="str">
        <f ca="1">IFERROR(VLOOKUP(N$2,Rango_Admin_DailyPred,MATCH($F90,Rango_Admin_DailyPred_Primera,0),0),"-")</f>
        <v>-</v>
      </c>
      <c r="O90" s="717" t="str">
        <f ca="1">IFERROR(VLOOKUP(O$2,Rango_Admin_DailyPred,MATCH($F90,Rango_Admin_DailyPred_Primera,0),0),"-")</f>
        <v>-</v>
      </c>
      <c r="P90" s="717" t="str">
        <f ca="1">IFERROR(VLOOKUP(P$2,Rango_Admin_DailyPred,MATCH($F90,Rango_Admin_DailyPred_Primera,0),0),"-")</f>
        <v>-</v>
      </c>
      <c r="Q90" s="717" t="str">
        <f ca="1">IFERROR(VLOOKUP(Q$2,Rango_Admin_DailyPred,MATCH($F90,Rango_Admin_DailyPred_Primera,0),0),"-")</f>
        <v>-</v>
      </c>
      <c r="R90" s="717" t="str">
        <f ca="1">IFERROR(VLOOKUP(R$2,Rango_Admin_DailyPred,MATCH($F90,Rango_Admin_DailyPred_Primera,0),0),"-")</f>
        <v>-</v>
      </c>
      <c r="S90" s="717" t="str">
        <f ca="1">IFERROR(VLOOKUP(S$2,Rango_Admin_DailyPred,MATCH($F90,Rango_Admin_DailyPred_Primera,0),0),"-")</f>
        <v>-</v>
      </c>
      <c r="T90" s="717" t="str">
        <f ca="1">IFERROR(VLOOKUP(T$2,Rango_Admin_DailyPred,MATCH($F90,Rango_Admin_DailyPred_Primera,0),0),"-")</f>
        <v>-</v>
      </c>
      <c r="U90" s="717" t="str">
        <f ca="1">IFERROR(VLOOKUP(U$2,Rango_Admin_DailyPred,MATCH($F90,Rango_Admin_DailyPred_Primera,0),0),"-")</f>
        <v>-</v>
      </c>
      <c r="V90" s="717" t="str">
        <f ca="1">IFERROR(VLOOKUP(V$2,Rango_Admin_DailyPred,MATCH($F90,Rango_Admin_DailyPred_Primera,0),0),"-")</f>
        <v>-</v>
      </c>
      <c r="W90" s="717" t="str">
        <f ca="1">IFERROR(VLOOKUP(W$2,Rango_Admin_DailyPred,MATCH($F90,Rango_Admin_DailyPred_Primera,0),0),"-")</f>
        <v>-</v>
      </c>
      <c r="X90" s="717" t="str">
        <f ca="1">IFERROR(VLOOKUP(X$2,Rango_Admin_DailyPred,MATCH($F90,Rango_Admin_DailyPred_Primera,0),0),"-")</f>
        <v>-</v>
      </c>
      <c r="Y90" s="717" t="str">
        <f ca="1">IFERROR(VLOOKUP(Y$2,Rango_Admin_DailyPred,MATCH($F90,Rango_Admin_DailyPred_Primera,0),0),"-")</f>
        <v>-</v>
      </c>
      <c r="Z90" s="717" t="str">
        <f ca="1">IFERROR(VLOOKUP(Z$2,Rango_Admin_DailyPred,MATCH($F90,Rango_Admin_DailyPred_Primera,0),0),"-")</f>
        <v>-</v>
      </c>
      <c r="AA90" s="717" t="str">
        <f ca="1">IFERROR(VLOOKUP(AA$2,Rango_Admin_DailyPred,MATCH($F90,Rango_Admin_DailyPred_Primera,0),0),"-")</f>
        <v>-</v>
      </c>
      <c r="AB90" s="717" t="str">
        <f ca="1">IFERROR(VLOOKUP(AB$2,Rango_Admin_DailyPred,MATCH($F90,Rango_Admin_DailyPred_Primera,0),0),"-")</f>
        <v>-</v>
      </c>
      <c r="AC90" s="717" t="str">
        <f ca="1">IFERROR(VLOOKUP(AC$2,Rango_Admin_DailyPred,MATCH($F90,Rango_Admin_DailyPred_Primera,0),0),"-")</f>
        <v>-</v>
      </c>
      <c r="AD90" s="717" t="str">
        <f ca="1">IFERROR(VLOOKUP(AD$2,Rango_Admin_DailyPred,MATCH($F90,Rango_Admin_DailyPred_Primera,0),0),"-")</f>
        <v>-</v>
      </c>
      <c r="AE90" s="717" t="str">
        <f ca="1">IFERROR(VLOOKUP(AE$2,Rango_Admin_DailyPred,MATCH($F90,Rango_Admin_DailyPred_Primera,0),0),"-")</f>
        <v>-</v>
      </c>
      <c r="AF90" s="717" t="str">
        <f ca="1">IFERROR(VLOOKUP(AF$2,Rango_Admin_DailyPred,MATCH($F90,Rango_Admin_DailyPred_Primera,0),0),"-")</f>
        <v>-</v>
      </c>
      <c r="AG90" s="717" t="str">
        <f ca="1">IFERROR(VLOOKUP(AG$2,Rango_Admin_DailyPred,MATCH($F90,Rango_Admin_DailyPred_Primera,0),0),"-")</f>
        <v>-</v>
      </c>
      <c r="AH90" s="717" t="str">
        <f ca="1">IFERROR(VLOOKUP(AH$2,Rango_Admin_DailyPred,MATCH($F90,Rango_Admin_DailyPred_Primera,0),0),"-")</f>
        <v>-</v>
      </c>
      <c r="AI90" s="717" t="str">
        <f ca="1">IFERROR(VLOOKUP(AI$2,Rango_Admin_DailyPred,MATCH($F90,Rango_Admin_DailyPred_Primera,0),0),"-")</f>
        <v>-</v>
      </c>
      <c r="AJ90" s="717" t="str">
        <f ca="1">IFERROR(VLOOKUP(AJ$2,Rango_Admin_DailyPred,MATCH($F90,Rango_Admin_DailyPred_Primera,0),0),"-")</f>
        <v>-</v>
      </c>
      <c r="AK90" s="717" t="str">
        <f ca="1">IFERROR(VLOOKUP(AK$2,Rango_Admin_DailyPred,MATCH($F90,Rango_Admin_DailyPred_Primera,0),0),"-")</f>
        <v>-</v>
      </c>
      <c r="AL90" s="717" t="str">
        <f ca="1">IFERROR(VLOOKUP(AL$2,Rango_Admin_DailyPred,MATCH($F90,Rango_Admin_DailyPred_Primera,0),0),"-")</f>
        <v>-</v>
      </c>
    </row>
    <row r="91" spans="5:38">
      <c r="E91" s="19">
        <f t="shared" si="2"/>
        <v>270</v>
      </c>
      <c r="F91" s="772" t="str" cm="1">
        <f t="array" ref="F91">IFERROR(INDEX(Rango_Admin_DailyPred_Primera,1,E91),"-")</f>
        <v>-</v>
      </c>
      <c r="G91" s="717" t="str">
        <f ca="1">IFERROR(VLOOKUP(G$2,Rango_Admin_DailyPred,MATCH($F91,Rango_Admin_DailyPred_Primera,0),0),"-")</f>
        <v>-</v>
      </c>
      <c r="H91" s="717" t="str">
        <f ca="1">IFERROR(VLOOKUP(H$2,Rango_Admin_DailyPred,MATCH($F91,Rango_Admin_DailyPred_Primera,0),0),"-")</f>
        <v>-</v>
      </c>
      <c r="I91" s="717" t="str">
        <f ca="1">IFERROR(VLOOKUP(I$2,Rango_Admin_DailyPred,MATCH($F91,Rango_Admin_DailyPred_Primera,0),0),"-")</f>
        <v>-</v>
      </c>
      <c r="J91" s="717" t="str">
        <f ca="1">IFERROR(VLOOKUP(J$2,Rango_Admin_DailyPred,MATCH($F91,Rango_Admin_DailyPred_Primera,0),0),"-")</f>
        <v>-</v>
      </c>
      <c r="K91" s="717" t="str">
        <f ca="1">IFERROR(VLOOKUP(K$2,Rango_Admin_DailyPred,MATCH($F91,Rango_Admin_DailyPred_Primera,0),0),"-")</f>
        <v>-</v>
      </c>
      <c r="L91" s="717" t="str">
        <f ca="1">IFERROR(VLOOKUP(L$2,Rango_Admin_DailyPred,MATCH($F91,Rango_Admin_DailyPred_Primera,0),0),"-")</f>
        <v>-</v>
      </c>
      <c r="M91" s="717" t="str">
        <f ca="1">IFERROR(VLOOKUP(M$2,Rango_Admin_DailyPred,MATCH($F91,Rango_Admin_DailyPred_Primera,0),0),"-")</f>
        <v>-</v>
      </c>
      <c r="N91" s="717" t="str">
        <f ca="1">IFERROR(VLOOKUP(N$2,Rango_Admin_DailyPred,MATCH($F91,Rango_Admin_DailyPred_Primera,0),0),"-")</f>
        <v>-</v>
      </c>
      <c r="O91" s="717" t="str">
        <f ca="1">IFERROR(VLOOKUP(O$2,Rango_Admin_DailyPred,MATCH($F91,Rango_Admin_DailyPred_Primera,0),0),"-")</f>
        <v>-</v>
      </c>
      <c r="P91" s="717" t="str">
        <f ca="1">IFERROR(VLOOKUP(P$2,Rango_Admin_DailyPred,MATCH($F91,Rango_Admin_DailyPred_Primera,0),0),"-")</f>
        <v>-</v>
      </c>
      <c r="Q91" s="717" t="str">
        <f ca="1">IFERROR(VLOOKUP(Q$2,Rango_Admin_DailyPred,MATCH($F91,Rango_Admin_DailyPred_Primera,0),0),"-")</f>
        <v>-</v>
      </c>
      <c r="R91" s="717" t="str">
        <f ca="1">IFERROR(VLOOKUP(R$2,Rango_Admin_DailyPred,MATCH($F91,Rango_Admin_DailyPred_Primera,0),0),"-")</f>
        <v>-</v>
      </c>
      <c r="S91" s="717" t="str">
        <f ca="1">IFERROR(VLOOKUP(S$2,Rango_Admin_DailyPred,MATCH($F91,Rango_Admin_DailyPred_Primera,0),0),"-")</f>
        <v>-</v>
      </c>
      <c r="T91" s="717" t="str">
        <f ca="1">IFERROR(VLOOKUP(T$2,Rango_Admin_DailyPred,MATCH($F91,Rango_Admin_DailyPred_Primera,0),0),"-")</f>
        <v>-</v>
      </c>
      <c r="U91" s="717" t="str">
        <f ca="1">IFERROR(VLOOKUP(U$2,Rango_Admin_DailyPred,MATCH($F91,Rango_Admin_DailyPred_Primera,0),0),"-")</f>
        <v>-</v>
      </c>
      <c r="V91" s="717" t="str">
        <f ca="1">IFERROR(VLOOKUP(V$2,Rango_Admin_DailyPred,MATCH($F91,Rango_Admin_DailyPred_Primera,0),0),"-")</f>
        <v>-</v>
      </c>
      <c r="W91" s="717" t="str">
        <f ca="1">IFERROR(VLOOKUP(W$2,Rango_Admin_DailyPred,MATCH($F91,Rango_Admin_DailyPred_Primera,0),0),"-")</f>
        <v>-</v>
      </c>
      <c r="X91" s="717" t="str">
        <f ca="1">IFERROR(VLOOKUP(X$2,Rango_Admin_DailyPred,MATCH($F91,Rango_Admin_DailyPred_Primera,0),0),"-")</f>
        <v>-</v>
      </c>
      <c r="Y91" s="717" t="str">
        <f ca="1">IFERROR(VLOOKUP(Y$2,Rango_Admin_DailyPred,MATCH($F91,Rango_Admin_DailyPred_Primera,0),0),"-")</f>
        <v>-</v>
      </c>
      <c r="Z91" s="717" t="str">
        <f ca="1">IFERROR(VLOOKUP(Z$2,Rango_Admin_DailyPred,MATCH($F91,Rango_Admin_DailyPred_Primera,0),0),"-")</f>
        <v>-</v>
      </c>
      <c r="AA91" s="717" t="str">
        <f ca="1">IFERROR(VLOOKUP(AA$2,Rango_Admin_DailyPred,MATCH($F91,Rango_Admin_DailyPred_Primera,0),0),"-")</f>
        <v>-</v>
      </c>
      <c r="AB91" s="717" t="str">
        <f ca="1">IFERROR(VLOOKUP(AB$2,Rango_Admin_DailyPred,MATCH($F91,Rango_Admin_DailyPred_Primera,0),0),"-")</f>
        <v>-</v>
      </c>
      <c r="AC91" s="717" t="str">
        <f ca="1">IFERROR(VLOOKUP(AC$2,Rango_Admin_DailyPred,MATCH($F91,Rango_Admin_DailyPred_Primera,0),0),"-")</f>
        <v>-</v>
      </c>
      <c r="AD91" s="717" t="str">
        <f ca="1">IFERROR(VLOOKUP(AD$2,Rango_Admin_DailyPred,MATCH($F91,Rango_Admin_DailyPred_Primera,0),0),"-")</f>
        <v>-</v>
      </c>
      <c r="AE91" s="717" t="str">
        <f ca="1">IFERROR(VLOOKUP(AE$2,Rango_Admin_DailyPred,MATCH($F91,Rango_Admin_DailyPred_Primera,0),0),"-")</f>
        <v>-</v>
      </c>
      <c r="AF91" s="717" t="str">
        <f ca="1">IFERROR(VLOOKUP(AF$2,Rango_Admin_DailyPred,MATCH($F91,Rango_Admin_DailyPred_Primera,0),0),"-")</f>
        <v>-</v>
      </c>
      <c r="AG91" s="717" t="str">
        <f ca="1">IFERROR(VLOOKUP(AG$2,Rango_Admin_DailyPred,MATCH($F91,Rango_Admin_DailyPred_Primera,0),0),"-")</f>
        <v>-</v>
      </c>
      <c r="AH91" s="717" t="str">
        <f ca="1">IFERROR(VLOOKUP(AH$2,Rango_Admin_DailyPred,MATCH($F91,Rango_Admin_DailyPred_Primera,0),0),"-")</f>
        <v>-</v>
      </c>
      <c r="AI91" s="717" t="str">
        <f ca="1">IFERROR(VLOOKUP(AI$2,Rango_Admin_DailyPred,MATCH($F91,Rango_Admin_DailyPred_Primera,0),0),"-")</f>
        <v>-</v>
      </c>
      <c r="AJ91" s="717" t="str">
        <f ca="1">IFERROR(VLOOKUP(AJ$2,Rango_Admin_DailyPred,MATCH($F91,Rango_Admin_DailyPred_Primera,0),0),"-")</f>
        <v>-</v>
      </c>
      <c r="AK91" s="717" t="str">
        <f ca="1">IFERROR(VLOOKUP(AK$2,Rango_Admin_DailyPred,MATCH($F91,Rango_Admin_DailyPred_Primera,0),0),"-")</f>
        <v>-</v>
      </c>
      <c r="AL91" s="717" t="str">
        <f ca="1">IFERROR(VLOOKUP(AL$2,Rango_Admin_DailyPred,MATCH($F91,Rango_Admin_DailyPred_Primera,0),0),"-")</f>
        <v>-</v>
      </c>
    </row>
    <row r="92" spans="5:38">
      <c r="E92" s="19">
        <f t="shared" si="2"/>
        <v>273</v>
      </c>
      <c r="F92" s="772" t="str" cm="1">
        <f t="array" ref="F92">IFERROR(INDEX(Rango_Admin_DailyPred_Primera,1,E92),"-")</f>
        <v>-</v>
      </c>
      <c r="G92" s="717" t="str">
        <f ca="1">IFERROR(VLOOKUP(G$2,Rango_Admin_DailyPred,MATCH($F92,Rango_Admin_DailyPred_Primera,0),0),"-")</f>
        <v>-</v>
      </c>
      <c r="H92" s="717" t="str">
        <f ca="1">IFERROR(VLOOKUP(H$2,Rango_Admin_DailyPred,MATCH($F92,Rango_Admin_DailyPred_Primera,0),0),"-")</f>
        <v>-</v>
      </c>
      <c r="I92" s="717" t="str">
        <f ca="1">IFERROR(VLOOKUP(I$2,Rango_Admin_DailyPred,MATCH($F92,Rango_Admin_DailyPred_Primera,0),0),"-")</f>
        <v>-</v>
      </c>
      <c r="J92" s="717" t="str">
        <f ca="1">IFERROR(VLOOKUP(J$2,Rango_Admin_DailyPred,MATCH($F92,Rango_Admin_DailyPred_Primera,0),0),"-")</f>
        <v>-</v>
      </c>
      <c r="K92" s="717" t="str">
        <f ca="1">IFERROR(VLOOKUP(K$2,Rango_Admin_DailyPred,MATCH($F92,Rango_Admin_DailyPred_Primera,0),0),"-")</f>
        <v>-</v>
      </c>
      <c r="L92" s="717" t="str">
        <f ca="1">IFERROR(VLOOKUP(L$2,Rango_Admin_DailyPred,MATCH($F92,Rango_Admin_DailyPred_Primera,0),0),"-")</f>
        <v>-</v>
      </c>
      <c r="M92" s="717" t="str">
        <f ca="1">IFERROR(VLOOKUP(M$2,Rango_Admin_DailyPred,MATCH($F92,Rango_Admin_DailyPred_Primera,0),0),"-")</f>
        <v>-</v>
      </c>
      <c r="N92" s="717" t="str">
        <f ca="1">IFERROR(VLOOKUP(N$2,Rango_Admin_DailyPred,MATCH($F92,Rango_Admin_DailyPred_Primera,0),0),"-")</f>
        <v>-</v>
      </c>
      <c r="O92" s="717" t="str">
        <f ca="1">IFERROR(VLOOKUP(O$2,Rango_Admin_DailyPred,MATCH($F92,Rango_Admin_DailyPred_Primera,0),0),"-")</f>
        <v>-</v>
      </c>
      <c r="P92" s="717" t="str">
        <f ca="1">IFERROR(VLOOKUP(P$2,Rango_Admin_DailyPred,MATCH($F92,Rango_Admin_DailyPred_Primera,0),0),"-")</f>
        <v>-</v>
      </c>
      <c r="Q92" s="717" t="str">
        <f ca="1">IFERROR(VLOOKUP(Q$2,Rango_Admin_DailyPred,MATCH($F92,Rango_Admin_DailyPred_Primera,0),0),"-")</f>
        <v>-</v>
      </c>
      <c r="R92" s="717" t="str">
        <f ca="1">IFERROR(VLOOKUP(R$2,Rango_Admin_DailyPred,MATCH($F92,Rango_Admin_DailyPred_Primera,0),0),"-")</f>
        <v>-</v>
      </c>
      <c r="S92" s="717" t="str">
        <f ca="1">IFERROR(VLOOKUP(S$2,Rango_Admin_DailyPred,MATCH($F92,Rango_Admin_DailyPred_Primera,0),0),"-")</f>
        <v>-</v>
      </c>
      <c r="T92" s="717" t="str">
        <f ca="1">IFERROR(VLOOKUP(T$2,Rango_Admin_DailyPred,MATCH($F92,Rango_Admin_DailyPred_Primera,0),0),"-")</f>
        <v>-</v>
      </c>
      <c r="U92" s="717" t="str">
        <f ca="1">IFERROR(VLOOKUP(U$2,Rango_Admin_DailyPred,MATCH($F92,Rango_Admin_DailyPred_Primera,0),0),"-")</f>
        <v>-</v>
      </c>
      <c r="V92" s="717" t="str">
        <f ca="1">IFERROR(VLOOKUP(V$2,Rango_Admin_DailyPred,MATCH($F92,Rango_Admin_DailyPred_Primera,0),0),"-")</f>
        <v>-</v>
      </c>
      <c r="W92" s="717" t="str">
        <f ca="1">IFERROR(VLOOKUP(W$2,Rango_Admin_DailyPred,MATCH($F92,Rango_Admin_DailyPred_Primera,0),0),"-")</f>
        <v>-</v>
      </c>
      <c r="X92" s="717" t="str">
        <f ca="1">IFERROR(VLOOKUP(X$2,Rango_Admin_DailyPred,MATCH($F92,Rango_Admin_DailyPred_Primera,0),0),"-")</f>
        <v>-</v>
      </c>
      <c r="Y92" s="717" t="str">
        <f ca="1">IFERROR(VLOOKUP(Y$2,Rango_Admin_DailyPred,MATCH($F92,Rango_Admin_DailyPred_Primera,0),0),"-")</f>
        <v>-</v>
      </c>
      <c r="Z92" s="717" t="str">
        <f ca="1">IFERROR(VLOOKUP(Z$2,Rango_Admin_DailyPred,MATCH($F92,Rango_Admin_DailyPred_Primera,0),0),"-")</f>
        <v>-</v>
      </c>
      <c r="AA92" s="717" t="str">
        <f ca="1">IFERROR(VLOOKUP(AA$2,Rango_Admin_DailyPred,MATCH($F92,Rango_Admin_DailyPred_Primera,0),0),"-")</f>
        <v>-</v>
      </c>
      <c r="AB92" s="717" t="str">
        <f ca="1">IFERROR(VLOOKUP(AB$2,Rango_Admin_DailyPred,MATCH($F92,Rango_Admin_DailyPred_Primera,0),0),"-")</f>
        <v>-</v>
      </c>
      <c r="AC92" s="717" t="str">
        <f ca="1">IFERROR(VLOOKUP(AC$2,Rango_Admin_DailyPred,MATCH($F92,Rango_Admin_DailyPred_Primera,0),0),"-")</f>
        <v>-</v>
      </c>
      <c r="AD92" s="717" t="str">
        <f ca="1">IFERROR(VLOOKUP(AD$2,Rango_Admin_DailyPred,MATCH($F92,Rango_Admin_DailyPred_Primera,0),0),"-")</f>
        <v>-</v>
      </c>
      <c r="AE92" s="717" t="str">
        <f ca="1">IFERROR(VLOOKUP(AE$2,Rango_Admin_DailyPred,MATCH($F92,Rango_Admin_DailyPred_Primera,0),0),"-")</f>
        <v>-</v>
      </c>
      <c r="AF92" s="717" t="str">
        <f ca="1">IFERROR(VLOOKUP(AF$2,Rango_Admin_DailyPred,MATCH($F92,Rango_Admin_DailyPred_Primera,0),0),"-")</f>
        <v>-</v>
      </c>
      <c r="AG92" s="717" t="str">
        <f ca="1">IFERROR(VLOOKUP(AG$2,Rango_Admin_DailyPred,MATCH($F92,Rango_Admin_DailyPred_Primera,0),0),"-")</f>
        <v>-</v>
      </c>
      <c r="AH92" s="717" t="str">
        <f ca="1">IFERROR(VLOOKUP(AH$2,Rango_Admin_DailyPred,MATCH($F92,Rango_Admin_DailyPred_Primera,0),0),"-")</f>
        <v>-</v>
      </c>
      <c r="AI92" s="717" t="str">
        <f ca="1">IFERROR(VLOOKUP(AI$2,Rango_Admin_DailyPred,MATCH($F92,Rango_Admin_DailyPred_Primera,0),0),"-")</f>
        <v>-</v>
      </c>
      <c r="AJ92" s="717" t="str">
        <f ca="1">IFERROR(VLOOKUP(AJ$2,Rango_Admin_DailyPred,MATCH($F92,Rango_Admin_DailyPred_Primera,0),0),"-")</f>
        <v>-</v>
      </c>
      <c r="AK92" s="717" t="str">
        <f ca="1">IFERROR(VLOOKUP(AK$2,Rango_Admin_DailyPred,MATCH($F92,Rango_Admin_DailyPred_Primera,0),0),"-")</f>
        <v>-</v>
      </c>
      <c r="AL92" s="717" t="str">
        <f ca="1">IFERROR(VLOOKUP(AL$2,Rango_Admin_DailyPred,MATCH($F92,Rango_Admin_DailyPred_Primera,0),0),"-")</f>
        <v>-</v>
      </c>
    </row>
    <row r="93" spans="5:38">
      <c r="E93" s="19">
        <f t="shared" si="2"/>
        <v>276</v>
      </c>
      <c r="F93" s="772" t="str" cm="1">
        <f t="array" ref="F93">IFERROR(INDEX(Rango_Admin_DailyPred_Primera,1,E93),"-")</f>
        <v>-</v>
      </c>
      <c r="G93" s="717" t="str">
        <f ca="1">IFERROR(VLOOKUP(G$2,Rango_Admin_DailyPred,MATCH($F93,Rango_Admin_DailyPred_Primera,0),0),"-")</f>
        <v>-</v>
      </c>
      <c r="H93" s="717" t="str">
        <f ca="1">IFERROR(VLOOKUP(H$2,Rango_Admin_DailyPred,MATCH($F93,Rango_Admin_DailyPred_Primera,0),0),"-")</f>
        <v>-</v>
      </c>
      <c r="I93" s="717" t="str">
        <f ca="1">IFERROR(VLOOKUP(I$2,Rango_Admin_DailyPred,MATCH($F93,Rango_Admin_DailyPred_Primera,0),0),"-")</f>
        <v>-</v>
      </c>
      <c r="J93" s="717" t="str">
        <f ca="1">IFERROR(VLOOKUP(J$2,Rango_Admin_DailyPred,MATCH($F93,Rango_Admin_DailyPred_Primera,0),0),"-")</f>
        <v>-</v>
      </c>
      <c r="K93" s="717" t="str">
        <f ca="1">IFERROR(VLOOKUP(K$2,Rango_Admin_DailyPred,MATCH($F93,Rango_Admin_DailyPred_Primera,0),0),"-")</f>
        <v>-</v>
      </c>
      <c r="L93" s="717" t="str">
        <f ca="1">IFERROR(VLOOKUP(L$2,Rango_Admin_DailyPred,MATCH($F93,Rango_Admin_DailyPred_Primera,0),0),"-")</f>
        <v>-</v>
      </c>
      <c r="M93" s="717" t="str">
        <f ca="1">IFERROR(VLOOKUP(M$2,Rango_Admin_DailyPred,MATCH($F93,Rango_Admin_DailyPred_Primera,0),0),"-")</f>
        <v>-</v>
      </c>
      <c r="N93" s="717" t="str">
        <f ca="1">IFERROR(VLOOKUP(N$2,Rango_Admin_DailyPred,MATCH($F93,Rango_Admin_DailyPred_Primera,0),0),"-")</f>
        <v>-</v>
      </c>
      <c r="O93" s="717" t="str">
        <f ca="1">IFERROR(VLOOKUP(O$2,Rango_Admin_DailyPred,MATCH($F93,Rango_Admin_DailyPred_Primera,0),0),"-")</f>
        <v>-</v>
      </c>
      <c r="P93" s="717" t="str">
        <f ca="1">IFERROR(VLOOKUP(P$2,Rango_Admin_DailyPred,MATCH($F93,Rango_Admin_DailyPred_Primera,0),0),"-")</f>
        <v>-</v>
      </c>
      <c r="Q93" s="717" t="str">
        <f ca="1">IFERROR(VLOOKUP(Q$2,Rango_Admin_DailyPred,MATCH($F93,Rango_Admin_DailyPred_Primera,0),0),"-")</f>
        <v>-</v>
      </c>
      <c r="R93" s="717" t="str">
        <f ca="1">IFERROR(VLOOKUP(R$2,Rango_Admin_DailyPred,MATCH($F93,Rango_Admin_DailyPred_Primera,0),0),"-")</f>
        <v>-</v>
      </c>
      <c r="S93" s="717" t="str">
        <f ca="1">IFERROR(VLOOKUP(S$2,Rango_Admin_DailyPred,MATCH($F93,Rango_Admin_DailyPred_Primera,0),0),"-")</f>
        <v>-</v>
      </c>
      <c r="T93" s="717" t="str">
        <f ca="1">IFERROR(VLOOKUP(T$2,Rango_Admin_DailyPred,MATCH($F93,Rango_Admin_DailyPred_Primera,0),0),"-")</f>
        <v>-</v>
      </c>
      <c r="U93" s="717" t="str">
        <f ca="1">IFERROR(VLOOKUP(U$2,Rango_Admin_DailyPred,MATCH($F93,Rango_Admin_DailyPred_Primera,0),0),"-")</f>
        <v>-</v>
      </c>
      <c r="V93" s="717" t="str">
        <f ca="1">IFERROR(VLOOKUP(V$2,Rango_Admin_DailyPred,MATCH($F93,Rango_Admin_DailyPred_Primera,0),0),"-")</f>
        <v>-</v>
      </c>
      <c r="W93" s="717" t="str">
        <f ca="1">IFERROR(VLOOKUP(W$2,Rango_Admin_DailyPred,MATCH($F93,Rango_Admin_DailyPred_Primera,0),0),"-")</f>
        <v>-</v>
      </c>
      <c r="X93" s="717" t="str">
        <f ca="1">IFERROR(VLOOKUP(X$2,Rango_Admin_DailyPred,MATCH($F93,Rango_Admin_DailyPred_Primera,0),0),"-")</f>
        <v>-</v>
      </c>
      <c r="Y93" s="717" t="str">
        <f ca="1">IFERROR(VLOOKUP(Y$2,Rango_Admin_DailyPred,MATCH($F93,Rango_Admin_DailyPred_Primera,0),0),"-")</f>
        <v>-</v>
      </c>
      <c r="Z93" s="717" t="str">
        <f ca="1">IFERROR(VLOOKUP(Z$2,Rango_Admin_DailyPred,MATCH($F93,Rango_Admin_DailyPred_Primera,0),0),"-")</f>
        <v>-</v>
      </c>
      <c r="AA93" s="717" t="str">
        <f ca="1">IFERROR(VLOOKUP(AA$2,Rango_Admin_DailyPred,MATCH($F93,Rango_Admin_DailyPred_Primera,0),0),"-")</f>
        <v>-</v>
      </c>
      <c r="AB93" s="717" t="str">
        <f ca="1">IFERROR(VLOOKUP(AB$2,Rango_Admin_DailyPred,MATCH($F93,Rango_Admin_DailyPred_Primera,0),0),"-")</f>
        <v>-</v>
      </c>
      <c r="AC93" s="717" t="str">
        <f ca="1">IFERROR(VLOOKUP(AC$2,Rango_Admin_DailyPred,MATCH($F93,Rango_Admin_DailyPred_Primera,0),0),"-")</f>
        <v>-</v>
      </c>
      <c r="AD93" s="717" t="str">
        <f ca="1">IFERROR(VLOOKUP(AD$2,Rango_Admin_DailyPred,MATCH($F93,Rango_Admin_DailyPred_Primera,0),0),"-")</f>
        <v>-</v>
      </c>
      <c r="AE93" s="717" t="str">
        <f ca="1">IFERROR(VLOOKUP(AE$2,Rango_Admin_DailyPred,MATCH($F93,Rango_Admin_DailyPred_Primera,0),0),"-")</f>
        <v>-</v>
      </c>
      <c r="AF93" s="717" t="str">
        <f ca="1">IFERROR(VLOOKUP(AF$2,Rango_Admin_DailyPred,MATCH($F93,Rango_Admin_DailyPred_Primera,0),0),"-")</f>
        <v>-</v>
      </c>
      <c r="AG93" s="717" t="str">
        <f ca="1">IFERROR(VLOOKUP(AG$2,Rango_Admin_DailyPred,MATCH($F93,Rango_Admin_DailyPred_Primera,0),0),"-")</f>
        <v>-</v>
      </c>
      <c r="AH93" s="717" t="str">
        <f ca="1">IFERROR(VLOOKUP(AH$2,Rango_Admin_DailyPred,MATCH($F93,Rango_Admin_DailyPred_Primera,0),0),"-")</f>
        <v>-</v>
      </c>
      <c r="AI93" s="717" t="str">
        <f ca="1">IFERROR(VLOOKUP(AI$2,Rango_Admin_DailyPred,MATCH($F93,Rango_Admin_DailyPred_Primera,0),0),"-")</f>
        <v>-</v>
      </c>
      <c r="AJ93" s="717" t="str">
        <f ca="1">IFERROR(VLOOKUP(AJ$2,Rango_Admin_DailyPred,MATCH($F93,Rango_Admin_DailyPred_Primera,0),0),"-")</f>
        <v>-</v>
      </c>
      <c r="AK93" s="717" t="str">
        <f ca="1">IFERROR(VLOOKUP(AK$2,Rango_Admin_DailyPred,MATCH($F93,Rango_Admin_DailyPred_Primera,0),0),"-")</f>
        <v>-</v>
      </c>
      <c r="AL93" s="717" t="str">
        <f ca="1">IFERROR(VLOOKUP(AL$2,Rango_Admin_DailyPred,MATCH($F93,Rango_Admin_DailyPred_Primera,0),0),"-")</f>
        <v>-</v>
      </c>
    </row>
    <row r="94" spans="5:38">
      <c r="E94" s="19">
        <f t="shared" si="2"/>
        <v>279</v>
      </c>
      <c r="F94" s="772" t="str" cm="1">
        <f t="array" ref="F94">IFERROR(INDEX(Rango_Admin_DailyPred_Primera,1,E94),"-")</f>
        <v>-</v>
      </c>
      <c r="G94" s="717" t="str">
        <f ca="1">IFERROR(VLOOKUP(G$2,Rango_Admin_DailyPred,MATCH($F94,Rango_Admin_DailyPred_Primera,0),0),"-")</f>
        <v>-</v>
      </c>
      <c r="H94" s="717" t="str">
        <f ca="1">IFERROR(VLOOKUP(H$2,Rango_Admin_DailyPred,MATCH($F94,Rango_Admin_DailyPred_Primera,0),0),"-")</f>
        <v>-</v>
      </c>
      <c r="I94" s="717" t="str">
        <f ca="1">IFERROR(VLOOKUP(I$2,Rango_Admin_DailyPred,MATCH($F94,Rango_Admin_DailyPred_Primera,0),0),"-")</f>
        <v>-</v>
      </c>
      <c r="J94" s="717" t="str">
        <f ca="1">IFERROR(VLOOKUP(J$2,Rango_Admin_DailyPred,MATCH($F94,Rango_Admin_DailyPred_Primera,0),0),"-")</f>
        <v>-</v>
      </c>
      <c r="K94" s="717" t="str">
        <f ca="1">IFERROR(VLOOKUP(K$2,Rango_Admin_DailyPred,MATCH($F94,Rango_Admin_DailyPred_Primera,0),0),"-")</f>
        <v>-</v>
      </c>
      <c r="L94" s="717" t="str">
        <f ca="1">IFERROR(VLOOKUP(L$2,Rango_Admin_DailyPred,MATCH($F94,Rango_Admin_DailyPred_Primera,0),0),"-")</f>
        <v>-</v>
      </c>
      <c r="M94" s="717" t="str">
        <f ca="1">IFERROR(VLOOKUP(M$2,Rango_Admin_DailyPred,MATCH($F94,Rango_Admin_DailyPred_Primera,0),0),"-")</f>
        <v>-</v>
      </c>
      <c r="N94" s="717" t="str">
        <f ca="1">IFERROR(VLOOKUP(N$2,Rango_Admin_DailyPred,MATCH($F94,Rango_Admin_DailyPred_Primera,0),0),"-")</f>
        <v>-</v>
      </c>
      <c r="O94" s="717" t="str">
        <f ca="1">IFERROR(VLOOKUP(O$2,Rango_Admin_DailyPred,MATCH($F94,Rango_Admin_DailyPred_Primera,0),0),"-")</f>
        <v>-</v>
      </c>
      <c r="P94" s="717" t="str">
        <f ca="1">IFERROR(VLOOKUP(P$2,Rango_Admin_DailyPred,MATCH($F94,Rango_Admin_DailyPred_Primera,0),0),"-")</f>
        <v>-</v>
      </c>
      <c r="Q94" s="717" t="str">
        <f ca="1">IFERROR(VLOOKUP(Q$2,Rango_Admin_DailyPred,MATCH($F94,Rango_Admin_DailyPred_Primera,0),0),"-")</f>
        <v>-</v>
      </c>
      <c r="R94" s="717" t="str">
        <f ca="1">IFERROR(VLOOKUP(R$2,Rango_Admin_DailyPred,MATCH($F94,Rango_Admin_DailyPred_Primera,0),0),"-")</f>
        <v>-</v>
      </c>
      <c r="S94" s="717" t="str">
        <f ca="1">IFERROR(VLOOKUP(S$2,Rango_Admin_DailyPred,MATCH($F94,Rango_Admin_DailyPred_Primera,0),0),"-")</f>
        <v>-</v>
      </c>
      <c r="T94" s="717" t="str">
        <f ca="1">IFERROR(VLOOKUP(T$2,Rango_Admin_DailyPred,MATCH($F94,Rango_Admin_DailyPred_Primera,0),0),"-")</f>
        <v>-</v>
      </c>
      <c r="U94" s="717" t="str">
        <f ca="1">IFERROR(VLOOKUP(U$2,Rango_Admin_DailyPred,MATCH($F94,Rango_Admin_DailyPred_Primera,0),0),"-")</f>
        <v>-</v>
      </c>
      <c r="V94" s="717" t="str">
        <f ca="1">IFERROR(VLOOKUP(V$2,Rango_Admin_DailyPred,MATCH($F94,Rango_Admin_DailyPred_Primera,0),0),"-")</f>
        <v>-</v>
      </c>
      <c r="W94" s="717" t="str">
        <f ca="1">IFERROR(VLOOKUP(W$2,Rango_Admin_DailyPred,MATCH($F94,Rango_Admin_DailyPred_Primera,0),0),"-")</f>
        <v>-</v>
      </c>
      <c r="X94" s="717" t="str">
        <f ca="1">IFERROR(VLOOKUP(X$2,Rango_Admin_DailyPred,MATCH($F94,Rango_Admin_DailyPred_Primera,0),0),"-")</f>
        <v>-</v>
      </c>
      <c r="Y94" s="717" t="str">
        <f ca="1">IFERROR(VLOOKUP(Y$2,Rango_Admin_DailyPred,MATCH($F94,Rango_Admin_DailyPred_Primera,0),0),"-")</f>
        <v>-</v>
      </c>
      <c r="Z94" s="717" t="str">
        <f ca="1">IFERROR(VLOOKUP(Z$2,Rango_Admin_DailyPred,MATCH($F94,Rango_Admin_DailyPred_Primera,0),0),"-")</f>
        <v>-</v>
      </c>
      <c r="AA94" s="717" t="str">
        <f ca="1">IFERROR(VLOOKUP(AA$2,Rango_Admin_DailyPred,MATCH($F94,Rango_Admin_DailyPred_Primera,0),0),"-")</f>
        <v>-</v>
      </c>
      <c r="AB94" s="717" t="str">
        <f ca="1">IFERROR(VLOOKUP(AB$2,Rango_Admin_DailyPred,MATCH($F94,Rango_Admin_DailyPred_Primera,0),0),"-")</f>
        <v>-</v>
      </c>
      <c r="AC94" s="717" t="str">
        <f ca="1">IFERROR(VLOOKUP(AC$2,Rango_Admin_DailyPred,MATCH($F94,Rango_Admin_DailyPred_Primera,0),0),"-")</f>
        <v>-</v>
      </c>
      <c r="AD94" s="717" t="str">
        <f ca="1">IFERROR(VLOOKUP(AD$2,Rango_Admin_DailyPred,MATCH($F94,Rango_Admin_DailyPred_Primera,0),0),"-")</f>
        <v>-</v>
      </c>
      <c r="AE94" s="717" t="str">
        <f ca="1">IFERROR(VLOOKUP(AE$2,Rango_Admin_DailyPred,MATCH($F94,Rango_Admin_DailyPred_Primera,0),0),"-")</f>
        <v>-</v>
      </c>
      <c r="AF94" s="717" t="str">
        <f ca="1">IFERROR(VLOOKUP(AF$2,Rango_Admin_DailyPred,MATCH($F94,Rango_Admin_DailyPred_Primera,0),0),"-")</f>
        <v>-</v>
      </c>
      <c r="AG94" s="717" t="str">
        <f ca="1">IFERROR(VLOOKUP(AG$2,Rango_Admin_DailyPred,MATCH($F94,Rango_Admin_DailyPred_Primera,0),0),"-")</f>
        <v>-</v>
      </c>
      <c r="AH94" s="717" t="str">
        <f ca="1">IFERROR(VLOOKUP(AH$2,Rango_Admin_DailyPred,MATCH($F94,Rango_Admin_DailyPred_Primera,0),0),"-")</f>
        <v>-</v>
      </c>
      <c r="AI94" s="717" t="str">
        <f ca="1">IFERROR(VLOOKUP(AI$2,Rango_Admin_DailyPred,MATCH($F94,Rango_Admin_DailyPred_Primera,0),0),"-")</f>
        <v>-</v>
      </c>
      <c r="AJ94" s="717" t="str">
        <f ca="1">IFERROR(VLOOKUP(AJ$2,Rango_Admin_DailyPred,MATCH($F94,Rango_Admin_DailyPred_Primera,0),0),"-")</f>
        <v>-</v>
      </c>
      <c r="AK94" s="717" t="str">
        <f ca="1">IFERROR(VLOOKUP(AK$2,Rango_Admin_DailyPred,MATCH($F94,Rango_Admin_DailyPred_Primera,0),0),"-")</f>
        <v>-</v>
      </c>
      <c r="AL94" s="717" t="str">
        <f ca="1">IFERROR(VLOOKUP(AL$2,Rango_Admin_DailyPred,MATCH($F94,Rango_Admin_DailyPred_Primera,0),0),"-")</f>
        <v>-</v>
      </c>
    </row>
    <row r="95" spans="5:38">
      <c r="E95" s="19">
        <f t="shared" si="2"/>
        <v>282</v>
      </c>
      <c r="F95" s="772" t="str" cm="1">
        <f t="array" ref="F95">IFERROR(INDEX(Rango_Admin_DailyPred_Primera,1,E95),"-")</f>
        <v>-</v>
      </c>
      <c r="G95" s="717" t="str">
        <f ca="1">IFERROR(VLOOKUP(G$2,Rango_Admin_DailyPred,MATCH($F95,Rango_Admin_DailyPred_Primera,0),0),"-")</f>
        <v>-</v>
      </c>
      <c r="H95" s="717" t="str">
        <f ca="1">IFERROR(VLOOKUP(H$2,Rango_Admin_DailyPred,MATCH($F95,Rango_Admin_DailyPred_Primera,0),0),"-")</f>
        <v>-</v>
      </c>
      <c r="I95" s="717" t="str">
        <f ca="1">IFERROR(VLOOKUP(I$2,Rango_Admin_DailyPred,MATCH($F95,Rango_Admin_DailyPred_Primera,0),0),"-")</f>
        <v>-</v>
      </c>
      <c r="J95" s="717" t="str">
        <f ca="1">IFERROR(VLOOKUP(J$2,Rango_Admin_DailyPred,MATCH($F95,Rango_Admin_DailyPred_Primera,0),0),"-")</f>
        <v>-</v>
      </c>
      <c r="K95" s="717" t="str">
        <f ca="1">IFERROR(VLOOKUP(K$2,Rango_Admin_DailyPred,MATCH($F95,Rango_Admin_DailyPred_Primera,0),0),"-")</f>
        <v>-</v>
      </c>
      <c r="L95" s="717" t="str">
        <f ca="1">IFERROR(VLOOKUP(L$2,Rango_Admin_DailyPred,MATCH($F95,Rango_Admin_DailyPred_Primera,0),0),"-")</f>
        <v>-</v>
      </c>
      <c r="M95" s="717" t="str">
        <f ca="1">IFERROR(VLOOKUP(M$2,Rango_Admin_DailyPred,MATCH($F95,Rango_Admin_DailyPred_Primera,0),0),"-")</f>
        <v>-</v>
      </c>
      <c r="N95" s="717" t="str">
        <f ca="1">IFERROR(VLOOKUP(N$2,Rango_Admin_DailyPred,MATCH($F95,Rango_Admin_DailyPred_Primera,0),0),"-")</f>
        <v>-</v>
      </c>
      <c r="O95" s="717" t="str">
        <f ca="1">IFERROR(VLOOKUP(O$2,Rango_Admin_DailyPred,MATCH($F95,Rango_Admin_DailyPred_Primera,0),0),"-")</f>
        <v>-</v>
      </c>
      <c r="P95" s="717" t="str">
        <f ca="1">IFERROR(VLOOKUP(P$2,Rango_Admin_DailyPred,MATCH($F95,Rango_Admin_DailyPred_Primera,0),0),"-")</f>
        <v>-</v>
      </c>
      <c r="Q95" s="717" t="str">
        <f ca="1">IFERROR(VLOOKUP(Q$2,Rango_Admin_DailyPred,MATCH($F95,Rango_Admin_DailyPred_Primera,0),0),"-")</f>
        <v>-</v>
      </c>
      <c r="R95" s="717" t="str">
        <f ca="1">IFERROR(VLOOKUP(R$2,Rango_Admin_DailyPred,MATCH($F95,Rango_Admin_DailyPred_Primera,0),0),"-")</f>
        <v>-</v>
      </c>
      <c r="S95" s="717" t="str">
        <f ca="1">IFERROR(VLOOKUP(S$2,Rango_Admin_DailyPred,MATCH($F95,Rango_Admin_DailyPred_Primera,0),0),"-")</f>
        <v>-</v>
      </c>
      <c r="T95" s="717" t="str">
        <f ca="1">IFERROR(VLOOKUP(T$2,Rango_Admin_DailyPred,MATCH($F95,Rango_Admin_DailyPred_Primera,0),0),"-")</f>
        <v>-</v>
      </c>
      <c r="U95" s="717" t="str">
        <f ca="1">IFERROR(VLOOKUP(U$2,Rango_Admin_DailyPred,MATCH($F95,Rango_Admin_DailyPred_Primera,0),0),"-")</f>
        <v>-</v>
      </c>
      <c r="V95" s="717" t="str">
        <f ca="1">IFERROR(VLOOKUP(V$2,Rango_Admin_DailyPred,MATCH($F95,Rango_Admin_DailyPred_Primera,0),0),"-")</f>
        <v>-</v>
      </c>
      <c r="W95" s="717" t="str">
        <f ca="1">IFERROR(VLOOKUP(W$2,Rango_Admin_DailyPred,MATCH($F95,Rango_Admin_DailyPred_Primera,0),0),"-")</f>
        <v>-</v>
      </c>
      <c r="X95" s="717" t="str">
        <f ca="1">IFERROR(VLOOKUP(X$2,Rango_Admin_DailyPred,MATCH($F95,Rango_Admin_DailyPred_Primera,0),0),"-")</f>
        <v>-</v>
      </c>
      <c r="Y95" s="717" t="str">
        <f ca="1">IFERROR(VLOOKUP(Y$2,Rango_Admin_DailyPred,MATCH($F95,Rango_Admin_DailyPred_Primera,0),0),"-")</f>
        <v>-</v>
      </c>
      <c r="Z95" s="717" t="str">
        <f ca="1">IFERROR(VLOOKUP(Z$2,Rango_Admin_DailyPred,MATCH($F95,Rango_Admin_DailyPred_Primera,0),0),"-")</f>
        <v>-</v>
      </c>
      <c r="AA95" s="717" t="str">
        <f ca="1">IFERROR(VLOOKUP(AA$2,Rango_Admin_DailyPred,MATCH($F95,Rango_Admin_DailyPred_Primera,0),0),"-")</f>
        <v>-</v>
      </c>
      <c r="AB95" s="717" t="str">
        <f ca="1">IFERROR(VLOOKUP(AB$2,Rango_Admin_DailyPred,MATCH($F95,Rango_Admin_DailyPred_Primera,0),0),"-")</f>
        <v>-</v>
      </c>
      <c r="AC95" s="717" t="str">
        <f ca="1">IFERROR(VLOOKUP(AC$2,Rango_Admin_DailyPred,MATCH($F95,Rango_Admin_DailyPred_Primera,0),0),"-")</f>
        <v>-</v>
      </c>
      <c r="AD95" s="717" t="str">
        <f ca="1">IFERROR(VLOOKUP(AD$2,Rango_Admin_DailyPred,MATCH($F95,Rango_Admin_DailyPred_Primera,0),0),"-")</f>
        <v>-</v>
      </c>
      <c r="AE95" s="717" t="str">
        <f ca="1">IFERROR(VLOOKUP(AE$2,Rango_Admin_DailyPred,MATCH($F95,Rango_Admin_DailyPred_Primera,0),0),"-")</f>
        <v>-</v>
      </c>
      <c r="AF95" s="717" t="str">
        <f ca="1">IFERROR(VLOOKUP(AF$2,Rango_Admin_DailyPred,MATCH($F95,Rango_Admin_DailyPred_Primera,0),0),"-")</f>
        <v>-</v>
      </c>
      <c r="AG95" s="717" t="str">
        <f ca="1">IFERROR(VLOOKUP(AG$2,Rango_Admin_DailyPred,MATCH($F95,Rango_Admin_DailyPred_Primera,0),0),"-")</f>
        <v>-</v>
      </c>
      <c r="AH95" s="717" t="str">
        <f ca="1">IFERROR(VLOOKUP(AH$2,Rango_Admin_DailyPred,MATCH($F95,Rango_Admin_DailyPred_Primera,0),0),"-")</f>
        <v>-</v>
      </c>
      <c r="AI95" s="717" t="str">
        <f ca="1">IFERROR(VLOOKUP(AI$2,Rango_Admin_DailyPred,MATCH($F95,Rango_Admin_DailyPred_Primera,0),0),"-")</f>
        <v>-</v>
      </c>
      <c r="AJ95" s="717" t="str">
        <f ca="1">IFERROR(VLOOKUP(AJ$2,Rango_Admin_DailyPred,MATCH($F95,Rango_Admin_DailyPred_Primera,0),0),"-")</f>
        <v>-</v>
      </c>
      <c r="AK95" s="717" t="str">
        <f ca="1">IFERROR(VLOOKUP(AK$2,Rango_Admin_DailyPred,MATCH($F95,Rango_Admin_DailyPred_Primera,0),0),"-")</f>
        <v>-</v>
      </c>
      <c r="AL95" s="717" t="str">
        <f ca="1">IFERROR(VLOOKUP(AL$2,Rango_Admin_DailyPred,MATCH($F95,Rango_Admin_DailyPred_Primera,0),0),"-")</f>
        <v>-</v>
      </c>
    </row>
    <row r="96" spans="5:38">
      <c r="E96" s="19">
        <f t="shared" si="2"/>
        <v>285</v>
      </c>
      <c r="F96" s="772" t="str" cm="1">
        <f t="array" ref="F96">IFERROR(INDEX(Rango_Admin_DailyPred_Primera,1,E96),"-")</f>
        <v>-</v>
      </c>
      <c r="G96" s="717" t="str">
        <f ca="1">IFERROR(VLOOKUP(G$2,Rango_Admin_DailyPred,MATCH($F96,Rango_Admin_DailyPred_Primera,0),0),"-")</f>
        <v>-</v>
      </c>
      <c r="H96" s="717" t="str">
        <f ca="1">IFERROR(VLOOKUP(H$2,Rango_Admin_DailyPred,MATCH($F96,Rango_Admin_DailyPred_Primera,0),0),"-")</f>
        <v>-</v>
      </c>
      <c r="I96" s="717" t="str">
        <f ca="1">IFERROR(VLOOKUP(I$2,Rango_Admin_DailyPred,MATCH($F96,Rango_Admin_DailyPred_Primera,0),0),"-")</f>
        <v>-</v>
      </c>
      <c r="J96" s="717" t="str">
        <f ca="1">IFERROR(VLOOKUP(J$2,Rango_Admin_DailyPred,MATCH($F96,Rango_Admin_DailyPred_Primera,0),0),"-")</f>
        <v>-</v>
      </c>
      <c r="K96" s="717" t="str">
        <f ca="1">IFERROR(VLOOKUP(K$2,Rango_Admin_DailyPred,MATCH($F96,Rango_Admin_DailyPred_Primera,0),0),"-")</f>
        <v>-</v>
      </c>
      <c r="L96" s="717" t="str">
        <f ca="1">IFERROR(VLOOKUP(L$2,Rango_Admin_DailyPred,MATCH($F96,Rango_Admin_DailyPred_Primera,0),0),"-")</f>
        <v>-</v>
      </c>
      <c r="M96" s="717" t="str">
        <f ca="1">IFERROR(VLOOKUP(M$2,Rango_Admin_DailyPred,MATCH($F96,Rango_Admin_DailyPred_Primera,0),0),"-")</f>
        <v>-</v>
      </c>
      <c r="N96" s="717" t="str">
        <f ca="1">IFERROR(VLOOKUP(N$2,Rango_Admin_DailyPred,MATCH($F96,Rango_Admin_DailyPred_Primera,0),0),"-")</f>
        <v>-</v>
      </c>
      <c r="O96" s="717" t="str">
        <f ca="1">IFERROR(VLOOKUP(O$2,Rango_Admin_DailyPred,MATCH($F96,Rango_Admin_DailyPred_Primera,0),0),"-")</f>
        <v>-</v>
      </c>
      <c r="P96" s="717" t="str">
        <f ca="1">IFERROR(VLOOKUP(P$2,Rango_Admin_DailyPred,MATCH($F96,Rango_Admin_DailyPred_Primera,0),0),"-")</f>
        <v>-</v>
      </c>
      <c r="Q96" s="717" t="str">
        <f ca="1">IFERROR(VLOOKUP(Q$2,Rango_Admin_DailyPred,MATCH($F96,Rango_Admin_DailyPred_Primera,0),0),"-")</f>
        <v>-</v>
      </c>
      <c r="R96" s="717" t="str">
        <f ca="1">IFERROR(VLOOKUP(R$2,Rango_Admin_DailyPred,MATCH($F96,Rango_Admin_DailyPred_Primera,0),0),"-")</f>
        <v>-</v>
      </c>
      <c r="S96" s="717" t="str">
        <f ca="1">IFERROR(VLOOKUP(S$2,Rango_Admin_DailyPred,MATCH($F96,Rango_Admin_DailyPred_Primera,0),0),"-")</f>
        <v>-</v>
      </c>
      <c r="T96" s="717" t="str">
        <f ca="1">IFERROR(VLOOKUP(T$2,Rango_Admin_DailyPred,MATCH($F96,Rango_Admin_DailyPred_Primera,0),0),"-")</f>
        <v>-</v>
      </c>
      <c r="U96" s="717" t="str">
        <f ca="1">IFERROR(VLOOKUP(U$2,Rango_Admin_DailyPred,MATCH($F96,Rango_Admin_DailyPred_Primera,0),0),"-")</f>
        <v>-</v>
      </c>
      <c r="V96" s="717" t="str">
        <f ca="1">IFERROR(VLOOKUP(V$2,Rango_Admin_DailyPred,MATCH($F96,Rango_Admin_DailyPred_Primera,0),0),"-")</f>
        <v>-</v>
      </c>
      <c r="W96" s="717" t="str">
        <f ca="1">IFERROR(VLOOKUP(W$2,Rango_Admin_DailyPred,MATCH($F96,Rango_Admin_DailyPred_Primera,0),0),"-")</f>
        <v>-</v>
      </c>
      <c r="X96" s="717" t="str">
        <f ca="1">IFERROR(VLOOKUP(X$2,Rango_Admin_DailyPred,MATCH($F96,Rango_Admin_DailyPred_Primera,0),0),"-")</f>
        <v>-</v>
      </c>
      <c r="Y96" s="717" t="str">
        <f ca="1">IFERROR(VLOOKUP(Y$2,Rango_Admin_DailyPred,MATCH($F96,Rango_Admin_DailyPred_Primera,0),0),"-")</f>
        <v>-</v>
      </c>
      <c r="Z96" s="717" t="str">
        <f ca="1">IFERROR(VLOOKUP(Z$2,Rango_Admin_DailyPred,MATCH($F96,Rango_Admin_DailyPred_Primera,0),0),"-")</f>
        <v>-</v>
      </c>
      <c r="AA96" s="717" t="str">
        <f ca="1">IFERROR(VLOOKUP(AA$2,Rango_Admin_DailyPred,MATCH($F96,Rango_Admin_DailyPred_Primera,0),0),"-")</f>
        <v>-</v>
      </c>
      <c r="AB96" s="717" t="str">
        <f ca="1">IFERROR(VLOOKUP(AB$2,Rango_Admin_DailyPred,MATCH($F96,Rango_Admin_DailyPred_Primera,0),0),"-")</f>
        <v>-</v>
      </c>
      <c r="AC96" s="717" t="str">
        <f ca="1">IFERROR(VLOOKUP(AC$2,Rango_Admin_DailyPred,MATCH($F96,Rango_Admin_DailyPred_Primera,0),0),"-")</f>
        <v>-</v>
      </c>
      <c r="AD96" s="717" t="str">
        <f ca="1">IFERROR(VLOOKUP(AD$2,Rango_Admin_DailyPred,MATCH($F96,Rango_Admin_DailyPred_Primera,0),0),"-")</f>
        <v>-</v>
      </c>
      <c r="AE96" s="717" t="str">
        <f ca="1">IFERROR(VLOOKUP(AE$2,Rango_Admin_DailyPred,MATCH($F96,Rango_Admin_DailyPred_Primera,0),0),"-")</f>
        <v>-</v>
      </c>
      <c r="AF96" s="717" t="str">
        <f ca="1">IFERROR(VLOOKUP(AF$2,Rango_Admin_DailyPred,MATCH($F96,Rango_Admin_DailyPred_Primera,0),0),"-")</f>
        <v>-</v>
      </c>
      <c r="AG96" s="717" t="str">
        <f ca="1">IFERROR(VLOOKUP(AG$2,Rango_Admin_DailyPred,MATCH($F96,Rango_Admin_DailyPred_Primera,0),0),"-")</f>
        <v>-</v>
      </c>
      <c r="AH96" s="717" t="str">
        <f ca="1">IFERROR(VLOOKUP(AH$2,Rango_Admin_DailyPred,MATCH($F96,Rango_Admin_DailyPred_Primera,0),0),"-")</f>
        <v>-</v>
      </c>
      <c r="AI96" s="717" t="str">
        <f ca="1">IFERROR(VLOOKUP(AI$2,Rango_Admin_DailyPred,MATCH($F96,Rango_Admin_DailyPred_Primera,0),0),"-")</f>
        <v>-</v>
      </c>
      <c r="AJ96" s="717" t="str">
        <f ca="1">IFERROR(VLOOKUP(AJ$2,Rango_Admin_DailyPred,MATCH($F96,Rango_Admin_DailyPred_Primera,0),0),"-")</f>
        <v>-</v>
      </c>
      <c r="AK96" s="717" t="str">
        <f ca="1">IFERROR(VLOOKUP(AK$2,Rango_Admin_DailyPred,MATCH($F96,Rango_Admin_DailyPred_Primera,0),0),"-")</f>
        <v>-</v>
      </c>
      <c r="AL96" s="717" t="str">
        <f ca="1">IFERROR(VLOOKUP(AL$2,Rango_Admin_DailyPred,MATCH($F96,Rango_Admin_DailyPred_Primera,0),0),"-")</f>
        <v>-</v>
      </c>
    </row>
    <row r="97" spans="5:38">
      <c r="E97" s="19">
        <f t="shared" si="2"/>
        <v>288</v>
      </c>
      <c r="F97" s="772" t="str" cm="1">
        <f t="array" ref="F97">IFERROR(INDEX(Rango_Admin_DailyPred_Primera,1,E97),"-")</f>
        <v>-</v>
      </c>
      <c r="G97" s="717" t="str">
        <f ca="1">IFERROR(VLOOKUP(G$2,Rango_Admin_DailyPred,MATCH($F97,Rango_Admin_DailyPred_Primera,0),0),"-")</f>
        <v>-</v>
      </c>
      <c r="H97" s="717" t="str">
        <f ca="1">IFERROR(VLOOKUP(H$2,Rango_Admin_DailyPred,MATCH($F97,Rango_Admin_DailyPred_Primera,0),0),"-")</f>
        <v>-</v>
      </c>
      <c r="I97" s="717" t="str">
        <f ca="1">IFERROR(VLOOKUP(I$2,Rango_Admin_DailyPred,MATCH($F97,Rango_Admin_DailyPred_Primera,0),0),"-")</f>
        <v>-</v>
      </c>
      <c r="J97" s="717" t="str">
        <f ca="1">IFERROR(VLOOKUP(J$2,Rango_Admin_DailyPred,MATCH($F97,Rango_Admin_DailyPred_Primera,0),0),"-")</f>
        <v>-</v>
      </c>
      <c r="K97" s="717" t="str">
        <f ca="1">IFERROR(VLOOKUP(K$2,Rango_Admin_DailyPred,MATCH($F97,Rango_Admin_DailyPred_Primera,0),0),"-")</f>
        <v>-</v>
      </c>
      <c r="L97" s="717" t="str">
        <f ca="1">IFERROR(VLOOKUP(L$2,Rango_Admin_DailyPred,MATCH($F97,Rango_Admin_DailyPred_Primera,0),0),"-")</f>
        <v>-</v>
      </c>
      <c r="M97" s="717" t="str">
        <f ca="1">IFERROR(VLOOKUP(M$2,Rango_Admin_DailyPred,MATCH($F97,Rango_Admin_DailyPred_Primera,0),0),"-")</f>
        <v>-</v>
      </c>
      <c r="N97" s="717" t="str">
        <f ca="1">IFERROR(VLOOKUP(N$2,Rango_Admin_DailyPred,MATCH($F97,Rango_Admin_DailyPred_Primera,0),0),"-")</f>
        <v>-</v>
      </c>
      <c r="O97" s="717" t="str">
        <f ca="1">IFERROR(VLOOKUP(O$2,Rango_Admin_DailyPred,MATCH($F97,Rango_Admin_DailyPred_Primera,0),0),"-")</f>
        <v>-</v>
      </c>
      <c r="P97" s="717" t="str">
        <f ca="1">IFERROR(VLOOKUP(P$2,Rango_Admin_DailyPred,MATCH($F97,Rango_Admin_DailyPred_Primera,0),0),"-")</f>
        <v>-</v>
      </c>
      <c r="Q97" s="717" t="str">
        <f ca="1">IFERROR(VLOOKUP(Q$2,Rango_Admin_DailyPred,MATCH($F97,Rango_Admin_DailyPred_Primera,0),0),"-")</f>
        <v>-</v>
      </c>
      <c r="R97" s="717" t="str">
        <f ca="1">IFERROR(VLOOKUP(R$2,Rango_Admin_DailyPred,MATCH($F97,Rango_Admin_DailyPred_Primera,0),0),"-")</f>
        <v>-</v>
      </c>
      <c r="S97" s="717" t="str">
        <f ca="1">IFERROR(VLOOKUP(S$2,Rango_Admin_DailyPred,MATCH($F97,Rango_Admin_DailyPred_Primera,0),0),"-")</f>
        <v>-</v>
      </c>
      <c r="T97" s="717" t="str">
        <f ca="1">IFERROR(VLOOKUP(T$2,Rango_Admin_DailyPred,MATCH($F97,Rango_Admin_DailyPred_Primera,0),0),"-")</f>
        <v>-</v>
      </c>
      <c r="U97" s="717" t="str">
        <f ca="1">IFERROR(VLOOKUP(U$2,Rango_Admin_DailyPred,MATCH($F97,Rango_Admin_DailyPred_Primera,0),0),"-")</f>
        <v>-</v>
      </c>
      <c r="V97" s="717" t="str">
        <f ca="1">IFERROR(VLOOKUP(V$2,Rango_Admin_DailyPred,MATCH($F97,Rango_Admin_DailyPred_Primera,0),0),"-")</f>
        <v>-</v>
      </c>
      <c r="W97" s="717" t="str">
        <f ca="1">IFERROR(VLOOKUP(W$2,Rango_Admin_DailyPred,MATCH($F97,Rango_Admin_DailyPred_Primera,0),0),"-")</f>
        <v>-</v>
      </c>
      <c r="X97" s="717" t="str">
        <f ca="1">IFERROR(VLOOKUP(X$2,Rango_Admin_DailyPred,MATCH($F97,Rango_Admin_DailyPred_Primera,0),0),"-")</f>
        <v>-</v>
      </c>
      <c r="Y97" s="717" t="str">
        <f ca="1">IFERROR(VLOOKUP(Y$2,Rango_Admin_DailyPred,MATCH($F97,Rango_Admin_DailyPred_Primera,0),0),"-")</f>
        <v>-</v>
      </c>
      <c r="Z97" s="717" t="str">
        <f ca="1">IFERROR(VLOOKUP(Z$2,Rango_Admin_DailyPred,MATCH($F97,Rango_Admin_DailyPred_Primera,0),0),"-")</f>
        <v>-</v>
      </c>
      <c r="AA97" s="717" t="str">
        <f ca="1">IFERROR(VLOOKUP(AA$2,Rango_Admin_DailyPred,MATCH($F97,Rango_Admin_DailyPred_Primera,0),0),"-")</f>
        <v>-</v>
      </c>
      <c r="AB97" s="717" t="str">
        <f ca="1">IFERROR(VLOOKUP(AB$2,Rango_Admin_DailyPred,MATCH($F97,Rango_Admin_DailyPred_Primera,0),0),"-")</f>
        <v>-</v>
      </c>
      <c r="AC97" s="717" t="str">
        <f ca="1">IFERROR(VLOOKUP(AC$2,Rango_Admin_DailyPred,MATCH($F97,Rango_Admin_DailyPred_Primera,0),0),"-")</f>
        <v>-</v>
      </c>
      <c r="AD97" s="717" t="str">
        <f ca="1">IFERROR(VLOOKUP(AD$2,Rango_Admin_DailyPred,MATCH($F97,Rango_Admin_DailyPred_Primera,0),0),"-")</f>
        <v>-</v>
      </c>
      <c r="AE97" s="717" t="str">
        <f ca="1">IFERROR(VLOOKUP(AE$2,Rango_Admin_DailyPred,MATCH($F97,Rango_Admin_DailyPred_Primera,0),0),"-")</f>
        <v>-</v>
      </c>
      <c r="AF97" s="717" t="str">
        <f ca="1">IFERROR(VLOOKUP(AF$2,Rango_Admin_DailyPred,MATCH($F97,Rango_Admin_DailyPred_Primera,0),0),"-")</f>
        <v>-</v>
      </c>
      <c r="AG97" s="717" t="str">
        <f ca="1">IFERROR(VLOOKUP(AG$2,Rango_Admin_DailyPred,MATCH($F97,Rango_Admin_DailyPred_Primera,0),0),"-")</f>
        <v>-</v>
      </c>
      <c r="AH97" s="717" t="str">
        <f ca="1">IFERROR(VLOOKUP(AH$2,Rango_Admin_DailyPred,MATCH($F97,Rango_Admin_DailyPred_Primera,0),0),"-")</f>
        <v>-</v>
      </c>
      <c r="AI97" s="717" t="str">
        <f ca="1">IFERROR(VLOOKUP(AI$2,Rango_Admin_DailyPred,MATCH($F97,Rango_Admin_DailyPred_Primera,0),0),"-")</f>
        <v>-</v>
      </c>
      <c r="AJ97" s="717" t="str">
        <f ca="1">IFERROR(VLOOKUP(AJ$2,Rango_Admin_DailyPred,MATCH($F97,Rango_Admin_DailyPred_Primera,0),0),"-")</f>
        <v>-</v>
      </c>
      <c r="AK97" s="717" t="str">
        <f ca="1">IFERROR(VLOOKUP(AK$2,Rango_Admin_DailyPred,MATCH($F97,Rango_Admin_DailyPred_Primera,0),0),"-")</f>
        <v>-</v>
      </c>
      <c r="AL97" s="717" t="str">
        <f ca="1">IFERROR(VLOOKUP(AL$2,Rango_Admin_DailyPred,MATCH($F97,Rango_Admin_DailyPred_Primera,0),0),"-")</f>
        <v>-</v>
      </c>
    </row>
    <row r="98" spans="5:38">
      <c r="E98" s="19">
        <f t="shared" si="2"/>
        <v>291</v>
      </c>
      <c r="F98" s="772" t="str" cm="1">
        <f t="array" ref="F98">IFERROR(INDEX(Rango_Admin_DailyPred_Primera,1,E98),"-")</f>
        <v>-</v>
      </c>
      <c r="G98" s="717" t="str">
        <f ca="1">IFERROR(VLOOKUP(G$2,Rango_Admin_DailyPred,MATCH($F98,Rango_Admin_DailyPred_Primera,0),0),"-")</f>
        <v>-</v>
      </c>
      <c r="H98" s="717" t="str">
        <f ca="1">IFERROR(VLOOKUP(H$2,Rango_Admin_DailyPred,MATCH($F98,Rango_Admin_DailyPred_Primera,0),0),"-")</f>
        <v>-</v>
      </c>
      <c r="I98" s="717" t="str">
        <f ca="1">IFERROR(VLOOKUP(I$2,Rango_Admin_DailyPred,MATCH($F98,Rango_Admin_DailyPred_Primera,0),0),"-")</f>
        <v>-</v>
      </c>
      <c r="J98" s="717" t="str">
        <f ca="1">IFERROR(VLOOKUP(J$2,Rango_Admin_DailyPred,MATCH($F98,Rango_Admin_DailyPred_Primera,0),0),"-")</f>
        <v>-</v>
      </c>
      <c r="K98" s="717" t="str">
        <f ca="1">IFERROR(VLOOKUP(K$2,Rango_Admin_DailyPred,MATCH($F98,Rango_Admin_DailyPred_Primera,0),0),"-")</f>
        <v>-</v>
      </c>
      <c r="L98" s="717" t="str">
        <f ca="1">IFERROR(VLOOKUP(L$2,Rango_Admin_DailyPred,MATCH($F98,Rango_Admin_DailyPred_Primera,0),0),"-")</f>
        <v>-</v>
      </c>
      <c r="M98" s="717" t="str">
        <f ca="1">IFERROR(VLOOKUP(M$2,Rango_Admin_DailyPred,MATCH($F98,Rango_Admin_DailyPred_Primera,0),0),"-")</f>
        <v>-</v>
      </c>
      <c r="N98" s="717" t="str">
        <f ca="1">IFERROR(VLOOKUP(N$2,Rango_Admin_DailyPred,MATCH($F98,Rango_Admin_DailyPred_Primera,0),0),"-")</f>
        <v>-</v>
      </c>
      <c r="O98" s="717" t="str">
        <f ca="1">IFERROR(VLOOKUP(O$2,Rango_Admin_DailyPred,MATCH($F98,Rango_Admin_DailyPred_Primera,0),0),"-")</f>
        <v>-</v>
      </c>
      <c r="P98" s="717" t="str">
        <f ca="1">IFERROR(VLOOKUP(P$2,Rango_Admin_DailyPred,MATCH($F98,Rango_Admin_DailyPred_Primera,0),0),"-")</f>
        <v>-</v>
      </c>
      <c r="Q98" s="717" t="str">
        <f ca="1">IFERROR(VLOOKUP(Q$2,Rango_Admin_DailyPred,MATCH($F98,Rango_Admin_DailyPred_Primera,0),0),"-")</f>
        <v>-</v>
      </c>
      <c r="R98" s="717" t="str">
        <f ca="1">IFERROR(VLOOKUP(R$2,Rango_Admin_DailyPred,MATCH($F98,Rango_Admin_DailyPred_Primera,0),0),"-")</f>
        <v>-</v>
      </c>
      <c r="S98" s="717" t="str">
        <f ca="1">IFERROR(VLOOKUP(S$2,Rango_Admin_DailyPred,MATCH($F98,Rango_Admin_DailyPred_Primera,0),0),"-")</f>
        <v>-</v>
      </c>
      <c r="T98" s="717" t="str">
        <f ca="1">IFERROR(VLOOKUP(T$2,Rango_Admin_DailyPred,MATCH($F98,Rango_Admin_DailyPred_Primera,0),0),"-")</f>
        <v>-</v>
      </c>
      <c r="U98" s="717" t="str">
        <f ca="1">IFERROR(VLOOKUP(U$2,Rango_Admin_DailyPred,MATCH($F98,Rango_Admin_DailyPred_Primera,0),0),"-")</f>
        <v>-</v>
      </c>
      <c r="V98" s="717" t="str">
        <f ca="1">IFERROR(VLOOKUP(V$2,Rango_Admin_DailyPred,MATCH($F98,Rango_Admin_DailyPred_Primera,0),0),"-")</f>
        <v>-</v>
      </c>
      <c r="W98" s="717" t="str">
        <f ca="1">IFERROR(VLOOKUP(W$2,Rango_Admin_DailyPred,MATCH($F98,Rango_Admin_DailyPred_Primera,0),0),"-")</f>
        <v>-</v>
      </c>
      <c r="X98" s="717" t="str">
        <f ca="1">IFERROR(VLOOKUP(X$2,Rango_Admin_DailyPred,MATCH($F98,Rango_Admin_DailyPred_Primera,0),0),"-")</f>
        <v>-</v>
      </c>
      <c r="Y98" s="717" t="str">
        <f ca="1">IFERROR(VLOOKUP(Y$2,Rango_Admin_DailyPred,MATCH($F98,Rango_Admin_DailyPred_Primera,0),0),"-")</f>
        <v>-</v>
      </c>
      <c r="Z98" s="717" t="str">
        <f ca="1">IFERROR(VLOOKUP(Z$2,Rango_Admin_DailyPred,MATCH($F98,Rango_Admin_DailyPred_Primera,0),0),"-")</f>
        <v>-</v>
      </c>
      <c r="AA98" s="717" t="str">
        <f ca="1">IFERROR(VLOOKUP(AA$2,Rango_Admin_DailyPred,MATCH($F98,Rango_Admin_DailyPred_Primera,0),0),"-")</f>
        <v>-</v>
      </c>
      <c r="AB98" s="717" t="str">
        <f ca="1">IFERROR(VLOOKUP(AB$2,Rango_Admin_DailyPred,MATCH($F98,Rango_Admin_DailyPred_Primera,0),0),"-")</f>
        <v>-</v>
      </c>
      <c r="AC98" s="717" t="str">
        <f ca="1">IFERROR(VLOOKUP(AC$2,Rango_Admin_DailyPred,MATCH($F98,Rango_Admin_DailyPred_Primera,0),0),"-")</f>
        <v>-</v>
      </c>
      <c r="AD98" s="717" t="str">
        <f ca="1">IFERROR(VLOOKUP(AD$2,Rango_Admin_DailyPred,MATCH($F98,Rango_Admin_DailyPred_Primera,0),0),"-")</f>
        <v>-</v>
      </c>
      <c r="AE98" s="717" t="str">
        <f ca="1">IFERROR(VLOOKUP(AE$2,Rango_Admin_DailyPred,MATCH($F98,Rango_Admin_DailyPred_Primera,0),0),"-")</f>
        <v>-</v>
      </c>
      <c r="AF98" s="717" t="str">
        <f ca="1">IFERROR(VLOOKUP(AF$2,Rango_Admin_DailyPred,MATCH($F98,Rango_Admin_DailyPred_Primera,0),0),"-")</f>
        <v>-</v>
      </c>
      <c r="AG98" s="717" t="str">
        <f ca="1">IFERROR(VLOOKUP(AG$2,Rango_Admin_DailyPred,MATCH($F98,Rango_Admin_DailyPred_Primera,0),0),"-")</f>
        <v>-</v>
      </c>
      <c r="AH98" s="717" t="str">
        <f ca="1">IFERROR(VLOOKUP(AH$2,Rango_Admin_DailyPred,MATCH($F98,Rango_Admin_DailyPred_Primera,0),0),"-")</f>
        <v>-</v>
      </c>
      <c r="AI98" s="717" t="str">
        <f ca="1">IFERROR(VLOOKUP(AI$2,Rango_Admin_DailyPred,MATCH($F98,Rango_Admin_DailyPred_Primera,0),0),"-")</f>
        <v>-</v>
      </c>
      <c r="AJ98" s="717" t="str">
        <f ca="1">IFERROR(VLOOKUP(AJ$2,Rango_Admin_DailyPred,MATCH($F98,Rango_Admin_DailyPred_Primera,0),0),"-")</f>
        <v>-</v>
      </c>
      <c r="AK98" s="717" t="str">
        <f ca="1">IFERROR(VLOOKUP(AK$2,Rango_Admin_DailyPred,MATCH($F98,Rango_Admin_DailyPred_Primera,0),0),"-")</f>
        <v>-</v>
      </c>
      <c r="AL98" s="717" t="str">
        <f ca="1">IFERROR(VLOOKUP(AL$2,Rango_Admin_DailyPred,MATCH($F98,Rango_Admin_DailyPred_Primera,0),0),"-")</f>
        <v>-</v>
      </c>
    </row>
    <row r="99" spans="5:38">
      <c r="E99" s="19">
        <f t="shared" si="2"/>
        <v>294</v>
      </c>
      <c r="F99" s="772" t="str" cm="1">
        <f t="array" ref="F99">IFERROR(INDEX(Rango_Admin_DailyPred_Primera,1,E99),"-")</f>
        <v>-</v>
      </c>
      <c r="G99" s="717" t="str">
        <f ca="1">IFERROR(VLOOKUP(G$2,Rango_Admin_DailyPred,MATCH($F99,Rango_Admin_DailyPred_Primera,0),0),"-")</f>
        <v>-</v>
      </c>
      <c r="H99" s="717" t="str">
        <f ca="1">IFERROR(VLOOKUP(H$2,Rango_Admin_DailyPred,MATCH($F99,Rango_Admin_DailyPred_Primera,0),0),"-")</f>
        <v>-</v>
      </c>
      <c r="I99" s="717" t="str">
        <f ca="1">IFERROR(VLOOKUP(I$2,Rango_Admin_DailyPred,MATCH($F99,Rango_Admin_DailyPred_Primera,0),0),"-")</f>
        <v>-</v>
      </c>
      <c r="J99" s="717" t="str">
        <f ca="1">IFERROR(VLOOKUP(J$2,Rango_Admin_DailyPred,MATCH($F99,Rango_Admin_DailyPred_Primera,0),0),"-")</f>
        <v>-</v>
      </c>
      <c r="K99" s="717" t="str">
        <f ca="1">IFERROR(VLOOKUP(K$2,Rango_Admin_DailyPred,MATCH($F99,Rango_Admin_DailyPred_Primera,0),0),"-")</f>
        <v>-</v>
      </c>
      <c r="L99" s="717" t="str">
        <f ca="1">IFERROR(VLOOKUP(L$2,Rango_Admin_DailyPred,MATCH($F99,Rango_Admin_DailyPred_Primera,0),0),"-")</f>
        <v>-</v>
      </c>
      <c r="M99" s="717" t="str">
        <f ca="1">IFERROR(VLOOKUP(M$2,Rango_Admin_DailyPred,MATCH($F99,Rango_Admin_DailyPred_Primera,0),0),"-")</f>
        <v>-</v>
      </c>
      <c r="N99" s="717" t="str">
        <f ca="1">IFERROR(VLOOKUP(N$2,Rango_Admin_DailyPred,MATCH($F99,Rango_Admin_DailyPred_Primera,0),0),"-")</f>
        <v>-</v>
      </c>
      <c r="O99" s="717" t="str">
        <f ca="1">IFERROR(VLOOKUP(O$2,Rango_Admin_DailyPred,MATCH($F99,Rango_Admin_DailyPred_Primera,0),0),"-")</f>
        <v>-</v>
      </c>
      <c r="P99" s="717" t="str">
        <f ca="1">IFERROR(VLOOKUP(P$2,Rango_Admin_DailyPred,MATCH($F99,Rango_Admin_DailyPred_Primera,0),0),"-")</f>
        <v>-</v>
      </c>
      <c r="Q99" s="717" t="str">
        <f ca="1">IFERROR(VLOOKUP(Q$2,Rango_Admin_DailyPred,MATCH($F99,Rango_Admin_DailyPred_Primera,0),0),"-")</f>
        <v>-</v>
      </c>
      <c r="R99" s="717" t="str">
        <f ca="1">IFERROR(VLOOKUP(R$2,Rango_Admin_DailyPred,MATCH($F99,Rango_Admin_DailyPred_Primera,0),0),"-")</f>
        <v>-</v>
      </c>
      <c r="S99" s="717" t="str">
        <f ca="1">IFERROR(VLOOKUP(S$2,Rango_Admin_DailyPred,MATCH($F99,Rango_Admin_DailyPred_Primera,0),0),"-")</f>
        <v>-</v>
      </c>
      <c r="T99" s="717" t="str">
        <f ca="1">IFERROR(VLOOKUP(T$2,Rango_Admin_DailyPred,MATCH($F99,Rango_Admin_DailyPred_Primera,0),0),"-")</f>
        <v>-</v>
      </c>
      <c r="U99" s="717" t="str">
        <f ca="1">IFERROR(VLOOKUP(U$2,Rango_Admin_DailyPred,MATCH($F99,Rango_Admin_DailyPred_Primera,0),0),"-")</f>
        <v>-</v>
      </c>
      <c r="V99" s="717" t="str">
        <f ca="1">IFERROR(VLOOKUP(V$2,Rango_Admin_DailyPred,MATCH($F99,Rango_Admin_DailyPred_Primera,0),0),"-")</f>
        <v>-</v>
      </c>
      <c r="W99" s="717" t="str">
        <f ca="1">IFERROR(VLOOKUP(W$2,Rango_Admin_DailyPred,MATCH($F99,Rango_Admin_DailyPred_Primera,0),0),"-")</f>
        <v>-</v>
      </c>
      <c r="X99" s="717" t="str">
        <f ca="1">IFERROR(VLOOKUP(X$2,Rango_Admin_DailyPred,MATCH($F99,Rango_Admin_DailyPred_Primera,0),0),"-")</f>
        <v>-</v>
      </c>
      <c r="Y99" s="717" t="str">
        <f ca="1">IFERROR(VLOOKUP(Y$2,Rango_Admin_DailyPred,MATCH($F99,Rango_Admin_DailyPred_Primera,0),0),"-")</f>
        <v>-</v>
      </c>
      <c r="Z99" s="717" t="str">
        <f ca="1">IFERROR(VLOOKUP(Z$2,Rango_Admin_DailyPred,MATCH($F99,Rango_Admin_DailyPred_Primera,0),0),"-")</f>
        <v>-</v>
      </c>
      <c r="AA99" s="717" t="str">
        <f ca="1">IFERROR(VLOOKUP(AA$2,Rango_Admin_DailyPred,MATCH($F99,Rango_Admin_DailyPred_Primera,0),0),"-")</f>
        <v>-</v>
      </c>
      <c r="AB99" s="717" t="str">
        <f ca="1">IFERROR(VLOOKUP(AB$2,Rango_Admin_DailyPred,MATCH($F99,Rango_Admin_DailyPred_Primera,0),0),"-")</f>
        <v>-</v>
      </c>
      <c r="AC99" s="717" t="str">
        <f ca="1">IFERROR(VLOOKUP(AC$2,Rango_Admin_DailyPred,MATCH($F99,Rango_Admin_DailyPred_Primera,0),0),"-")</f>
        <v>-</v>
      </c>
      <c r="AD99" s="717" t="str">
        <f ca="1">IFERROR(VLOOKUP(AD$2,Rango_Admin_DailyPred,MATCH($F99,Rango_Admin_DailyPred_Primera,0),0),"-")</f>
        <v>-</v>
      </c>
      <c r="AE99" s="717" t="str">
        <f ca="1">IFERROR(VLOOKUP(AE$2,Rango_Admin_DailyPred,MATCH($F99,Rango_Admin_DailyPred_Primera,0),0),"-")</f>
        <v>-</v>
      </c>
      <c r="AF99" s="717" t="str">
        <f ca="1">IFERROR(VLOOKUP(AF$2,Rango_Admin_DailyPred,MATCH($F99,Rango_Admin_DailyPred_Primera,0),0),"-")</f>
        <v>-</v>
      </c>
      <c r="AG99" s="717" t="str">
        <f ca="1">IFERROR(VLOOKUP(AG$2,Rango_Admin_DailyPred,MATCH($F99,Rango_Admin_DailyPred_Primera,0),0),"-")</f>
        <v>-</v>
      </c>
      <c r="AH99" s="717" t="str">
        <f ca="1">IFERROR(VLOOKUP(AH$2,Rango_Admin_DailyPred,MATCH($F99,Rango_Admin_DailyPred_Primera,0),0),"-")</f>
        <v>-</v>
      </c>
      <c r="AI99" s="717" t="str">
        <f ca="1">IFERROR(VLOOKUP(AI$2,Rango_Admin_DailyPred,MATCH($F99,Rango_Admin_DailyPred_Primera,0),0),"-")</f>
        <v>-</v>
      </c>
      <c r="AJ99" s="717" t="str">
        <f ca="1">IFERROR(VLOOKUP(AJ$2,Rango_Admin_DailyPred,MATCH($F99,Rango_Admin_DailyPred_Primera,0),0),"-")</f>
        <v>-</v>
      </c>
      <c r="AK99" s="717" t="str">
        <f ca="1">IFERROR(VLOOKUP(AK$2,Rango_Admin_DailyPred,MATCH($F99,Rango_Admin_DailyPred_Primera,0),0),"-")</f>
        <v>-</v>
      </c>
      <c r="AL99" s="717" t="str">
        <f ca="1">IFERROR(VLOOKUP(AL$2,Rango_Admin_DailyPred,MATCH($F99,Rango_Admin_DailyPred_Primera,0),0),"-")</f>
        <v>-</v>
      </c>
    </row>
    <row r="100" spans="5:38">
      <c r="E100" s="19">
        <f t="shared" si="2"/>
        <v>297</v>
      </c>
      <c r="F100" s="772" t="str" cm="1">
        <f t="array" ref="F100">IFERROR(INDEX(Rango_Admin_DailyPred_Primera,1,E100),"-")</f>
        <v>-</v>
      </c>
      <c r="G100" s="717" t="str">
        <f ca="1">IFERROR(VLOOKUP(G$2,Rango_Admin_DailyPred,MATCH($F100,Rango_Admin_DailyPred_Primera,0),0),"-")</f>
        <v>-</v>
      </c>
      <c r="H100" s="717" t="str">
        <f ca="1">IFERROR(VLOOKUP(H$2,Rango_Admin_DailyPred,MATCH($F100,Rango_Admin_DailyPred_Primera,0),0),"-")</f>
        <v>-</v>
      </c>
      <c r="I100" s="717" t="str">
        <f ca="1">IFERROR(VLOOKUP(I$2,Rango_Admin_DailyPred,MATCH($F100,Rango_Admin_DailyPred_Primera,0),0),"-")</f>
        <v>-</v>
      </c>
      <c r="J100" s="717" t="str">
        <f ca="1">IFERROR(VLOOKUP(J$2,Rango_Admin_DailyPred,MATCH($F100,Rango_Admin_DailyPred_Primera,0),0),"-")</f>
        <v>-</v>
      </c>
      <c r="K100" s="717" t="str">
        <f ca="1">IFERROR(VLOOKUP(K$2,Rango_Admin_DailyPred,MATCH($F100,Rango_Admin_DailyPred_Primera,0),0),"-")</f>
        <v>-</v>
      </c>
      <c r="L100" s="717" t="str">
        <f ca="1">IFERROR(VLOOKUP(L$2,Rango_Admin_DailyPred,MATCH($F100,Rango_Admin_DailyPred_Primera,0),0),"-")</f>
        <v>-</v>
      </c>
      <c r="M100" s="717" t="str">
        <f ca="1">IFERROR(VLOOKUP(M$2,Rango_Admin_DailyPred,MATCH($F100,Rango_Admin_DailyPred_Primera,0),0),"-")</f>
        <v>-</v>
      </c>
      <c r="N100" s="717" t="str">
        <f ca="1">IFERROR(VLOOKUP(N$2,Rango_Admin_DailyPred,MATCH($F100,Rango_Admin_DailyPred_Primera,0),0),"-")</f>
        <v>-</v>
      </c>
      <c r="O100" s="717" t="str">
        <f ca="1">IFERROR(VLOOKUP(O$2,Rango_Admin_DailyPred,MATCH($F100,Rango_Admin_DailyPred_Primera,0),0),"-")</f>
        <v>-</v>
      </c>
      <c r="P100" s="717" t="str">
        <f ca="1">IFERROR(VLOOKUP(P$2,Rango_Admin_DailyPred,MATCH($F100,Rango_Admin_DailyPred_Primera,0),0),"-")</f>
        <v>-</v>
      </c>
      <c r="Q100" s="717" t="str">
        <f ca="1">IFERROR(VLOOKUP(Q$2,Rango_Admin_DailyPred,MATCH($F100,Rango_Admin_DailyPred_Primera,0),0),"-")</f>
        <v>-</v>
      </c>
      <c r="R100" s="717" t="str">
        <f ca="1">IFERROR(VLOOKUP(R$2,Rango_Admin_DailyPred,MATCH($F100,Rango_Admin_DailyPred_Primera,0),0),"-")</f>
        <v>-</v>
      </c>
      <c r="S100" s="717" t="str">
        <f ca="1">IFERROR(VLOOKUP(S$2,Rango_Admin_DailyPred,MATCH($F100,Rango_Admin_DailyPred_Primera,0),0),"-")</f>
        <v>-</v>
      </c>
      <c r="T100" s="717" t="str">
        <f ca="1">IFERROR(VLOOKUP(T$2,Rango_Admin_DailyPred,MATCH($F100,Rango_Admin_DailyPred_Primera,0),0),"-")</f>
        <v>-</v>
      </c>
      <c r="U100" s="717" t="str">
        <f ca="1">IFERROR(VLOOKUP(U$2,Rango_Admin_DailyPred,MATCH($F100,Rango_Admin_DailyPred_Primera,0),0),"-")</f>
        <v>-</v>
      </c>
      <c r="V100" s="717" t="str">
        <f ca="1">IFERROR(VLOOKUP(V$2,Rango_Admin_DailyPred,MATCH($F100,Rango_Admin_DailyPred_Primera,0),0),"-")</f>
        <v>-</v>
      </c>
      <c r="W100" s="717" t="str">
        <f ca="1">IFERROR(VLOOKUP(W$2,Rango_Admin_DailyPred,MATCH($F100,Rango_Admin_DailyPred_Primera,0),0),"-")</f>
        <v>-</v>
      </c>
      <c r="X100" s="717" t="str">
        <f ca="1">IFERROR(VLOOKUP(X$2,Rango_Admin_DailyPred,MATCH($F100,Rango_Admin_DailyPred_Primera,0),0),"-")</f>
        <v>-</v>
      </c>
      <c r="Y100" s="717" t="str">
        <f ca="1">IFERROR(VLOOKUP(Y$2,Rango_Admin_DailyPred,MATCH($F100,Rango_Admin_DailyPred_Primera,0),0),"-")</f>
        <v>-</v>
      </c>
      <c r="Z100" s="717" t="str">
        <f ca="1">IFERROR(VLOOKUP(Z$2,Rango_Admin_DailyPred,MATCH($F100,Rango_Admin_DailyPred_Primera,0),0),"-")</f>
        <v>-</v>
      </c>
      <c r="AA100" s="717" t="str">
        <f ca="1">IFERROR(VLOOKUP(AA$2,Rango_Admin_DailyPred,MATCH($F100,Rango_Admin_DailyPred_Primera,0),0),"-")</f>
        <v>-</v>
      </c>
      <c r="AB100" s="717" t="str">
        <f ca="1">IFERROR(VLOOKUP(AB$2,Rango_Admin_DailyPred,MATCH($F100,Rango_Admin_DailyPred_Primera,0),0),"-")</f>
        <v>-</v>
      </c>
      <c r="AC100" s="717" t="str">
        <f ca="1">IFERROR(VLOOKUP(AC$2,Rango_Admin_DailyPred,MATCH($F100,Rango_Admin_DailyPred_Primera,0),0),"-")</f>
        <v>-</v>
      </c>
      <c r="AD100" s="717" t="str">
        <f ca="1">IFERROR(VLOOKUP(AD$2,Rango_Admin_DailyPred,MATCH($F100,Rango_Admin_DailyPred_Primera,0),0),"-")</f>
        <v>-</v>
      </c>
      <c r="AE100" s="717" t="str">
        <f ca="1">IFERROR(VLOOKUP(AE$2,Rango_Admin_DailyPred,MATCH($F100,Rango_Admin_DailyPred_Primera,0),0),"-")</f>
        <v>-</v>
      </c>
      <c r="AF100" s="717" t="str">
        <f ca="1">IFERROR(VLOOKUP(AF$2,Rango_Admin_DailyPred,MATCH($F100,Rango_Admin_DailyPred_Primera,0),0),"-")</f>
        <v>-</v>
      </c>
      <c r="AG100" s="717" t="str">
        <f ca="1">IFERROR(VLOOKUP(AG$2,Rango_Admin_DailyPred,MATCH($F100,Rango_Admin_DailyPred_Primera,0),0),"-")</f>
        <v>-</v>
      </c>
      <c r="AH100" s="717" t="str">
        <f ca="1">IFERROR(VLOOKUP(AH$2,Rango_Admin_DailyPred,MATCH($F100,Rango_Admin_DailyPred_Primera,0),0),"-")</f>
        <v>-</v>
      </c>
      <c r="AI100" s="717" t="str">
        <f ca="1">IFERROR(VLOOKUP(AI$2,Rango_Admin_DailyPred,MATCH($F100,Rango_Admin_DailyPred_Primera,0),0),"-")</f>
        <v>-</v>
      </c>
      <c r="AJ100" s="717" t="str">
        <f ca="1">IFERROR(VLOOKUP(AJ$2,Rango_Admin_DailyPred,MATCH($F100,Rango_Admin_DailyPred_Primera,0),0),"-")</f>
        <v>-</v>
      </c>
      <c r="AK100" s="717" t="str">
        <f ca="1">IFERROR(VLOOKUP(AK$2,Rango_Admin_DailyPred,MATCH($F100,Rango_Admin_DailyPred_Primera,0),0),"-")</f>
        <v>-</v>
      </c>
      <c r="AL100" s="717" t="str">
        <f ca="1">IFERROR(VLOOKUP(AL$2,Rango_Admin_DailyPred,MATCH($F100,Rango_Admin_DailyPred_Primera,0),0),"-")</f>
        <v>-</v>
      </c>
    </row>
  </sheetData>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F4:AL100</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77"/>
  <sheetViews>
    <sheetView showGridLines="0" showRowColHeaders="0" tabSelected="1" topLeftCell="D1" workbookViewId="0">
      <selection activeCell="H3" sqref="H3"/>
    </sheetView>
  </sheetViews>
  <sheetFormatPr baseColWidth="10" defaultColWidth="0" defaultRowHeight="14.4"/>
  <cols>
    <col min="1" max="1" width="14.88671875" style="5" bestFit="1" customWidth="1"/>
    <col min="2" max="2" width="18.21875" style="5" bestFit="1" customWidth="1"/>
    <col min="3" max="3" width="3" style="5" bestFit="1" customWidth="1"/>
    <col min="4" max="4" width="2.21875" style="20" customWidth="1"/>
    <col min="5" max="5" width="4.21875" style="5" bestFit="1" customWidth="1"/>
    <col min="6" max="6" width="18.77734375" style="5" bestFit="1" customWidth="1"/>
    <col min="7" max="7" width="25" style="5" bestFit="1" customWidth="1"/>
    <col min="8" max="8" width="49.88671875" style="5" bestFit="1" customWidth="1"/>
    <col min="9" max="9" width="17.109375" style="5" bestFit="1" customWidth="1"/>
    <col min="10" max="10" width="19.6640625" style="5" customWidth="1"/>
    <col min="11" max="11" width="25.21875" style="5" customWidth="1"/>
    <col min="12" max="39" width="1.6640625" style="5" bestFit="1" customWidth="1"/>
    <col min="40" max="40" width="9.109375" style="1" customWidth="1"/>
    <col min="41" max="16384" width="10.77734375" style="1" hidden="1"/>
  </cols>
  <sheetData>
    <row r="1" spans="1:40" ht="40.049999999999997" customHeight="1" thickBot="1">
      <c r="A1" s="7"/>
      <c r="B1" s="7"/>
      <c r="C1" s="8"/>
      <c r="D1" s="88"/>
      <c r="E1" s="17"/>
      <c r="F1" s="17"/>
      <c r="G1" s="17"/>
      <c r="H1" s="407" t="str">
        <f>Idiomas!D496</f>
        <v>Dia seleccionado en "Daily Prediction"</v>
      </c>
      <c r="I1" s="748">
        <f>DailyPrediction!H1</f>
        <v>46186</v>
      </c>
      <c r="J1" s="295"/>
      <c r="K1" s="19">
        <f ca="1">VLOOKUP($I$1,Equipos!$Q$2:$R$37,2,0)</f>
        <v>3</v>
      </c>
      <c r="L1" s="295"/>
      <c r="M1" s="295"/>
      <c r="N1" s="295"/>
      <c r="O1" s="295"/>
      <c r="P1" s="295"/>
      <c r="Q1" s="295"/>
      <c r="R1" s="295"/>
      <c r="S1" s="295"/>
      <c r="T1" s="295"/>
      <c r="U1" s="295"/>
      <c r="V1" s="295"/>
      <c r="W1" s="295"/>
      <c r="X1" s="295"/>
      <c r="Y1" s="295"/>
      <c r="Z1" s="295"/>
      <c r="AA1" s="295"/>
      <c r="AB1" s="295"/>
      <c r="AC1" s="295"/>
      <c r="AD1" s="295"/>
      <c r="AE1" s="295"/>
      <c r="AF1" s="295"/>
      <c r="AG1" s="295"/>
      <c r="AH1" s="295"/>
      <c r="AI1" s="295"/>
      <c r="AJ1" s="295"/>
      <c r="AK1" s="295"/>
      <c r="AL1" s="295"/>
      <c r="AM1" s="295"/>
      <c r="AN1" s="295"/>
    </row>
    <row r="2" spans="1:40" hidden="1">
      <c r="A2" s="7"/>
      <c r="B2" s="7"/>
      <c r="C2" s="8"/>
      <c r="D2" s="89"/>
      <c r="E2" s="295"/>
      <c r="F2" s="19"/>
      <c r="G2" s="19"/>
      <c r="H2" s="19" t="str" cm="1">
        <f t="array" aca="1" ref="H2:AM2" ca="1">TRANSPOSE($A$4:$A$35)</f>
        <v>Catar-Suiza</v>
      </c>
      <c r="I2" s="19" t="str">
        <f ca="1"/>
        <v>Brasil-Marruecos</v>
      </c>
      <c r="J2" s="19" t="str">
        <f ca="1"/>
        <v>Haití-Escocia</v>
      </c>
      <c r="K2" s="19" t="str">
        <f ca="1"/>
        <v>Australia-Turquía</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5"/>
    </row>
    <row r="3" spans="1:40" ht="49.95" customHeight="1" thickBot="1">
      <c r="A3" s="7"/>
      <c r="B3" s="7"/>
      <c r="C3" s="8"/>
      <c r="D3" s="89"/>
      <c r="E3" s="446" t="str">
        <f>Idiomas!D479</f>
        <v>Pos</v>
      </c>
      <c r="F3" s="446" t="str">
        <f>Idiomas!D480</f>
        <v>Nombre</v>
      </c>
      <c r="G3" s="446" t="str">
        <f>Idiomas!D481</f>
        <v>Puntos Día / Eliminatoria</v>
      </c>
      <c r="H3" s="446" t="str" cm="1">
        <f t="array" aca="1" ref="H3:AM3" ca="1">TRANSPOSE($B$4:$B$35)</f>
        <v>Catar-Suiza
 (-)</v>
      </c>
      <c r="I3" s="446" t="str">
        <f ca="1"/>
        <v>Brasil-Marruecos
 (-)</v>
      </c>
      <c r="J3" s="446" t="str">
        <f ca="1"/>
        <v>Haití-Escocia
 (-)</v>
      </c>
      <c r="K3" s="446" t="str">
        <f ca="1"/>
        <v>Australia-Turquía
 (-)</v>
      </c>
      <c r="L3" s="446" t="str">
        <f ca="1"/>
        <v/>
      </c>
      <c r="M3" s="446" t="str">
        <f ca="1"/>
        <v/>
      </c>
      <c r="N3" s="446" t="str">
        <f ca="1"/>
        <v/>
      </c>
      <c r="O3" s="446" t="str">
        <f ca="1"/>
        <v/>
      </c>
      <c r="P3" s="446" t="str">
        <f ca="1"/>
        <v/>
      </c>
      <c r="Q3" s="446" t="str">
        <f ca="1"/>
        <v/>
      </c>
      <c r="R3" s="446" t="str">
        <f ca="1"/>
        <v/>
      </c>
      <c r="S3" s="446" t="str">
        <f ca="1"/>
        <v/>
      </c>
      <c r="T3" s="446" t="str">
        <f ca="1"/>
        <v/>
      </c>
      <c r="U3" s="446" t="str">
        <f ca="1"/>
        <v/>
      </c>
      <c r="V3" s="446" t="str">
        <f ca="1"/>
        <v/>
      </c>
      <c r="W3" s="446" t="str">
        <f ca="1"/>
        <v/>
      </c>
      <c r="X3" s="446" t="str">
        <f ca="1"/>
        <v/>
      </c>
      <c r="Y3" s="446" t="str">
        <f ca="1"/>
        <v/>
      </c>
      <c r="Z3" s="446" t="str">
        <f ca="1"/>
        <v/>
      </c>
      <c r="AA3" s="446" t="str">
        <f ca="1"/>
        <v/>
      </c>
      <c r="AB3" s="446" t="str">
        <f ca="1"/>
        <v/>
      </c>
      <c r="AC3" s="446" t="str">
        <f ca="1"/>
        <v/>
      </c>
      <c r="AD3" s="446" t="str">
        <f ca="1"/>
        <v/>
      </c>
      <c r="AE3" s="446" t="str">
        <f ca="1"/>
        <v/>
      </c>
      <c r="AF3" s="446" t="str">
        <f ca="1"/>
        <v/>
      </c>
      <c r="AG3" s="446" t="str">
        <f ca="1"/>
        <v/>
      </c>
      <c r="AH3" s="446" t="str">
        <f ca="1"/>
        <v/>
      </c>
      <c r="AI3" s="446" t="str">
        <f ca="1"/>
        <v/>
      </c>
      <c r="AJ3" s="446" t="str">
        <f ca="1"/>
        <v/>
      </c>
      <c r="AK3" s="446" t="str">
        <f ca="1"/>
        <v/>
      </c>
      <c r="AL3" s="446" t="str">
        <f ca="1"/>
        <v/>
      </c>
      <c r="AM3" s="446" t="str">
        <f ca="1"/>
        <v/>
      </c>
      <c r="AN3" s="295"/>
    </row>
    <row r="4" spans="1:40" ht="15" thickTop="1">
      <c r="A4" s="8" t="str" cm="1">
        <f t="array" aca="1" ref="A4" ca="1">IFERROR(INDEX(ADMIN!$K$6:$K$258,SMALL(IF(ADMIN!$G$6:$G$258=$K$1,ROW(ADMIN!$G$6:$G$258)-ROW(ADMIN!$G$6)+1),ROWS($A$1:A1))),"")</f>
        <v>Catar-Suiza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Catar-Suiza
 (-)</v>
      </c>
      <c r="C4" s="8">
        <v>1</v>
      </c>
      <c r="D4" s="89"/>
      <c r="E4" s="781">
        <f ca="1">IFERROR(HLOOKUP(C4,Rango_Admin_DailyClas,3,FALSE),"-")</f>
        <v>1</v>
      </c>
      <c r="F4" s="772" t="str">
        <f ca="1">IFERROR(HLOOKUP(C4,Rango_Admin_DailyClas,5,FALSE),"-")</f>
        <v>Leiner Zavarce</v>
      </c>
      <c r="G4" s="768">
        <f ca="1">IFERROR(HLOOKUP(C4,Rango_Admin_DailyClas,4,FALSE),"-")</f>
        <v>0</v>
      </c>
      <c r="H4" s="717">
        <f ca="1">IFERROR(VLOOKUP(H$2,Rango_Admin_DailyPred,MATCH($F4,Rango_Admin_DailyPred_Primera,0)+1,0),"-")</f>
        <v>0</v>
      </c>
      <c r="I4" s="717">
        <f ca="1">IFERROR(VLOOKUP(I$2,Rango_Admin_DailyPred,MATCH($F4,Rango_Admin_DailyPred_Primera,0)+1,0),"-")</f>
        <v>0</v>
      </c>
      <c r="J4" s="717">
        <f ca="1">IFERROR(VLOOKUP(J$2,Rango_Admin_DailyPred,MATCH($F4,Rango_Admin_DailyPred_Primera,0)+1,0),"-")</f>
        <v>0</v>
      </c>
      <c r="K4" s="717">
        <f ca="1">IFERROR(VLOOKUP(K$2,Rango_Admin_DailyPred,MATCH($F4,Rango_Admin_DailyPred_Primera,0)+1,0),"-")</f>
        <v>0</v>
      </c>
      <c r="L4" s="717" t="str">
        <f ca="1">IFERROR(VLOOKUP(L$2,Rango_Admin_DailyPred,MATCH($F4,Rango_Admin_DailyPred_Primera,0)+1,0),"-")</f>
        <v>-</v>
      </c>
      <c r="M4" s="717" t="str">
        <f ca="1">IFERROR(VLOOKUP(M$2,Rango_Admin_DailyPred,MATCH($F4,Rango_Admin_DailyPred_Primera,0)+1,0),"-")</f>
        <v>-</v>
      </c>
      <c r="N4" s="717" t="str">
        <f ca="1">IFERROR(VLOOKUP(N$2,Rango_Admin_DailyPred,MATCH($F4,Rango_Admin_DailyPred_Primera,0)+1,0),"-")</f>
        <v>-</v>
      </c>
      <c r="O4" s="717" t="str">
        <f ca="1">IFERROR(VLOOKUP(O$2,Rango_Admin_DailyPred,MATCH($F4,Rango_Admin_DailyPred_Primera,0)+1,0),"-")</f>
        <v>-</v>
      </c>
      <c r="P4" s="717" t="str">
        <f ca="1">IFERROR(VLOOKUP(P$2,Rango_Admin_DailyPred,MATCH($F4,Rango_Admin_DailyPred_Primera,0)+1,0),"-")</f>
        <v>-</v>
      </c>
      <c r="Q4" s="717" t="str">
        <f ca="1">IFERROR(VLOOKUP(Q$2,Rango_Admin_DailyPred,MATCH($F4,Rango_Admin_DailyPred_Primera,0)+1,0),"-")</f>
        <v>-</v>
      </c>
      <c r="R4" s="717" t="str">
        <f ca="1">IFERROR(VLOOKUP(R$2,Rango_Admin_DailyPred,MATCH($F4,Rango_Admin_DailyPred_Primera,0)+1,0),"-")</f>
        <v>-</v>
      </c>
      <c r="S4" s="717" t="str">
        <f ca="1">IFERROR(VLOOKUP(S$2,Rango_Admin_DailyPred,MATCH($F4,Rango_Admin_DailyPred_Primera,0)+1,0),"-")</f>
        <v>-</v>
      </c>
      <c r="T4" s="717" t="str">
        <f ca="1">IFERROR(VLOOKUP(T$2,Rango_Admin_DailyPred,MATCH($F4,Rango_Admin_DailyPred_Primera,0)+1,0),"-")</f>
        <v>-</v>
      </c>
      <c r="U4" s="717" t="str">
        <f ca="1">IFERROR(VLOOKUP(U$2,Rango_Admin_DailyPred,MATCH($F4,Rango_Admin_DailyPred_Primera,0)+1,0),"-")</f>
        <v>-</v>
      </c>
      <c r="V4" s="717" t="str">
        <f ca="1">IFERROR(VLOOKUP(V$2,Rango_Admin_DailyPred,MATCH($F4,Rango_Admin_DailyPred_Primera,0)+1,0),"-")</f>
        <v>-</v>
      </c>
      <c r="W4" s="717" t="str">
        <f ca="1">IFERROR(VLOOKUP(W$2,Rango_Admin_DailyPred,MATCH($F4,Rango_Admin_DailyPred_Primera,0)+1,0),"-")</f>
        <v>-</v>
      </c>
      <c r="X4" s="717" t="str">
        <f ca="1">IFERROR(VLOOKUP(X$2,Rango_Admin_DailyPred,MATCH($F4,Rango_Admin_DailyPred_Primera,0)+1,0),"-")</f>
        <v>-</v>
      </c>
      <c r="Y4" s="717" t="str">
        <f ca="1">IFERROR(VLOOKUP(Y$2,Rango_Admin_DailyPred,MATCH($F4,Rango_Admin_DailyPred_Primera,0)+1,0),"-")</f>
        <v>-</v>
      </c>
      <c r="Z4" s="717" t="str">
        <f ca="1">IFERROR(VLOOKUP(Z$2,Rango_Admin_DailyPred,MATCH($F4,Rango_Admin_DailyPred_Primera,0)+1,0),"-")</f>
        <v>-</v>
      </c>
      <c r="AA4" s="717" t="str">
        <f ca="1">IFERROR(VLOOKUP(AA$2,Rango_Admin_DailyPred,MATCH($F4,Rango_Admin_DailyPred_Primera,0)+1,0),"-")</f>
        <v>-</v>
      </c>
      <c r="AB4" s="717" t="str">
        <f ca="1">IFERROR(VLOOKUP(AB$2,Rango_Admin_DailyPred,MATCH($F4,Rango_Admin_DailyPred_Primera,0)+1,0),"-")</f>
        <v>-</v>
      </c>
      <c r="AC4" s="717" t="str">
        <f ca="1">IFERROR(VLOOKUP(AC$2,Rango_Admin_DailyPred,MATCH($F4,Rango_Admin_DailyPred_Primera,0)+1,0),"-")</f>
        <v>-</v>
      </c>
      <c r="AD4" s="717" t="str">
        <f ca="1">IFERROR(VLOOKUP(AD$2,Rango_Admin_DailyPred,MATCH($F4,Rango_Admin_DailyPred_Primera,0)+1,0),"-")</f>
        <v>-</v>
      </c>
      <c r="AE4" s="717" t="str">
        <f ca="1">IFERROR(VLOOKUP(AE$2,Rango_Admin_DailyPred,MATCH($F4,Rango_Admin_DailyPred_Primera,0)+1,0),"-")</f>
        <v>-</v>
      </c>
      <c r="AF4" s="717" t="str">
        <f ca="1">IFERROR(VLOOKUP(AF$2,Rango_Admin_DailyPred,MATCH($F4,Rango_Admin_DailyPred_Primera,0)+1,0),"-")</f>
        <v>-</v>
      </c>
      <c r="AG4" s="717" t="str">
        <f ca="1">IFERROR(VLOOKUP(AG$2,Rango_Admin_DailyPred,MATCH($F4,Rango_Admin_DailyPred_Primera,0)+1,0),"-")</f>
        <v>-</v>
      </c>
      <c r="AH4" s="717" t="str">
        <f ca="1">IFERROR(VLOOKUP(AH$2,Rango_Admin_DailyPred,MATCH($F4,Rango_Admin_DailyPred_Primera,0)+1,0),"-")</f>
        <v>-</v>
      </c>
      <c r="AI4" s="717" t="str">
        <f ca="1">IFERROR(VLOOKUP(AI$2,Rango_Admin_DailyPred,MATCH($F4,Rango_Admin_DailyPred_Primera,0)+1,0),"-")</f>
        <v>-</v>
      </c>
      <c r="AJ4" s="717" t="str">
        <f ca="1">IFERROR(VLOOKUP(AJ$2,Rango_Admin_DailyPred,MATCH($F4,Rango_Admin_DailyPred_Primera,0)+1,0),"-")</f>
        <v>-</v>
      </c>
      <c r="AK4" s="717" t="str">
        <f ca="1">IFERROR(VLOOKUP(AK$2,Rango_Admin_DailyPred,MATCH($F4,Rango_Admin_DailyPred_Primera,0)+1,0),"-")</f>
        <v>-</v>
      </c>
      <c r="AL4" s="717" t="str">
        <f ca="1">IFERROR(VLOOKUP(AL$2,Rango_Admin_DailyPred,MATCH($F4,Rango_Admin_DailyPred_Primera,0)+1,0),"-")</f>
        <v>-</v>
      </c>
      <c r="AM4" s="717" t="str">
        <f ca="1">IFERROR(VLOOKUP(AM$2,Rango_Admin_DailyPred,MATCH($F4,Rango_Admin_DailyPred_Primera,0)+1,0),"-")</f>
        <v>-</v>
      </c>
      <c r="AN4" s="295"/>
    </row>
    <row r="5" spans="1:40">
      <c r="A5" s="8" t="str" cm="1">
        <f t="array" aca="1" ref="A5" ca="1">IFERROR(INDEX(ADMIN!$K$6:$K$258,SMALL(IF(ADMIN!$G$6:$G$258=$K$1,ROW(ADMIN!$G$6:$G$258)-ROW(ADMIN!$G$6)+1),ROWS($A$1:A2))),"")</f>
        <v>Brasil-Marruecos</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Brasil-Marruecos
 (-)</v>
      </c>
      <c r="C5" s="8">
        <v>2</v>
      </c>
      <c r="D5" s="89"/>
      <c r="E5" s="781">
        <f ca="1">IFERROR(HLOOKUP(C5,Rango_Admin_DailyClas,3,FALSE),"-")</f>
        <v>1</v>
      </c>
      <c r="F5" s="772" t="str">
        <f ca="1">IFERROR(HLOOKUP(C5,Rango_Admin_DailyClas,5,FALSE),"-")</f>
        <v>YUTA</v>
      </c>
      <c r="G5" s="768">
        <f ca="1">IFERROR(HLOOKUP(C5,Rango_Admin_DailyClas,4,FALSE),"-")</f>
        <v>0</v>
      </c>
      <c r="H5" s="717">
        <f ca="1">IFERROR(VLOOKUP(H$2,Rango_Admin_DailyPred,MATCH($F5,Rango_Admin_DailyPred_Primera,0)+1,0),"-")</f>
        <v>0</v>
      </c>
      <c r="I5" s="717">
        <f ca="1">IFERROR(VLOOKUP(I$2,Rango_Admin_DailyPred,MATCH($F5,Rango_Admin_DailyPred_Primera,0)+1,0),"-")</f>
        <v>0</v>
      </c>
      <c r="J5" s="717">
        <f ca="1">IFERROR(VLOOKUP(J$2,Rango_Admin_DailyPred,MATCH($F5,Rango_Admin_DailyPred_Primera,0)+1,0),"-")</f>
        <v>0</v>
      </c>
      <c r="K5" s="717">
        <f ca="1">IFERROR(VLOOKUP(K$2,Rango_Admin_DailyPred,MATCH($F5,Rango_Admin_DailyPred_Primera,0)+1,0),"-")</f>
        <v>0</v>
      </c>
      <c r="L5" s="717" t="str">
        <f ca="1">IFERROR(VLOOKUP(L$2,Rango_Admin_DailyPred,MATCH($F5,Rango_Admin_DailyPred_Primera,0)+1,0),"-")</f>
        <v>-</v>
      </c>
      <c r="M5" s="717" t="str">
        <f ca="1">IFERROR(VLOOKUP(M$2,Rango_Admin_DailyPred,MATCH($F5,Rango_Admin_DailyPred_Primera,0)+1,0),"-")</f>
        <v>-</v>
      </c>
      <c r="N5" s="717" t="str">
        <f ca="1">IFERROR(VLOOKUP(N$2,Rango_Admin_DailyPred,MATCH($F5,Rango_Admin_DailyPred_Primera,0)+1,0),"-")</f>
        <v>-</v>
      </c>
      <c r="O5" s="717" t="str">
        <f ca="1">IFERROR(VLOOKUP(O$2,Rango_Admin_DailyPred,MATCH($F5,Rango_Admin_DailyPred_Primera,0)+1,0),"-")</f>
        <v>-</v>
      </c>
      <c r="P5" s="717" t="str">
        <f ca="1">IFERROR(VLOOKUP(P$2,Rango_Admin_DailyPred,MATCH($F5,Rango_Admin_DailyPred_Primera,0)+1,0),"-")</f>
        <v>-</v>
      </c>
      <c r="Q5" s="717" t="str">
        <f ca="1">IFERROR(VLOOKUP(Q$2,Rango_Admin_DailyPred,MATCH($F5,Rango_Admin_DailyPred_Primera,0)+1,0),"-")</f>
        <v>-</v>
      </c>
      <c r="R5" s="717" t="str">
        <f ca="1">IFERROR(VLOOKUP(R$2,Rango_Admin_DailyPred,MATCH($F5,Rango_Admin_DailyPred_Primera,0)+1,0),"-")</f>
        <v>-</v>
      </c>
      <c r="S5" s="717" t="str">
        <f ca="1">IFERROR(VLOOKUP(S$2,Rango_Admin_DailyPred,MATCH($F5,Rango_Admin_DailyPred_Primera,0)+1,0),"-")</f>
        <v>-</v>
      </c>
      <c r="T5" s="717" t="str">
        <f ca="1">IFERROR(VLOOKUP(T$2,Rango_Admin_DailyPred,MATCH($F5,Rango_Admin_DailyPred_Primera,0)+1,0),"-")</f>
        <v>-</v>
      </c>
      <c r="U5" s="717" t="str">
        <f ca="1">IFERROR(VLOOKUP(U$2,Rango_Admin_DailyPred,MATCH($F5,Rango_Admin_DailyPred_Primera,0)+1,0),"-")</f>
        <v>-</v>
      </c>
      <c r="V5" s="717" t="str">
        <f ca="1">IFERROR(VLOOKUP(V$2,Rango_Admin_DailyPred,MATCH($F5,Rango_Admin_DailyPred_Primera,0)+1,0),"-")</f>
        <v>-</v>
      </c>
      <c r="W5" s="717" t="str">
        <f ca="1">IFERROR(VLOOKUP(W$2,Rango_Admin_DailyPred,MATCH($F5,Rango_Admin_DailyPred_Primera,0)+1,0),"-")</f>
        <v>-</v>
      </c>
      <c r="X5" s="717" t="str">
        <f ca="1">IFERROR(VLOOKUP(X$2,Rango_Admin_DailyPred,MATCH($F5,Rango_Admin_DailyPred_Primera,0)+1,0),"-")</f>
        <v>-</v>
      </c>
      <c r="Y5" s="717" t="str">
        <f ca="1">IFERROR(VLOOKUP(Y$2,Rango_Admin_DailyPred,MATCH($F5,Rango_Admin_DailyPred_Primera,0)+1,0),"-")</f>
        <v>-</v>
      </c>
      <c r="Z5" s="717" t="str">
        <f ca="1">IFERROR(VLOOKUP(Z$2,Rango_Admin_DailyPred,MATCH($F5,Rango_Admin_DailyPred_Primera,0)+1,0),"-")</f>
        <v>-</v>
      </c>
      <c r="AA5" s="717" t="str">
        <f ca="1">IFERROR(VLOOKUP(AA$2,Rango_Admin_DailyPred,MATCH($F5,Rango_Admin_DailyPred_Primera,0)+1,0),"-")</f>
        <v>-</v>
      </c>
      <c r="AB5" s="717" t="str">
        <f ca="1">IFERROR(VLOOKUP(AB$2,Rango_Admin_DailyPred,MATCH($F5,Rango_Admin_DailyPred_Primera,0)+1,0),"-")</f>
        <v>-</v>
      </c>
      <c r="AC5" s="717" t="str">
        <f ca="1">IFERROR(VLOOKUP(AC$2,Rango_Admin_DailyPred,MATCH($F5,Rango_Admin_DailyPred_Primera,0)+1,0),"-")</f>
        <v>-</v>
      </c>
      <c r="AD5" s="717" t="str">
        <f ca="1">IFERROR(VLOOKUP(AD$2,Rango_Admin_DailyPred,MATCH($F5,Rango_Admin_DailyPred_Primera,0)+1,0),"-")</f>
        <v>-</v>
      </c>
      <c r="AE5" s="717" t="str">
        <f ca="1">IFERROR(VLOOKUP(AE$2,Rango_Admin_DailyPred,MATCH($F5,Rango_Admin_DailyPred_Primera,0)+1,0),"-")</f>
        <v>-</v>
      </c>
      <c r="AF5" s="717" t="str">
        <f ca="1">IFERROR(VLOOKUP(AF$2,Rango_Admin_DailyPred,MATCH($F5,Rango_Admin_DailyPred_Primera,0)+1,0),"-")</f>
        <v>-</v>
      </c>
      <c r="AG5" s="717" t="str">
        <f ca="1">IFERROR(VLOOKUP(AG$2,Rango_Admin_DailyPred,MATCH($F5,Rango_Admin_DailyPred_Primera,0)+1,0),"-")</f>
        <v>-</v>
      </c>
      <c r="AH5" s="717" t="str">
        <f ca="1">IFERROR(VLOOKUP(AH$2,Rango_Admin_DailyPred,MATCH($F5,Rango_Admin_DailyPred_Primera,0)+1,0),"-")</f>
        <v>-</v>
      </c>
      <c r="AI5" s="717" t="str">
        <f ca="1">IFERROR(VLOOKUP(AI$2,Rango_Admin_DailyPred,MATCH($F5,Rango_Admin_DailyPred_Primera,0)+1,0),"-")</f>
        <v>-</v>
      </c>
      <c r="AJ5" s="717" t="str">
        <f ca="1">IFERROR(VLOOKUP(AJ$2,Rango_Admin_DailyPred,MATCH($F5,Rango_Admin_DailyPred_Primera,0)+1,0),"-")</f>
        <v>-</v>
      </c>
      <c r="AK5" s="717" t="str">
        <f ca="1">IFERROR(VLOOKUP(AK$2,Rango_Admin_DailyPred,MATCH($F5,Rango_Admin_DailyPred_Primera,0)+1,0),"-")</f>
        <v>-</v>
      </c>
      <c r="AL5" s="717" t="str">
        <f ca="1">IFERROR(VLOOKUP(AL$2,Rango_Admin_DailyPred,MATCH($F5,Rango_Admin_DailyPred_Primera,0)+1,0),"-")</f>
        <v>-</v>
      </c>
      <c r="AM5" s="717" t="str">
        <f ca="1">IFERROR(VLOOKUP(AM$2,Rango_Admin_DailyPred,MATCH($F5,Rango_Admin_DailyPred_Primera,0)+1,0),"-")</f>
        <v>-</v>
      </c>
      <c r="AN5" s="295"/>
    </row>
    <row r="6" spans="1:40">
      <c r="A6" s="7" t="str" cm="1">
        <f t="array" aca="1" ref="A6" ca="1">IFERROR(INDEX(ADMIN!$K$6:$K$258,SMALL(IF(ADMIN!$G$6:$G$258=$K$1,ROW(ADMIN!$G$6:$G$258)-ROW(ADMIN!$G$6)+1),ROWS($A$1:A3))),"")</f>
        <v>Haití-Escocia</v>
      </c>
      <c r="B6" s="7"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Haití-Escocia
 (-)</v>
      </c>
      <c r="C6" s="8">
        <v>3</v>
      </c>
      <c r="D6" s="89"/>
      <c r="E6" s="781">
        <f ca="1">IFERROR(HLOOKUP(C6,Rango_Admin_DailyClas,3,FALSE),"-")</f>
        <v>1</v>
      </c>
      <c r="F6" s="772" t="str">
        <f ca="1">IFERROR(HLOOKUP(C6,Rango_Admin_DailyClas,5,FALSE),"-")</f>
        <v>Andres Velasquez</v>
      </c>
      <c r="G6" s="768">
        <f ca="1">IFERROR(HLOOKUP(C6,Rango_Admin_DailyClas,4,FALSE),"-")</f>
        <v>0</v>
      </c>
      <c r="H6" s="717">
        <f ca="1">IFERROR(VLOOKUP(H$2,Rango_Admin_DailyPred,MATCH($F6,Rango_Admin_DailyPred_Primera,0)+1,0),"-")</f>
        <v>0</v>
      </c>
      <c r="I6" s="717">
        <f ca="1">IFERROR(VLOOKUP(I$2,Rango_Admin_DailyPred,MATCH($F6,Rango_Admin_DailyPred_Primera,0)+1,0),"-")</f>
        <v>0</v>
      </c>
      <c r="J6" s="717">
        <f ca="1">IFERROR(VLOOKUP(J$2,Rango_Admin_DailyPred,MATCH($F6,Rango_Admin_DailyPred_Primera,0)+1,0),"-")</f>
        <v>0</v>
      </c>
      <c r="K6" s="717">
        <f ca="1">IFERROR(VLOOKUP(K$2,Rango_Admin_DailyPred,MATCH($F6,Rango_Admin_DailyPred_Primera,0)+1,0),"-")</f>
        <v>0</v>
      </c>
      <c r="L6" s="717" t="str">
        <f ca="1">IFERROR(VLOOKUP(L$2,Rango_Admin_DailyPred,MATCH($F6,Rango_Admin_DailyPred_Primera,0)+1,0),"-")</f>
        <v>-</v>
      </c>
      <c r="M6" s="717" t="str">
        <f ca="1">IFERROR(VLOOKUP(M$2,Rango_Admin_DailyPred,MATCH($F6,Rango_Admin_DailyPred_Primera,0)+1,0),"-")</f>
        <v>-</v>
      </c>
      <c r="N6" s="717" t="str">
        <f ca="1">IFERROR(VLOOKUP(N$2,Rango_Admin_DailyPred,MATCH($F6,Rango_Admin_DailyPred_Primera,0)+1,0),"-")</f>
        <v>-</v>
      </c>
      <c r="O6" s="717" t="str">
        <f ca="1">IFERROR(VLOOKUP(O$2,Rango_Admin_DailyPred,MATCH($F6,Rango_Admin_DailyPred_Primera,0)+1,0),"-")</f>
        <v>-</v>
      </c>
      <c r="P6" s="717" t="str">
        <f ca="1">IFERROR(VLOOKUP(P$2,Rango_Admin_DailyPred,MATCH($F6,Rango_Admin_DailyPred_Primera,0)+1,0),"-")</f>
        <v>-</v>
      </c>
      <c r="Q6" s="717" t="str">
        <f ca="1">IFERROR(VLOOKUP(Q$2,Rango_Admin_DailyPred,MATCH($F6,Rango_Admin_DailyPred_Primera,0)+1,0),"-")</f>
        <v>-</v>
      </c>
      <c r="R6" s="717" t="str">
        <f ca="1">IFERROR(VLOOKUP(R$2,Rango_Admin_DailyPred,MATCH($F6,Rango_Admin_DailyPred_Primera,0)+1,0),"-")</f>
        <v>-</v>
      </c>
      <c r="S6" s="717" t="str">
        <f ca="1">IFERROR(VLOOKUP(S$2,Rango_Admin_DailyPred,MATCH($F6,Rango_Admin_DailyPred_Primera,0)+1,0),"-")</f>
        <v>-</v>
      </c>
      <c r="T6" s="717" t="str">
        <f ca="1">IFERROR(VLOOKUP(T$2,Rango_Admin_DailyPred,MATCH($F6,Rango_Admin_DailyPred_Primera,0)+1,0),"-")</f>
        <v>-</v>
      </c>
      <c r="U6" s="717" t="str">
        <f ca="1">IFERROR(VLOOKUP(U$2,Rango_Admin_DailyPred,MATCH($F6,Rango_Admin_DailyPred_Primera,0)+1,0),"-")</f>
        <v>-</v>
      </c>
      <c r="V6" s="717" t="str">
        <f ca="1">IFERROR(VLOOKUP(V$2,Rango_Admin_DailyPred,MATCH($F6,Rango_Admin_DailyPred_Primera,0)+1,0),"-")</f>
        <v>-</v>
      </c>
      <c r="W6" s="717" t="str">
        <f ca="1">IFERROR(VLOOKUP(W$2,Rango_Admin_DailyPred,MATCH($F6,Rango_Admin_DailyPred_Primera,0)+1,0),"-")</f>
        <v>-</v>
      </c>
      <c r="X6" s="717" t="str">
        <f ca="1">IFERROR(VLOOKUP(X$2,Rango_Admin_DailyPred,MATCH($F6,Rango_Admin_DailyPred_Primera,0)+1,0),"-")</f>
        <v>-</v>
      </c>
      <c r="Y6" s="717" t="str">
        <f ca="1">IFERROR(VLOOKUP(Y$2,Rango_Admin_DailyPred,MATCH($F6,Rango_Admin_DailyPred_Primera,0)+1,0),"-")</f>
        <v>-</v>
      </c>
      <c r="Z6" s="717" t="str">
        <f ca="1">IFERROR(VLOOKUP(Z$2,Rango_Admin_DailyPred,MATCH($F6,Rango_Admin_DailyPred_Primera,0)+1,0),"-")</f>
        <v>-</v>
      </c>
      <c r="AA6" s="717" t="str">
        <f ca="1">IFERROR(VLOOKUP(AA$2,Rango_Admin_DailyPred,MATCH($F6,Rango_Admin_DailyPred_Primera,0)+1,0),"-")</f>
        <v>-</v>
      </c>
      <c r="AB6" s="717" t="str">
        <f ca="1">IFERROR(VLOOKUP(AB$2,Rango_Admin_DailyPred,MATCH($F6,Rango_Admin_DailyPred_Primera,0)+1,0),"-")</f>
        <v>-</v>
      </c>
      <c r="AC6" s="717" t="str">
        <f ca="1">IFERROR(VLOOKUP(AC$2,Rango_Admin_DailyPred,MATCH($F6,Rango_Admin_DailyPred_Primera,0)+1,0),"-")</f>
        <v>-</v>
      </c>
      <c r="AD6" s="717" t="str">
        <f ca="1">IFERROR(VLOOKUP(AD$2,Rango_Admin_DailyPred,MATCH($F6,Rango_Admin_DailyPred_Primera,0)+1,0),"-")</f>
        <v>-</v>
      </c>
      <c r="AE6" s="717" t="str">
        <f ca="1">IFERROR(VLOOKUP(AE$2,Rango_Admin_DailyPred,MATCH($F6,Rango_Admin_DailyPred_Primera,0)+1,0),"-")</f>
        <v>-</v>
      </c>
      <c r="AF6" s="717" t="str">
        <f ca="1">IFERROR(VLOOKUP(AF$2,Rango_Admin_DailyPred,MATCH($F6,Rango_Admin_DailyPred_Primera,0)+1,0),"-")</f>
        <v>-</v>
      </c>
      <c r="AG6" s="717" t="str">
        <f ca="1">IFERROR(VLOOKUP(AG$2,Rango_Admin_DailyPred,MATCH($F6,Rango_Admin_DailyPred_Primera,0)+1,0),"-")</f>
        <v>-</v>
      </c>
      <c r="AH6" s="717" t="str">
        <f ca="1">IFERROR(VLOOKUP(AH$2,Rango_Admin_DailyPred,MATCH($F6,Rango_Admin_DailyPred_Primera,0)+1,0),"-")</f>
        <v>-</v>
      </c>
      <c r="AI6" s="717" t="str">
        <f ca="1">IFERROR(VLOOKUP(AI$2,Rango_Admin_DailyPred,MATCH($F6,Rango_Admin_DailyPred_Primera,0)+1,0),"-")</f>
        <v>-</v>
      </c>
      <c r="AJ6" s="717" t="str">
        <f ca="1">IFERROR(VLOOKUP(AJ$2,Rango_Admin_DailyPred,MATCH($F6,Rango_Admin_DailyPred_Primera,0)+1,0),"-")</f>
        <v>-</v>
      </c>
      <c r="AK6" s="717" t="str">
        <f ca="1">IFERROR(VLOOKUP(AK$2,Rango_Admin_DailyPred,MATCH($F6,Rango_Admin_DailyPred_Primera,0)+1,0),"-")</f>
        <v>-</v>
      </c>
      <c r="AL6" s="717" t="str">
        <f ca="1">IFERROR(VLOOKUP(AL$2,Rango_Admin_DailyPred,MATCH($F6,Rango_Admin_DailyPred_Primera,0)+1,0),"-")</f>
        <v>-</v>
      </c>
      <c r="AM6" s="717" t="str">
        <f ca="1">IFERROR(VLOOKUP(AM$2,Rango_Admin_DailyPred,MATCH($F6,Rango_Admin_DailyPred_Primera,0)+1,0),"-")</f>
        <v>-</v>
      </c>
      <c r="AN6" s="295"/>
    </row>
    <row r="7" spans="1:40">
      <c r="A7" s="7" t="str" cm="1">
        <f t="array" aca="1" ref="A7" ca="1">IFERROR(INDEX(ADMIN!$K$6:$K$258,SMALL(IF(ADMIN!$G$6:$G$258=$K$1,ROW(ADMIN!$G$6:$G$258)-ROW(ADMIN!$G$6)+1),ROWS($A$1:A4))),"")</f>
        <v>Australia-Turquía</v>
      </c>
      <c r="B7" s="7"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Australia-Turquía
 (-)</v>
      </c>
      <c r="C7" s="8">
        <v>4</v>
      </c>
      <c r="D7" s="89"/>
      <c r="E7" s="781">
        <f ca="1">IFERROR(HLOOKUP(C7,Rango_Admin_DailyClas,3,FALSE),"-")</f>
        <v>1</v>
      </c>
      <c r="F7" s="772" t="str">
        <f ca="1">IFERROR(HLOOKUP(C7,Rango_Admin_DailyClas,5,FALSE),"-")</f>
        <v>Alejando Velasquez</v>
      </c>
      <c r="G7" s="768">
        <f ca="1">IFERROR(HLOOKUP(C7,Rango_Admin_DailyClas,4,FALSE),"-")</f>
        <v>0</v>
      </c>
      <c r="H7" s="717">
        <f ca="1">IFERROR(VLOOKUP(H$2,Rango_Admin_DailyPred,MATCH($F7,Rango_Admin_DailyPred_Primera,0)+1,0),"-")</f>
        <v>0</v>
      </c>
      <c r="I7" s="717">
        <f ca="1">IFERROR(VLOOKUP(I$2,Rango_Admin_DailyPred,MATCH($F7,Rango_Admin_DailyPred_Primera,0)+1,0),"-")</f>
        <v>0</v>
      </c>
      <c r="J7" s="717">
        <f ca="1">IFERROR(VLOOKUP(J$2,Rango_Admin_DailyPred,MATCH($F7,Rango_Admin_DailyPred_Primera,0)+1,0),"-")</f>
        <v>0</v>
      </c>
      <c r="K7" s="717">
        <f ca="1">IFERROR(VLOOKUP(K$2,Rango_Admin_DailyPred,MATCH($F7,Rango_Admin_DailyPred_Primera,0)+1,0),"-")</f>
        <v>0</v>
      </c>
      <c r="L7" s="717" t="str">
        <f ca="1">IFERROR(VLOOKUP(L$2,Rango_Admin_DailyPred,MATCH($F7,Rango_Admin_DailyPred_Primera,0)+1,0),"-")</f>
        <v>-</v>
      </c>
      <c r="M7" s="717" t="str">
        <f ca="1">IFERROR(VLOOKUP(M$2,Rango_Admin_DailyPred,MATCH($F7,Rango_Admin_DailyPred_Primera,0)+1,0),"-")</f>
        <v>-</v>
      </c>
      <c r="N7" s="717" t="str">
        <f ca="1">IFERROR(VLOOKUP(N$2,Rango_Admin_DailyPred,MATCH($F7,Rango_Admin_DailyPred_Primera,0)+1,0),"-")</f>
        <v>-</v>
      </c>
      <c r="O7" s="717" t="str">
        <f ca="1">IFERROR(VLOOKUP(O$2,Rango_Admin_DailyPred,MATCH($F7,Rango_Admin_DailyPred_Primera,0)+1,0),"-")</f>
        <v>-</v>
      </c>
      <c r="P7" s="717" t="str">
        <f ca="1">IFERROR(VLOOKUP(P$2,Rango_Admin_DailyPred,MATCH($F7,Rango_Admin_DailyPred_Primera,0)+1,0),"-")</f>
        <v>-</v>
      </c>
      <c r="Q7" s="717" t="str">
        <f ca="1">IFERROR(VLOOKUP(Q$2,Rango_Admin_DailyPred,MATCH($F7,Rango_Admin_DailyPred_Primera,0)+1,0),"-")</f>
        <v>-</v>
      </c>
      <c r="R7" s="717" t="str">
        <f ca="1">IFERROR(VLOOKUP(R$2,Rango_Admin_DailyPred,MATCH($F7,Rango_Admin_DailyPred_Primera,0)+1,0),"-")</f>
        <v>-</v>
      </c>
      <c r="S7" s="717" t="str">
        <f ca="1">IFERROR(VLOOKUP(S$2,Rango_Admin_DailyPred,MATCH($F7,Rango_Admin_DailyPred_Primera,0)+1,0),"-")</f>
        <v>-</v>
      </c>
      <c r="T7" s="717" t="str">
        <f ca="1">IFERROR(VLOOKUP(T$2,Rango_Admin_DailyPred,MATCH($F7,Rango_Admin_DailyPred_Primera,0)+1,0),"-")</f>
        <v>-</v>
      </c>
      <c r="U7" s="717" t="str">
        <f ca="1">IFERROR(VLOOKUP(U$2,Rango_Admin_DailyPred,MATCH($F7,Rango_Admin_DailyPred_Primera,0)+1,0),"-")</f>
        <v>-</v>
      </c>
      <c r="V7" s="717" t="str">
        <f ca="1">IFERROR(VLOOKUP(V$2,Rango_Admin_DailyPred,MATCH($F7,Rango_Admin_DailyPred_Primera,0)+1,0),"-")</f>
        <v>-</v>
      </c>
      <c r="W7" s="717" t="str">
        <f ca="1">IFERROR(VLOOKUP(W$2,Rango_Admin_DailyPred,MATCH($F7,Rango_Admin_DailyPred_Primera,0)+1,0),"-")</f>
        <v>-</v>
      </c>
      <c r="X7" s="717" t="str">
        <f ca="1">IFERROR(VLOOKUP(X$2,Rango_Admin_DailyPred,MATCH($F7,Rango_Admin_DailyPred_Primera,0)+1,0),"-")</f>
        <v>-</v>
      </c>
      <c r="Y7" s="717" t="str">
        <f ca="1">IFERROR(VLOOKUP(Y$2,Rango_Admin_DailyPred,MATCH($F7,Rango_Admin_DailyPred_Primera,0)+1,0),"-")</f>
        <v>-</v>
      </c>
      <c r="Z7" s="717" t="str">
        <f ca="1">IFERROR(VLOOKUP(Z$2,Rango_Admin_DailyPred,MATCH($F7,Rango_Admin_DailyPred_Primera,0)+1,0),"-")</f>
        <v>-</v>
      </c>
      <c r="AA7" s="717" t="str">
        <f ca="1">IFERROR(VLOOKUP(AA$2,Rango_Admin_DailyPred,MATCH($F7,Rango_Admin_DailyPred_Primera,0)+1,0),"-")</f>
        <v>-</v>
      </c>
      <c r="AB7" s="717" t="str">
        <f ca="1">IFERROR(VLOOKUP(AB$2,Rango_Admin_DailyPred,MATCH($F7,Rango_Admin_DailyPred_Primera,0)+1,0),"-")</f>
        <v>-</v>
      </c>
      <c r="AC7" s="717" t="str">
        <f ca="1">IFERROR(VLOOKUP(AC$2,Rango_Admin_DailyPred,MATCH($F7,Rango_Admin_DailyPred_Primera,0)+1,0),"-")</f>
        <v>-</v>
      </c>
      <c r="AD7" s="717" t="str">
        <f ca="1">IFERROR(VLOOKUP(AD$2,Rango_Admin_DailyPred,MATCH($F7,Rango_Admin_DailyPred_Primera,0)+1,0),"-")</f>
        <v>-</v>
      </c>
      <c r="AE7" s="717" t="str">
        <f ca="1">IFERROR(VLOOKUP(AE$2,Rango_Admin_DailyPred,MATCH($F7,Rango_Admin_DailyPred_Primera,0)+1,0),"-")</f>
        <v>-</v>
      </c>
      <c r="AF7" s="717" t="str">
        <f ca="1">IFERROR(VLOOKUP(AF$2,Rango_Admin_DailyPred,MATCH($F7,Rango_Admin_DailyPred_Primera,0)+1,0),"-")</f>
        <v>-</v>
      </c>
      <c r="AG7" s="717" t="str">
        <f ca="1">IFERROR(VLOOKUP(AG$2,Rango_Admin_DailyPred,MATCH($F7,Rango_Admin_DailyPred_Primera,0)+1,0),"-")</f>
        <v>-</v>
      </c>
      <c r="AH7" s="717" t="str">
        <f ca="1">IFERROR(VLOOKUP(AH$2,Rango_Admin_DailyPred,MATCH($F7,Rango_Admin_DailyPred_Primera,0)+1,0),"-")</f>
        <v>-</v>
      </c>
      <c r="AI7" s="717" t="str">
        <f ca="1">IFERROR(VLOOKUP(AI$2,Rango_Admin_DailyPred,MATCH($F7,Rango_Admin_DailyPred_Primera,0)+1,0),"-")</f>
        <v>-</v>
      </c>
      <c r="AJ7" s="717" t="str">
        <f ca="1">IFERROR(VLOOKUP(AJ$2,Rango_Admin_DailyPred,MATCH($F7,Rango_Admin_DailyPred_Primera,0)+1,0),"-")</f>
        <v>-</v>
      </c>
      <c r="AK7" s="717" t="str">
        <f ca="1">IFERROR(VLOOKUP(AK$2,Rango_Admin_DailyPred,MATCH($F7,Rango_Admin_DailyPred_Primera,0)+1,0),"-")</f>
        <v>-</v>
      </c>
      <c r="AL7" s="717" t="str">
        <f ca="1">IFERROR(VLOOKUP(AL$2,Rango_Admin_DailyPred,MATCH($F7,Rango_Admin_DailyPred_Primera,0)+1,0),"-")</f>
        <v>-</v>
      </c>
      <c r="AM7" s="717" t="str">
        <f ca="1">IFERROR(VLOOKUP(AM$2,Rango_Admin_DailyPred,MATCH($F7,Rango_Admin_DailyPred_Primera,0)+1,0),"-")</f>
        <v>-</v>
      </c>
      <c r="AN7" s="295"/>
    </row>
    <row r="8" spans="1:40">
      <c r="A8" s="7" t="str" cm="1">
        <f t="array" aca="1" ref="A8" ca="1">IFERROR(INDEX(ADMIN!$K$6:$K$258,SMALL(IF(ADMIN!$G$6:$G$258=$K$1,ROW(ADMIN!$G$6:$G$258)-ROW(ADMIN!$G$6)+1),ROWS($A$1:A5))),"")</f>
        <v/>
      </c>
      <c r="B8" s="7"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89"/>
      <c r="E8" s="781">
        <f ca="1">IFERROR(HLOOKUP(C8,Rango_Admin_DailyClas,3,FALSE),"-")</f>
        <v>1</v>
      </c>
      <c r="F8" s="772" t="str">
        <f ca="1">IFERROR(HLOOKUP(C8,Rango_Admin_DailyClas,5,FALSE),"-")</f>
        <v>Alvaro Gomes</v>
      </c>
      <c r="G8" s="768">
        <f ca="1">IFERROR(HLOOKUP(C8,Rango_Admin_DailyClas,4,FALSE),"-")</f>
        <v>0</v>
      </c>
      <c r="H8" s="717">
        <f ca="1">IFERROR(VLOOKUP(H$2,Rango_Admin_DailyPred,MATCH($F8,Rango_Admin_DailyPred_Primera,0)+1,0),"-")</f>
        <v>0</v>
      </c>
      <c r="I8" s="717">
        <f ca="1">IFERROR(VLOOKUP(I$2,Rango_Admin_DailyPred,MATCH($F8,Rango_Admin_DailyPred_Primera,0)+1,0),"-")</f>
        <v>0</v>
      </c>
      <c r="J8" s="717">
        <f ca="1">IFERROR(VLOOKUP(J$2,Rango_Admin_DailyPred,MATCH($F8,Rango_Admin_DailyPred_Primera,0)+1,0),"-")</f>
        <v>0</v>
      </c>
      <c r="K8" s="717">
        <f ca="1">IFERROR(VLOOKUP(K$2,Rango_Admin_DailyPred,MATCH($F8,Rango_Admin_DailyPred_Primera,0)+1,0),"-")</f>
        <v>0</v>
      </c>
      <c r="L8" s="717" t="str">
        <f ca="1">IFERROR(VLOOKUP(L$2,Rango_Admin_DailyPred,MATCH($F8,Rango_Admin_DailyPred_Primera,0)+1,0),"-")</f>
        <v>-</v>
      </c>
      <c r="M8" s="717" t="str">
        <f ca="1">IFERROR(VLOOKUP(M$2,Rango_Admin_DailyPred,MATCH($F8,Rango_Admin_DailyPred_Primera,0)+1,0),"-")</f>
        <v>-</v>
      </c>
      <c r="N8" s="717" t="str">
        <f ca="1">IFERROR(VLOOKUP(N$2,Rango_Admin_DailyPred,MATCH($F8,Rango_Admin_DailyPred_Primera,0)+1,0),"-")</f>
        <v>-</v>
      </c>
      <c r="O8" s="717" t="str">
        <f ca="1">IFERROR(VLOOKUP(O$2,Rango_Admin_DailyPred,MATCH($F8,Rango_Admin_DailyPred_Primera,0)+1,0),"-")</f>
        <v>-</v>
      </c>
      <c r="P8" s="717" t="str">
        <f ca="1">IFERROR(VLOOKUP(P$2,Rango_Admin_DailyPred,MATCH($F8,Rango_Admin_DailyPred_Primera,0)+1,0),"-")</f>
        <v>-</v>
      </c>
      <c r="Q8" s="717" t="str">
        <f ca="1">IFERROR(VLOOKUP(Q$2,Rango_Admin_DailyPred,MATCH($F8,Rango_Admin_DailyPred_Primera,0)+1,0),"-")</f>
        <v>-</v>
      </c>
      <c r="R8" s="717" t="str">
        <f ca="1">IFERROR(VLOOKUP(R$2,Rango_Admin_DailyPred,MATCH($F8,Rango_Admin_DailyPred_Primera,0)+1,0),"-")</f>
        <v>-</v>
      </c>
      <c r="S8" s="717" t="str">
        <f ca="1">IFERROR(VLOOKUP(S$2,Rango_Admin_DailyPred,MATCH($F8,Rango_Admin_DailyPred_Primera,0)+1,0),"-")</f>
        <v>-</v>
      </c>
      <c r="T8" s="717" t="str">
        <f ca="1">IFERROR(VLOOKUP(T$2,Rango_Admin_DailyPred,MATCH($F8,Rango_Admin_DailyPred_Primera,0)+1,0),"-")</f>
        <v>-</v>
      </c>
      <c r="U8" s="717" t="str">
        <f ca="1">IFERROR(VLOOKUP(U$2,Rango_Admin_DailyPred,MATCH($F8,Rango_Admin_DailyPred_Primera,0)+1,0),"-")</f>
        <v>-</v>
      </c>
      <c r="V8" s="717" t="str">
        <f ca="1">IFERROR(VLOOKUP(V$2,Rango_Admin_DailyPred,MATCH($F8,Rango_Admin_DailyPred_Primera,0)+1,0),"-")</f>
        <v>-</v>
      </c>
      <c r="W8" s="717" t="str">
        <f ca="1">IFERROR(VLOOKUP(W$2,Rango_Admin_DailyPred,MATCH($F8,Rango_Admin_DailyPred_Primera,0)+1,0),"-")</f>
        <v>-</v>
      </c>
      <c r="X8" s="717" t="str">
        <f ca="1">IFERROR(VLOOKUP(X$2,Rango_Admin_DailyPred,MATCH($F8,Rango_Admin_DailyPred_Primera,0)+1,0),"-")</f>
        <v>-</v>
      </c>
      <c r="Y8" s="717" t="str">
        <f ca="1">IFERROR(VLOOKUP(Y$2,Rango_Admin_DailyPred,MATCH($F8,Rango_Admin_DailyPred_Primera,0)+1,0),"-")</f>
        <v>-</v>
      </c>
      <c r="Z8" s="717" t="str">
        <f ca="1">IFERROR(VLOOKUP(Z$2,Rango_Admin_DailyPred,MATCH($F8,Rango_Admin_DailyPred_Primera,0)+1,0),"-")</f>
        <v>-</v>
      </c>
      <c r="AA8" s="717" t="str">
        <f ca="1">IFERROR(VLOOKUP(AA$2,Rango_Admin_DailyPred,MATCH($F8,Rango_Admin_DailyPred_Primera,0)+1,0),"-")</f>
        <v>-</v>
      </c>
      <c r="AB8" s="717" t="str">
        <f ca="1">IFERROR(VLOOKUP(AB$2,Rango_Admin_DailyPred,MATCH($F8,Rango_Admin_DailyPred_Primera,0)+1,0),"-")</f>
        <v>-</v>
      </c>
      <c r="AC8" s="717" t="str">
        <f ca="1">IFERROR(VLOOKUP(AC$2,Rango_Admin_DailyPred,MATCH($F8,Rango_Admin_DailyPred_Primera,0)+1,0),"-")</f>
        <v>-</v>
      </c>
      <c r="AD8" s="717" t="str">
        <f ca="1">IFERROR(VLOOKUP(AD$2,Rango_Admin_DailyPred,MATCH($F8,Rango_Admin_DailyPred_Primera,0)+1,0),"-")</f>
        <v>-</v>
      </c>
      <c r="AE8" s="717" t="str">
        <f ca="1">IFERROR(VLOOKUP(AE$2,Rango_Admin_DailyPred,MATCH($F8,Rango_Admin_DailyPred_Primera,0)+1,0),"-")</f>
        <v>-</v>
      </c>
      <c r="AF8" s="717" t="str">
        <f ca="1">IFERROR(VLOOKUP(AF$2,Rango_Admin_DailyPred,MATCH($F8,Rango_Admin_DailyPred_Primera,0)+1,0),"-")</f>
        <v>-</v>
      </c>
      <c r="AG8" s="717" t="str">
        <f ca="1">IFERROR(VLOOKUP(AG$2,Rango_Admin_DailyPred,MATCH($F8,Rango_Admin_DailyPred_Primera,0)+1,0),"-")</f>
        <v>-</v>
      </c>
      <c r="AH8" s="717" t="str">
        <f ca="1">IFERROR(VLOOKUP(AH$2,Rango_Admin_DailyPred,MATCH($F8,Rango_Admin_DailyPred_Primera,0)+1,0),"-")</f>
        <v>-</v>
      </c>
      <c r="AI8" s="717" t="str">
        <f ca="1">IFERROR(VLOOKUP(AI$2,Rango_Admin_DailyPred,MATCH($F8,Rango_Admin_DailyPred_Primera,0)+1,0),"-")</f>
        <v>-</v>
      </c>
      <c r="AJ8" s="717" t="str">
        <f ca="1">IFERROR(VLOOKUP(AJ$2,Rango_Admin_DailyPred,MATCH($F8,Rango_Admin_DailyPred_Primera,0)+1,0),"-")</f>
        <v>-</v>
      </c>
      <c r="AK8" s="717" t="str">
        <f ca="1">IFERROR(VLOOKUP(AK$2,Rango_Admin_DailyPred,MATCH($F8,Rango_Admin_DailyPred_Primera,0)+1,0),"-")</f>
        <v>-</v>
      </c>
      <c r="AL8" s="717" t="str">
        <f ca="1">IFERROR(VLOOKUP(AL$2,Rango_Admin_DailyPred,MATCH($F8,Rango_Admin_DailyPred_Primera,0)+1,0),"-")</f>
        <v>-</v>
      </c>
      <c r="AM8" s="717" t="str">
        <f ca="1">IFERROR(VLOOKUP(AM$2,Rango_Admin_DailyPred,MATCH($F8,Rango_Admin_DailyPred_Primera,0)+1,0),"-")</f>
        <v>-</v>
      </c>
      <c r="AN8" s="295"/>
    </row>
    <row r="9" spans="1:40">
      <c r="A9" s="7" t="str" cm="1">
        <f t="array" aca="1" ref="A9" ca="1">IFERROR(INDEX(ADMIN!$K$6:$K$258,SMALL(IF(ADMIN!$G$6:$G$258=$K$1,ROW(ADMIN!$G$6:$G$258)-ROW(ADMIN!$G$6)+1),ROWS($A$1:A6))),"")</f>
        <v/>
      </c>
      <c r="B9" s="7"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89"/>
      <c r="E9" s="781">
        <f ca="1">IFERROR(HLOOKUP(C9,Rango_Admin_DailyClas,3,FALSE),"-")</f>
        <v>1</v>
      </c>
      <c r="F9" s="772" t="str">
        <f ca="1">IFERROR(HLOOKUP(C9,Rango_Admin_DailyClas,5,FALSE),"-")</f>
        <v>Anthony Pinto</v>
      </c>
      <c r="G9" s="768">
        <f ca="1">IFERROR(HLOOKUP(C9,Rango_Admin_DailyClas,4,FALSE),"-")</f>
        <v>0</v>
      </c>
      <c r="H9" s="717">
        <f ca="1">IFERROR(VLOOKUP(H$2,Rango_Admin_DailyPred,MATCH($F9,Rango_Admin_DailyPred_Primera,0)+1,0),"-")</f>
        <v>0</v>
      </c>
      <c r="I9" s="717">
        <f ca="1">IFERROR(VLOOKUP(I$2,Rango_Admin_DailyPred,MATCH($F9,Rango_Admin_DailyPred_Primera,0)+1,0),"-")</f>
        <v>0</v>
      </c>
      <c r="J9" s="717">
        <f ca="1">IFERROR(VLOOKUP(J$2,Rango_Admin_DailyPred,MATCH($F9,Rango_Admin_DailyPred_Primera,0)+1,0),"-")</f>
        <v>0</v>
      </c>
      <c r="K9" s="717">
        <f ca="1">IFERROR(VLOOKUP(K$2,Rango_Admin_DailyPred,MATCH($F9,Rango_Admin_DailyPred_Primera,0)+1,0),"-")</f>
        <v>0</v>
      </c>
      <c r="L9" s="717" t="str">
        <f ca="1">IFERROR(VLOOKUP(L$2,Rango_Admin_DailyPred,MATCH($F9,Rango_Admin_DailyPred_Primera,0)+1,0),"-")</f>
        <v>-</v>
      </c>
      <c r="M9" s="717" t="str">
        <f ca="1">IFERROR(VLOOKUP(M$2,Rango_Admin_DailyPred,MATCH($F9,Rango_Admin_DailyPred_Primera,0)+1,0),"-")</f>
        <v>-</v>
      </c>
      <c r="N9" s="717" t="str">
        <f ca="1">IFERROR(VLOOKUP(N$2,Rango_Admin_DailyPred,MATCH($F9,Rango_Admin_DailyPred_Primera,0)+1,0),"-")</f>
        <v>-</v>
      </c>
      <c r="O9" s="717" t="str">
        <f ca="1">IFERROR(VLOOKUP(O$2,Rango_Admin_DailyPred,MATCH($F9,Rango_Admin_DailyPred_Primera,0)+1,0),"-")</f>
        <v>-</v>
      </c>
      <c r="P9" s="717" t="str">
        <f ca="1">IFERROR(VLOOKUP(P$2,Rango_Admin_DailyPred,MATCH($F9,Rango_Admin_DailyPred_Primera,0)+1,0),"-")</f>
        <v>-</v>
      </c>
      <c r="Q9" s="717" t="str">
        <f ca="1">IFERROR(VLOOKUP(Q$2,Rango_Admin_DailyPred,MATCH($F9,Rango_Admin_DailyPred_Primera,0)+1,0),"-")</f>
        <v>-</v>
      </c>
      <c r="R9" s="717" t="str">
        <f ca="1">IFERROR(VLOOKUP(R$2,Rango_Admin_DailyPred,MATCH($F9,Rango_Admin_DailyPred_Primera,0)+1,0),"-")</f>
        <v>-</v>
      </c>
      <c r="S9" s="717" t="str">
        <f ca="1">IFERROR(VLOOKUP(S$2,Rango_Admin_DailyPred,MATCH($F9,Rango_Admin_DailyPred_Primera,0)+1,0),"-")</f>
        <v>-</v>
      </c>
      <c r="T9" s="717" t="str">
        <f ca="1">IFERROR(VLOOKUP(T$2,Rango_Admin_DailyPred,MATCH($F9,Rango_Admin_DailyPred_Primera,0)+1,0),"-")</f>
        <v>-</v>
      </c>
      <c r="U9" s="717" t="str">
        <f ca="1">IFERROR(VLOOKUP(U$2,Rango_Admin_DailyPred,MATCH($F9,Rango_Admin_DailyPred_Primera,0)+1,0),"-")</f>
        <v>-</v>
      </c>
      <c r="V9" s="717" t="str">
        <f ca="1">IFERROR(VLOOKUP(V$2,Rango_Admin_DailyPred,MATCH($F9,Rango_Admin_DailyPred_Primera,0)+1,0),"-")</f>
        <v>-</v>
      </c>
      <c r="W9" s="717" t="str">
        <f ca="1">IFERROR(VLOOKUP(W$2,Rango_Admin_DailyPred,MATCH($F9,Rango_Admin_DailyPred_Primera,0)+1,0),"-")</f>
        <v>-</v>
      </c>
      <c r="X9" s="717" t="str">
        <f ca="1">IFERROR(VLOOKUP(X$2,Rango_Admin_DailyPred,MATCH($F9,Rango_Admin_DailyPred_Primera,0)+1,0),"-")</f>
        <v>-</v>
      </c>
      <c r="Y9" s="717" t="str">
        <f ca="1">IFERROR(VLOOKUP(Y$2,Rango_Admin_DailyPred,MATCH($F9,Rango_Admin_DailyPred_Primera,0)+1,0),"-")</f>
        <v>-</v>
      </c>
      <c r="Z9" s="717" t="str">
        <f ca="1">IFERROR(VLOOKUP(Z$2,Rango_Admin_DailyPred,MATCH($F9,Rango_Admin_DailyPred_Primera,0)+1,0),"-")</f>
        <v>-</v>
      </c>
      <c r="AA9" s="717" t="str">
        <f ca="1">IFERROR(VLOOKUP(AA$2,Rango_Admin_DailyPred,MATCH($F9,Rango_Admin_DailyPred_Primera,0)+1,0),"-")</f>
        <v>-</v>
      </c>
      <c r="AB9" s="717" t="str">
        <f ca="1">IFERROR(VLOOKUP(AB$2,Rango_Admin_DailyPred,MATCH($F9,Rango_Admin_DailyPred_Primera,0)+1,0),"-")</f>
        <v>-</v>
      </c>
      <c r="AC9" s="717" t="str">
        <f ca="1">IFERROR(VLOOKUP(AC$2,Rango_Admin_DailyPred,MATCH($F9,Rango_Admin_DailyPred_Primera,0)+1,0),"-")</f>
        <v>-</v>
      </c>
      <c r="AD9" s="717" t="str">
        <f ca="1">IFERROR(VLOOKUP(AD$2,Rango_Admin_DailyPred,MATCH($F9,Rango_Admin_DailyPred_Primera,0)+1,0),"-")</f>
        <v>-</v>
      </c>
      <c r="AE9" s="717" t="str">
        <f ca="1">IFERROR(VLOOKUP(AE$2,Rango_Admin_DailyPred,MATCH($F9,Rango_Admin_DailyPred_Primera,0)+1,0),"-")</f>
        <v>-</v>
      </c>
      <c r="AF9" s="717" t="str">
        <f ca="1">IFERROR(VLOOKUP(AF$2,Rango_Admin_DailyPred,MATCH($F9,Rango_Admin_DailyPred_Primera,0)+1,0),"-")</f>
        <v>-</v>
      </c>
      <c r="AG9" s="717" t="str">
        <f ca="1">IFERROR(VLOOKUP(AG$2,Rango_Admin_DailyPred,MATCH($F9,Rango_Admin_DailyPred_Primera,0)+1,0),"-")</f>
        <v>-</v>
      </c>
      <c r="AH9" s="717" t="str">
        <f ca="1">IFERROR(VLOOKUP(AH$2,Rango_Admin_DailyPred,MATCH($F9,Rango_Admin_DailyPred_Primera,0)+1,0),"-")</f>
        <v>-</v>
      </c>
      <c r="AI9" s="717" t="str">
        <f ca="1">IFERROR(VLOOKUP(AI$2,Rango_Admin_DailyPred,MATCH($F9,Rango_Admin_DailyPred_Primera,0)+1,0),"-")</f>
        <v>-</v>
      </c>
      <c r="AJ9" s="717" t="str">
        <f ca="1">IFERROR(VLOOKUP(AJ$2,Rango_Admin_DailyPred,MATCH($F9,Rango_Admin_DailyPred_Primera,0)+1,0),"-")</f>
        <v>-</v>
      </c>
      <c r="AK9" s="717" t="str">
        <f ca="1">IFERROR(VLOOKUP(AK$2,Rango_Admin_DailyPred,MATCH($F9,Rango_Admin_DailyPred_Primera,0)+1,0),"-")</f>
        <v>-</v>
      </c>
      <c r="AL9" s="717" t="str">
        <f ca="1">IFERROR(VLOOKUP(AL$2,Rango_Admin_DailyPred,MATCH($F9,Rango_Admin_DailyPred_Primera,0)+1,0),"-")</f>
        <v>-</v>
      </c>
      <c r="AM9" s="717" t="str">
        <f ca="1">IFERROR(VLOOKUP(AM$2,Rango_Admin_DailyPred,MATCH($F9,Rango_Admin_DailyPred_Primera,0)+1,0),"-")</f>
        <v>-</v>
      </c>
      <c r="AN9" s="295"/>
    </row>
    <row r="10" spans="1:40">
      <c r="A10" s="7" t="str" cm="1">
        <f t="array" aca="1" ref="A10" ca="1">IFERROR(INDEX(ADMIN!$K$6:$K$258,SMALL(IF(ADMIN!$G$6:$G$258=$K$1,ROW(ADMIN!$G$6:$G$258)-ROW(ADMIN!$G$6)+1),ROWS($A$1:A7))),"")</f>
        <v/>
      </c>
      <c r="B10" s="7"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89"/>
      <c r="E10" s="781">
        <f ca="1">IFERROR(HLOOKUP(C10,Rango_Admin_DailyClas,3,FALSE),"-")</f>
        <v>1</v>
      </c>
      <c r="F10" s="772" t="str">
        <f ca="1">IFERROR(HLOOKUP(C10,Rango_Admin_DailyClas,5,FALSE),"-")</f>
        <v>CarBitos</v>
      </c>
      <c r="G10" s="768">
        <f ca="1">IFERROR(HLOOKUP(C10,Rango_Admin_DailyClas,4,FALSE),"-")</f>
        <v>0</v>
      </c>
      <c r="H10" s="717">
        <f ca="1">IFERROR(VLOOKUP(H$2,Rango_Admin_DailyPred,MATCH($F10,Rango_Admin_DailyPred_Primera,0)+1,0),"-")</f>
        <v>0</v>
      </c>
      <c r="I10" s="717">
        <f ca="1">IFERROR(VLOOKUP(I$2,Rango_Admin_DailyPred,MATCH($F10,Rango_Admin_DailyPred_Primera,0)+1,0),"-")</f>
        <v>0</v>
      </c>
      <c r="J10" s="717">
        <f ca="1">IFERROR(VLOOKUP(J$2,Rango_Admin_DailyPred,MATCH($F10,Rango_Admin_DailyPred_Primera,0)+1,0),"-")</f>
        <v>0</v>
      </c>
      <c r="K10" s="717">
        <f ca="1">IFERROR(VLOOKUP(K$2,Rango_Admin_DailyPred,MATCH($F10,Rango_Admin_DailyPred_Primera,0)+1,0),"-")</f>
        <v>0</v>
      </c>
      <c r="L10" s="717" t="str">
        <f ca="1">IFERROR(VLOOKUP(L$2,Rango_Admin_DailyPred,MATCH($F10,Rango_Admin_DailyPred_Primera,0)+1,0),"-")</f>
        <v>-</v>
      </c>
      <c r="M10" s="717" t="str">
        <f ca="1">IFERROR(VLOOKUP(M$2,Rango_Admin_DailyPred,MATCH($F10,Rango_Admin_DailyPred_Primera,0)+1,0),"-")</f>
        <v>-</v>
      </c>
      <c r="N10" s="717" t="str">
        <f ca="1">IFERROR(VLOOKUP(N$2,Rango_Admin_DailyPred,MATCH($F10,Rango_Admin_DailyPred_Primera,0)+1,0),"-")</f>
        <v>-</v>
      </c>
      <c r="O10" s="717" t="str">
        <f ca="1">IFERROR(VLOOKUP(O$2,Rango_Admin_DailyPred,MATCH($F10,Rango_Admin_DailyPred_Primera,0)+1,0),"-")</f>
        <v>-</v>
      </c>
      <c r="P10" s="717" t="str">
        <f ca="1">IFERROR(VLOOKUP(P$2,Rango_Admin_DailyPred,MATCH($F10,Rango_Admin_DailyPred_Primera,0)+1,0),"-")</f>
        <v>-</v>
      </c>
      <c r="Q10" s="717" t="str">
        <f ca="1">IFERROR(VLOOKUP(Q$2,Rango_Admin_DailyPred,MATCH($F10,Rango_Admin_DailyPred_Primera,0)+1,0),"-")</f>
        <v>-</v>
      </c>
      <c r="R10" s="717" t="str">
        <f ca="1">IFERROR(VLOOKUP(R$2,Rango_Admin_DailyPred,MATCH($F10,Rango_Admin_DailyPred_Primera,0)+1,0),"-")</f>
        <v>-</v>
      </c>
      <c r="S10" s="717" t="str">
        <f ca="1">IFERROR(VLOOKUP(S$2,Rango_Admin_DailyPred,MATCH($F10,Rango_Admin_DailyPred_Primera,0)+1,0),"-")</f>
        <v>-</v>
      </c>
      <c r="T10" s="717" t="str">
        <f ca="1">IFERROR(VLOOKUP(T$2,Rango_Admin_DailyPred,MATCH($F10,Rango_Admin_DailyPred_Primera,0)+1,0),"-")</f>
        <v>-</v>
      </c>
      <c r="U10" s="717" t="str">
        <f ca="1">IFERROR(VLOOKUP(U$2,Rango_Admin_DailyPred,MATCH($F10,Rango_Admin_DailyPred_Primera,0)+1,0),"-")</f>
        <v>-</v>
      </c>
      <c r="V10" s="717" t="str">
        <f ca="1">IFERROR(VLOOKUP(V$2,Rango_Admin_DailyPred,MATCH($F10,Rango_Admin_DailyPred_Primera,0)+1,0),"-")</f>
        <v>-</v>
      </c>
      <c r="W10" s="717" t="str">
        <f ca="1">IFERROR(VLOOKUP(W$2,Rango_Admin_DailyPred,MATCH($F10,Rango_Admin_DailyPred_Primera,0)+1,0),"-")</f>
        <v>-</v>
      </c>
      <c r="X10" s="717" t="str">
        <f ca="1">IFERROR(VLOOKUP(X$2,Rango_Admin_DailyPred,MATCH($F10,Rango_Admin_DailyPred_Primera,0)+1,0),"-")</f>
        <v>-</v>
      </c>
      <c r="Y10" s="717" t="str">
        <f ca="1">IFERROR(VLOOKUP(Y$2,Rango_Admin_DailyPred,MATCH($F10,Rango_Admin_DailyPred_Primera,0)+1,0),"-")</f>
        <v>-</v>
      </c>
      <c r="Z10" s="717" t="str">
        <f ca="1">IFERROR(VLOOKUP(Z$2,Rango_Admin_DailyPred,MATCH($F10,Rango_Admin_DailyPred_Primera,0)+1,0),"-")</f>
        <v>-</v>
      </c>
      <c r="AA10" s="717" t="str">
        <f ca="1">IFERROR(VLOOKUP(AA$2,Rango_Admin_DailyPred,MATCH($F10,Rango_Admin_DailyPred_Primera,0)+1,0),"-")</f>
        <v>-</v>
      </c>
      <c r="AB10" s="717" t="str">
        <f ca="1">IFERROR(VLOOKUP(AB$2,Rango_Admin_DailyPred,MATCH($F10,Rango_Admin_DailyPred_Primera,0)+1,0),"-")</f>
        <v>-</v>
      </c>
      <c r="AC10" s="717" t="str">
        <f ca="1">IFERROR(VLOOKUP(AC$2,Rango_Admin_DailyPred,MATCH($F10,Rango_Admin_DailyPred_Primera,0)+1,0),"-")</f>
        <v>-</v>
      </c>
      <c r="AD10" s="717" t="str">
        <f ca="1">IFERROR(VLOOKUP(AD$2,Rango_Admin_DailyPred,MATCH($F10,Rango_Admin_DailyPred_Primera,0)+1,0),"-")</f>
        <v>-</v>
      </c>
      <c r="AE10" s="717" t="str">
        <f ca="1">IFERROR(VLOOKUP(AE$2,Rango_Admin_DailyPred,MATCH($F10,Rango_Admin_DailyPred_Primera,0)+1,0),"-")</f>
        <v>-</v>
      </c>
      <c r="AF10" s="717" t="str">
        <f ca="1">IFERROR(VLOOKUP(AF$2,Rango_Admin_DailyPred,MATCH($F10,Rango_Admin_DailyPred_Primera,0)+1,0),"-")</f>
        <v>-</v>
      </c>
      <c r="AG10" s="717" t="str">
        <f ca="1">IFERROR(VLOOKUP(AG$2,Rango_Admin_DailyPred,MATCH($F10,Rango_Admin_DailyPred_Primera,0)+1,0),"-")</f>
        <v>-</v>
      </c>
      <c r="AH10" s="717" t="str">
        <f ca="1">IFERROR(VLOOKUP(AH$2,Rango_Admin_DailyPred,MATCH($F10,Rango_Admin_DailyPred_Primera,0)+1,0),"-")</f>
        <v>-</v>
      </c>
      <c r="AI10" s="717" t="str">
        <f ca="1">IFERROR(VLOOKUP(AI$2,Rango_Admin_DailyPred,MATCH($F10,Rango_Admin_DailyPred_Primera,0)+1,0),"-")</f>
        <v>-</v>
      </c>
      <c r="AJ10" s="717" t="str">
        <f ca="1">IFERROR(VLOOKUP(AJ$2,Rango_Admin_DailyPred,MATCH($F10,Rango_Admin_DailyPred_Primera,0)+1,0),"-")</f>
        <v>-</v>
      </c>
      <c r="AK10" s="717" t="str">
        <f ca="1">IFERROR(VLOOKUP(AK$2,Rango_Admin_DailyPred,MATCH($F10,Rango_Admin_DailyPred_Primera,0)+1,0),"-")</f>
        <v>-</v>
      </c>
      <c r="AL10" s="717" t="str">
        <f ca="1">IFERROR(VLOOKUP(AL$2,Rango_Admin_DailyPred,MATCH($F10,Rango_Admin_DailyPred_Primera,0)+1,0),"-")</f>
        <v>-</v>
      </c>
      <c r="AM10" s="717" t="str">
        <f ca="1">IFERROR(VLOOKUP(AM$2,Rango_Admin_DailyPred,MATCH($F10,Rango_Admin_DailyPred_Primera,0)+1,0),"-")</f>
        <v>-</v>
      </c>
      <c r="AN10" s="295"/>
    </row>
    <row r="11" spans="1:40">
      <c r="A11" s="7" t="str" cm="1">
        <f t="array" aca="1" ref="A11" ca="1">IFERROR(INDEX(ADMIN!$K$6:$K$258,SMALL(IF(ADMIN!$G$6:$G$258=$K$1,ROW(ADMIN!$G$6:$G$258)-ROW(ADMIN!$G$6)+1),ROWS($A$1:A8))),"")</f>
        <v/>
      </c>
      <c r="B11" s="7"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89"/>
      <c r="E11" s="781">
        <f ca="1">IFERROR(HLOOKUP(C11,Rango_Admin_DailyClas,3,FALSE),"-")</f>
        <v>1</v>
      </c>
      <c r="F11" s="772" t="str">
        <f ca="1">IFERROR(HLOOKUP(C11,Rango_Admin_DailyClas,5,FALSE),"-")</f>
        <v>Carlos Quintero</v>
      </c>
      <c r="G11" s="768">
        <f ca="1">IFERROR(HLOOKUP(C11,Rango_Admin_DailyClas,4,FALSE),"-")</f>
        <v>0</v>
      </c>
      <c r="H11" s="717">
        <f ca="1">IFERROR(VLOOKUP(H$2,Rango_Admin_DailyPred,MATCH($F11,Rango_Admin_DailyPred_Primera,0)+1,0),"-")</f>
        <v>0</v>
      </c>
      <c r="I11" s="717">
        <f ca="1">IFERROR(VLOOKUP(I$2,Rango_Admin_DailyPred,MATCH($F11,Rango_Admin_DailyPred_Primera,0)+1,0),"-")</f>
        <v>0</v>
      </c>
      <c r="J11" s="717">
        <f ca="1">IFERROR(VLOOKUP(J$2,Rango_Admin_DailyPred,MATCH($F11,Rango_Admin_DailyPred_Primera,0)+1,0),"-")</f>
        <v>0</v>
      </c>
      <c r="K11" s="717">
        <f ca="1">IFERROR(VLOOKUP(K$2,Rango_Admin_DailyPred,MATCH($F11,Rango_Admin_DailyPred_Primera,0)+1,0),"-")</f>
        <v>0</v>
      </c>
      <c r="L11" s="717" t="str">
        <f ca="1">IFERROR(VLOOKUP(L$2,Rango_Admin_DailyPred,MATCH($F11,Rango_Admin_DailyPred_Primera,0)+1,0),"-")</f>
        <v>-</v>
      </c>
      <c r="M11" s="717" t="str">
        <f ca="1">IFERROR(VLOOKUP(M$2,Rango_Admin_DailyPred,MATCH($F11,Rango_Admin_DailyPred_Primera,0)+1,0),"-")</f>
        <v>-</v>
      </c>
      <c r="N11" s="717" t="str">
        <f ca="1">IFERROR(VLOOKUP(N$2,Rango_Admin_DailyPred,MATCH($F11,Rango_Admin_DailyPred_Primera,0)+1,0),"-")</f>
        <v>-</v>
      </c>
      <c r="O11" s="717" t="str">
        <f ca="1">IFERROR(VLOOKUP(O$2,Rango_Admin_DailyPred,MATCH($F11,Rango_Admin_DailyPred_Primera,0)+1,0),"-")</f>
        <v>-</v>
      </c>
      <c r="P11" s="717" t="str">
        <f ca="1">IFERROR(VLOOKUP(P$2,Rango_Admin_DailyPred,MATCH($F11,Rango_Admin_DailyPred_Primera,0)+1,0),"-")</f>
        <v>-</v>
      </c>
      <c r="Q11" s="717" t="str">
        <f ca="1">IFERROR(VLOOKUP(Q$2,Rango_Admin_DailyPred,MATCH($F11,Rango_Admin_DailyPred_Primera,0)+1,0),"-")</f>
        <v>-</v>
      </c>
      <c r="R11" s="717" t="str">
        <f ca="1">IFERROR(VLOOKUP(R$2,Rango_Admin_DailyPred,MATCH($F11,Rango_Admin_DailyPred_Primera,0)+1,0),"-")</f>
        <v>-</v>
      </c>
      <c r="S11" s="717" t="str">
        <f ca="1">IFERROR(VLOOKUP(S$2,Rango_Admin_DailyPred,MATCH($F11,Rango_Admin_DailyPred_Primera,0)+1,0),"-")</f>
        <v>-</v>
      </c>
      <c r="T11" s="717" t="str">
        <f ca="1">IFERROR(VLOOKUP(T$2,Rango_Admin_DailyPred,MATCH($F11,Rango_Admin_DailyPred_Primera,0)+1,0),"-")</f>
        <v>-</v>
      </c>
      <c r="U11" s="717" t="str">
        <f ca="1">IFERROR(VLOOKUP(U$2,Rango_Admin_DailyPred,MATCH($F11,Rango_Admin_DailyPred_Primera,0)+1,0),"-")</f>
        <v>-</v>
      </c>
      <c r="V11" s="717" t="str">
        <f ca="1">IFERROR(VLOOKUP(V$2,Rango_Admin_DailyPred,MATCH($F11,Rango_Admin_DailyPred_Primera,0)+1,0),"-")</f>
        <v>-</v>
      </c>
      <c r="W11" s="717" t="str">
        <f ca="1">IFERROR(VLOOKUP(W$2,Rango_Admin_DailyPred,MATCH($F11,Rango_Admin_DailyPred_Primera,0)+1,0),"-")</f>
        <v>-</v>
      </c>
      <c r="X11" s="717" t="str">
        <f ca="1">IFERROR(VLOOKUP(X$2,Rango_Admin_DailyPred,MATCH($F11,Rango_Admin_DailyPred_Primera,0)+1,0),"-")</f>
        <v>-</v>
      </c>
      <c r="Y11" s="717" t="str">
        <f ca="1">IFERROR(VLOOKUP(Y$2,Rango_Admin_DailyPred,MATCH($F11,Rango_Admin_DailyPred_Primera,0)+1,0),"-")</f>
        <v>-</v>
      </c>
      <c r="Z11" s="717" t="str">
        <f ca="1">IFERROR(VLOOKUP(Z$2,Rango_Admin_DailyPred,MATCH($F11,Rango_Admin_DailyPred_Primera,0)+1,0),"-")</f>
        <v>-</v>
      </c>
      <c r="AA11" s="717" t="str">
        <f ca="1">IFERROR(VLOOKUP(AA$2,Rango_Admin_DailyPred,MATCH($F11,Rango_Admin_DailyPred_Primera,0)+1,0),"-")</f>
        <v>-</v>
      </c>
      <c r="AB11" s="717" t="str">
        <f ca="1">IFERROR(VLOOKUP(AB$2,Rango_Admin_DailyPred,MATCH($F11,Rango_Admin_DailyPred_Primera,0)+1,0),"-")</f>
        <v>-</v>
      </c>
      <c r="AC11" s="717" t="str">
        <f ca="1">IFERROR(VLOOKUP(AC$2,Rango_Admin_DailyPred,MATCH($F11,Rango_Admin_DailyPred_Primera,0)+1,0),"-")</f>
        <v>-</v>
      </c>
      <c r="AD11" s="717" t="str">
        <f ca="1">IFERROR(VLOOKUP(AD$2,Rango_Admin_DailyPred,MATCH($F11,Rango_Admin_DailyPred_Primera,0)+1,0),"-")</f>
        <v>-</v>
      </c>
      <c r="AE11" s="717" t="str">
        <f ca="1">IFERROR(VLOOKUP(AE$2,Rango_Admin_DailyPred,MATCH($F11,Rango_Admin_DailyPred_Primera,0)+1,0),"-")</f>
        <v>-</v>
      </c>
      <c r="AF11" s="717" t="str">
        <f ca="1">IFERROR(VLOOKUP(AF$2,Rango_Admin_DailyPred,MATCH($F11,Rango_Admin_DailyPred_Primera,0)+1,0),"-")</f>
        <v>-</v>
      </c>
      <c r="AG11" s="717" t="str">
        <f ca="1">IFERROR(VLOOKUP(AG$2,Rango_Admin_DailyPred,MATCH($F11,Rango_Admin_DailyPred_Primera,0)+1,0),"-")</f>
        <v>-</v>
      </c>
      <c r="AH11" s="717" t="str">
        <f ca="1">IFERROR(VLOOKUP(AH$2,Rango_Admin_DailyPred,MATCH($F11,Rango_Admin_DailyPred_Primera,0)+1,0),"-")</f>
        <v>-</v>
      </c>
      <c r="AI11" s="717" t="str">
        <f ca="1">IFERROR(VLOOKUP(AI$2,Rango_Admin_DailyPred,MATCH($F11,Rango_Admin_DailyPred_Primera,0)+1,0),"-")</f>
        <v>-</v>
      </c>
      <c r="AJ11" s="717" t="str">
        <f ca="1">IFERROR(VLOOKUP(AJ$2,Rango_Admin_DailyPred,MATCH($F11,Rango_Admin_DailyPred_Primera,0)+1,0),"-")</f>
        <v>-</v>
      </c>
      <c r="AK11" s="717" t="str">
        <f ca="1">IFERROR(VLOOKUP(AK$2,Rango_Admin_DailyPred,MATCH($F11,Rango_Admin_DailyPred_Primera,0)+1,0),"-")</f>
        <v>-</v>
      </c>
      <c r="AL11" s="717" t="str">
        <f ca="1">IFERROR(VLOOKUP(AL$2,Rango_Admin_DailyPred,MATCH($F11,Rango_Admin_DailyPred_Primera,0)+1,0),"-")</f>
        <v>-</v>
      </c>
      <c r="AM11" s="717" t="str">
        <f ca="1">IFERROR(VLOOKUP(AM$2,Rango_Admin_DailyPred,MATCH($F11,Rango_Admin_DailyPred_Primera,0)+1,0),"-")</f>
        <v>-</v>
      </c>
      <c r="AN11" s="295"/>
    </row>
    <row r="12" spans="1:40">
      <c r="A12" s="7" t="str" cm="1">
        <f t="array" aca="1" ref="A12" ca="1">IFERROR(INDEX(ADMIN!$K$6:$K$258,SMALL(IF(ADMIN!$G$6:$G$258=$K$1,ROW(ADMIN!$G$6:$G$258)-ROW(ADMIN!$G$6)+1),ROWS($A$1:A9))),"")</f>
        <v/>
      </c>
      <c r="B12" s="7"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89"/>
      <c r="E12" s="781">
        <f ca="1">IFERROR(HLOOKUP(C12,Rango_Admin_DailyClas,3,FALSE),"-")</f>
        <v>1</v>
      </c>
      <c r="F12" s="772" t="str">
        <f ca="1">IFERROR(HLOOKUP(C12,Rango_Admin_DailyClas,5,FALSE),"-")</f>
        <v>The special one</v>
      </c>
      <c r="G12" s="768">
        <f ca="1">IFERROR(HLOOKUP(C12,Rango_Admin_DailyClas,4,FALSE),"-")</f>
        <v>0</v>
      </c>
      <c r="H12" s="717">
        <f ca="1">IFERROR(VLOOKUP(H$2,Rango_Admin_DailyPred,MATCH($F12,Rango_Admin_DailyPred_Primera,0)+1,0),"-")</f>
        <v>0</v>
      </c>
      <c r="I12" s="717">
        <f ca="1">IFERROR(VLOOKUP(I$2,Rango_Admin_DailyPred,MATCH($F12,Rango_Admin_DailyPred_Primera,0)+1,0),"-")</f>
        <v>0</v>
      </c>
      <c r="J12" s="717">
        <f ca="1">IFERROR(VLOOKUP(J$2,Rango_Admin_DailyPred,MATCH($F12,Rango_Admin_DailyPred_Primera,0)+1,0),"-")</f>
        <v>0</v>
      </c>
      <c r="K12" s="717">
        <f ca="1">IFERROR(VLOOKUP(K$2,Rango_Admin_DailyPred,MATCH($F12,Rango_Admin_DailyPred_Primera,0)+1,0),"-")</f>
        <v>0</v>
      </c>
      <c r="L12" s="717" t="str">
        <f ca="1">IFERROR(VLOOKUP(L$2,Rango_Admin_DailyPred,MATCH($F12,Rango_Admin_DailyPred_Primera,0)+1,0),"-")</f>
        <v>-</v>
      </c>
      <c r="M12" s="717" t="str">
        <f ca="1">IFERROR(VLOOKUP(M$2,Rango_Admin_DailyPred,MATCH($F12,Rango_Admin_DailyPred_Primera,0)+1,0),"-")</f>
        <v>-</v>
      </c>
      <c r="N12" s="717" t="str">
        <f ca="1">IFERROR(VLOOKUP(N$2,Rango_Admin_DailyPred,MATCH($F12,Rango_Admin_DailyPred_Primera,0)+1,0),"-")</f>
        <v>-</v>
      </c>
      <c r="O12" s="717" t="str">
        <f ca="1">IFERROR(VLOOKUP(O$2,Rango_Admin_DailyPred,MATCH($F12,Rango_Admin_DailyPred_Primera,0)+1,0),"-")</f>
        <v>-</v>
      </c>
      <c r="P12" s="717" t="str">
        <f ca="1">IFERROR(VLOOKUP(P$2,Rango_Admin_DailyPred,MATCH($F12,Rango_Admin_DailyPred_Primera,0)+1,0),"-")</f>
        <v>-</v>
      </c>
      <c r="Q12" s="717" t="str">
        <f ca="1">IFERROR(VLOOKUP(Q$2,Rango_Admin_DailyPred,MATCH($F12,Rango_Admin_DailyPred_Primera,0)+1,0),"-")</f>
        <v>-</v>
      </c>
      <c r="R12" s="717" t="str">
        <f ca="1">IFERROR(VLOOKUP(R$2,Rango_Admin_DailyPred,MATCH($F12,Rango_Admin_DailyPred_Primera,0)+1,0),"-")</f>
        <v>-</v>
      </c>
      <c r="S12" s="717" t="str">
        <f ca="1">IFERROR(VLOOKUP(S$2,Rango_Admin_DailyPred,MATCH($F12,Rango_Admin_DailyPred_Primera,0)+1,0),"-")</f>
        <v>-</v>
      </c>
      <c r="T12" s="717" t="str">
        <f ca="1">IFERROR(VLOOKUP(T$2,Rango_Admin_DailyPred,MATCH($F12,Rango_Admin_DailyPred_Primera,0)+1,0),"-")</f>
        <v>-</v>
      </c>
      <c r="U12" s="717" t="str">
        <f ca="1">IFERROR(VLOOKUP(U$2,Rango_Admin_DailyPred,MATCH($F12,Rango_Admin_DailyPred_Primera,0)+1,0),"-")</f>
        <v>-</v>
      </c>
      <c r="V12" s="717" t="str">
        <f ca="1">IFERROR(VLOOKUP(V$2,Rango_Admin_DailyPred,MATCH($F12,Rango_Admin_DailyPred_Primera,0)+1,0),"-")</f>
        <v>-</v>
      </c>
      <c r="W12" s="717" t="str">
        <f ca="1">IFERROR(VLOOKUP(W$2,Rango_Admin_DailyPred,MATCH($F12,Rango_Admin_DailyPred_Primera,0)+1,0),"-")</f>
        <v>-</v>
      </c>
      <c r="X12" s="717" t="str">
        <f ca="1">IFERROR(VLOOKUP(X$2,Rango_Admin_DailyPred,MATCH($F12,Rango_Admin_DailyPred_Primera,0)+1,0),"-")</f>
        <v>-</v>
      </c>
      <c r="Y12" s="717" t="str">
        <f ca="1">IFERROR(VLOOKUP(Y$2,Rango_Admin_DailyPred,MATCH($F12,Rango_Admin_DailyPred_Primera,0)+1,0),"-")</f>
        <v>-</v>
      </c>
      <c r="Z12" s="717" t="str">
        <f ca="1">IFERROR(VLOOKUP(Z$2,Rango_Admin_DailyPred,MATCH($F12,Rango_Admin_DailyPred_Primera,0)+1,0),"-")</f>
        <v>-</v>
      </c>
      <c r="AA12" s="717" t="str">
        <f ca="1">IFERROR(VLOOKUP(AA$2,Rango_Admin_DailyPred,MATCH($F12,Rango_Admin_DailyPred_Primera,0)+1,0),"-")</f>
        <v>-</v>
      </c>
      <c r="AB12" s="717" t="str">
        <f ca="1">IFERROR(VLOOKUP(AB$2,Rango_Admin_DailyPred,MATCH($F12,Rango_Admin_DailyPred_Primera,0)+1,0),"-")</f>
        <v>-</v>
      </c>
      <c r="AC12" s="717" t="str">
        <f ca="1">IFERROR(VLOOKUP(AC$2,Rango_Admin_DailyPred,MATCH($F12,Rango_Admin_DailyPred_Primera,0)+1,0),"-")</f>
        <v>-</v>
      </c>
      <c r="AD12" s="717" t="str">
        <f ca="1">IFERROR(VLOOKUP(AD$2,Rango_Admin_DailyPred,MATCH($F12,Rango_Admin_DailyPred_Primera,0)+1,0),"-")</f>
        <v>-</v>
      </c>
      <c r="AE12" s="717" t="str">
        <f ca="1">IFERROR(VLOOKUP(AE$2,Rango_Admin_DailyPred,MATCH($F12,Rango_Admin_DailyPred_Primera,0)+1,0),"-")</f>
        <v>-</v>
      </c>
      <c r="AF12" s="717" t="str">
        <f ca="1">IFERROR(VLOOKUP(AF$2,Rango_Admin_DailyPred,MATCH($F12,Rango_Admin_DailyPred_Primera,0)+1,0),"-")</f>
        <v>-</v>
      </c>
      <c r="AG12" s="717" t="str">
        <f ca="1">IFERROR(VLOOKUP(AG$2,Rango_Admin_DailyPred,MATCH($F12,Rango_Admin_DailyPred_Primera,0)+1,0),"-")</f>
        <v>-</v>
      </c>
      <c r="AH12" s="717" t="str">
        <f ca="1">IFERROR(VLOOKUP(AH$2,Rango_Admin_DailyPred,MATCH($F12,Rango_Admin_DailyPred_Primera,0)+1,0),"-")</f>
        <v>-</v>
      </c>
      <c r="AI12" s="717" t="str">
        <f ca="1">IFERROR(VLOOKUP(AI$2,Rango_Admin_DailyPred,MATCH($F12,Rango_Admin_DailyPred_Primera,0)+1,0),"-")</f>
        <v>-</v>
      </c>
      <c r="AJ12" s="717" t="str">
        <f ca="1">IFERROR(VLOOKUP(AJ$2,Rango_Admin_DailyPred,MATCH($F12,Rango_Admin_DailyPred_Primera,0)+1,0),"-")</f>
        <v>-</v>
      </c>
      <c r="AK12" s="717" t="str">
        <f ca="1">IFERROR(VLOOKUP(AK$2,Rango_Admin_DailyPred,MATCH($F12,Rango_Admin_DailyPred_Primera,0)+1,0),"-")</f>
        <v>-</v>
      </c>
      <c r="AL12" s="717" t="str">
        <f ca="1">IFERROR(VLOOKUP(AL$2,Rango_Admin_DailyPred,MATCH($F12,Rango_Admin_DailyPred_Primera,0)+1,0),"-")</f>
        <v>-</v>
      </c>
      <c r="AM12" s="717" t="str">
        <f ca="1">IFERROR(VLOOKUP(AM$2,Rango_Admin_DailyPred,MATCH($F12,Rango_Admin_DailyPred_Primera,0)+1,0),"-")</f>
        <v>-</v>
      </c>
      <c r="AN12" s="295"/>
    </row>
    <row r="13" spans="1:40">
      <c r="A13" s="7" t="str" cm="1">
        <f t="array" aca="1" ref="A13" ca="1">IFERROR(INDEX(ADMIN!$K$6:$K$258,SMALL(IF(ADMIN!$G$6:$G$258=$K$1,ROW(ADMIN!$G$6:$G$258)-ROW(ADMIN!$G$6)+1),ROWS($A$1:A10))),"")</f>
        <v/>
      </c>
      <c r="B13" s="7"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89"/>
      <c r="E13" s="781">
        <f ca="1">IFERROR(HLOOKUP(C13,Rango_Admin_DailyClas,3,FALSE),"-")</f>
        <v>1</v>
      </c>
      <c r="F13" s="772" t="str">
        <f ca="1">IFERROR(HLOOKUP(C13,Rango_Admin_DailyClas,5,FALSE),"-")</f>
        <v>Enmanuel Subero</v>
      </c>
      <c r="G13" s="768">
        <f ca="1">IFERROR(HLOOKUP(C13,Rango_Admin_DailyClas,4,FALSE),"-")</f>
        <v>0</v>
      </c>
      <c r="H13" s="717">
        <f ca="1">IFERROR(VLOOKUP(H$2,Rango_Admin_DailyPred,MATCH($F13,Rango_Admin_DailyPred_Primera,0)+1,0),"-")</f>
        <v>0</v>
      </c>
      <c r="I13" s="717">
        <f ca="1">IFERROR(VLOOKUP(I$2,Rango_Admin_DailyPred,MATCH($F13,Rango_Admin_DailyPred_Primera,0)+1,0),"-")</f>
        <v>0</v>
      </c>
      <c r="J13" s="717">
        <f ca="1">IFERROR(VLOOKUP(J$2,Rango_Admin_DailyPred,MATCH($F13,Rango_Admin_DailyPred_Primera,0)+1,0),"-")</f>
        <v>0</v>
      </c>
      <c r="K13" s="717">
        <f ca="1">IFERROR(VLOOKUP(K$2,Rango_Admin_DailyPred,MATCH($F13,Rango_Admin_DailyPred_Primera,0)+1,0),"-")</f>
        <v>0</v>
      </c>
      <c r="L13" s="717" t="str">
        <f ca="1">IFERROR(VLOOKUP(L$2,Rango_Admin_DailyPred,MATCH($F13,Rango_Admin_DailyPred_Primera,0)+1,0),"-")</f>
        <v>-</v>
      </c>
      <c r="M13" s="717" t="str">
        <f ca="1">IFERROR(VLOOKUP(M$2,Rango_Admin_DailyPred,MATCH($F13,Rango_Admin_DailyPred_Primera,0)+1,0),"-")</f>
        <v>-</v>
      </c>
      <c r="N13" s="717" t="str">
        <f ca="1">IFERROR(VLOOKUP(N$2,Rango_Admin_DailyPred,MATCH($F13,Rango_Admin_DailyPred_Primera,0)+1,0),"-")</f>
        <v>-</v>
      </c>
      <c r="O13" s="717" t="str">
        <f ca="1">IFERROR(VLOOKUP(O$2,Rango_Admin_DailyPred,MATCH($F13,Rango_Admin_DailyPred_Primera,0)+1,0),"-")</f>
        <v>-</v>
      </c>
      <c r="P13" s="717" t="str">
        <f ca="1">IFERROR(VLOOKUP(P$2,Rango_Admin_DailyPred,MATCH($F13,Rango_Admin_DailyPred_Primera,0)+1,0),"-")</f>
        <v>-</v>
      </c>
      <c r="Q13" s="717" t="str">
        <f ca="1">IFERROR(VLOOKUP(Q$2,Rango_Admin_DailyPred,MATCH($F13,Rango_Admin_DailyPred_Primera,0)+1,0),"-")</f>
        <v>-</v>
      </c>
      <c r="R13" s="717" t="str">
        <f ca="1">IFERROR(VLOOKUP(R$2,Rango_Admin_DailyPred,MATCH($F13,Rango_Admin_DailyPred_Primera,0)+1,0),"-")</f>
        <v>-</v>
      </c>
      <c r="S13" s="717" t="str">
        <f ca="1">IFERROR(VLOOKUP(S$2,Rango_Admin_DailyPred,MATCH($F13,Rango_Admin_DailyPred_Primera,0)+1,0),"-")</f>
        <v>-</v>
      </c>
      <c r="T13" s="717" t="str">
        <f ca="1">IFERROR(VLOOKUP(T$2,Rango_Admin_DailyPred,MATCH($F13,Rango_Admin_DailyPred_Primera,0)+1,0),"-")</f>
        <v>-</v>
      </c>
      <c r="U13" s="717" t="str">
        <f ca="1">IFERROR(VLOOKUP(U$2,Rango_Admin_DailyPred,MATCH($F13,Rango_Admin_DailyPred_Primera,0)+1,0),"-")</f>
        <v>-</v>
      </c>
      <c r="V13" s="717" t="str">
        <f ca="1">IFERROR(VLOOKUP(V$2,Rango_Admin_DailyPred,MATCH($F13,Rango_Admin_DailyPred_Primera,0)+1,0),"-")</f>
        <v>-</v>
      </c>
      <c r="W13" s="717" t="str">
        <f ca="1">IFERROR(VLOOKUP(W$2,Rango_Admin_DailyPred,MATCH($F13,Rango_Admin_DailyPred_Primera,0)+1,0),"-")</f>
        <v>-</v>
      </c>
      <c r="X13" s="717" t="str">
        <f ca="1">IFERROR(VLOOKUP(X$2,Rango_Admin_DailyPred,MATCH($F13,Rango_Admin_DailyPred_Primera,0)+1,0),"-")</f>
        <v>-</v>
      </c>
      <c r="Y13" s="717" t="str">
        <f ca="1">IFERROR(VLOOKUP(Y$2,Rango_Admin_DailyPred,MATCH($F13,Rango_Admin_DailyPred_Primera,0)+1,0),"-")</f>
        <v>-</v>
      </c>
      <c r="Z13" s="717" t="str">
        <f ca="1">IFERROR(VLOOKUP(Z$2,Rango_Admin_DailyPred,MATCH($F13,Rango_Admin_DailyPred_Primera,0)+1,0),"-")</f>
        <v>-</v>
      </c>
      <c r="AA13" s="717" t="str">
        <f ca="1">IFERROR(VLOOKUP(AA$2,Rango_Admin_DailyPred,MATCH($F13,Rango_Admin_DailyPred_Primera,0)+1,0),"-")</f>
        <v>-</v>
      </c>
      <c r="AB13" s="717" t="str">
        <f ca="1">IFERROR(VLOOKUP(AB$2,Rango_Admin_DailyPred,MATCH($F13,Rango_Admin_DailyPred_Primera,0)+1,0),"-")</f>
        <v>-</v>
      </c>
      <c r="AC13" s="717" t="str">
        <f ca="1">IFERROR(VLOOKUP(AC$2,Rango_Admin_DailyPred,MATCH($F13,Rango_Admin_DailyPred_Primera,0)+1,0),"-")</f>
        <v>-</v>
      </c>
      <c r="AD13" s="717" t="str">
        <f ca="1">IFERROR(VLOOKUP(AD$2,Rango_Admin_DailyPred,MATCH($F13,Rango_Admin_DailyPred_Primera,0)+1,0),"-")</f>
        <v>-</v>
      </c>
      <c r="AE13" s="717" t="str">
        <f ca="1">IFERROR(VLOOKUP(AE$2,Rango_Admin_DailyPred,MATCH($F13,Rango_Admin_DailyPred_Primera,0)+1,0),"-")</f>
        <v>-</v>
      </c>
      <c r="AF13" s="717" t="str">
        <f ca="1">IFERROR(VLOOKUP(AF$2,Rango_Admin_DailyPred,MATCH($F13,Rango_Admin_DailyPred_Primera,0)+1,0),"-")</f>
        <v>-</v>
      </c>
      <c r="AG13" s="717" t="str">
        <f ca="1">IFERROR(VLOOKUP(AG$2,Rango_Admin_DailyPred,MATCH($F13,Rango_Admin_DailyPred_Primera,0)+1,0),"-")</f>
        <v>-</v>
      </c>
      <c r="AH13" s="717" t="str">
        <f ca="1">IFERROR(VLOOKUP(AH$2,Rango_Admin_DailyPred,MATCH($F13,Rango_Admin_DailyPred_Primera,0)+1,0),"-")</f>
        <v>-</v>
      </c>
      <c r="AI13" s="717" t="str">
        <f ca="1">IFERROR(VLOOKUP(AI$2,Rango_Admin_DailyPred,MATCH($F13,Rango_Admin_DailyPred_Primera,0)+1,0),"-")</f>
        <v>-</v>
      </c>
      <c r="AJ13" s="717" t="str">
        <f ca="1">IFERROR(VLOOKUP(AJ$2,Rango_Admin_DailyPred,MATCH($F13,Rango_Admin_DailyPred_Primera,0)+1,0),"-")</f>
        <v>-</v>
      </c>
      <c r="AK13" s="717" t="str">
        <f ca="1">IFERROR(VLOOKUP(AK$2,Rango_Admin_DailyPred,MATCH($F13,Rango_Admin_DailyPred_Primera,0)+1,0),"-")</f>
        <v>-</v>
      </c>
      <c r="AL13" s="717" t="str">
        <f ca="1">IFERROR(VLOOKUP(AL$2,Rango_Admin_DailyPred,MATCH($F13,Rango_Admin_DailyPred_Primera,0)+1,0),"-")</f>
        <v>-</v>
      </c>
      <c r="AM13" s="717" t="str">
        <f ca="1">IFERROR(VLOOKUP(AM$2,Rango_Admin_DailyPred,MATCH($F13,Rango_Admin_DailyPred_Primera,0)+1,0),"-")</f>
        <v>-</v>
      </c>
      <c r="AN13" s="295"/>
    </row>
    <row r="14" spans="1:40">
      <c r="A14" s="7" t="str" cm="1">
        <f t="array" aca="1" ref="A14" ca="1">IFERROR(INDEX(ADMIN!$K$6:$K$258,SMALL(IF(ADMIN!$G$6:$G$258=$K$1,ROW(ADMIN!$G$6:$G$258)-ROW(ADMIN!$G$6)+1),ROWS($A$1:A11))),"")</f>
        <v/>
      </c>
      <c r="B14" s="7"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89"/>
      <c r="E14" s="781">
        <f ca="1">IFERROR(HLOOKUP(C14,Rango_Admin_DailyClas,3,FALSE),"-")</f>
        <v>1</v>
      </c>
      <c r="F14" s="772" t="str">
        <f ca="1">IFERROR(HLOOKUP(C14,Rango_Admin_DailyClas,5,FALSE),"-")</f>
        <v>fenix</v>
      </c>
      <c r="G14" s="768">
        <f ca="1">IFERROR(HLOOKUP(C14,Rango_Admin_DailyClas,4,FALSE),"-")</f>
        <v>0</v>
      </c>
      <c r="H14" s="717">
        <f ca="1">IFERROR(VLOOKUP(H$2,Rango_Admin_DailyPred,MATCH($F14,Rango_Admin_DailyPred_Primera,0)+1,0),"-")</f>
        <v>0</v>
      </c>
      <c r="I14" s="717">
        <f ca="1">IFERROR(VLOOKUP(I$2,Rango_Admin_DailyPred,MATCH($F14,Rango_Admin_DailyPred_Primera,0)+1,0),"-")</f>
        <v>0</v>
      </c>
      <c r="J14" s="717">
        <f ca="1">IFERROR(VLOOKUP(J$2,Rango_Admin_DailyPred,MATCH($F14,Rango_Admin_DailyPred_Primera,0)+1,0),"-")</f>
        <v>0</v>
      </c>
      <c r="K14" s="717">
        <f ca="1">IFERROR(VLOOKUP(K$2,Rango_Admin_DailyPred,MATCH($F14,Rango_Admin_DailyPred_Primera,0)+1,0),"-")</f>
        <v>0</v>
      </c>
      <c r="L14" s="717" t="str">
        <f ca="1">IFERROR(VLOOKUP(L$2,Rango_Admin_DailyPred,MATCH($F14,Rango_Admin_DailyPred_Primera,0)+1,0),"-")</f>
        <v>-</v>
      </c>
      <c r="M14" s="717" t="str">
        <f ca="1">IFERROR(VLOOKUP(M$2,Rango_Admin_DailyPred,MATCH($F14,Rango_Admin_DailyPred_Primera,0)+1,0),"-")</f>
        <v>-</v>
      </c>
      <c r="N14" s="717" t="str">
        <f ca="1">IFERROR(VLOOKUP(N$2,Rango_Admin_DailyPred,MATCH($F14,Rango_Admin_DailyPred_Primera,0)+1,0),"-")</f>
        <v>-</v>
      </c>
      <c r="O14" s="717" t="str">
        <f ca="1">IFERROR(VLOOKUP(O$2,Rango_Admin_DailyPred,MATCH($F14,Rango_Admin_DailyPred_Primera,0)+1,0),"-")</f>
        <v>-</v>
      </c>
      <c r="P14" s="717" t="str">
        <f ca="1">IFERROR(VLOOKUP(P$2,Rango_Admin_DailyPred,MATCH($F14,Rango_Admin_DailyPred_Primera,0)+1,0),"-")</f>
        <v>-</v>
      </c>
      <c r="Q14" s="717" t="str">
        <f ca="1">IFERROR(VLOOKUP(Q$2,Rango_Admin_DailyPred,MATCH($F14,Rango_Admin_DailyPred_Primera,0)+1,0),"-")</f>
        <v>-</v>
      </c>
      <c r="R14" s="717" t="str">
        <f ca="1">IFERROR(VLOOKUP(R$2,Rango_Admin_DailyPred,MATCH($F14,Rango_Admin_DailyPred_Primera,0)+1,0),"-")</f>
        <v>-</v>
      </c>
      <c r="S14" s="717" t="str">
        <f ca="1">IFERROR(VLOOKUP(S$2,Rango_Admin_DailyPred,MATCH($F14,Rango_Admin_DailyPred_Primera,0)+1,0),"-")</f>
        <v>-</v>
      </c>
      <c r="T14" s="717" t="str">
        <f ca="1">IFERROR(VLOOKUP(T$2,Rango_Admin_DailyPred,MATCH($F14,Rango_Admin_DailyPred_Primera,0)+1,0),"-")</f>
        <v>-</v>
      </c>
      <c r="U14" s="717" t="str">
        <f ca="1">IFERROR(VLOOKUP(U$2,Rango_Admin_DailyPred,MATCH($F14,Rango_Admin_DailyPred_Primera,0)+1,0),"-")</f>
        <v>-</v>
      </c>
      <c r="V14" s="717" t="str">
        <f ca="1">IFERROR(VLOOKUP(V$2,Rango_Admin_DailyPred,MATCH($F14,Rango_Admin_DailyPred_Primera,0)+1,0),"-")</f>
        <v>-</v>
      </c>
      <c r="W14" s="717" t="str">
        <f ca="1">IFERROR(VLOOKUP(W$2,Rango_Admin_DailyPred,MATCH($F14,Rango_Admin_DailyPred_Primera,0)+1,0),"-")</f>
        <v>-</v>
      </c>
      <c r="X14" s="717" t="str">
        <f ca="1">IFERROR(VLOOKUP(X$2,Rango_Admin_DailyPred,MATCH($F14,Rango_Admin_DailyPred_Primera,0)+1,0),"-")</f>
        <v>-</v>
      </c>
      <c r="Y14" s="717" t="str">
        <f ca="1">IFERROR(VLOOKUP(Y$2,Rango_Admin_DailyPred,MATCH($F14,Rango_Admin_DailyPred_Primera,0)+1,0),"-")</f>
        <v>-</v>
      </c>
      <c r="Z14" s="717" t="str">
        <f ca="1">IFERROR(VLOOKUP(Z$2,Rango_Admin_DailyPred,MATCH($F14,Rango_Admin_DailyPred_Primera,0)+1,0),"-")</f>
        <v>-</v>
      </c>
      <c r="AA14" s="717" t="str">
        <f ca="1">IFERROR(VLOOKUP(AA$2,Rango_Admin_DailyPred,MATCH($F14,Rango_Admin_DailyPred_Primera,0)+1,0),"-")</f>
        <v>-</v>
      </c>
      <c r="AB14" s="717" t="str">
        <f ca="1">IFERROR(VLOOKUP(AB$2,Rango_Admin_DailyPred,MATCH($F14,Rango_Admin_DailyPred_Primera,0)+1,0),"-")</f>
        <v>-</v>
      </c>
      <c r="AC14" s="717" t="str">
        <f ca="1">IFERROR(VLOOKUP(AC$2,Rango_Admin_DailyPred,MATCH($F14,Rango_Admin_DailyPred_Primera,0)+1,0),"-")</f>
        <v>-</v>
      </c>
      <c r="AD14" s="717" t="str">
        <f ca="1">IFERROR(VLOOKUP(AD$2,Rango_Admin_DailyPred,MATCH($F14,Rango_Admin_DailyPred_Primera,0)+1,0),"-")</f>
        <v>-</v>
      </c>
      <c r="AE14" s="717" t="str">
        <f ca="1">IFERROR(VLOOKUP(AE$2,Rango_Admin_DailyPred,MATCH($F14,Rango_Admin_DailyPred_Primera,0)+1,0),"-")</f>
        <v>-</v>
      </c>
      <c r="AF14" s="717" t="str">
        <f ca="1">IFERROR(VLOOKUP(AF$2,Rango_Admin_DailyPred,MATCH($F14,Rango_Admin_DailyPred_Primera,0)+1,0),"-")</f>
        <v>-</v>
      </c>
      <c r="AG14" s="717" t="str">
        <f ca="1">IFERROR(VLOOKUP(AG$2,Rango_Admin_DailyPred,MATCH($F14,Rango_Admin_DailyPred_Primera,0)+1,0),"-")</f>
        <v>-</v>
      </c>
      <c r="AH14" s="717" t="str">
        <f ca="1">IFERROR(VLOOKUP(AH$2,Rango_Admin_DailyPred,MATCH($F14,Rango_Admin_DailyPred_Primera,0)+1,0),"-")</f>
        <v>-</v>
      </c>
      <c r="AI14" s="717" t="str">
        <f ca="1">IFERROR(VLOOKUP(AI$2,Rango_Admin_DailyPred,MATCH($F14,Rango_Admin_DailyPred_Primera,0)+1,0),"-")</f>
        <v>-</v>
      </c>
      <c r="AJ14" s="717" t="str">
        <f ca="1">IFERROR(VLOOKUP(AJ$2,Rango_Admin_DailyPred,MATCH($F14,Rango_Admin_DailyPred_Primera,0)+1,0),"-")</f>
        <v>-</v>
      </c>
      <c r="AK14" s="717" t="str">
        <f ca="1">IFERROR(VLOOKUP(AK$2,Rango_Admin_DailyPred,MATCH($F14,Rango_Admin_DailyPred_Primera,0)+1,0),"-")</f>
        <v>-</v>
      </c>
      <c r="AL14" s="717" t="str">
        <f ca="1">IFERROR(VLOOKUP(AL$2,Rango_Admin_DailyPred,MATCH($F14,Rango_Admin_DailyPred_Primera,0)+1,0),"-")</f>
        <v>-</v>
      </c>
      <c r="AM14" s="717" t="str">
        <f ca="1">IFERROR(VLOOKUP(AM$2,Rango_Admin_DailyPred,MATCH($F14,Rango_Admin_DailyPred_Primera,0)+1,0),"-")</f>
        <v>-</v>
      </c>
      <c r="AN14" s="295"/>
    </row>
    <row r="15" spans="1:40">
      <c r="A15" s="7" t="str" cm="1">
        <f t="array" aca="1" ref="A15" ca="1">IFERROR(INDEX(ADMIN!$K$6:$K$258,SMALL(IF(ADMIN!$G$6:$G$258=$K$1,ROW(ADMIN!$G$6:$G$258)-ROW(ADMIN!$G$6)+1),ROWS($A$1:A12))),"")</f>
        <v/>
      </c>
      <c r="B15" s="7"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89"/>
      <c r="E15" s="781">
        <f ca="1">IFERROR(HLOOKUP(C15,Rango_Admin_DailyClas,3,FALSE),"-")</f>
        <v>1</v>
      </c>
      <c r="F15" s="772" t="str">
        <f ca="1">IFERROR(HLOOKUP(C15,Rango_Admin_DailyClas,5,FALSE),"-")</f>
        <v>CazaPutas669</v>
      </c>
      <c r="G15" s="768">
        <f ca="1">IFERROR(HLOOKUP(C15,Rango_Admin_DailyClas,4,FALSE),"-")</f>
        <v>0</v>
      </c>
      <c r="H15" s="717">
        <f ca="1">IFERROR(VLOOKUP(H$2,Rango_Admin_DailyPred,MATCH($F15,Rango_Admin_DailyPred_Primera,0)+1,0),"-")</f>
        <v>0</v>
      </c>
      <c r="I15" s="717">
        <f ca="1">IFERROR(VLOOKUP(I$2,Rango_Admin_DailyPred,MATCH($F15,Rango_Admin_DailyPred_Primera,0)+1,0),"-")</f>
        <v>0</v>
      </c>
      <c r="J15" s="717">
        <f ca="1">IFERROR(VLOOKUP(J$2,Rango_Admin_DailyPred,MATCH($F15,Rango_Admin_DailyPred_Primera,0)+1,0),"-")</f>
        <v>0</v>
      </c>
      <c r="K15" s="717">
        <f ca="1">IFERROR(VLOOKUP(K$2,Rango_Admin_DailyPred,MATCH($F15,Rango_Admin_DailyPred_Primera,0)+1,0),"-")</f>
        <v>0</v>
      </c>
      <c r="L15" s="717" t="str">
        <f ca="1">IFERROR(VLOOKUP(L$2,Rango_Admin_DailyPred,MATCH($F15,Rango_Admin_DailyPred_Primera,0)+1,0),"-")</f>
        <v>-</v>
      </c>
      <c r="M15" s="717" t="str">
        <f ca="1">IFERROR(VLOOKUP(M$2,Rango_Admin_DailyPred,MATCH($F15,Rango_Admin_DailyPred_Primera,0)+1,0),"-")</f>
        <v>-</v>
      </c>
      <c r="N15" s="717" t="str">
        <f ca="1">IFERROR(VLOOKUP(N$2,Rango_Admin_DailyPred,MATCH($F15,Rango_Admin_DailyPred_Primera,0)+1,0),"-")</f>
        <v>-</v>
      </c>
      <c r="O15" s="717" t="str">
        <f ca="1">IFERROR(VLOOKUP(O$2,Rango_Admin_DailyPred,MATCH($F15,Rango_Admin_DailyPred_Primera,0)+1,0),"-")</f>
        <v>-</v>
      </c>
      <c r="P15" s="717" t="str">
        <f ca="1">IFERROR(VLOOKUP(P$2,Rango_Admin_DailyPred,MATCH($F15,Rango_Admin_DailyPred_Primera,0)+1,0),"-")</f>
        <v>-</v>
      </c>
      <c r="Q15" s="717" t="str">
        <f ca="1">IFERROR(VLOOKUP(Q$2,Rango_Admin_DailyPred,MATCH($F15,Rango_Admin_DailyPred_Primera,0)+1,0),"-")</f>
        <v>-</v>
      </c>
      <c r="R15" s="717" t="str">
        <f ca="1">IFERROR(VLOOKUP(R$2,Rango_Admin_DailyPred,MATCH($F15,Rango_Admin_DailyPred_Primera,0)+1,0),"-")</f>
        <v>-</v>
      </c>
      <c r="S15" s="717" t="str">
        <f ca="1">IFERROR(VLOOKUP(S$2,Rango_Admin_DailyPred,MATCH($F15,Rango_Admin_DailyPred_Primera,0)+1,0),"-")</f>
        <v>-</v>
      </c>
      <c r="T15" s="717" t="str">
        <f ca="1">IFERROR(VLOOKUP(T$2,Rango_Admin_DailyPred,MATCH($F15,Rango_Admin_DailyPred_Primera,0)+1,0),"-")</f>
        <v>-</v>
      </c>
      <c r="U15" s="717" t="str">
        <f ca="1">IFERROR(VLOOKUP(U$2,Rango_Admin_DailyPred,MATCH($F15,Rango_Admin_DailyPred_Primera,0)+1,0),"-")</f>
        <v>-</v>
      </c>
      <c r="V15" s="717" t="str">
        <f ca="1">IFERROR(VLOOKUP(V$2,Rango_Admin_DailyPred,MATCH($F15,Rango_Admin_DailyPred_Primera,0)+1,0),"-")</f>
        <v>-</v>
      </c>
      <c r="W15" s="717" t="str">
        <f ca="1">IFERROR(VLOOKUP(W$2,Rango_Admin_DailyPred,MATCH($F15,Rango_Admin_DailyPred_Primera,0)+1,0),"-")</f>
        <v>-</v>
      </c>
      <c r="X15" s="717" t="str">
        <f ca="1">IFERROR(VLOOKUP(X$2,Rango_Admin_DailyPred,MATCH($F15,Rango_Admin_DailyPred_Primera,0)+1,0),"-")</f>
        <v>-</v>
      </c>
      <c r="Y15" s="717" t="str">
        <f ca="1">IFERROR(VLOOKUP(Y$2,Rango_Admin_DailyPred,MATCH($F15,Rango_Admin_DailyPred_Primera,0)+1,0),"-")</f>
        <v>-</v>
      </c>
      <c r="Z15" s="717" t="str">
        <f ca="1">IFERROR(VLOOKUP(Z$2,Rango_Admin_DailyPred,MATCH($F15,Rango_Admin_DailyPred_Primera,0)+1,0),"-")</f>
        <v>-</v>
      </c>
      <c r="AA15" s="717" t="str">
        <f ca="1">IFERROR(VLOOKUP(AA$2,Rango_Admin_DailyPred,MATCH($F15,Rango_Admin_DailyPred_Primera,0)+1,0),"-")</f>
        <v>-</v>
      </c>
      <c r="AB15" s="717" t="str">
        <f ca="1">IFERROR(VLOOKUP(AB$2,Rango_Admin_DailyPred,MATCH($F15,Rango_Admin_DailyPred_Primera,0)+1,0),"-")</f>
        <v>-</v>
      </c>
      <c r="AC15" s="717" t="str">
        <f ca="1">IFERROR(VLOOKUP(AC$2,Rango_Admin_DailyPred,MATCH($F15,Rango_Admin_DailyPred_Primera,0)+1,0),"-")</f>
        <v>-</v>
      </c>
      <c r="AD15" s="717" t="str">
        <f ca="1">IFERROR(VLOOKUP(AD$2,Rango_Admin_DailyPred,MATCH($F15,Rango_Admin_DailyPred_Primera,0)+1,0),"-")</f>
        <v>-</v>
      </c>
      <c r="AE15" s="717" t="str">
        <f ca="1">IFERROR(VLOOKUP(AE$2,Rango_Admin_DailyPred,MATCH($F15,Rango_Admin_DailyPred_Primera,0)+1,0),"-")</f>
        <v>-</v>
      </c>
      <c r="AF15" s="717" t="str">
        <f ca="1">IFERROR(VLOOKUP(AF$2,Rango_Admin_DailyPred,MATCH($F15,Rango_Admin_DailyPred_Primera,0)+1,0),"-")</f>
        <v>-</v>
      </c>
      <c r="AG15" s="717" t="str">
        <f ca="1">IFERROR(VLOOKUP(AG$2,Rango_Admin_DailyPred,MATCH($F15,Rango_Admin_DailyPred_Primera,0)+1,0),"-")</f>
        <v>-</v>
      </c>
      <c r="AH15" s="717" t="str">
        <f ca="1">IFERROR(VLOOKUP(AH$2,Rango_Admin_DailyPred,MATCH($F15,Rango_Admin_DailyPred_Primera,0)+1,0),"-")</f>
        <v>-</v>
      </c>
      <c r="AI15" s="717" t="str">
        <f ca="1">IFERROR(VLOOKUP(AI$2,Rango_Admin_DailyPred,MATCH($F15,Rango_Admin_DailyPred_Primera,0)+1,0),"-")</f>
        <v>-</v>
      </c>
      <c r="AJ15" s="717" t="str">
        <f ca="1">IFERROR(VLOOKUP(AJ$2,Rango_Admin_DailyPred,MATCH($F15,Rango_Admin_DailyPred_Primera,0)+1,0),"-")</f>
        <v>-</v>
      </c>
      <c r="AK15" s="717" t="str">
        <f ca="1">IFERROR(VLOOKUP(AK$2,Rango_Admin_DailyPred,MATCH($F15,Rango_Admin_DailyPred_Primera,0)+1,0),"-")</f>
        <v>-</v>
      </c>
      <c r="AL15" s="717" t="str">
        <f ca="1">IFERROR(VLOOKUP(AL$2,Rango_Admin_DailyPred,MATCH($F15,Rango_Admin_DailyPred_Primera,0)+1,0),"-")</f>
        <v>-</v>
      </c>
      <c r="AM15" s="717" t="str">
        <f ca="1">IFERROR(VLOOKUP(AM$2,Rango_Admin_DailyPred,MATCH($F15,Rango_Admin_DailyPred_Primera,0)+1,0),"-")</f>
        <v>-</v>
      </c>
      <c r="AN15" s="295"/>
    </row>
    <row r="16" spans="1:40">
      <c r="A16" s="7" t="str" cm="1">
        <f t="array" aca="1" ref="A16" ca="1">IFERROR(INDEX(ADMIN!$K$6:$K$258,SMALL(IF(ADMIN!$G$6:$G$258=$K$1,ROW(ADMIN!$G$6:$G$258)-ROW(ADMIN!$G$6)+1),ROWS($A$1:A13))),"")</f>
        <v/>
      </c>
      <c r="B16" s="7"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89"/>
      <c r="E16" s="781">
        <f ca="1">IFERROR(HLOOKUP(C16,Rango_Admin_DailyClas,3,FALSE),"-")</f>
        <v>1</v>
      </c>
      <c r="F16" s="772" t="str">
        <f ca="1">IFERROR(HLOOKUP(C16,Rango_Admin_DailyClas,5,FALSE),"-")</f>
        <v>Gabo</v>
      </c>
      <c r="G16" s="768">
        <f ca="1">IFERROR(HLOOKUP(C16,Rango_Admin_DailyClas,4,FALSE),"-")</f>
        <v>0</v>
      </c>
      <c r="H16" s="717">
        <f ca="1">IFERROR(VLOOKUP(H$2,Rango_Admin_DailyPred,MATCH($F16,Rango_Admin_DailyPred_Primera,0)+1,0),"-")</f>
        <v>0</v>
      </c>
      <c r="I16" s="717">
        <f ca="1">IFERROR(VLOOKUP(I$2,Rango_Admin_DailyPred,MATCH($F16,Rango_Admin_DailyPred_Primera,0)+1,0),"-")</f>
        <v>0</v>
      </c>
      <c r="J16" s="717">
        <f ca="1">IFERROR(VLOOKUP(J$2,Rango_Admin_DailyPred,MATCH($F16,Rango_Admin_DailyPred_Primera,0)+1,0),"-")</f>
        <v>0</v>
      </c>
      <c r="K16" s="717">
        <f ca="1">IFERROR(VLOOKUP(K$2,Rango_Admin_DailyPred,MATCH($F16,Rango_Admin_DailyPred_Primera,0)+1,0),"-")</f>
        <v>0</v>
      </c>
      <c r="L16" s="717" t="str">
        <f ca="1">IFERROR(VLOOKUP(L$2,Rango_Admin_DailyPred,MATCH($F16,Rango_Admin_DailyPred_Primera,0)+1,0),"-")</f>
        <v>-</v>
      </c>
      <c r="M16" s="717" t="str">
        <f ca="1">IFERROR(VLOOKUP(M$2,Rango_Admin_DailyPred,MATCH($F16,Rango_Admin_DailyPred_Primera,0)+1,0),"-")</f>
        <v>-</v>
      </c>
      <c r="N16" s="717" t="str">
        <f ca="1">IFERROR(VLOOKUP(N$2,Rango_Admin_DailyPred,MATCH($F16,Rango_Admin_DailyPred_Primera,0)+1,0),"-")</f>
        <v>-</v>
      </c>
      <c r="O16" s="717" t="str">
        <f ca="1">IFERROR(VLOOKUP(O$2,Rango_Admin_DailyPred,MATCH($F16,Rango_Admin_DailyPred_Primera,0)+1,0),"-")</f>
        <v>-</v>
      </c>
      <c r="P16" s="717" t="str">
        <f ca="1">IFERROR(VLOOKUP(P$2,Rango_Admin_DailyPred,MATCH($F16,Rango_Admin_DailyPred_Primera,0)+1,0),"-")</f>
        <v>-</v>
      </c>
      <c r="Q16" s="717" t="str">
        <f ca="1">IFERROR(VLOOKUP(Q$2,Rango_Admin_DailyPred,MATCH($F16,Rango_Admin_DailyPred_Primera,0)+1,0),"-")</f>
        <v>-</v>
      </c>
      <c r="R16" s="717" t="str">
        <f ca="1">IFERROR(VLOOKUP(R$2,Rango_Admin_DailyPred,MATCH($F16,Rango_Admin_DailyPred_Primera,0)+1,0),"-")</f>
        <v>-</v>
      </c>
      <c r="S16" s="717" t="str">
        <f ca="1">IFERROR(VLOOKUP(S$2,Rango_Admin_DailyPred,MATCH($F16,Rango_Admin_DailyPred_Primera,0)+1,0),"-")</f>
        <v>-</v>
      </c>
      <c r="T16" s="717" t="str">
        <f ca="1">IFERROR(VLOOKUP(T$2,Rango_Admin_DailyPred,MATCH($F16,Rango_Admin_DailyPred_Primera,0)+1,0),"-")</f>
        <v>-</v>
      </c>
      <c r="U16" s="717" t="str">
        <f ca="1">IFERROR(VLOOKUP(U$2,Rango_Admin_DailyPred,MATCH($F16,Rango_Admin_DailyPred_Primera,0)+1,0),"-")</f>
        <v>-</v>
      </c>
      <c r="V16" s="717" t="str">
        <f ca="1">IFERROR(VLOOKUP(V$2,Rango_Admin_DailyPred,MATCH($F16,Rango_Admin_DailyPred_Primera,0)+1,0),"-")</f>
        <v>-</v>
      </c>
      <c r="W16" s="717" t="str">
        <f ca="1">IFERROR(VLOOKUP(W$2,Rango_Admin_DailyPred,MATCH($F16,Rango_Admin_DailyPred_Primera,0)+1,0),"-")</f>
        <v>-</v>
      </c>
      <c r="X16" s="717" t="str">
        <f ca="1">IFERROR(VLOOKUP(X$2,Rango_Admin_DailyPred,MATCH($F16,Rango_Admin_DailyPred_Primera,0)+1,0),"-")</f>
        <v>-</v>
      </c>
      <c r="Y16" s="717" t="str">
        <f ca="1">IFERROR(VLOOKUP(Y$2,Rango_Admin_DailyPred,MATCH($F16,Rango_Admin_DailyPred_Primera,0)+1,0),"-")</f>
        <v>-</v>
      </c>
      <c r="Z16" s="717" t="str">
        <f ca="1">IFERROR(VLOOKUP(Z$2,Rango_Admin_DailyPred,MATCH($F16,Rango_Admin_DailyPred_Primera,0)+1,0),"-")</f>
        <v>-</v>
      </c>
      <c r="AA16" s="717" t="str">
        <f ca="1">IFERROR(VLOOKUP(AA$2,Rango_Admin_DailyPred,MATCH($F16,Rango_Admin_DailyPred_Primera,0)+1,0),"-")</f>
        <v>-</v>
      </c>
      <c r="AB16" s="717" t="str">
        <f ca="1">IFERROR(VLOOKUP(AB$2,Rango_Admin_DailyPred,MATCH($F16,Rango_Admin_DailyPred_Primera,0)+1,0),"-")</f>
        <v>-</v>
      </c>
      <c r="AC16" s="717" t="str">
        <f ca="1">IFERROR(VLOOKUP(AC$2,Rango_Admin_DailyPred,MATCH($F16,Rango_Admin_DailyPred_Primera,0)+1,0),"-")</f>
        <v>-</v>
      </c>
      <c r="AD16" s="717" t="str">
        <f ca="1">IFERROR(VLOOKUP(AD$2,Rango_Admin_DailyPred,MATCH($F16,Rango_Admin_DailyPred_Primera,0)+1,0),"-")</f>
        <v>-</v>
      </c>
      <c r="AE16" s="717" t="str">
        <f ca="1">IFERROR(VLOOKUP(AE$2,Rango_Admin_DailyPred,MATCH($F16,Rango_Admin_DailyPred_Primera,0)+1,0),"-")</f>
        <v>-</v>
      </c>
      <c r="AF16" s="717" t="str">
        <f ca="1">IFERROR(VLOOKUP(AF$2,Rango_Admin_DailyPred,MATCH($F16,Rango_Admin_DailyPred_Primera,0)+1,0),"-")</f>
        <v>-</v>
      </c>
      <c r="AG16" s="717" t="str">
        <f ca="1">IFERROR(VLOOKUP(AG$2,Rango_Admin_DailyPred,MATCH($F16,Rango_Admin_DailyPred_Primera,0)+1,0),"-")</f>
        <v>-</v>
      </c>
      <c r="AH16" s="717" t="str">
        <f ca="1">IFERROR(VLOOKUP(AH$2,Rango_Admin_DailyPred,MATCH($F16,Rango_Admin_DailyPred_Primera,0)+1,0),"-")</f>
        <v>-</v>
      </c>
      <c r="AI16" s="717" t="str">
        <f ca="1">IFERROR(VLOOKUP(AI$2,Rango_Admin_DailyPred,MATCH($F16,Rango_Admin_DailyPred_Primera,0)+1,0),"-")</f>
        <v>-</v>
      </c>
      <c r="AJ16" s="717" t="str">
        <f ca="1">IFERROR(VLOOKUP(AJ$2,Rango_Admin_DailyPred,MATCH($F16,Rango_Admin_DailyPred_Primera,0)+1,0),"-")</f>
        <v>-</v>
      </c>
      <c r="AK16" s="717" t="str">
        <f ca="1">IFERROR(VLOOKUP(AK$2,Rango_Admin_DailyPred,MATCH($F16,Rango_Admin_DailyPred_Primera,0)+1,0),"-")</f>
        <v>-</v>
      </c>
      <c r="AL16" s="717" t="str">
        <f ca="1">IFERROR(VLOOKUP(AL$2,Rango_Admin_DailyPred,MATCH($F16,Rango_Admin_DailyPred_Primera,0)+1,0),"-")</f>
        <v>-</v>
      </c>
      <c r="AM16" s="717" t="str">
        <f ca="1">IFERROR(VLOOKUP(AM$2,Rango_Admin_DailyPred,MATCH($F16,Rango_Admin_DailyPred_Primera,0)+1,0),"-")</f>
        <v>-</v>
      </c>
      <c r="AN16" s="295"/>
    </row>
    <row r="17" spans="1:40">
      <c r="A17" s="7" t="str" cm="1">
        <f t="array" aca="1" ref="A17" ca="1">IFERROR(INDEX(ADMIN!$K$6:$K$258,SMALL(IF(ADMIN!$G$6:$G$258=$K$1,ROW(ADMIN!$G$6:$G$258)-ROW(ADMIN!$G$6)+1),ROWS($A$1:A14))),"")</f>
        <v/>
      </c>
      <c r="B17" s="7"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89"/>
      <c r="E17" s="781">
        <f ca="1">IFERROR(HLOOKUP(C17,Rango_Admin_DailyClas,3,FALSE),"-")</f>
        <v>1</v>
      </c>
      <c r="F17" s="772" t="str">
        <f ca="1">IFERROR(HLOOKUP(C17,Rango_Admin_DailyClas,5,FALSE),"-")</f>
        <v>YUYU</v>
      </c>
      <c r="G17" s="768">
        <f ca="1">IFERROR(HLOOKUP(C17,Rango_Admin_DailyClas,4,FALSE),"-")</f>
        <v>0</v>
      </c>
      <c r="H17" s="717">
        <f ca="1">IFERROR(VLOOKUP(H$2,Rango_Admin_DailyPred,MATCH($F17,Rango_Admin_DailyPred_Primera,0)+1,0),"-")</f>
        <v>0</v>
      </c>
      <c r="I17" s="717">
        <f ca="1">IFERROR(VLOOKUP(I$2,Rango_Admin_DailyPred,MATCH($F17,Rango_Admin_DailyPred_Primera,0)+1,0),"-")</f>
        <v>0</v>
      </c>
      <c r="J17" s="717">
        <f ca="1">IFERROR(VLOOKUP(J$2,Rango_Admin_DailyPred,MATCH($F17,Rango_Admin_DailyPred_Primera,0)+1,0),"-")</f>
        <v>0</v>
      </c>
      <c r="K17" s="717">
        <f ca="1">IFERROR(VLOOKUP(K$2,Rango_Admin_DailyPred,MATCH($F17,Rango_Admin_DailyPred_Primera,0)+1,0),"-")</f>
        <v>0</v>
      </c>
      <c r="L17" s="717" t="str">
        <f ca="1">IFERROR(VLOOKUP(L$2,Rango_Admin_DailyPred,MATCH($F17,Rango_Admin_DailyPred_Primera,0)+1,0),"-")</f>
        <v>-</v>
      </c>
      <c r="M17" s="717" t="str">
        <f ca="1">IFERROR(VLOOKUP(M$2,Rango_Admin_DailyPred,MATCH($F17,Rango_Admin_DailyPred_Primera,0)+1,0),"-")</f>
        <v>-</v>
      </c>
      <c r="N17" s="717" t="str">
        <f ca="1">IFERROR(VLOOKUP(N$2,Rango_Admin_DailyPred,MATCH($F17,Rango_Admin_DailyPred_Primera,0)+1,0),"-")</f>
        <v>-</v>
      </c>
      <c r="O17" s="717" t="str">
        <f ca="1">IFERROR(VLOOKUP(O$2,Rango_Admin_DailyPred,MATCH($F17,Rango_Admin_DailyPred_Primera,0)+1,0),"-")</f>
        <v>-</v>
      </c>
      <c r="P17" s="717" t="str">
        <f ca="1">IFERROR(VLOOKUP(P$2,Rango_Admin_DailyPred,MATCH($F17,Rango_Admin_DailyPred_Primera,0)+1,0),"-")</f>
        <v>-</v>
      </c>
      <c r="Q17" s="717" t="str">
        <f ca="1">IFERROR(VLOOKUP(Q$2,Rango_Admin_DailyPred,MATCH($F17,Rango_Admin_DailyPred_Primera,0)+1,0),"-")</f>
        <v>-</v>
      </c>
      <c r="R17" s="717" t="str">
        <f ca="1">IFERROR(VLOOKUP(R$2,Rango_Admin_DailyPred,MATCH($F17,Rango_Admin_DailyPred_Primera,0)+1,0),"-")</f>
        <v>-</v>
      </c>
      <c r="S17" s="717" t="str">
        <f ca="1">IFERROR(VLOOKUP(S$2,Rango_Admin_DailyPred,MATCH($F17,Rango_Admin_DailyPred_Primera,0)+1,0),"-")</f>
        <v>-</v>
      </c>
      <c r="T17" s="717" t="str">
        <f ca="1">IFERROR(VLOOKUP(T$2,Rango_Admin_DailyPred,MATCH($F17,Rango_Admin_DailyPred_Primera,0)+1,0),"-")</f>
        <v>-</v>
      </c>
      <c r="U17" s="717" t="str">
        <f ca="1">IFERROR(VLOOKUP(U$2,Rango_Admin_DailyPred,MATCH($F17,Rango_Admin_DailyPred_Primera,0)+1,0),"-")</f>
        <v>-</v>
      </c>
      <c r="V17" s="717" t="str">
        <f ca="1">IFERROR(VLOOKUP(V$2,Rango_Admin_DailyPred,MATCH($F17,Rango_Admin_DailyPred_Primera,0)+1,0),"-")</f>
        <v>-</v>
      </c>
      <c r="W17" s="717" t="str">
        <f ca="1">IFERROR(VLOOKUP(W$2,Rango_Admin_DailyPred,MATCH($F17,Rango_Admin_DailyPred_Primera,0)+1,0),"-")</f>
        <v>-</v>
      </c>
      <c r="X17" s="717" t="str">
        <f ca="1">IFERROR(VLOOKUP(X$2,Rango_Admin_DailyPred,MATCH($F17,Rango_Admin_DailyPred_Primera,0)+1,0),"-")</f>
        <v>-</v>
      </c>
      <c r="Y17" s="717" t="str">
        <f ca="1">IFERROR(VLOOKUP(Y$2,Rango_Admin_DailyPred,MATCH($F17,Rango_Admin_DailyPred_Primera,0)+1,0),"-")</f>
        <v>-</v>
      </c>
      <c r="Z17" s="717" t="str">
        <f ca="1">IFERROR(VLOOKUP(Z$2,Rango_Admin_DailyPred,MATCH($F17,Rango_Admin_DailyPred_Primera,0)+1,0),"-")</f>
        <v>-</v>
      </c>
      <c r="AA17" s="717" t="str">
        <f ca="1">IFERROR(VLOOKUP(AA$2,Rango_Admin_DailyPred,MATCH($F17,Rango_Admin_DailyPred_Primera,0)+1,0),"-")</f>
        <v>-</v>
      </c>
      <c r="AB17" s="717" t="str">
        <f ca="1">IFERROR(VLOOKUP(AB$2,Rango_Admin_DailyPred,MATCH($F17,Rango_Admin_DailyPred_Primera,0)+1,0),"-")</f>
        <v>-</v>
      </c>
      <c r="AC17" s="717" t="str">
        <f ca="1">IFERROR(VLOOKUP(AC$2,Rango_Admin_DailyPred,MATCH($F17,Rango_Admin_DailyPred_Primera,0)+1,0),"-")</f>
        <v>-</v>
      </c>
      <c r="AD17" s="717" t="str">
        <f ca="1">IFERROR(VLOOKUP(AD$2,Rango_Admin_DailyPred,MATCH($F17,Rango_Admin_DailyPred_Primera,0)+1,0),"-")</f>
        <v>-</v>
      </c>
      <c r="AE17" s="717" t="str">
        <f ca="1">IFERROR(VLOOKUP(AE$2,Rango_Admin_DailyPred,MATCH($F17,Rango_Admin_DailyPred_Primera,0)+1,0),"-")</f>
        <v>-</v>
      </c>
      <c r="AF17" s="717" t="str">
        <f ca="1">IFERROR(VLOOKUP(AF$2,Rango_Admin_DailyPred,MATCH($F17,Rango_Admin_DailyPred_Primera,0)+1,0),"-")</f>
        <v>-</v>
      </c>
      <c r="AG17" s="717" t="str">
        <f ca="1">IFERROR(VLOOKUP(AG$2,Rango_Admin_DailyPred,MATCH($F17,Rango_Admin_DailyPred_Primera,0)+1,0),"-")</f>
        <v>-</v>
      </c>
      <c r="AH17" s="717" t="str">
        <f ca="1">IFERROR(VLOOKUP(AH$2,Rango_Admin_DailyPred,MATCH($F17,Rango_Admin_DailyPred_Primera,0)+1,0),"-")</f>
        <v>-</v>
      </c>
      <c r="AI17" s="717" t="str">
        <f ca="1">IFERROR(VLOOKUP(AI$2,Rango_Admin_DailyPred,MATCH($F17,Rango_Admin_DailyPred_Primera,0)+1,0),"-")</f>
        <v>-</v>
      </c>
      <c r="AJ17" s="717" t="str">
        <f ca="1">IFERROR(VLOOKUP(AJ$2,Rango_Admin_DailyPred,MATCH($F17,Rango_Admin_DailyPred_Primera,0)+1,0),"-")</f>
        <v>-</v>
      </c>
      <c r="AK17" s="717" t="str">
        <f ca="1">IFERROR(VLOOKUP(AK$2,Rango_Admin_DailyPred,MATCH($F17,Rango_Admin_DailyPred_Primera,0)+1,0),"-")</f>
        <v>-</v>
      </c>
      <c r="AL17" s="717" t="str">
        <f ca="1">IFERROR(VLOOKUP(AL$2,Rango_Admin_DailyPred,MATCH($F17,Rango_Admin_DailyPred_Primera,0)+1,0),"-")</f>
        <v>-</v>
      </c>
      <c r="AM17" s="717" t="str">
        <f ca="1">IFERROR(VLOOKUP(AM$2,Rango_Admin_DailyPred,MATCH($F17,Rango_Admin_DailyPred_Primera,0)+1,0),"-")</f>
        <v>-</v>
      </c>
      <c r="AN17" s="295"/>
    </row>
    <row r="18" spans="1:40">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781">
        <f ca="1">IFERROR(HLOOKUP(C18,Rango_Admin_DailyClas,3,FALSE),"-")</f>
        <v>1</v>
      </c>
      <c r="F18" s="772" t="str">
        <f ca="1">IFERROR(HLOOKUP(C18,Rango_Admin_DailyClas,5,FALSE),"-")</f>
        <v>José Arturo De Abreu</v>
      </c>
      <c r="G18" s="768">
        <f ca="1">IFERROR(HLOOKUP(C18,Rango_Admin_DailyClas,4,FALSE),"-")</f>
        <v>0</v>
      </c>
      <c r="H18" s="717">
        <f ca="1">IFERROR(VLOOKUP(H$2,Rango_Admin_DailyPred,MATCH($F18,Rango_Admin_DailyPred_Primera,0)+1,0),"-")</f>
        <v>0</v>
      </c>
      <c r="I18" s="717">
        <f ca="1">IFERROR(VLOOKUP(I$2,Rango_Admin_DailyPred,MATCH($F18,Rango_Admin_DailyPred_Primera,0)+1,0),"-")</f>
        <v>0</v>
      </c>
      <c r="J18" s="717">
        <f ca="1">IFERROR(VLOOKUP(J$2,Rango_Admin_DailyPred,MATCH($F18,Rango_Admin_DailyPred_Primera,0)+1,0),"-")</f>
        <v>0</v>
      </c>
      <c r="K18" s="717">
        <f ca="1">IFERROR(VLOOKUP(K$2,Rango_Admin_DailyPred,MATCH($F18,Rango_Admin_DailyPred_Primera,0)+1,0),"-")</f>
        <v>0</v>
      </c>
      <c r="L18" s="717" t="str">
        <f ca="1">IFERROR(VLOOKUP(L$2,Rango_Admin_DailyPred,MATCH($F18,Rango_Admin_DailyPred_Primera,0)+1,0),"-")</f>
        <v>-</v>
      </c>
      <c r="M18" s="717" t="str">
        <f ca="1">IFERROR(VLOOKUP(M$2,Rango_Admin_DailyPred,MATCH($F18,Rango_Admin_DailyPred_Primera,0)+1,0),"-")</f>
        <v>-</v>
      </c>
      <c r="N18" s="717" t="str">
        <f ca="1">IFERROR(VLOOKUP(N$2,Rango_Admin_DailyPred,MATCH($F18,Rango_Admin_DailyPred_Primera,0)+1,0),"-")</f>
        <v>-</v>
      </c>
      <c r="O18" s="717" t="str">
        <f ca="1">IFERROR(VLOOKUP(O$2,Rango_Admin_DailyPred,MATCH($F18,Rango_Admin_DailyPred_Primera,0)+1,0),"-")</f>
        <v>-</v>
      </c>
      <c r="P18" s="717" t="str">
        <f ca="1">IFERROR(VLOOKUP(P$2,Rango_Admin_DailyPred,MATCH($F18,Rango_Admin_DailyPred_Primera,0)+1,0),"-")</f>
        <v>-</v>
      </c>
      <c r="Q18" s="717" t="str">
        <f ca="1">IFERROR(VLOOKUP(Q$2,Rango_Admin_DailyPred,MATCH($F18,Rango_Admin_DailyPred_Primera,0)+1,0),"-")</f>
        <v>-</v>
      </c>
      <c r="R18" s="717" t="str">
        <f ca="1">IFERROR(VLOOKUP(R$2,Rango_Admin_DailyPred,MATCH($F18,Rango_Admin_DailyPred_Primera,0)+1,0),"-")</f>
        <v>-</v>
      </c>
      <c r="S18" s="717" t="str">
        <f ca="1">IFERROR(VLOOKUP(S$2,Rango_Admin_DailyPred,MATCH($F18,Rango_Admin_DailyPred_Primera,0)+1,0),"-")</f>
        <v>-</v>
      </c>
      <c r="T18" s="717" t="str">
        <f ca="1">IFERROR(VLOOKUP(T$2,Rango_Admin_DailyPred,MATCH($F18,Rango_Admin_DailyPred_Primera,0)+1,0),"-")</f>
        <v>-</v>
      </c>
      <c r="U18" s="717" t="str">
        <f ca="1">IFERROR(VLOOKUP(U$2,Rango_Admin_DailyPred,MATCH($F18,Rango_Admin_DailyPred_Primera,0)+1,0),"-")</f>
        <v>-</v>
      </c>
      <c r="V18" s="717" t="str">
        <f ca="1">IFERROR(VLOOKUP(V$2,Rango_Admin_DailyPred,MATCH($F18,Rango_Admin_DailyPred_Primera,0)+1,0),"-")</f>
        <v>-</v>
      </c>
      <c r="W18" s="717" t="str">
        <f ca="1">IFERROR(VLOOKUP(W$2,Rango_Admin_DailyPred,MATCH($F18,Rango_Admin_DailyPred_Primera,0)+1,0),"-")</f>
        <v>-</v>
      </c>
      <c r="X18" s="717" t="str">
        <f ca="1">IFERROR(VLOOKUP(X$2,Rango_Admin_DailyPred,MATCH($F18,Rango_Admin_DailyPred_Primera,0)+1,0),"-")</f>
        <v>-</v>
      </c>
      <c r="Y18" s="717" t="str">
        <f ca="1">IFERROR(VLOOKUP(Y$2,Rango_Admin_DailyPred,MATCH($F18,Rango_Admin_DailyPred_Primera,0)+1,0),"-")</f>
        <v>-</v>
      </c>
      <c r="Z18" s="717" t="str">
        <f ca="1">IFERROR(VLOOKUP(Z$2,Rango_Admin_DailyPred,MATCH($F18,Rango_Admin_DailyPred_Primera,0)+1,0),"-")</f>
        <v>-</v>
      </c>
      <c r="AA18" s="717" t="str">
        <f ca="1">IFERROR(VLOOKUP(AA$2,Rango_Admin_DailyPred,MATCH($F18,Rango_Admin_DailyPred_Primera,0)+1,0),"-")</f>
        <v>-</v>
      </c>
      <c r="AB18" s="717" t="str">
        <f ca="1">IFERROR(VLOOKUP(AB$2,Rango_Admin_DailyPred,MATCH($F18,Rango_Admin_DailyPred_Primera,0)+1,0),"-")</f>
        <v>-</v>
      </c>
      <c r="AC18" s="717" t="str">
        <f ca="1">IFERROR(VLOOKUP(AC$2,Rango_Admin_DailyPred,MATCH($F18,Rango_Admin_DailyPred_Primera,0)+1,0),"-")</f>
        <v>-</v>
      </c>
      <c r="AD18" s="717" t="str">
        <f ca="1">IFERROR(VLOOKUP(AD$2,Rango_Admin_DailyPred,MATCH($F18,Rango_Admin_DailyPred_Primera,0)+1,0),"-")</f>
        <v>-</v>
      </c>
      <c r="AE18" s="717" t="str">
        <f ca="1">IFERROR(VLOOKUP(AE$2,Rango_Admin_DailyPred,MATCH($F18,Rango_Admin_DailyPred_Primera,0)+1,0),"-")</f>
        <v>-</v>
      </c>
      <c r="AF18" s="717" t="str">
        <f ca="1">IFERROR(VLOOKUP(AF$2,Rango_Admin_DailyPred,MATCH($F18,Rango_Admin_DailyPred_Primera,0)+1,0),"-")</f>
        <v>-</v>
      </c>
      <c r="AG18" s="717" t="str">
        <f ca="1">IFERROR(VLOOKUP(AG$2,Rango_Admin_DailyPred,MATCH($F18,Rango_Admin_DailyPred_Primera,0)+1,0),"-")</f>
        <v>-</v>
      </c>
      <c r="AH18" s="717" t="str">
        <f ca="1">IFERROR(VLOOKUP(AH$2,Rango_Admin_DailyPred,MATCH($F18,Rango_Admin_DailyPred_Primera,0)+1,0),"-")</f>
        <v>-</v>
      </c>
      <c r="AI18" s="717" t="str">
        <f ca="1">IFERROR(VLOOKUP(AI$2,Rango_Admin_DailyPred,MATCH($F18,Rango_Admin_DailyPred_Primera,0)+1,0),"-")</f>
        <v>-</v>
      </c>
      <c r="AJ18" s="717" t="str">
        <f ca="1">IFERROR(VLOOKUP(AJ$2,Rango_Admin_DailyPred,MATCH($F18,Rango_Admin_DailyPred_Primera,0)+1,0),"-")</f>
        <v>-</v>
      </c>
      <c r="AK18" s="717" t="str">
        <f ca="1">IFERROR(VLOOKUP(AK$2,Rango_Admin_DailyPred,MATCH($F18,Rango_Admin_DailyPred_Primera,0)+1,0),"-")</f>
        <v>-</v>
      </c>
      <c r="AL18" s="717" t="str">
        <f ca="1">IFERROR(VLOOKUP(AL$2,Rango_Admin_DailyPred,MATCH($F18,Rango_Admin_DailyPred_Primera,0)+1,0),"-")</f>
        <v>-</v>
      </c>
      <c r="AM18" s="717" t="str">
        <f ca="1">IFERROR(VLOOKUP(AM$2,Rango_Admin_DailyPred,MATCH($F18,Rango_Admin_DailyPred_Primera,0)+1,0),"-")</f>
        <v>-</v>
      </c>
      <c r="AN18" s="295"/>
    </row>
    <row r="19" spans="1:40">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781">
        <f ca="1">IFERROR(HLOOKUP(C19,Rango_Admin_DailyClas,3,FALSE),"-")</f>
        <v>1</v>
      </c>
      <c r="F19" s="772" t="str">
        <f ca="1">IFERROR(HLOOKUP(C19,Rango_Admin_DailyClas,5,FALSE),"-")</f>
        <v xml:space="preserve">Jose Juan De Abreu </v>
      </c>
      <c r="G19" s="768">
        <f ca="1">IFERROR(HLOOKUP(C19,Rango_Admin_DailyClas,4,FALSE),"-")</f>
        <v>0</v>
      </c>
      <c r="H19" s="717">
        <f ca="1">IFERROR(VLOOKUP(H$2,Rango_Admin_DailyPred,MATCH($F19,Rango_Admin_DailyPred_Primera,0)+1,0),"-")</f>
        <v>0</v>
      </c>
      <c r="I19" s="717">
        <f ca="1">IFERROR(VLOOKUP(I$2,Rango_Admin_DailyPred,MATCH($F19,Rango_Admin_DailyPred_Primera,0)+1,0),"-")</f>
        <v>0</v>
      </c>
      <c r="J19" s="717">
        <f ca="1">IFERROR(VLOOKUP(J$2,Rango_Admin_DailyPred,MATCH($F19,Rango_Admin_DailyPred_Primera,0)+1,0),"-")</f>
        <v>0</v>
      </c>
      <c r="K19" s="717">
        <f ca="1">IFERROR(VLOOKUP(K$2,Rango_Admin_DailyPred,MATCH($F19,Rango_Admin_DailyPred_Primera,0)+1,0),"-")</f>
        <v>0</v>
      </c>
      <c r="L19" s="717" t="str">
        <f ca="1">IFERROR(VLOOKUP(L$2,Rango_Admin_DailyPred,MATCH($F19,Rango_Admin_DailyPred_Primera,0)+1,0),"-")</f>
        <v>-</v>
      </c>
      <c r="M19" s="717" t="str">
        <f ca="1">IFERROR(VLOOKUP(M$2,Rango_Admin_DailyPred,MATCH($F19,Rango_Admin_DailyPred_Primera,0)+1,0),"-")</f>
        <v>-</v>
      </c>
      <c r="N19" s="717" t="str">
        <f ca="1">IFERROR(VLOOKUP(N$2,Rango_Admin_DailyPred,MATCH($F19,Rango_Admin_DailyPred_Primera,0)+1,0),"-")</f>
        <v>-</v>
      </c>
      <c r="O19" s="717" t="str">
        <f ca="1">IFERROR(VLOOKUP(O$2,Rango_Admin_DailyPred,MATCH($F19,Rango_Admin_DailyPred_Primera,0)+1,0),"-")</f>
        <v>-</v>
      </c>
      <c r="P19" s="717" t="str">
        <f ca="1">IFERROR(VLOOKUP(P$2,Rango_Admin_DailyPred,MATCH($F19,Rango_Admin_DailyPred_Primera,0)+1,0),"-")</f>
        <v>-</v>
      </c>
      <c r="Q19" s="717" t="str">
        <f ca="1">IFERROR(VLOOKUP(Q$2,Rango_Admin_DailyPred,MATCH($F19,Rango_Admin_DailyPred_Primera,0)+1,0),"-")</f>
        <v>-</v>
      </c>
      <c r="R19" s="717" t="str">
        <f ca="1">IFERROR(VLOOKUP(R$2,Rango_Admin_DailyPred,MATCH($F19,Rango_Admin_DailyPred_Primera,0)+1,0),"-")</f>
        <v>-</v>
      </c>
      <c r="S19" s="717" t="str">
        <f ca="1">IFERROR(VLOOKUP(S$2,Rango_Admin_DailyPred,MATCH($F19,Rango_Admin_DailyPred_Primera,0)+1,0),"-")</f>
        <v>-</v>
      </c>
      <c r="T19" s="717" t="str">
        <f ca="1">IFERROR(VLOOKUP(T$2,Rango_Admin_DailyPred,MATCH($F19,Rango_Admin_DailyPred_Primera,0)+1,0),"-")</f>
        <v>-</v>
      </c>
      <c r="U19" s="717" t="str">
        <f ca="1">IFERROR(VLOOKUP(U$2,Rango_Admin_DailyPred,MATCH($F19,Rango_Admin_DailyPred_Primera,0)+1,0),"-")</f>
        <v>-</v>
      </c>
      <c r="V19" s="717" t="str">
        <f ca="1">IFERROR(VLOOKUP(V$2,Rango_Admin_DailyPred,MATCH($F19,Rango_Admin_DailyPred_Primera,0)+1,0),"-")</f>
        <v>-</v>
      </c>
      <c r="W19" s="717" t="str">
        <f ca="1">IFERROR(VLOOKUP(W$2,Rango_Admin_DailyPred,MATCH($F19,Rango_Admin_DailyPred_Primera,0)+1,0),"-")</f>
        <v>-</v>
      </c>
      <c r="X19" s="717" t="str">
        <f ca="1">IFERROR(VLOOKUP(X$2,Rango_Admin_DailyPred,MATCH($F19,Rango_Admin_DailyPred_Primera,0)+1,0),"-")</f>
        <v>-</v>
      </c>
      <c r="Y19" s="717" t="str">
        <f ca="1">IFERROR(VLOOKUP(Y$2,Rango_Admin_DailyPred,MATCH($F19,Rango_Admin_DailyPred_Primera,0)+1,0),"-")</f>
        <v>-</v>
      </c>
      <c r="Z19" s="717" t="str">
        <f ca="1">IFERROR(VLOOKUP(Z$2,Rango_Admin_DailyPred,MATCH($F19,Rango_Admin_DailyPred_Primera,0)+1,0),"-")</f>
        <v>-</v>
      </c>
      <c r="AA19" s="717" t="str">
        <f ca="1">IFERROR(VLOOKUP(AA$2,Rango_Admin_DailyPred,MATCH($F19,Rango_Admin_DailyPred_Primera,0)+1,0),"-")</f>
        <v>-</v>
      </c>
      <c r="AB19" s="717" t="str">
        <f ca="1">IFERROR(VLOOKUP(AB$2,Rango_Admin_DailyPred,MATCH($F19,Rango_Admin_DailyPred_Primera,0)+1,0),"-")</f>
        <v>-</v>
      </c>
      <c r="AC19" s="717" t="str">
        <f ca="1">IFERROR(VLOOKUP(AC$2,Rango_Admin_DailyPred,MATCH($F19,Rango_Admin_DailyPred_Primera,0)+1,0),"-")</f>
        <v>-</v>
      </c>
      <c r="AD19" s="717" t="str">
        <f ca="1">IFERROR(VLOOKUP(AD$2,Rango_Admin_DailyPred,MATCH($F19,Rango_Admin_DailyPred_Primera,0)+1,0),"-")</f>
        <v>-</v>
      </c>
      <c r="AE19" s="717" t="str">
        <f ca="1">IFERROR(VLOOKUP(AE$2,Rango_Admin_DailyPred,MATCH($F19,Rango_Admin_DailyPred_Primera,0)+1,0),"-")</f>
        <v>-</v>
      </c>
      <c r="AF19" s="717" t="str">
        <f ca="1">IFERROR(VLOOKUP(AF$2,Rango_Admin_DailyPred,MATCH($F19,Rango_Admin_DailyPred_Primera,0)+1,0),"-")</f>
        <v>-</v>
      </c>
      <c r="AG19" s="717" t="str">
        <f ca="1">IFERROR(VLOOKUP(AG$2,Rango_Admin_DailyPred,MATCH($F19,Rango_Admin_DailyPred_Primera,0)+1,0),"-")</f>
        <v>-</v>
      </c>
      <c r="AH19" s="717" t="str">
        <f ca="1">IFERROR(VLOOKUP(AH$2,Rango_Admin_DailyPred,MATCH($F19,Rango_Admin_DailyPred_Primera,0)+1,0),"-")</f>
        <v>-</v>
      </c>
      <c r="AI19" s="717" t="str">
        <f ca="1">IFERROR(VLOOKUP(AI$2,Rango_Admin_DailyPred,MATCH($F19,Rango_Admin_DailyPred_Primera,0)+1,0),"-")</f>
        <v>-</v>
      </c>
      <c r="AJ19" s="717" t="str">
        <f ca="1">IFERROR(VLOOKUP(AJ$2,Rango_Admin_DailyPred,MATCH($F19,Rango_Admin_DailyPred_Primera,0)+1,0),"-")</f>
        <v>-</v>
      </c>
      <c r="AK19" s="717" t="str">
        <f ca="1">IFERROR(VLOOKUP(AK$2,Rango_Admin_DailyPred,MATCH($F19,Rango_Admin_DailyPred_Primera,0)+1,0),"-")</f>
        <v>-</v>
      </c>
      <c r="AL19" s="717" t="str">
        <f ca="1">IFERROR(VLOOKUP(AL$2,Rango_Admin_DailyPred,MATCH($F19,Rango_Admin_DailyPred_Primera,0)+1,0),"-")</f>
        <v>-</v>
      </c>
      <c r="AM19" s="717" t="str">
        <f ca="1">IFERROR(VLOOKUP(AM$2,Rango_Admin_DailyPred,MATCH($F19,Rango_Admin_DailyPred_Primera,0)+1,0),"-")</f>
        <v>-</v>
      </c>
      <c r="AN19" s="295"/>
    </row>
    <row r="20" spans="1:40">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781">
        <f ca="1">IFERROR(HLOOKUP(C20,Rango_Admin_DailyClas,3,FALSE),"-")</f>
        <v>1</v>
      </c>
      <c r="F20" s="772" t="str">
        <f ca="1">IFERROR(HLOOKUP(C20,Rango_Admin_DailyClas,5,FALSE),"-")</f>
        <v>Juan Sánchez</v>
      </c>
      <c r="G20" s="768">
        <f ca="1">IFERROR(HLOOKUP(C20,Rango_Admin_DailyClas,4,FALSE),"-")</f>
        <v>0</v>
      </c>
      <c r="H20" s="717">
        <f ca="1">IFERROR(VLOOKUP(H$2,Rango_Admin_DailyPred,MATCH($F20,Rango_Admin_DailyPred_Primera,0)+1,0),"-")</f>
        <v>0</v>
      </c>
      <c r="I20" s="717">
        <f ca="1">IFERROR(VLOOKUP(I$2,Rango_Admin_DailyPred,MATCH($F20,Rango_Admin_DailyPred_Primera,0)+1,0),"-")</f>
        <v>0</v>
      </c>
      <c r="J20" s="717">
        <f ca="1">IFERROR(VLOOKUP(J$2,Rango_Admin_DailyPred,MATCH($F20,Rango_Admin_DailyPred_Primera,0)+1,0),"-")</f>
        <v>0</v>
      </c>
      <c r="K20" s="717">
        <f ca="1">IFERROR(VLOOKUP(K$2,Rango_Admin_DailyPred,MATCH($F20,Rango_Admin_DailyPred_Primera,0)+1,0),"-")</f>
        <v>0</v>
      </c>
      <c r="L20" s="717" t="str">
        <f ca="1">IFERROR(VLOOKUP(L$2,Rango_Admin_DailyPred,MATCH($F20,Rango_Admin_DailyPred_Primera,0)+1,0),"-")</f>
        <v>-</v>
      </c>
      <c r="M20" s="717" t="str">
        <f ca="1">IFERROR(VLOOKUP(M$2,Rango_Admin_DailyPred,MATCH($F20,Rango_Admin_DailyPred_Primera,0)+1,0),"-")</f>
        <v>-</v>
      </c>
      <c r="N20" s="717" t="str">
        <f ca="1">IFERROR(VLOOKUP(N$2,Rango_Admin_DailyPred,MATCH($F20,Rango_Admin_DailyPred_Primera,0)+1,0),"-")</f>
        <v>-</v>
      </c>
      <c r="O20" s="717" t="str">
        <f ca="1">IFERROR(VLOOKUP(O$2,Rango_Admin_DailyPred,MATCH($F20,Rango_Admin_DailyPred_Primera,0)+1,0),"-")</f>
        <v>-</v>
      </c>
      <c r="P20" s="717" t="str">
        <f ca="1">IFERROR(VLOOKUP(P$2,Rango_Admin_DailyPred,MATCH($F20,Rango_Admin_DailyPred_Primera,0)+1,0),"-")</f>
        <v>-</v>
      </c>
      <c r="Q20" s="717" t="str">
        <f ca="1">IFERROR(VLOOKUP(Q$2,Rango_Admin_DailyPred,MATCH($F20,Rango_Admin_DailyPred_Primera,0)+1,0),"-")</f>
        <v>-</v>
      </c>
      <c r="R20" s="717" t="str">
        <f ca="1">IFERROR(VLOOKUP(R$2,Rango_Admin_DailyPred,MATCH($F20,Rango_Admin_DailyPred_Primera,0)+1,0),"-")</f>
        <v>-</v>
      </c>
      <c r="S20" s="717" t="str">
        <f ca="1">IFERROR(VLOOKUP(S$2,Rango_Admin_DailyPred,MATCH($F20,Rango_Admin_DailyPred_Primera,0)+1,0),"-")</f>
        <v>-</v>
      </c>
      <c r="T20" s="717" t="str">
        <f ca="1">IFERROR(VLOOKUP(T$2,Rango_Admin_DailyPred,MATCH($F20,Rango_Admin_DailyPred_Primera,0)+1,0),"-")</f>
        <v>-</v>
      </c>
      <c r="U20" s="717" t="str">
        <f ca="1">IFERROR(VLOOKUP(U$2,Rango_Admin_DailyPred,MATCH($F20,Rango_Admin_DailyPred_Primera,0)+1,0),"-")</f>
        <v>-</v>
      </c>
      <c r="V20" s="717" t="str">
        <f ca="1">IFERROR(VLOOKUP(V$2,Rango_Admin_DailyPred,MATCH($F20,Rango_Admin_DailyPred_Primera,0)+1,0),"-")</f>
        <v>-</v>
      </c>
      <c r="W20" s="717" t="str">
        <f ca="1">IFERROR(VLOOKUP(W$2,Rango_Admin_DailyPred,MATCH($F20,Rango_Admin_DailyPred_Primera,0)+1,0),"-")</f>
        <v>-</v>
      </c>
      <c r="X20" s="717" t="str">
        <f ca="1">IFERROR(VLOOKUP(X$2,Rango_Admin_DailyPred,MATCH($F20,Rango_Admin_DailyPred_Primera,0)+1,0),"-")</f>
        <v>-</v>
      </c>
      <c r="Y20" s="717" t="str">
        <f ca="1">IFERROR(VLOOKUP(Y$2,Rango_Admin_DailyPred,MATCH($F20,Rango_Admin_DailyPred_Primera,0)+1,0),"-")</f>
        <v>-</v>
      </c>
      <c r="Z20" s="717" t="str">
        <f ca="1">IFERROR(VLOOKUP(Z$2,Rango_Admin_DailyPred,MATCH($F20,Rango_Admin_DailyPred_Primera,0)+1,0),"-")</f>
        <v>-</v>
      </c>
      <c r="AA20" s="717" t="str">
        <f ca="1">IFERROR(VLOOKUP(AA$2,Rango_Admin_DailyPred,MATCH($F20,Rango_Admin_DailyPred_Primera,0)+1,0),"-")</f>
        <v>-</v>
      </c>
      <c r="AB20" s="717" t="str">
        <f ca="1">IFERROR(VLOOKUP(AB$2,Rango_Admin_DailyPred,MATCH($F20,Rango_Admin_DailyPred_Primera,0)+1,0),"-")</f>
        <v>-</v>
      </c>
      <c r="AC20" s="717" t="str">
        <f ca="1">IFERROR(VLOOKUP(AC$2,Rango_Admin_DailyPred,MATCH($F20,Rango_Admin_DailyPred_Primera,0)+1,0),"-")</f>
        <v>-</v>
      </c>
      <c r="AD20" s="717" t="str">
        <f ca="1">IFERROR(VLOOKUP(AD$2,Rango_Admin_DailyPred,MATCH($F20,Rango_Admin_DailyPred_Primera,0)+1,0),"-")</f>
        <v>-</v>
      </c>
      <c r="AE20" s="717" t="str">
        <f ca="1">IFERROR(VLOOKUP(AE$2,Rango_Admin_DailyPred,MATCH($F20,Rango_Admin_DailyPred_Primera,0)+1,0),"-")</f>
        <v>-</v>
      </c>
      <c r="AF20" s="717" t="str">
        <f ca="1">IFERROR(VLOOKUP(AF$2,Rango_Admin_DailyPred,MATCH($F20,Rango_Admin_DailyPred_Primera,0)+1,0),"-")</f>
        <v>-</v>
      </c>
      <c r="AG20" s="717" t="str">
        <f ca="1">IFERROR(VLOOKUP(AG$2,Rango_Admin_DailyPred,MATCH($F20,Rango_Admin_DailyPred_Primera,0)+1,0),"-")</f>
        <v>-</v>
      </c>
      <c r="AH20" s="717" t="str">
        <f ca="1">IFERROR(VLOOKUP(AH$2,Rango_Admin_DailyPred,MATCH($F20,Rango_Admin_DailyPred_Primera,0)+1,0),"-")</f>
        <v>-</v>
      </c>
      <c r="AI20" s="717" t="str">
        <f ca="1">IFERROR(VLOOKUP(AI$2,Rango_Admin_DailyPred,MATCH($F20,Rango_Admin_DailyPred_Primera,0)+1,0),"-")</f>
        <v>-</v>
      </c>
      <c r="AJ20" s="717" t="str">
        <f ca="1">IFERROR(VLOOKUP(AJ$2,Rango_Admin_DailyPred,MATCH($F20,Rango_Admin_DailyPred_Primera,0)+1,0),"-")</f>
        <v>-</v>
      </c>
      <c r="AK20" s="717" t="str">
        <f ca="1">IFERROR(VLOOKUP(AK$2,Rango_Admin_DailyPred,MATCH($F20,Rango_Admin_DailyPred_Primera,0)+1,0),"-")</f>
        <v>-</v>
      </c>
      <c r="AL20" s="717" t="str">
        <f ca="1">IFERROR(VLOOKUP(AL$2,Rango_Admin_DailyPred,MATCH($F20,Rango_Admin_DailyPred_Primera,0)+1,0),"-")</f>
        <v>-</v>
      </c>
      <c r="AM20" s="717" t="str">
        <f ca="1">IFERROR(VLOOKUP(AM$2,Rango_Admin_DailyPred,MATCH($F20,Rango_Admin_DailyPred_Primera,0)+1,0),"-")</f>
        <v>-</v>
      </c>
      <c r="AN20" s="295"/>
    </row>
    <row r="21" spans="1:40">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781">
        <f ca="1">IFERROR(HLOOKUP(C21,Rango_Admin_DailyClas,3,FALSE),"-")</f>
        <v>1</v>
      </c>
      <c r="F21" s="772" t="str">
        <f ca="1">IFERROR(HLOOKUP(C21,Rango_Admin_DailyClas,5,FALSE),"-")</f>
        <v>Juan De Abreu</v>
      </c>
      <c r="G21" s="768">
        <f ca="1">IFERROR(HLOOKUP(C21,Rango_Admin_DailyClas,4,FALSE),"-")</f>
        <v>0</v>
      </c>
      <c r="H21" s="717">
        <f ca="1">IFERROR(VLOOKUP(H$2,Rango_Admin_DailyPred,MATCH($F21,Rango_Admin_DailyPred_Primera,0)+1,0),"-")</f>
        <v>0</v>
      </c>
      <c r="I21" s="717">
        <f ca="1">IFERROR(VLOOKUP(I$2,Rango_Admin_DailyPred,MATCH($F21,Rango_Admin_DailyPred_Primera,0)+1,0),"-")</f>
        <v>0</v>
      </c>
      <c r="J21" s="717">
        <f ca="1">IFERROR(VLOOKUP(J$2,Rango_Admin_DailyPred,MATCH($F21,Rango_Admin_DailyPred_Primera,0)+1,0),"-")</f>
        <v>0</v>
      </c>
      <c r="K21" s="717">
        <f ca="1">IFERROR(VLOOKUP(K$2,Rango_Admin_DailyPred,MATCH($F21,Rango_Admin_DailyPred_Primera,0)+1,0),"-")</f>
        <v>0</v>
      </c>
      <c r="L21" s="717" t="str">
        <f ca="1">IFERROR(VLOOKUP(L$2,Rango_Admin_DailyPred,MATCH($F21,Rango_Admin_DailyPred_Primera,0)+1,0),"-")</f>
        <v>-</v>
      </c>
      <c r="M21" s="717" t="str">
        <f ca="1">IFERROR(VLOOKUP(M$2,Rango_Admin_DailyPred,MATCH($F21,Rango_Admin_DailyPred_Primera,0)+1,0),"-")</f>
        <v>-</v>
      </c>
      <c r="N21" s="717" t="str">
        <f ca="1">IFERROR(VLOOKUP(N$2,Rango_Admin_DailyPred,MATCH($F21,Rango_Admin_DailyPred_Primera,0)+1,0),"-")</f>
        <v>-</v>
      </c>
      <c r="O21" s="717" t="str">
        <f ca="1">IFERROR(VLOOKUP(O$2,Rango_Admin_DailyPred,MATCH($F21,Rango_Admin_DailyPred_Primera,0)+1,0),"-")</f>
        <v>-</v>
      </c>
      <c r="P21" s="717" t="str">
        <f ca="1">IFERROR(VLOOKUP(P$2,Rango_Admin_DailyPred,MATCH($F21,Rango_Admin_DailyPred_Primera,0)+1,0),"-")</f>
        <v>-</v>
      </c>
      <c r="Q21" s="717" t="str">
        <f ca="1">IFERROR(VLOOKUP(Q$2,Rango_Admin_DailyPred,MATCH($F21,Rango_Admin_DailyPred_Primera,0)+1,0),"-")</f>
        <v>-</v>
      </c>
      <c r="R21" s="717" t="str">
        <f ca="1">IFERROR(VLOOKUP(R$2,Rango_Admin_DailyPred,MATCH($F21,Rango_Admin_DailyPred_Primera,0)+1,0),"-")</f>
        <v>-</v>
      </c>
      <c r="S21" s="717" t="str">
        <f ca="1">IFERROR(VLOOKUP(S$2,Rango_Admin_DailyPred,MATCH($F21,Rango_Admin_DailyPred_Primera,0)+1,0),"-")</f>
        <v>-</v>
      </c>
      <c r="T21" s="717" t="str">
        <f ca="1">IFERROR(VLOOKUP(T$2,Rango_Admin_DailyPred,MATCH($F21,Rango_Admin_DailyPred_Primera,0)+1,0),"-")</f>
        <v>-</v>
      </c>
      <c r="U21" s="717" t="str">
        <f ca="1">IFERROR(VLOOKUP(U$2,Rango_Admin_DailyPred,MATCH($F21,Rango_Admin_DailyPred_Primera,0)+1,0),"-")</f>
        <v>-</v>
      </c>
      <c r="V21" s="717" t="str">
        <f ca="1">IFERROR(VLOOKUP(V$2,Rango_Admin_DailyPred,MATCH($F21,Rango_Admin_DailyPred_Primera,0)+1,0),"-")</f>
        <v>-</v>
      </c>
      <c r="W21" s="717" t="str">
        <f ca="1">IFERROR(VLOOKUP(W$2,Rango_Admin_DailyPred,MATCH($F21,Rango_Admin_DailyPred_Primera,0)+1,0),"-")</f>
        <v>-</v>
      </c>
      <c r="X21" s="717" t="str">
        <f ca="1">IFERROR(VLOOKUP(X$2,Rango_Admin_DailyPred,MATCH($F21,Rango_Admin_DailyPred_Primera,0)+1,0),"-")</f>
        <v>-</v>
      </c>
      <c r="Y21" s="717" t="str">
        <f ca="1">IFERROR(VLOOKUP(Y$2,Rango_Admin_DailyPred,MATCH($F21,Rango_Admin_DailyPred_Primera,0)+1,0),"-")</f>
        <v>-</v>
      </c>
      <c r="Z21" s="717" t="str">
        <f ca="1">IFERROR(VLOOKUP(Z$2,Rango_Admin_DailyPred,MATCH($F21,Rango_Admin_DailyPred_Primera,0)+1,0),"-")</f>
        <v>-</v>
      </c>
      <c r="AA21" s="717" t="str">
        <f ca="1">IFERROR(VLOOKUP(AA$2,Rango_Admin_DailyPred,MATCH($F21,Rango_Admin_DailyPred_Primera,0)+1,0),"-")</f>
        <v>-</v>
      </c>
      <c r="AB21" s="717" t="str">
        <f ca="1">IFERROR(VLOOKUP(AB$2,Rango_Admin_DailyPred,MATCH($F21,Rango_Admin_DailyPred_Primera,0)+1,0),"-")</f>
        <v>-</v>
      </c>
      <c r="AC21" s="717" t="str">
        <f ca="1">IFERROR(VLOOKUP(AC$2,Rango_Admin_DailyPred,MATCH($F21,Rango_Admin_DailyPred_Primera,0)+1,0),"-")</f>
        <v>-</v>
      </c>
      <c r="AD21" s="717" t="str">
        <f ca="1">IFERROR(VLOOKUP(AD$2,Rango_Admin_DailyPred,MATCH($F21,Rango_Admin_DailyPred_Primera,0)+1,0),"-")</f>
        <v>-</v>
      </c>
      <c r="AE21" s="717" t="str">
        <f ca="1">IFERROR(VLOOKUP(AE$2,Rango_Admin_DailyPred,MATCH($F21,Rango_Admin_DailyPred_Primera,0)+1,0),"-")</f>
        <v>-</v>
      </c>
      <c r="AF21" s="717" t="str">
        <f ca="1">IFERROR(VLOOKUP(AF$2,Rango_Admin_DailyPred,MATCH($F21,Rango_Admin_DailyPred_Primera,0)+1,0),"-")</f>
        <v>-</v>
      </c>
      <c r="AG21" s="717" t="str">
        <f ca="1">IFERROR(VLOOKUP(AG$2,Rango_Admin_DailyPred,MATCH($F21,Rango_Admin_DailyPred_Primera,0)+1,0),"-")</f>
        <v>-</v>
      </c>
      <c r="AH21" s="717" t="str">
        <f ca="1">IFERROR(VLOOKUP(AH$2,Rango_Admin_DailyPred,MATCH($F21,Rango_Admin_DailyPred_Primera,0)+1,0),"-")</f>
        <v>-</v>
      </c>
      <c r="AI21" s="717" t="str">
        <f ca="1">IFERROR(VLOOKUP(AI$2,Rango_Admin_DailyPred,MATCH($F21,Rango_Admin_DailyPred_Primera,0)+1,0),"-")</f>
        <v>-</v>
      </c>
      <c r="AJ21" s="717" t="str">
        <f ca="1">IFERROR(VLOOKUP(AJ$2,Rango_Admin_DailyPred,MATCH($F21,Rango_Admin_DailyPred_Primera,0)+1,0),"-")</f>
        <v>-</v>
      </c>
      <c r="AK21" s="717" t="str">
        <f ca="1">IFERROR(VLOOKUP(AK$2,Rango_Admin_DailyPred,MATCH($F21,Rango_Admin_DailyPred_Primera,0)+1,0),"-")</f>
        <v>-</v>
      </c>
      <c r="AL21" s="717" t="str">
        <f ca="1">IFERROR(VLOOKUP(AL$2,Rango_Admin_DailyPred,MATCH($F21,Rango_Admin_DailyPred_Primera,0)+1,0),"-")</f>
        <v>-</v>
      </c>
      <c r="AM21" s="717" t="str">
        <f ca="1">IFERROR(VLOOKUP(AM$2,Rango_Admin_DailyPred,MATCH($F21,Rango_Admin_DailyPred_Primera,0)+1,0),"-")</f>
        <v>-</v>
      </c>
      <c r="AN21" s="295"/>
    </row>
    <row r="22" spans="1:40">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781">
        <f ca="1">IFERROR(HLOOKUP(C22,Rango_Admin_DailyClas,3,FALSE),"-")</f>
        <v>1</v>
      </c>
      <c r="F22" s="772" t="str">
        <f ca="1">IFERROR(HLOOKUP(C22,Rango_Admin_DailyClas,5,FALSE),"-")</f>
        <v>Luis Piñero</v>
      </c>
      <c r="G22" s="768">
        <f ca="1">IFERROR(HLOOKUP(C22,Rango_Admin_DailyClas,4,FALSE),"-")</f>
        <v>0</v>
      </c>
      <c r="H22" s="717">
        <f ca="1">IFERROR(VLOOKUP(H$2,Rango_Admin_DailyPred,MATCH($F22,Rango_Admin_DailyPred_Primera,0)+1,0),"-")</f>
        <v>0</v>
      </c>
      <c r="I22" s="717">
        <f ca="1">IFERROR(VLOOKUP(I$2,Rango_Admin_DailyPred,MATCH($F22,Rango_Admin_DailyPred_Primera,0)+1,0),"-")</f>
        <v>0</v>
      </c>
      <c r="J22" s="717">
        <f ca="1">IFERROR(VLOOKUP(J$2,Rango_Admin_DailyPred,MATCH($F22,Rango_Admin_DailyPred_Primera,0)+1,0),"-")</f>
        <v>0</v>
      </c>
      <c r="K22" s="717">
        <f ca="1">IFERROR(VLOOKUP(K$2,Rango_Admin_DailyPred,MATCH($F22,Rango_Admin_DailyPred_Primera,0)+1,0),"-")</f>
        <v>0</v>
      </c>
      <c r="L22" s="717" t="str">
        <f ca="1">IFERROR(VLOOKUP(L$2,Rango_Admin_DailyPred,MATCH($F22,Rango_Admin_DailyPred_Primera,0)+1,0),"-")</f>
        <v>-</v>
      </c>
      <c r="M22" s="717" t="str">
        <f ca="1">IFERROR(VLOOKUP(M$2,Rango_Admin_DailyPred,MATCH($F22,Rango_Admin_DailyPred_Primera,0)+1,0),"-")</f>
        <v>-</v>
      </c>
      <c r="N22" s="717" t="str">
        <f ca="1">IFERROR(VLOOKUP(N$2,Rango_Admin_DailyPred,MATCH($F22,Rango_Admin_DailyPred_Primera,0)+1,0),"-")</f>
        <v>-</v>
      </c>
      <c r="O22" s="717" t="str">
        <f ca="1">IFERROR(VLOOKUP(O$2,Rango_Admin_DailyPred,MATCH($F22,Rango_Admin_DailyPred_Primera,0)+1,0),"-")</f>
        <v>-</v>
      </c>
      <c r="P22" s="717" t="str">
        <f ca="1">IFERROR(VLOOKUP(P$2,Rango_Admin_DailyPred,MATCH($F22,Rango_Admin_DailyPred_Primera,0)+1,0),"-")</f>
        <v>-</v>
      </c>
      <c r="Q22" s="717" t="str">
        <f ca="1">IFERROR(VLOOKUP(Q$2,Rango_Admin_DailyPred,MATCH($F22,Rango_Admin_DailyPred_Primera,0)+1,0),"-")</f>
        <v>-</v>
      </c>
      <c r="R22" s="717" t="str">
        <f ca="1">IFERROR(VLOOKUP(R$2,Rango_Admin_DailyPred,MATCH($F22,Rango_Admin_DailyPred_Primera,0)+1,0),"-")</f>
        <v>-</v>
      </c>
      <c r="S22" s="717" t="str">
        <f ca="1">IFERROR(VLOOKUP(S$2,Rango_Admin_DailyPred,MATCH($F22,Rango_Admin_DailyPred_Primera,0)+1,0),"-")</f>
        <v>-</v>
      </c>
      <c r="T22" s="717" t="str">
        <f ca="1">IFERROR(VLOOKUP(T$2,Rango_Admin_DailyPred,MATCH($F22,Rango_Admin_DailyPred_Primera,0)+1,0),"-")</f>
        <v>-</v>
      </c>
      <c r="U22" s="717" t="str">
        <f ca="1">IFERROR(VLOOKUP(U$2,Rango_Admin_DailyPred,MATCH($F22,Rango_Admin_DailyPred_Primera,0)+1,0),"-")</f>
        <v>-</v>
      </c>
      <c r="V22" s="717" t="str">
        <f ca="1">IFERROR(VLOOKUP(V$2,Rango_Admin_DailyPred,MATCH($F22,Rango_Admin_DailyPred_Primera,0)+1,0),"-")</f>
        <v>-</v>
      </c>
      <c r="W22" s="717" t="str">
        <f ca="1">IFERROR(VLOOKUP(W$2,Rango_Admin_DailyPred,MATCH($F22,Rango_Admin_DailyPred_Primera,0)+1,0),"-")</f>
        <v>-</v>
      </c>
      <c r="X22" s="717" t="str">
        <f ca="1">IFERROR(VLOOKUP(X$2,Rango_Admin_DailyPred,MATCH($F22,Rango_Admin_DailyPred_Primera,0)+1,0),"-")</f>
        <v>-</v>
      </c>
      <c r="Y22" s="717" t="str">
        <f ca="1">IFERROR(VLOOKUP(Y$2,Rango_Admin_DailyPred,MATCH($F22,Rango_Admin_DailyPred_Primera,0)+1,0),"-")</f>
        <v>-</v>
      </c>
      <c r="Z22" s="717" t="str">
        <f ca="1">IFERROR(VLOOKUP(Z$2,Rango_Admin_DailyPred,MATCH($F22,Rango_Admin_DailyPred_Primera,0)+1,0),"-")</f>
        <v>-</v>
      </c>
      <c r="AA22" s="717" t="str">
        <f ca="1">IFERROR(VLOOKUP(AA$2,Rango_Admin_DailyPred,MATCH($F22,Rango_Admin_DailyPred_Primera,0)+1,0),"-")</f>
        <v>-</v>
      </c>
      <c r="AB22" s="717" t="str">
        <f ca="1">IFERROR(VLOOKUP(AB$2,Rango_Admin_DailyPred,MATCH($F22,Rango_Admin_DailyPred_Primera,0)+1,0),"-")</f>
        <v>-</v>
      </c>
      <c r="AC22" s="717" t="str">
        <f ca="1">IFERROR(VLOOKUP(AC$2,Rango_Admin_DailyPred,MATCH($F22,Rango_Admin_DailyPred_Primera,0)+1,0),"-")</f>
        <v>-</v>
      </c>
      <c r="AD22" s="717" t="str">
        <f ca="1">IFERROR(VLOOKUP(AD$2,Rango_Admin_DailyPred,MATCH($F22,Rango_Admin_DailyPred_Primera,0)+1,0),"-")</f>
        <v>-</v>
      </c>
      <c r="AE22" s="717" t="str">
        <f ca="1">IFERROR(VLOOKUP(AE$2,Rango_Admin_DailyPred,MATCH($F22,Rango_Admin_DailyPred_Primera,0)+1,0),"-")</f>
        <v>-</v>
      </c>
      <c r="AF22" s="717" t="str">
        <f ca="1">IFERROR(VLOOKUP(AF$2,Rango_Admin_DailyPred,MATCH($F22,Rango_Admin_DailyPred_Primera,0)+1,0),"-")</f>
        <v>-</v>
      </c>
      <c r="AG22" s="717" t="str">
        <f ca="1">IFERROR(VLOOKUP(AG$2,Rango_Admin_DailyPred,MATCH($F22,Rango_Admin_DailyPred_Primera,0)+1,0),"-")</f>
        <v>-</v>
      </c>
      <c r="AH22" s="717" t="str">
        <f ca="1">IFERROR(VLOOKUP(AH$2,Rango_Admin_DailyPred,MATCH($F22,Rango_Admin_DailyPred_Primera,0)+1,0),"-")</f>
        <v>-</v>
      </c>
      <c r="AI22" s="717" t="str">
        <f ca="1">IFERROR(VLOOKUP(AI$2,Rango_Admin_DailyPred,MATCH($F22,Rango_Admin_DailyPred_Primera,0)+1,0),"-")</f>
        <v>-</v>
      </c>
      <c r="AJ22" s="717" t="str">
        <f ca="1">IFERROR(VLOOKUP(AJ$2,Rango_Admin_DailyPred,MATCH($F22,Rango_Admin_DailyPred_Primera,0)+1,0),"-")</f>
        <v>-</v>
      </c>
      <c r="AK22" s="717" t="str">
        <f ca="1">IFERROR(VLOOKUP(AK$2,Rango_Admin_DailyPred,MATCH($F22,Rango_Admin_DailyPred_Primera,0)+1,0),"-")</f>
        <v>-</v>
      </c>
      <c r="AL22" s="717" t="str">
        <f ca="1">IFERROR(VLOOKUP(AL$2,Rango_Admin_DailyPred,MATCH($F22,Rango_Admin_DailyPred_Primera,0)+1,0),"-")</f>
        <v>-</v>
      </c>
      <c r="AM22" s="717" t="str">
        <f ca="1">IFERROR(VLOOKUP(AM$2,Rango_Admin_DailyPred,MATCH($F22,Rango_Admin_DailyPred_Primera,0)+1,0),"-")</f>
        <v>-</v>
      </c>
      <c r="AN22" s="295"/>
    </row>
    <row r="23" spans="1:40">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781">
        <f ca="1">IFERROR(HLOOKUP(C23,Rango_Admin_DailyClas,3,FALSE),"-")</f>
        <v>1</v>
      </c>
      <c r="F23" s="772" t="str">
        <f ca="1">IFERROR(HLOOKUP(C23,Rango_Admin_DailyClas,5,FALSE),"-")</f>
        <v>Luis Rondon</v>
      </c>
      <c r="G23" s="768">
        <f ca="1">IFERROR(HLOOKUP(C23,Rango_Admin_DailyClas,4,FALSE),"-")</f>
        <v>0</v>
      </c>
      <c r="H23" s="717">
        <f ca="1">IFERROR(VLOOKUP(H$2,Rango_Admin_DailyPred,MATCH($F23,Rango_Admin_DailyPred_Primera,0)+1,0),"-")</f>
        <v>0</v>
      </c>
      <c r="I23" s="717">
        <f ca="1">IFERROR(VLOOKUP(I$2,Rango_Admin_DailyPred,MATCH($F23,Rango_Admin_DailyPred_Primera,0)+1,0),"-")</f>
        <v>0</v>
      </c>
      <c r="J23" s="717">
        <f ca="1">IFERROR(VLOOKUP(J$2,Rango_Admin_DailyPred,MATCH($F23,Rango_Admin_DailyPred_Primera,0)+1,0),"-")</f>
        <v>0</v>
      </c>
      <c r="K23" s="717">
        <f ca="1">IFERROR(VLOOKUP(K$2,Rango_Admin_DailyPred,MATCH($F23,Rango_Admin_DailyPred_Primera,0)+1,0),"-")</f>
        <v>0</v>
      </c>
      <c r="L23" s="717" t="str">
        <f ca="1">IFERROR(VLOOKUP(L$2,Rango_Admin_DailyPred,MATCH($F23,Rango_Admin_DailyPred_Primera,0)+1,0),"-")</f>
        <v>-</v>
      </c>
      <c r="M23" s="717" t="str">
        <f ca="1">IFERROR(VLOOKUP(M$2,Rango_Admin_DailyPred,MATCH($F23,Rango_Admin_DailyPred_Primera,0)+1,0),"-")</f>
        <v>-</v>
      </c>
      <c r="N23" s="717" t="str">
        <f ca="1">IFERROR(VLOOKUP(N$2,Rango_Admin_DailyPred,MATCH($F23,Rango_Admin_DailyPred_Primera,0)+1,0),"-")</f>
        <v>-</v>
      </c>
      <c r="O23" s="717" t="str">
        <f ca="1">IFERROR(VLOOKUP(O$2,Rango_Admin_DailyPred,MATCH($F23,Rango_Admin_DailyPred_Primera,0)+1,0),"-")</f>
        <v>-</v>
      </c>
      <c r="P23" s="717" t="str">
        <f ca="1">IFERROR(VLOOKUP(P$2,Rango_Admin_DailyPred,MATCH($F23,Rango_Admin_DailyPred_Primera,0)+1,0),"-")</f>
        <v>-</v>
      </c>
      <c r="Q23" s="717" t="str">
        <f ca="1">IFERROR(VLOOKUP(Q$2,Rango_Admin_DailyPred,MATCH($F23,Rango_Admin_DailyPred_Primera,0)+1,0),"-")</f>
        <v>-</v>
      </c>
      <c r="R23" s="717" t="str">
        <f ca="1">IFERROR(VLOOKUP(R$2,Rango_Admin_DailyPred,MATCH($F23,Rango_Admin_DailyPred_Primera,0)+1,0),"-")</f>
        <v>-</v>
      </c>
      <c r="S23" s="717" t="str">
        <f ca="1">IFERROR(VLOOKUP(S$2,Rango_Admin_DailyPred,MATCH($F23,Rango_Admin_DailyPred_Primera,0)+1,0),"-")</f>
        <v>-</v>
      </c>
      <c r="T23" s="717" t="str">
        <f ca="1">IFERROR(VLOOKUP(T$2,Rango_Admin_DailyPred,MATCH($F23,Rango_Admin_DailyPred_Primera,0)+1,0),"-")</f>
        <v>-</v>
      </c>
      <c r="U23" s="717" t="str">
        <f ca="1">IFERROR(VLOOKUP(U$2,Rango_Admin_DailyPred,MATCH($F23,Rango_Admin_DailyPred_Primera,0)+1,0),"-")</f>
        <v>-</v>
      </c>
      <c r="V23" s="717" t="str">
        <f ca="1">IFERROR(VLOOKUP(V$2,Rango_Admin_DailyPred,MATCH($F23,Rango_Admin_DailyPred_Primera,0)+1,0),"-")</f>
        <v>-</v>
      </c>
      <c r="W23" s="717" t="str">
        <f ca="1">IFERROR(VLOOKUP(W$2,Rango_Admin_DailyPred,MATCH($F23,Rango_Admin_DailyPred_Primera,0)+1,0),"-")</f>
        <v>-</v>
      </c>
      <c r="X23" s="717" t="str">
        <f ca="1">IFERROR(VLOOKUP(X$2,Rango_Admin_DailyPred,MATCH($F23,Rango_Admin_DailyPred_Primera,0)+1,0),"-")</f>
        <v>-</v>
      </c>
      <c r="Y23" s="717" t="str">
        <f ca="1">IFERROR(VLOOKUP(Y$2,Rango_Admin_DailyPred,MATCH($F23,Rango_Admin_DailyPred_Primera,0)+1,0),"-")</f>
        <v>-</v>
      </c>
      <c r="Z23" s="717" t="str">
        <f ca="1">IFERROR(VLOOKUP(Z$2,Rango_Admin_DailyPred,MATCH($F23,Rango_Admin_DailyPred_Primera,0)+1,0),"-")</f>
        <v>-</v>
      </c>
      <c r="AA23" s="717" t="str">
        <f ca="1">IFERROR(VLOOKUP(AA$2,Rango_Admin_DailyPred,MATCH($F23,Rango_Admin_DailyPred_Primera,0)+1,0),"-")</f>
        <v>-</v>
      </c>
      <c r="AB23" s="717" t="str">
        <f ca="1">IFERROR(VLOOKUP(AB$2,Rango_Admin_DailyPred,MATCH($F23,Rango_Admin_DailyPred_Primera,0)+1,0),"-")</f>
        <v>-</v>
      </c>
      <c r="AC23" s="717" t="str">
        <f ca="1">IFERROR(VLOOKUP(AC$2,Rango_Admin_DailyPred,MATCH($F23,Rango_Admin_DailyPred_Primera,0)+1,0),"-")</f>
        <v>-</v>
      </c>
      <c r="AD23" s="717" t="str">
        <f ca="1">IFERROR(VLOOKUP(AD$2,Rango_Admin_DailyPred,MATCH($F23,Rango_Admin_DailyPred_Primera,0)+1,0),"-")</f>
        <v>-</v>
      </c>
      <c r="AE23" s="717" t="str">
        <f ca="1">IFERROR(VLOOKUP(AE$2,Rango_Admin_DailyPred,MATCH($F23,Rango_Admin_DailyPred_Primera,0)+1,0),"-")</f>
        <v>-</v>
      </c>
      <c r="AF23" s="717" t="str">
        <f ca="1">IFERROR(VLOOKUP(AF$2,Rango_Admin_DailyPred,MATCH($F23,Rango_Admin_DailyPred_Primera,0)+1,0),"-")</f>
        <v>-</v>
      </c>
      <c r="AG23" s="717" t="str">
        <f ca="1">IFERROR(VLOOKUP(AG$2,Rango_Admin_DailyPred,MATCH($F23,Rango_Admin_DailyPred_Primera,0)+1,0),"-")</f>
        <v>-</v>
      </c>
      <c r="AH23" s="717" t="str">
        <f ca="1">IFERROR(VLOOKUP(AH$2,Rango_Admin_DailyPred,MATCH($F23,Rango_Admin_DailyPred_Primera,0)+1,0),"-")</f>
        <v>-</v>
      </c>
      <c r="AI23" s="717" t="str">
        <f ca="1">IFERROR(VLOOKUP(AI$2,Rango_Admin_DailyPred,MATCH($F23,Rango_Admin_DailyPred_Primera,0)+1,0),"-")</f>
        <v>-</v>
      </c>
      <c r="AJ23" s="717" t="str">
        <f ca="1">IFERROR(VLOOKUP(AJ$2,Rango_Admin_DailyPred,MATCH($F23,Rango_Admin_DailyPred_Primera,0)+1,0),"-")</f>
        <v>-</v>
      </c>
      <c r="AK23" s="717" t="str">
        <f ca="1">IFERROR(VLOOKUP(AK$2,Rango_Admin_DailyPred,MATCH($F23,Rango_Admin_DailyPred_Primera,0)+1,0),"-")</f>
        <v>-</v>
      </c>
      <c r="AL23" s="717" t="str">
        <f ca="1">IFERROR(VLOOKUP(AL$2,Rango_Admin_DailyPred,MATCH($F23,Rango_Admin_DailyPred_Primera,0)+1,0),"-")</f>
        <v>-</v>
      </c>
      <c r="AM23" s="717" t="str">
        <f ca="1">IFERROR(VLOOKUP(AM$2,Rango_Admin_DailyPred,MATCH($F23,Rango_Admin_DailyPred_Primera,0)+1,0),"-")</f>
        <v>-</v>
      </c>
      <c r="AN23" s="295"/>
    </row>
    <row r="24" spans="1:40">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781">
        <f ca="1">IFERROR(HLOOKUP(C24,Rango_Admin_DailyClas,3,FALSE),"-")</f>
        <v>1</v>
      </c>
      <c r="F24" s="772" t="str">
        <f ca="1">IFERROR(HLOOKUP(C24,Rango_Admin_DailyClas,5,FALSE),"-")</f>
        <v>Manuel Coa</v>
      </c>
      <c r="G24" s="768">
        <f ca="1">IFERROR(HLOOKUP(C24,Rango_Admin_DailyClas,4,FALSE),"-")</f>
        <v>0</v>
      </c>
      <c r="H24" s="717">
        <f ca="1">IFERROR(VLOOKUP(H$2,Rango_Admin_DailyPred,MATCH($F24,Rango_Admin_DailyPred_Primera,0)+1,0),"-")</f>
        <v>0</v>
      </c>
      <c r="I24" s="717">
        <f ca="1">IFERROR(VLOOKUP(I$2,Rango_Admin_DailyPred,MATCH($F24,Rango_Admin_DailyPred_Primera,0)+1,0),"-")</f>
        <v>0</v>
      </c>
      <c r="J24" s="717">
        <f ca="1">IFERROR(VLOOKUP(J$2,Rango_Admin_DailyPred,MATCH($F24,Rango_Admin_DailyPred_Primera,0)+1,0),"-")</f>
        <v>0</v>
      </c>
      <c r="K24" s="717">
        <f ca="1">IFERROR(VLOOKUP(K$2,Rango_Admin_DailyPred,MATCH($F24,Rango_Admin_DailyPred_Primera,0)+1,0),"-")</f>
        <v>0</v>
      </c>
      <c r="L24" s="717" t="str">
        <f ca="1">IFERROR(VLOOKUP(L$2,Rango_Admin_DailyPred,MATCH($F24,Rango_Admin_DailyPred_Primera,0)+1,0),"-")</f>
        <v>-</v>
      </c>
      <c r="M24" s="717" t="str">
        <f ca="1">IFERROR(VLOOKUP(M$2,Rango_Admin_DailyPred,MATCH($F24,Rango_Admin_DailyPred_Primera,0)+1,0),"-")</f>
        <v>-</v>
      </c>
      <c r="N24" s="717" t="str">
        <f ca="1">IFERROR(VLOOKUP(N$2,Rango_Admin_DailyPred,MATCH($F24,Rango_Admin_DailyPred_Primera,0)+1,0),"-")</f>
        <v>-</v>
      </c>
      <c r="O24" s="717" t="str">
        <f ca="1">IFERROR(VLOOKUP(O$2,Rango_Admin_DailyPred,MATCH($F24,Rango_Admin_DailyPred_Primera,0)+1,0),"-")</f>
        <v>-</v>
      </c>
      <c r="P24" s="717" t="str">
        <f ca="1">IFERROR(VLOOKUP(P$2,Rango_Admin_DailyPred,MATCH($F24,Rango_Admin_DailyPred_Primera,0)+1,0),"-")</f>
        <v>-</v>
      </c>
      <c r="Q24" s="717" t="str">
        <f ca="1">IFERROR(VLOOKUP(Q$2,Rango_Admin_DailyPred,MATCH($F24,Rango_Admin_DailyPred_Primera,0)+1,0),"-")</f>
        <v>-</v>
      </c>
      <c r="R24" s="717" t="str">
        <f ca="1">IFERROR(VLOOKUP(R$2,Rango_Admin_DailyPred,MATCH($F24,Rango_Admin_DailyPred_Primera,0)+1,0),"-")</f>
        <v>-</v>
      </c>
      <c r="S24" s="717" t="str">
        <f ca="1">IFERROR(VLOOKUP(S$2,Rango_Admin_DailyPred,MATCH($F24,Rango_Admin_DailyPred_Primera,0)+1,0),"-")</f>
        <v>-</v>
      </c>
      <c r="T24" s="717" t="str">
        <f ca="1">IFERROR(VLOOKUP(T$2,Rango_Admin_DailyPred,MATCH($F24,Rango_Admin_DailyPred_Primera,0)+1,0),"-")</f>
        <v>-</v>
      </c>
      <c r="U24" s="717" t="str">
        <f ca="1">IFERROR(VLOOKUP(U$2,Rango_Admin_DailyPred,MATCH($F24,Rango_Admin_DailyPred_Primera,0)+1,0),"-")</f>
        <v>-</v>
      </c>
      <c r="V24" s="717" t="str">
        <f ca="1">IFERROR(VLOOKUP(V$2,Rango_Admin_DailyPred,MATCH($F24,Rango_Admin_DailyPred_Primera,0)+1,0),"-")</f>
        <v>-</v>
      </c>
      <c r="W24" s="717" t="str">
        <f ca="1">IFERROR(VLOOKUP(W$2,Rango_Admin_DailyPred,MATCH($F24,Rango_Admin_DailyPred_Primera,0)+1,0),"-")</f>
        <v>-</v>
      </c>
      <c r="X24" s="717" t="str">
        <f ca="1">IFERROR(VLOOKUP(X$2,Rango_Admin_DailyPred,MATCH($F24,Rango_Admin_DailyPred_Primera,0)+1,0),"-")</f>
        <v>-</v>
      </c>
      <c r="Y24" s="717" t="str">
        <f ca="1">IFERROR(VLOOKUP(Y$2,Rango_Admin_DailyPred,MATCH($F24,Rango_Admin_DailyPred_Primera,0)+1,0),"-")</f>
        <v>-</v>
      </c>
      <c r="Z24" s="717" t="str">
        <f ca="1">IFERROR(VLOOKUP(Z$2,Rango_Admin_DailyPred,MATCH($F24,Rango_Admin_DailyPred_Primera,0)+1,0),"-")</f>
        <v>-</v>
      </c>
      <c r="AA24" s="717" t="str">
        <f ca="1">IFERROR(VLOOKUP(AA$2,Rango_Admin_DailyPred,MATCH($F24,Rango_Admin_DailyPred_Primera,0)+1,0),"-")</f>
        <v>-</v>
      </c>
      <c r="AB24" s="717" t="str">
        <f ca="1">IFERROR(VLOOKUP(AB$2,Rango_Admin_DailyPred,MATCH($F24,Rango_Admin_DailyPred_Primera,0)+1,0),"-")</f>
        <v>-</v>
      </c>
      <c r="AC24" s="717" t="str">
        <f ca="1">IFERROR(VLOOKUP(AC$2,Rango_Admin_DailyPred,MATCH($F24,Rango_Admin_DailyPred_Primera,0)+1,0),"-")</f>
        <v>-</v>
      </c>
      <c r="AD24" s="717" t="str">
        <f ca="1">IFERROR(VLOOKUP(AD$2,Rango_Admin_DailyPred,MATCH($F24,Rango_Admin_DailyPred_Primera,0)+1,0),"-")</f>
        <v>-</v>
      </c>
      <c r="AE24" s="717" t="str">
        <f ca="1">IFERROR(VLOOKUP(AE$2,Rango_Admin_DailyPred,MATCH($F24,Rango_Admin_DailyPred_Primera,0)+1,0),"-")</f>
        <v>-</v>
      </c>
      <c r="AF24" s="717" t="str">
        <f ca="1">IFERROR(VLOOKUP(AF$2,Rango_Admin_DailyPred,MATCH($F24,Rango_Admin_DailyPred_Primera,0)+1,0),"-")</f>
        <v>-</v>
      </c>
      <c r="AG24" s="717" t="str">
        <f ca="1">IFERROR(VLOOKUP(AG$2,Rango_Admin_DailyPred,MATCH($F24,Rango_Admin_DailyPred_Primera,0)+1,0),"-")</f>
        <v>-</v>
      </c>
      <c r="AH24" s="717" t="str">
        <f ca="1">IFERROR(VLOOKUP(AH$2,Rango_Admin_DailyPred,MATCH($F24,Rango_Admin_DailyPred_Primera,0)+1,0),"-")</f>
        <v>-</v>
      </c>
      <c r="AI24" s="717" t="str">
        <f ca="1">IFERROR(VLOOKUP(AI$2,Rango_Admin_DailyPred,MATCH($F24,Rango_Admin_DailyPred_Primera,0)+1,0),"-")</f>
        <v>-</v>
      </c>
      <c r="AJ24" s="717" t="str">
        <f ca="1">IFERROR(VLOOKUP(AJ$2,Rango_Admin_DailyPred,MATCH($F24,Rango_Admin_DailyPred_Primera,0)+1,0),"-")</f>
        <v>-</v>
      </c>
      <c r="AK24" s="717" t="str">
        <f ca="1">IFERROR(VLOOKUP(AK$2,Rango_Admin_DailyPred,MATCH($F24,Rango_Admin_DailyPred_Primera,0)+1,0),"-")</f>
        <v>-</v>
      </c>
      <c r="AL24" s="717" t="str">
        <f ca="1">IFERROR(VLOOKUP(AL$2,Rango_Admin_DailyPred,MATCH($F24,Rango_Admin_DailyPred_Primera,0)+1,0),"-")</f>
        <v>-</v>
      </c>
      <c r="AM24" s="717" t="str">
        <f ca="1">IFERROR(VLOOKUP(AM$2,Rango_Admin_DailyPred,MATCH($F24,Rango_Admin_DailyPred_Primera,0)+1,0),"-")</f>
        <v>-</v>
      </c>
      <c r="AN24" s="295"/>
    </row>
    <row r="25" spans="1:40">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781">
        <f ca="1">IFERROR(HLOOKUP(C25,Rango_Admin_DailyClas,3,FALSE),"-")</f>
        <v>1</v>
      </c>
      <c r="F25" s="772" t="str">
        <f ca="1">IFERROR(HLOOKUP(C25,Rango_Admin_DailyClas,5,FALSE),"-")</f>
        <v>Miguel Dousdebés</v>
      </c>
      <c r="G25" s="768">
        <f ca="1">IFERROR(HLOOKUP(C25,Rango_Admin_DailyClas,4,FALSE),"-")</f>
        <v>0</v>
      </c>
      <c r="H25" s="717">
        <f ca="1">IFERROR(VLOOKUP(H$2,Rango_Admin_DailyPred,MATCH($F25,Rango_Admin_DailyPred_Primera,0)+1,0),"-")</f>
        <v>0</v>
      </c>
      <c r="I25" s="717">
        <f ca="1">IFERROR(VLOOKUP(I$2,Rango_Admin_DailyPred,MATCH($F25,Rango_Admin_DailyPred_Primera,0)+1,0),"-")</f>
        <v>0</v>
      </c>
      <c r="J25" s="717">
        <f ca="1">IFERROR(VLOOKUP(J$2,Rango_Admin_DailyPred,MATCH($F25,Rango_Admin_DailyPred_Primera,0)+1,0),"-")</f>
        <v>0</v>
      </c>
      <c r="K25" s="717">
        <f ca="1">IFERROR(VLOOKUP(K$2,Rango_Admin_DailyPred,MATCH($F25,Rango_Admin_DailyPred_Primera,0)+1,0),"-")</f>
        <v>0</v>
      </c>
      <c r="L25" s="717" t="str">
        <f ca="1">IFERROR(VLOOKUP(L$2,Rango_Admin_DailyPred,MATCH($F25,Rango_Admin_DailyPred_Primera,0)+1,0),"-")</f>
        <v>-</v>
      </c>
      <c r="M25" s="717" t="str">
        <f ca="1">IFERROR(VLOOKUP(M$2,Rango_Admin_DailyPred,MATCH($F25,Rango_Admin_DailyPred_Primera,0)+1,0),"-")</f>
        <v>-</v>
      </c>
      <c r="N25" s="717" t="str">
        <f ca="1">IFERROR(VLOOKUP(N$2,Rango_Admin_DailyPred,MATCH($F25,Rango_Admin_DailyPred_Primera,0)+1,0),"-")</f>
        <v>-</v>
      </c>
      <c r="O25" s="717" t="str">
        <f ca="1">IFERROR(VLOOKUP(O$2,Rango_Admin_DailyPred,MATCH($F25,Rango_Admin_DailyPred_Primera,0)+1,0),"-")</f>
        <v>-</v>
      </c>
      <c r="P25" s="717" t="str">
        <f ca="1">IFERROR(VLOOKUP(P$2,Rango_Admin_DailyPred,MATCH($F25,Rango_Admin_DailyPred_Primera,0)+1,0),"-")</f>
        <v>-</v>
      </c>
      <c r="Q25" s="717" t="str">
        <f ca="1">IFERROR(VLOOKUP(Q$2,Rango_Admin_DailyPred,MATCH($F25,Rango_Admin_DailyPred_Primera,0)+1,0),"-")</f>
        <v>-</v>
      </c>
      <c r="R25" s="717" t="str">
        <f ca="1">IFERROR(VLOOKUP(R$2,Rango_Admin_DailyPred,MATCH($F25,Rango_Admin_DailyPred_Primera,0)+1,0),"-")</f>
        <v>-</v>
      </c>
      <c r="S25" s="717" t="str">
        <f ca="1">IFERROR(VLOOKUP(S$2,Rango_Admin_DailyPred,MATCH($F25,Rango_Admin_DailyPred_Primera,0)+1,0),"-")</f>
        <v>-</v>
      </c>
      <c r="T25" s="717" t="str">
        <f ca="1">IFERROR(VLOOKUP(T$2,Rango_Admin_DailyPred,MATCH($F25,Rango_Admin_DailyPred_Primera,0)+1,0),"-")</f>
        <v>-</v>
      </c>
      <c r="U25" s="717" t="str">
        <f ca="1">IFERROR(VLOOKUP(U$2,Rango_Admin_DailyPred,MATCH($F25,Rango_Admin_DailyPred_Primera,0)+1,0),"-")</f>
        <v>-</v>
      </c>
      <c r="V25" s="717" t="str">
        <f ca="1">IFERROR(VLOOKUP(V$2,Rango_Admin_DailyPred,MATCH($F25,Rango_Admin_DailyPred_Primera,0)+1,0),"-")</f>
        <v>-</v>
      </c>
      <c r="W25" s="717" t="str">
        <f ca="1">IFERROR(VLOOKUP(W$2,Rango_Admin_DailyPred,MATCH($F25,Rango_Admin_DailyPred_Primera,0)+1,0),"-")</f>
        <v>-</v>
      </c>
      <c r="X25" s="717" t="str">
        <f ca="1">IFERROR(VLOOKUP(X$2,Rango_Admin_DailyPred,MATCH($F25,Rango_Admin_DailyPred_Primera,0)+1,0),"-")</f>
        <v>-</v>
      </c>
      <c r="Y25" s="717" t="str">
        <f ca="1">IFERROR(VLOOKUP(Y$2,Rango_Admin_DailyPred,MATCH($F25,Rango_Admin_DailyPred_Primera,0)+1,0),"-")</f>
        <v>-</v>
      </c>
      <c r="Z25" s="717" t="str">
        <f ca="1">IFERROR(VLOOKUP(Z$2,Rango_Admin_DailyPred,MATCH($F25,Rango_Admin_DailyPred_Primera,0)+1,0),"-")</f>
        <v>-</v>
      </c>
      <c r="AA25" s="717" t="str">
        <f ca="1">IFERROR(VLOOKUP(AA$2,Rango_Admin_DailyPred,MATCH($F25,Rango_Admin_DailyPred_Primera,0)+1,0),"-")</f>
        <v>-</v>
      </c>
      <c r="AB25" s="717" t="str">
        <f ca="1">IFERROR(VLOOKUP(AB$2,Rango_Admin_DailyPred,MATCH($F25,Rango_Admin_DailyPred_Primera,0)+1,0),"-")</f>
        <v>-</v>
      </c>
      <c r="AC25" s="717" t="str">
        <f ca="1">IFERROR(VLOOKUP(AC$2,Rango_Admin_DailyPred,MATCH($F25,Rango_Admin_DailyPred_Primera,0)+1,0),"-")</f>
        <v>-</v>
      </c>
      <c r="AD25" s="717" t="str">
        <f ca="1">IFERROR(VLOOKUP(AD$2,Rango_Admin_DailyPred,MATCH($F25,Rango_Admin_DailyPred_Primera,0)+1,0),"-")</f>
        <v>-</v>
      </c>
      <c r="AE25" s="717" t="str">
        <f ca="1">IFERROR(VLOOKUP(AE$2,Rango_Admin_DailyPred,MATCH($F25,Rango_Admin_DailyPred_Primera,0)+1,0),"-")</f>
        <v>-</v>
      </c>
      <c r="AF25" s="717" t="str">
        <f ca="1">IFERROR(VLOOKUP(AF$2,Rango_Admin_DailyPred,MATCH($F25,Rango_Admin_DailyPred_Primera,0)+1,0),"-")</f>
        <v>-</v>
      </c>
      <c r="AG25" s="717" t="str">
        <f ca="1">IFERROR(VLOOKUP(AG$2,Rango_Admin_DailyPred,MATCH($F25,Rango_Admin_DailyPred_Primera,0)+1,0),"-")</f>
        <v>-</v>
      </c>
      <c r="AH25" s="717" t="str">
        <f ca="1">IFERROR(VLOOKUP(AH$2,Rango_Admin_DailyPred,MATCH($F25,Rango_Admin_DailyPred_Primera,0)+1,0),"-")</f>
        <v>-</v>
      </c>
      <c r="AI25" s="717" t="str">
        <f ca="1">IFERROR(VLOOKUP(AI$2,Rango_Admin_DailyPred,MATCH($F25,Rango_Admin_DailyPred_Primera,0)+1,0),"-")</f>
        <v>-</v>
      </c>
      <c r="AJ25" s="717" t="str">
        <f ca="1">IFERROR(VLOOKUP(AJ$2,Rango_Admin_DailyPred,MATCH($F25,Rango_Admin_DailyPred_Primera,0)+1,0),"-")</f>
        <v>-</v>
      </c>
      <c r="AK25" s="717" t="str">
        <f ca="1">IFERROR(VLOOKUP(AK$2,Rango_Admin_DailyPred,MATCH($F25,Rango_Admin_DailyPred_Primera,0)+1,0),"-")</f>
        <v>-</v>
      </c>
      <c r="AL25" s="717" t="str">
        <f ca="1">IFERROR(VLOOKUP(AL$2,Rango_Admin_DailyPred,MATCH($F25,Rango_Admin_DailyPred_Primera,0)+1,0),"-")</f>
        <v>-</v>
      </c>
      <c r="AM25" s="717" t="str">
        <f ca="1">IFERROR(VLOOKUP(AM$2,Rango_Admin_DailyPred,MATCH($F25,Rango_Admin_DailyPred_Primera,0)+1,0),"-")</f>
        <v>-</v>
      </c>
      <c r="AN25" s="295"/>
    </row>
    <row r="26" spans="1:40">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781">
        <f ca="1">IFERROR(HLOOKUP(C26,Rango_Admin_DailyClas,3,FALSE),"-")</f>
        <v>1</v>
      </c>
      <c r="F26" s="772" t="str">
        <f ca="1">IFERROR(HLOOKUP(C26,Rango_Admin_DailyClas,5,FALSE),"-")</f>
        <v>Moisex Contreras</v>
      </c>
      <c r="G26" s="768">
        <f ca="1">IFERROR(HLOOKUP(C26,Rango_Admin_DailyClas,4,FALSE),"-")</f>
        <v>0</v>
      </c>
      <c r="H26" s="717">
        <f ca="1">IFERROR(VLOOKUP(H$2,Rango_Admin_DailyPred,MATCH($F26,Rango_Admin_DailyPred_Primera,0)+1,0),"-")</f>
        <v>0</v>
      </c>
      <c r="I26" s="717">
        <f ca="1">IFERROR(VLOOKUP(I$2,Rango_Admin_DailyPred,MATCH($F26,Rango_Admin_DailyPred_Primera,0)+1,0),"-")</f>
        <v>0</v>
      </c>
      <c r="J26" s="717">
        <f ca="1">IFERROR(VLOOKUP(J$2,Rango_Admin_DailyPred,MATCH($F26,Rango_Admin_DailyPred_Primera,0)+1,0),"-")</f>
        <v>0</v>
      </c>
      <c r="K26" s="717">
        <f ca="1">IFERROR(VLOOKUP(K$2,Rango_Admin_DailyPred,MATCH($F26,Rango_Admin_DailyPred_Primera,0)+1,0),"-")</f>
        <v>0</v>
      </c>
      <c r="L26" s="717" t="str">
        <f ca="1">IFERROR(VLOOKUP(L$2,Rango_Admin_DailyPred,MATCH($F26,Rango_Admin_DailyPred_Primera,0)+1,0),"-")</f>
        <v>-</v>
      </c>
      <c r="M26" s="717" t="str">
        <f ca="1">IFERROR(VLOOKUP(M$2,Rango_Admin_DailyPred,MATCH($F26,Rango_Admin_DailyPred_Primera,0)+1,0),"-")</f>
        <v>-</v>
      </c>
      <c r="N26" s="717" t="str">
        <f ca="1">IFERROR(VLOOKUP(N$2,Rango_Admin_DailyPred,MATCH($F26,Rango_Admin_DailyPred_Primera,0)+1,0),"-")</f>
        <v>-</v>
      </c>
      <c r="O26" s="717" t="str">
        <f ca="1">IFERROR(VLOOKUP(O$2,Rango_Admin_DailyPred,MATCH($F26,Rango_Admin_DailyPred_Primera,0)+1,0),"-")</f>
        <v>-</v>
      </c>
      <c r="P26" s="717" t="str">
        <f ca="1">IFERROR(VLOOKUP(P$2,Rango_Admin_DailyPred,MATCH($F26,Rango_Admin_DailyPred_Primera,0)+1,0),"-")</f>
        <v>-</v>
      </c>
      <c r="Q26" s="717" t="str">
        <f ca="1">IFERROR(VLOOKUP(Q$2,Rango_Admin_DailyPred,MATCH($F26,Rango_Admin_DailyPred_Primera,0)+1,0),"-")</f>
        <v>-</v>
      </c>
      <c r="R26" s="717" t="str">
        <f ca="1">IFERROR(VLOOKUP(R$2,Rango_Admin_DailyPred,MATCH($F26,Rango_Admin_DailyPred_Primera,0)+1,0),"-")</f>
        <v>-</v>
      </c>
      <c r="S26" s="717" t="str">
        <f ca="1">IFERROR(VLOOKUP(S$2,Rango_Admin_DailyPred,MATCH($F26,Rango_Admin_DailyPred_Primera,0)+1,0),"-")</f>
        <v>-</v>
      </c>
      <c r="T26" s="717" t="str">
        <f ca="1">IFERROR(VLOOKUP(T$2,Rango_Admin_DailyPred,MATCH($F26,Rango_Admin_DailyPred_Primera,0)+1,0),"-")</f>
        <v>-</v>
      </c>
      <c r="U26" s="717" t="str">
        <f ca="1">IFERROR(VLOOKUP(U$2,Rango_Admin_DailyPred,MATCH($F26,Rango_Admin_DailyPred_Primera,0)+1,0),"-")</f>
        <v>-</v>
      </c>
      <c r="V26" s="717" t="str">
        <f ca="1">IFERROR(VLOOKUP(V$2,Rango_Admin_DailyPred,MATCH($F26,Rango_Admin_DailyPred_Primera,0)+1,0),"-")</f>
        <v>-</v>
      </c>
      <c r="W26" s="717" t="str">
        <f ca="1">IFERROR(VLOOKUP(W$2,Rango_Admin_DailyPred,MATCH($F26,Rango_Admin_DailyPred_Primera,0)+1,0),"-")</f>
        <v>-</v>
      </c>
      <c r="X26" s="717" t="str">
        <f ca="1">IFERROR(VLOOKUP(X$2,Rango_Admin_DailyPred,MATCH($F26,Rango_Admin_DailyPred_Primera,0)+1,0),"-")</f>
        <v>-</v>
      </c>
      <c r="Y26" s="717" t="str">
        <f ca="1">IFERROR(VLOOKUP(Y$2,Rango_Admin_DailyPred,MATCH($F26,Rango_Admin_DailyPred_Primera,0)+1,0),"-")</f>
        <v>-</v>
      </c>
      <c r="Z26" s="717" t="str">
        <f ca="1">IFERROR(VLOOKUP(Z$2,Rango_Admin_DailyPred,MATCH($F26,Rango_Admin_DailyPred_Primera,0)+1,0),"-")</f>
        <v>-</v>
      </c>
      <c r="AA26" s="717" t="str">
        <f ca="1">IFERROR(VLOOKUP(AA$2,Rango_Admin_DailyPred,MATCH($F26,Rango_Admin_DailyPred_Primera,0)+1,0),"-")</f>
        <v>-</v>
      </c>
      <c r="AB26" s="717" t="str">
        <f ca="1">IFERROR(VLOOKUP(AB$2,Rango_Admin_DailyPred,MATCH($F26,Rango_Admin_DailyPred_Primera,0)+1,0),"-")</f>
        <v>-</v>
      </c>
      <c r="AC26" s="717" t="str">
        <f ca="1">IFERROR(VLOOKUP(AC$2,Rango_Admin_DailyPred,MATCH($F26,Rango_Admin_DailyPred_Primera,0)+1,0),"-")</f>
        <v>-</v>
      </c>
      <c r="AD26" s="717" t="str">
        <f ca="1">IFERROR(VLOOKUP(AD$2,Rango_Admin_DailyPred,MATCH($F26,Rango_Admin_DailyPred_Primera,0)+1,0),"-")</f>
        <v>-</v>
      </c>
      <c r="AE26" s="717" t="str">
        <f ca="1">IFERROR(VLOOKUP(AE$2,Rango_Admin_DailyPred,MATCH($F26,Rango_Admin_DailyPred_Primera,0)+1,0),"-")</f>
        <v>-</v>
      </c>
      <c r="AF26" s="717" t="str">
        <f ca="1">IFERROR(VLOOKUP(AF$2,Rango_Admin_DailyPred,MATCH($F26,Rango_Admin_DailyPred_Primera,0)+1,0),"-")</f>
        <v>-</v>
      </c>
      <c r="AG26" s="717" t="str">
        <f ca="1">IFERROR(VLOOKUP(AG$2,Rango_Admin_DailyPred,MATCH($F26,Rango_Admin_DailyPred_Primera,0)+1,0),"-")</f>
        <v>-</v>
      </c>
      <c r="AH26" s="717" t="str">
        <f ca="1">IFERROR(VLOOKUP(AH$2,Rango_Admin_DailyPred,MATCH($F26,Rango_Admin_DailyPred_Primera,0)+1,0),"-")</f>
        <v>-</v>
      </c>
      <c r="AI26" s="717" t="str">
        <f ca="1">IFERROR(VLOOKUP(AI$2,Rango_Admin_DailyPred,MATCH($F26,Rango_Admin_DailyPred_Primera,0)+1,0),"-")</f>
        <v>-</v>
      </c>
      <c r="AJ26" s="717" t="str">
        <f ca="1">IFERROR(VLOOKUP(AJ$2,Rango_Admin_DailyPred,MATCH($F26,Rango_Admin_DailyPred_Primera,0)+1,0),"-")</f>
        <v>-</v>
      </c>
      <c r="AK26" s="717" t="str">
        <f ca="1">IFERROR(VLOOKUP(AK$2,Rango_Admin_DailyPred,MATCH($F26,Rango_Admin_DailyPred_Primera,0)+1,0),"-")</f>
        <v>-</v>
      </c>
      <c r="AL26" s="717" t="str">
        <f ca="1">IFERROR(VLOOKUP(AL$2,Rango_Admin_DailyPred,MATCH($F26,Rango_Admin_DailyPred_Primera,0)+1,0),"-")</f>
        <v>-</v>
      </c>
      <c r="AM26" s="717" t="str">
        <f ca="1">IFERROR(VLOOKUP(AM$2,Rango_Admin_DailyPred,MATCH($F26,Rango_Admin_DailyPred_Primera,0)+1,0),"-")</f>
        <v>-</v>
      </c>
      <c r="AN26" s="295"/>
    </row>
    <row r="27" spans="1:40">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781">
        <f ca="1">IFERROR(HLOOKUP(C27,Rango_Admin_DailyClas,3,FALSE),"-")</f>
        <v>1</v>
      </c>
      <c r="F27" s="772" t="str">
        <f ca="1">IFERROR(HLOOKUP(C27,Rango_Admin_DailyClas,5,FALSE),"-")</f>
        <v>nicolah</v>
      </c>
      <c r="G27" s="768">
        <f ca="1">IFERROR(HLOOKUP(C27,Rango_Admin_DailyClas,4,FALSE),"-")</f>
        <v>0</v>
      </c>
      <c r="H27" s="717">
        <f ca="1">IFERROR(VLOOKUP(H$2,Rango_Admin_DailyPred,MATCH($F27,Rango_Admin_DailyPred_Primera,0)+1,0),"-")</f>
        <v>0</v>
      </c>
      <c r="I27" s="717">
        <f ca="1">IFERROR(VLOOKUP(I$2,Rango_Admin_DailyPred,MATCH($F27,Rango_Admin_DailyPred_Primera,0)+1,0),"-")</f>
        <v>0</v>
      </c>
      <c r="J27" s="717">
        <f ca="1">IFERROR(VLOOKUP(J$2,Rango_Admin_DailyPred,MATCH($F27,Rango_Admin_DailyPred_Primera,0)+1,0),"-")</f>
        <v>0</v>
      </c>
      <c r="K27" s="717">
        <f ca="1">IFERROR(VLOOKUP(K$2,Rango_Admin_DailyPred,MATCH($F27,Rango_Admin_DailyPred_Primera,0)+1,0),"-")</f>
        <v>0</v>
      </c>
      <c r="L27" s="717" t="str">
        <f ca="1">IFERROR(VLOOKUP(L$2,Rango_Admin_DailyPred,MATCH($F27,Rango_Admin_DailyPred_Primera,0)+1,0),"-")</f>
        <v>-</v>
      </c>
      <c r="M27" s="717" t="str">
        <f ca="1">IFERROR(VLOOKUP(M$2,Rango_Admin_DailyPred,MATCH($F27,Rango_Admin_DailyPred_Primera,0)+1,0),"-")</f>
        <v>-</v>
      </c>
      <c r="N27" s="717" t="str">
        <f ca="1">IFERROR(VLOOKUP(N$2,Rango_Admin_DailyPred,MATCH($F27,Rango_Admin_DailyPred_Primera,0)+1,0),"-")</f>
        <v>-</v>
      </c>
      <c r="O27" s="717" t="str">
        <f ca="1">IFERROR(VLOOKUP(O$2,Rango_Admin_DailyPred,MATCH($F27,Rango_Admin_DailyPred_Primera,0)+1,0),"-")</f>
        <v>-</v>
      </c>
      <c r="P27" s="717" t="str">
        <f ca="1">IFERROR(VLOOKUP(P$2,Rango_Admin_DailyPred,MATCH($F27,Rango_Admin_DailyPred_Primera,0)+1,0),"-")</f>
        <v>-</v>
      </c>
      <c r="Q27" s="717" t="str">
        <f ca="1">IFERROR(VLOOKUP(Q$2,Rango_Admin_DailyPred,MATCH($F27,Rango_Admin_DailyPred_Primera,0)+1,0),"-")</f>
        <v>-</v>
      </c>
      <c r="R27" s="717" t="str">
        <f ca="1">IFERROR(VLOOKUP(R$2,Rango_Admin_DailyPred,MATCH($F27,Rango_Admin_DailyPred_Primera,0)+1,0),"-")</f>
        <v>-</v>
      </c>
      <c r="S27" s="717" t="str">
        <f ca="1">IFERROR(VLOOKUP(S$2,Rango_Admin_DailyPred,MATCH($F27,Rango_Admin_DailyPred_Primera,0)+1,0),"-")</f>
        <v>-</v>
      </c>
      <c r="T27" s="717" t="str">
        <f ca="1">IFERROR(VLOOKUP(T$2,Rango_Admin_DailyPred,MATCH($F27,Rango_Admin_DailyPred_Primera,0)+1,0),"-")</f>
        <v>-</v>
      </c>
      <c r="U27" s="717" t="str">
        <f ca="1">IFERROR(VLOOKUP(U$2,Rango_Admin_DailyPred,MATCH($F27,Rango_Admin_DailyPred_Primera,0)+1,0),"-")</f>
        <v>-</v>
      </c>
      <c r="V27" s="717" t="str">
        <f ca="1">IFERROR(VLOOKUP(V$2,Rango_Admin_DailyPred,MATCH($F27,Rango_Admin_DailyPred_Primera,0)+1,0),"-")</f>
        <v>-</v>
      </c>
      <c r="W27" s="717" t="str">
        <f ca="1">IFERROR(VLOOKUP(W$2,Rango_Admin_DailyPred,MATCH($F27,Rango_Admin_DailyPred_Primera,0)+1,0),"-")</f>
        <v>-</v>
      </c>
      <c r="X27" s="717" t="str">
        <f ca="1">IFERROR(VLOOKUP(X$2,Rango_Admin_DailyPred,MATCH($F27,Rango_Admin_DailyPred_Primera,0)+1,0),"-")</f>
        <v>-</v>
      </c>
      <c r="Y27" s="717" t="str">
        <f ca="1">IFERROR(VLOOKUP(Y$2,Rango_Admin_DailyPred,MATCH($F27,Rango_Admin_DailyPred_Primera,0)+1,0),"-")</f>
        <v>-</v>
      </c>
      <c r="Z27" s="717" t="str">
        <f ca="1">IFERROR(VLOOKUP(Z$2,Rango_Admin_DailyPred,MATCH($F27,Rango_Admin_DailyPred_Primera,0)+1,0),"-")</f>
        <v>-</v>
      </c>
      <c r="AA27" s="717" t="str">
        <f ca="1">IFERROR(VLOOKUP(AA$2,Rango_Admin_DailyPred,MATCH($F27,Rango_Admin_DailyPred_Primera,0)+1,0),"-")</f>
        <v>-</v>
      </c>
      <c r="AB27" s="717" t="str">
        <f ca="1">IFERROR(VLOOKUP(AB$2,Rango_Admin_DailyPred,MATCH($F27,Rango_Admin_DailyPred_Primera,0)+1,0),"-")</f>
        <v>-</v>
      </c>
      <c r="AC27" s="717" t="str">
        <f ca="1">IFERROR(VLOOKUP(AC$2,Rango_Admin_DailyPred,MATCH($F27,Rango_Admin_DailyPred_Primera,0)+1,0),"-")</f>
        <v>-</v>
      </c>
      <c r="AD27" s="717" t="str">
        <f ca="1">IFERROR(VLOOKUP(AD$2,Rango_Admin_DailyPred,MATCH($F27,Rango_Admin_DailyPred_Primera,0)+1,0),"-")</f>
        <v>-</v>
      </c>
      <c r="AE27" s="717" t="str">
        <f ca="1">IFERROR(VLOOKUP(AE$2,Rango_Admin_DailyPred,MATCH($F27,Rango_Admin_DailyPred_Primera,0)+1,0),"-")</f>
        <v>-</v>
      </c>
      <c r="AF27" s="717" t="str">
        <f ca="1">IFERROR(VLOOKUP(AF$2,Rango_Admin_DailyPred,MATCH($F27,Rango_Admin_DailyPred_Primera,0)+1,0),"-")</f>
        <v>-</v>
      </c>
      <c r="AG27" s="717" t="str">
        <f ca="1">IFERROR(VLOOKUP(AG$2,Rango_Admin_DailyPred,MATCH($F27,Rango_Admin_DailyPred_Primera,0)+1,0),"-")</f>
        <v>-</v>
      </c>
      <c r="AH27" s="717" t="str">
        <f ca="1">IFERROR(VLOOKUP(AH$2,Rango_Admin_DailyPred,MATCH($F27,Rango_Admin_DailyPred_Primera,0)+1,0),"-")</f>
        <v>-</v>
      </c>
      <c r="AI27" s="717" t="str">
        <f ca="1">IFERROR(VLOOKUP(AI$2,Rango_Admin_DailyPred,MATCH($F27,Rango_Admin_DailyPred_Primera,0)+1,0),"-")</f>
        <v>-</v>
      </c>
      <c r="AJ27" s="717" t="str">
        <f ca="1">IFERROR(VLOOKUP(AJ$2,Rango_Admin_DailyPred,MATCH($F27,Rango_Admin_DailyPred_Primera,0)+1,0),"-")</f>
        <v>-</v>
      </c>
      <c r="AK27" s="717" t="str">
        <f ca="1">IFERROR(VLOOKUP(AK$2,Rango_Admin_DailyPred,MATCH($F27,Rango_Admin_DailyPred_Primera,0)+1,0),"-")</f>
        <v>-</v>
      </c>
      <c r="AL27" s="717" t="str">
        <f ca="1">IFERROR(VLOOKUP(AL$2,Rango_Admin_DailyPred,MATCH($F27,Rango_Admin_DailyPred_Primera,0)+1,0),"-")</f>
        <v>-</v>
      </c>
      <c r="AM27" s="717" t="str">
        <f ca="1">IFERROR(VLOOKUP(AM$2,Rango_Admin_DailyPred,MATCH($F27,Rango_Admin_DailyPred_Primera,0)+1,0),"-")</f>
        <v>-</v>
      </c>
      <c r="AN27" s="295"/>
    </row>
    <row r="28" spans="1:40">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781">
        <f ca="1">IFERROR(HLOOKUP(C28,Rango_Admin_DailyClas,3,FALSE),"-")</f>
        <v>1</v>
      </c>
      <c r="F28" s="772" t="str">
        <f ca="1">IFERROR(HLOOKUP(C28,Rango_Admin_DailyClas,5,FALSE),"-")</f>
        <v>DanielCV</v>
      </c>
      <c r="G28" s="768">
        <f ca="1">IFERROR(HLOOKUP(C28,Rango_Admin_DailyClas,4,FALSE),"-")</f>
        <v>0</v>
      </c>
      <c r="H28" s="717">
        <f ca="1">IFERROR(VLOOKUP(H$2,Rango_Admin_DailyPred,MATCH($F28,Rango_Admin_DailyPred_Primera,0)+1,0),"-")</f>
        <v>0</v>
      </c>
      <c r="I28" s="717">
        <f ca="1">IFERROR(VLOOKUP(I$2,Rango_Admin_DailyPred,MATCH($F28,Rango_Admin_DailyPred_Primera,0)+1,0),"-")</f>
        <v>0</v>
      </c>
      <c r="J28" s="717">
        <f ca="1">IFERROR(VLOOKUP(J$2,Rango_Admin_DailyPred,MATCH($F28,Rango_Admin_DailyPred_Primera,0)+1,0),"-")</f>
        <v>0</v>
      </c>
      <c r="K28" s="717">
        <f ca="1">IFERROR(VLOOKUP(K$2,Rango_Admin_DailyPred,MATCH($F28,Rango_Admin_DailyPred_Primera,0)+1,0),"-")</f>
        <v>0</v>
      </c>
      <c r="L28" s="717" t="str">
        <f ca="1">IFERROR(VLOOKUP(L$2,Rango_Admin_DailyPred,MATCH($F28,Rango_Admin_DailyPred_Primera,0)+1,0),"-")</f>
        <v>-</v>
      </c>
      <c r="M28" s="717" t="str">
        <f ca="1">IFERROR(VLOOKUP(M$2,Rango_Admin_DailyPred,MATCH($F28,Rango_Admin_DailyPred_Primera,0)+1,0),"-")</f>
        <v>-</v>
      </c>
      <c r="N28" s="717" t="str">
        <f ca="1">IFERROR(VLOOKUP(N$2,Rango_Admin_DailyPred,MATCH($F28,Rango_Admin_DailyPred_Primera,0)+1,0),"-")</f>
        <v>-</v>
      </c>
      <c r="O28" s="717" t="str">
        <f ca="1">IFERROR(VLOOKUP(O$2,Rango_Admin_DailyPred,MATCH($F28,Rango_Admin_DailyPred_Primera,0)+1,0),"-")</f>
        <v>-</v>
      </c>
      <c r="P28" s="717" t="str">
        <f ca="1">IFERROR(VLOOKUP(P$2,Rango_Admin_DailyPred,MATCH($F28,Rango_Admin_DailyPred_Primera,0)+1,0),"-")</f>
        <v>-</v>
      </c>
      <c r="Q28" s="717" t="str">
        <f ca="1">IFERROR(VLOOKUP(Q$2,Rango_Admin_DailyPred,MATCH($F28,Rango_Admin_DailyPred_Primera,0)+1,0),"-")</f>
        <v>-</v>
      </c>
      <c r="R28" s="717" t="str">
        <f ca="1">IFERROR(VLOOKUP(R$2,Rango_Admin_DailyPred,MATCH($F28,Rango_Admin_DailyPred_Primera,0)+1,0),"-")</f>
        <v>-</v>
      </c>
      <c r="S28" s="717" t="str">
        <f ca="1">IFERROR(VLOOKUP(S$2,Rango_Admin_DailyPred,MATCH($F28,Rango_Admin_DailyPred_Primera,0)+1,0),"-")</f>
        <v>-</v>
      </c>
      <c r="T28" s="717" t="str">
        <f ca="1">IFERROR(VLOOKUP(T$2,Rango_Admin_DailyPred,MATCH($F28,Rango_Admin_DailyPred_Primera,0)+1,0),"-")</f>
        <v>-</v>
      </c>
      <c r="U28" s="717" t="str">
        <f ca="1">IFERROR(VLOOKUP(U$2,Rango_Admin_DailyPred,MATCH($F28,Rango_Admin_DailyPred_Primera,0)+1,0),"-")</f>
        <v>-</v>
      </c>
      <c r="V28" s="717" t="str">
        <f ca="1">IFERROR(VLOOKUP(V$2,Rango_Admin_DailyPred,MATCH($F28,Rango_Admin_DailyPred_Primera,0)+1,0),"-")</f>
        <v>-</v>
      </c>
      <c r="W28" s="717" t="str">
        <f ca="1">IFERROR(VLOOKUP(W$2,Rango_Admin_DailyPred,MATCH($F28,Rango_Admin_DailyPred_Primera,0)+1,0),"-")</f>
        <v>-</v>
      </c>
      <c r="X28" s="717" t="str">
        <f ca="1">IFERROR(VLOOKUP(X$2,Rango_Admin_DailyPred,MATCH($F28,Rango_Admin_DailyPred_Primera,0)+1,0),"-")</f>
        <v>-</v>
      </c>
      <c r="Y28" s="717" t="str">
        <f ca="1">IFERROR(VLOOKUP(Y$2,Rango_Admin_DailyPred,MATCH($F28,Rango_Admin_DailyPred_Primera,0)+1,0),"-")</f>
        <v>-</v>
      </c>
      <c r="Z28" s="717" t="str">
        <f ca="1">IFERROR(VLOOKUP(Z$2,Rango_Admin_DailyPred,MATCH($F28,Rango_Admin_DailyPred_Primera,0)+1,0),"-")</f>
        <v>-</v>
      </c>
      <c r="AA28" s="717" t="str">
        <f ca="1">IFERROR(VLOOKUP(AA$2,Rango_Admin_DailyPred,MATCH($F28,Rango_Admin_DailyPred_Primera,0)+1,0),"-")</f>
        <v>-</v>
      </c>
      <c r="AB28" s="717" t="str">
        <f ca="1">IFERROR(VLOOKUP(AB$2,Rango_Admin_DailyPred,MATCH($F28,Rango_Admin_DailyPred_Primera,0)+1,0),"-")</f>
        <v>-</v>
      </c>
      <c r="AC28" s="717" t="str">
        <f ca="1">IFERROR(VLOOKUP(AC$2,Rango_Admin_DailyPred,MATCH($F28,Rango_Admin_DailyPred_Primera,0)+1,0),"-")</f>
        <v>-</v>
      </c>
      <c r="AD28" s="717" t="str">
        <f ca="1">IFERROR(VLOOKUP(AD$2,Rango_Admin_DailyPred,MATCH($F28,Rango_Admin_DailyPred_Primera,0)+1,0),"-")</f>
        <v>-</v>
      </c>
      <c r="AE28" s="717" t="str">
        <f ca="1">IFERROR(VLOOKUP(AE$2,Rango_Admin_DailyPred,MATCH($F28,Rango_Admin_DailyPred_Primera,0)+1,0),"-")</f>
        <v>-</v>
      </c>
      <c r="AF28" s="717" t="str">
        <f ca="1">IFERROR(VLOOKUP(AF$2,Rango_Admin_DailyPred,MATCH($F28,Rango_Admin_DailyPred_Primera,0)+1,0),"-")</f>
        <v>-</v>
      </c>
      <c r="AG28" s="717" t="str">
        <f ca="1">IFERROR(VLOOKUP(AG$2,Rango_Admin_DailyPred,MATCH($F28,Rango_Admin_DailyPred_Primera,0)+1,0),"-")</f>
        <v>-</v>
      </c>
      <c r="AH28" s="717" t="str">
        <f ca="1">IFERROR(VLOOKUP(AH$2,Rango_Admin_DailyPred,MATCH($F28,Rango_Admin_DailyPred_Primera,0)+1,0),"-")</f>
        <v>-</v>
      </c>
      <c r="AI28" s="717" t="str">
        <f ca="1">IFERROR(VLOOKUP(AI$2,Rango_Admin_DailyPred,MATCH($F28,Rango_Admin_DailyPred_Primera,0)+1,0),"-")</f>
        <v>-</v>
      </c>
      <c r="AJ28" s="717" t="str">
        <f ca="1">IFERROR(VLOOKUP(AJ$2,Rango_Admin_DailyPred,MATCH($F28,Rango_Admin_DailyPred_Primera,0)+1,0),"-")</f>
        <v>-</v>
      </c>
      <c r="AK28" s="717" t="str">
        <f ca="1">IFERROR(VLOOKUP(AK$2,Rango_Admin_DailyPred,MATCH($F28,Rango_Admin_DailyPred_Primera,0)+1,0),"-")</f>
        <v>-</v>
      </c>
      <c r="AL28" s="717" t="str">
        <f ca="1">IFERROR(VLOOKUP(AL$2,Rango_Admin_DailyPred,MATCH($F28,Rango_Admin_DailyPred_Primera,0)+1,0),"-")</f>
        <v>-</v>
      </c>
      <c r="AM28" s="717" t="str">
        <f ca="1">IFERROR(VLOOKUP(AM$2,Rango_Admin_DailyPred,MATCH($F28,Rango_Admin_DailyPred_Primera,0)+1,0),"-")</f>
        <v>-</v>
      </c>
      <c r="AN28" s="295"/>
    </row>
    <row r="29" spans="1:40">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v>26</v>
      </c>
      <c r="D29" s="19"/>
      <c r="E29" s="781">
        <f ca="1">IFERROR(HLOOKUP(C29,Rango_Admin_DailyClas,3,FALSE),"-")</f>
        <v>1</v>
      </c>
      <c r="F29" s="772" t="str">
        <f ca="1">IFERROR(HLOOKUP(C29,Rango_Admin_DailyClas,5,FALSE),"-")</f>
        <v>Andres Gioliti</v>
      </c>
      <c r="G29" s="768">
        <f ca="1">IFERROR(HLOOKUP(C29,Rango_Admin_DailyClas,4,FALSE),"-")</f>
        <v>0</v>
      </c>
      <c r="H29" s="717">
        <f ca="1">IFERROR(VLOOKUP(H$2,Rango_Admin_DailyPred,MATCH($F29,Rango_Admin_DailyPred_Primera,0)+1,0),"-")</f>
        <v>0</v>
      </c>
      <c r="I29" s="717">
        <f ca="1">IFERROR(VLOOKUP(I$2,Rango_Admin_DailyPred,MATCH($F29,Rango_Admin_DailyPred_Primera,0)+1,0),"-")</f>
        <v>0</v>
      </c>
      <c r="J29" s="717">
        <f ca="1">IFERROR(VLOOKUP(J$2,Rango_Admin_DailyPred,MATCH($F29,Rango_Admin_DailyPred_Primera,0)+1,0),"-")</f>
        <v>0</v>
      </c>
      <c r="K29" s="717">
        <f ca="1">IFERROR(VLOOKUP(K$2,Rango_Admin_DailyPred,MATCH($F29,Rango_Admin_DailyPred_Primera,0)+1,0),"-")</f>
        <v>0</v>
      </c>
      <c r="L29" s="717" t="str">
        <f ca="1">IFERROR(VLOOKUP(L$2,Rango_Admin_DailyPred,MATCH($F29,Rango_Admin_DailyPred_Primera,0)+1,0),"-")</f>
        <v>-</v>
      </c>
      <c r="M29" s="717" t="str">
        <f ca="1">IFERROR(VLOOKUP(M$2,Rango_Admin_DailyPred,MATCH($F29,Rango_Admin_DailyPred_Primera,0)+1,0),"-")</f>
        <v>-</v>
      </c>
      <c r="N29" s="717" t="str">
        <f ca="1">IFERROR(VLOOKUP(N$2,Rango_Admin_DailyPred,MATCH($F29,Rango_Admin_DailyPred_Primera,0)+1,0),"-")</f>
        <v>-</v>
      </c>
      <c r="O29" s="717" t="str">
        <f ca="1">IFERROR(VLOOKUP(O$2,Rango_Admin_DailyPred,MATCH($F29,Rango_Admin_DailyPred_Primera,0)+1,0),"-")</f>
        <v>-</v>
      </c>
      <c r="P29" s="717" t="str">
        <f ca="1">IFERROR(VLOOKUP(P$2,Rango_Admin_DailyPred,MATCH($F29,Rango_Admin_DailyPred_Primera,0)+1,0),"-")</f>
        <v>-</v>
      </c>
      <c r="Q29" s="717" t="str">
        <f ca="1">IFERROR(VLOOKUP(Q$2,Rango_Admin_DailyPred,MATCH($F29,Rango_Admin_DailyPred_Primera,0)+1,0),"-")</f>
        <v>-</v>
      </c>
      <c r="R29" s="717" t="str">
        <f ca="1">IFERROR(VLOOKUP(R$2,Rango_Admin_DailyPred,MATCH($F29,Rango_Admin_DailyPred_Primera,0)+1,0),"-")</f>
        <v>-</v>
      </c>
      <c r="S29" s="717" t="str">
        <f ca="1">IFERROR(VLOOKUP(S$2,Rango_Admin_DailyPred,MATCH($F29,Rango_Admin_DailyPred_Primera,0)+1,0),"-")</f>
        <v>-</v>
      </c>
      <c r="T29" s="717" t="str">
        <f ca="1">IFERROR(VLOOKUP(T$2,Rango_Admin_DailyPred,MATCH($F29,Rango_Admin_DailyPred_Primera,0)+1,0),"-")</f>
        <v>-</v>
      </c>
      <c r="U29" s="717" t="str">
        <f ca="1">IFERROR(VLOOKUP(U$2,Rango_Admin_DailyPred,MATCH($F29,Rango_Admin_DailyPred_Primera,0)+1,0),"-")</f>
        <v>-</v>
      </c>
      <c r="V29" s="717" t="str">
        <f ca="1">IFERROR(VLOOKUP(V$2,Rango_Admin_DailyPred,MATCH($F29,Rango_Admin_DailyPred_Primera,0)+1,0),"-")</f>
        <v>-</v>
      </c>
      <c r="W29" s="717" t="str">
        <f ca="1">IFERROR(VLOOKUP(W$2,Rango_Admin_DailyPred,MATCH($F29,Rango_Admin_DailyPred_Primera,0)+1,0),"-")</f>
        <v>-</v>
      </c>
      <c r="X29" s="717" t="str">
        <f ca="1">IFERROR(VLOOKUP(X$2,Rango_Admin_DailyPred,MATCH($F29,Rango_Admin_DailyPred_Primera,0)+1,0),"-")</f>
        <v>-</v>
      </c>
      <c r="Y29" s="717" t="str">
        <f ca="1">IFERROR(VLOOKUP(Y$2,Rango_Admin_DailyPred,MATCH($F29,Rango_Admin_DailyPred_Primera,0)+1,0),"-")</f>
        <v>-</v>
      </c>
      <c r="Z29" s="717" t="str">
        <f ca="1">IFERROR(VLOOKUP(Z$2,Rango_Admin_DailyPred,MATCH($F29,Rango_Admin_DailyPred_Primera,0)+1,0),"-")</f>
        <v>-</v>
      </c>
      <c r="AA29" s="717" t="str">
        <f ca="1">IFERROR(VLOOKUP(AA$2,Rango_Admin_DailyPred,MATCH($F29,Rango_Admin_DailyPred_Primera,0)+1,0),"-")</f>
        <v>-</v>
      </c>
      <c r="AB29" s="717" t="str">
        <f ca="1">IFERROR(VLOOKUP(AB$2,Rango_Admin_DailyPred,MATCH($F29,Rango_Admin_DailyPred_Primera,0)+1,0),"-")</f>
        <v>-</v>
      </c>
      <c r="AC29" s="717" t="str">
        <f ca="1">IFERROR(VLOOKUP(AC$2,Rango_Admin_DailyPred,MATCH($F29,Rango_Admin_DailyPred_Primera,0)+1,0),"-")</f>
        <v>-</v>
      </c>
      <c r="AD29" s="717" t="str">
        <f ca="1">IFERROR(VLOOKUP(AD$2,Rango_Admin_DailyPred,MATCH($F29,Rango_Admin_DailyPred_Primera,0)+1,0),"-")</f>
        <v>-</v>
      </c>
      <c r="AE29" s="717" t="str">
        <f ca="1">IFERROR(VLOOKUP(AE$2,Rango_Admin_DailyPred,MATCH($F29,Rango_Admin_DailyPred_Primera,0)+1,0),"-")</f>
        <v>-</v>
      </c>
      <c r="AF29" s="717" t="str">
        <f ca="1">IFERROR(VLOOKUP(AF$2,Rango_Admin_DailyPred,MATCH($F29,Rango_Admin_DailyPred_Primera,0)+1,0),"-")</f>
        <v>-</v>
      </c>
      <c r="AG29" s="717" t="str">
        <f ca="1">IFERROR(VLOOKUP(AG$2,Rango_Admin_DailyPred,MATCH($F29,Rango_Admin_DailyPred_Primera,0)+1,0),"-")</f>
        <v>-</v>
      </c>
      <c r="AH29" s="717" t="str">
        <f ca="1">IFERROR(VLOOKUP(AH$2,Rango_Admin_DailyPred,MATCH($F29,Rango_Admin_DailyPred_Primera,0)+1,0),"-")</f>
        <v>-</v>
      </c>
      <c r="AI29" s="717" t="str">
        <f ca="1">IFERROR(VLOOKUP(AI$2,Rango_Admin_DailyPred,MATCH($F29,Rango_Admin_DailyPred_Primera,0)+1,0),"-")</f>
        <v>-</v>
      </c>
      <c r="AJ29" s="717" t="str">
        <f ca="1">IFERROR(VLOOKUP(AJ$2,Rango_Admin_DailyPred,MATCH($F29,Rango_Admin_DailyPred_Primera,0)+1,0),"-")</f>
        <v>-</v>
      </c>
      <c r="AK29" s="717" t="str">
        <f ca="1">IFERROR(VLOOKUP(AK$2,Rango_Admin_DailyPred,MATCH($F29,Rango_Admin_DailyPred_Primera,0)+1,0),"-")</f>
        <v>-</v>
      </c>
      <c r="AL29" s="717" t="str">
        <f ca="1">IFERROR(VLOOKUP(AL$2,Rango_Admin_DailyPred,MATCH($F29,Rango_Admin_DailyPred_Primera,0)+1,0),"-")</f>
        <v>-</v>
      </c>
      <c r="AM29" s="717" t="str">
        <f ca="1">IFERROR(VLOOKUP(AM$2,Rango_Admin_DailyPred,MATCH($F29,Rango_Admin_DailyPred_Primera,0)+1,0),"-")</f>
        <v>-</v>
      </c>
      <c r="AN29" s="295"/>
    </row>
    <row r="30" spans="1:40">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v>27</v>
      </c>
      <c r="D30" s="19"/>
      <c r="E30" s="781">
        <f ca="1">IFERROR(HLOOKUP(C30,Rango_Admin_DailyClas,3,FALSE),"-")</f>
        <v>1</v>
      </c>
      <c r="F30" s="772" t="str">
        <f ca="1">IFERROR(HLOOKUP(C30,Rango_Admin_DailyClas,5,FALSE),"-")</f>
        <v>Francisco Bejarano</v>
      </c>
      <c r="G30" s="768">
        <f ca="1">IFERROR(HLOOKUP(C30,Rango_Admin_DailyClas,4,FALSE),"-")</f>
        <v>0</v>
      </c>
      <c r="H30" s="717">
        <f ca="1">IFERROR(VLOOKUP(H$2,Rango_Admin_DailyPred,MATCH($F30,Rango_Admin_DailyPred_Primera,0)+1,0),"-")</f>
        <v>0</v>
      </c>
      <c r="I30" s="717">
        <f ca="1">IFERROR(VLOOKUP(I$2,Rango_Admin_DailyPred,MATCH($F30,Rango_Admin_DailyPred_Primera,0)+1,0),"-")</f>
        <v>0</v>
      </c>
      <c r="J30" s="717">
        <f ca="1">IFERROR(VLOOKUP(J$2,Rango_Admin_DailyPred,MATCH($F30,Rango_Admin_DailyPred_Primera,0)+1,0),"-")</f>
        <v>0</v>
      </c>
      <c r="K30" s="717">
        <f ca="1">IFERROR(VLOOKUP(K$2,Rango_Admin_DailyPred,MATCH($F30,Rango_Admin_DailyPred_Primera,0)+1,0),"-")</f>
        <v>0</v>
      </c>
      <c r="L30" s="717" t="str">
        <f ca="1">IFERROR(VLOOKUP(L$2,Rango_Admin_DailyPred,MATCH($F30,Rango_Admin_DailyPred_Primera,0)+1,0),"-")</f>
        <v>-</v>
      </c>
      <c r="M30" s="717" t="str">
        <f ca="1">IFERROR(VLOOKUP(M$2,Rango_Admin_DailyPred,MATCH($F30,Rango_Admin_DailyPred_Primera,0)+1,0),"-")</f>
        <v>-</v>
      </c>
      <c r="N30" s="717" t="str">
        <f ca="1">IFERROR(VLOOKUP(N$2,Rango_Admin_DailyPred,MATCH($F30,Rango_Admin_DailyPred_Primera,0)+1,0),"-")</f>
        <v>-</v>
      </c>
      <c r="O30" s="717" t="str">
        <f ca="1">IFERROR(VLOOKUP(O$2,Rango_Admin_DailyPred,MATCH($F30,Rango_Admin_DailyPred_Primera,0)+1,0),"-")</f>
        <v>-</v>
      </c>
      <c r="P30" s="717" t="str">
        <f ca="1">IFERROR(VLOOKUP(P$2,Rango_Admin_DailyPred,MATCH($F30,Rango_Admin_DailyPred_Primera,0)+1,0),"-")</f>
        <v>-</v>
      </c>
      <c r="Q30" s="717" t="str">
        <f ca="1">IFERROR(VLOOKUP(Q$2,Rango_Admin_DailyPred,MATCH($F30,Rango_Admin_DailyPred_Primera,0)+1,0),"-")</f>
        <v>-</v>
      </c>
      <c r="R30" s="717" t="str">
        <f ca="1">IFERROR(VLOOKUP(R$2,Rango_Admin_DailyPred,MATCH($F30,Rango_Admin_DailyPred_Primera,0)+1,0),"-")</f>
        <v>-</v>
      </c>
      <c r="S30" s="717" t="str">
        <f ca="1">IFERROR(VLOOKUP(S$2,Rango_Admin_DailyPred,MATCH($F30,Rango_Admin_DailyPred_Primera,0)+1,0),"-")</f>
        <v>-</v>
      </c>
      <c r="T30" s="717" t="str">
        <f ca="1">IFERROR(VLOOKUP(T$2,Rango_Admin_DailyPred,MATCH($F30,Rango_Admin_DailyPred_Primera,0)+1,0),"-")</f>
        <v>-</v>
      </c>
      <c r="U30" s="717" t="str">
        <f ca="1">IFERROR(VLOOKUP(U$2,Rango_Admin_DailyPred,MATCH($F30,Rango_Admin_DailyPred_Primera,0)+1,0),"-")</f>
        <v>-</v>
      </c>
      <c r="V30" s="717" t="str">
        <f ca="1">IFERROR(VLOOKUP(V$2,Rango_Admin_DailyPred,MATCH($F30,Rango_Admin_DailyPred_Primera,0)+1,0),"-")</f>
        <v>-</v>
      </c>
      <c r="W30" s="717" t="str">
        <f ca="1">IFERROR(VLOOKUP(W$2,Rango_Admin_DailyPred,MATCH($F30,Rango_Admin_DailyPred_Primera,0)+1,0),"-")</f>
        <v>-</v>
      </c>
      <c r="X30" s="717" t="str">
        <f ca="1">IFERROR(VLOOKUP(X$2,Rango_Admin_DailyPred,MATCH($F30,Rango_Admin_DailyPred_Primera,0)+1,0),"-")</f>
        <v>-</v>
      </c>
      <c r="Y30" s="717" t="str">
        <f ca="1">IFERROR(VLOOKUP(Y$2,Rango_Admin_DailyPred,MATCH($F30,Rango_Admin_DailyPred_Primera,0)+1,0),"-")</f>
        <v>-</v>
      </c>
      <c r="Z30" s="717" t="str">
        <f ca="1">IFERROR(VLOOKUP(Z$2,Rango_Admin_DailyPred,MATCH($F30,Rango_Admin_DailyPred_Primera,0)+1,0),"-")</f>
        <v>-</v>
      </c>
      <c r="AA30" s="717" t="str">
        <f ca="1">IFERROR(VLOOKUP(AA$2,Rango_Admin_DailyPred,MATCH($F30,Rango_Admin_DailyPred_Primera,0)+1,0),"-")</f>
        <v>-</v>
      </c>
      <c r="AB30" s="717" t="str">
        <f ca="1">IFERROR(VLOOKUP(AB$2,Rango_Admin_DailyPred,MATCH($F30,Rango_Admin_DailyPred_Primera,0)+1,0),"-")</f>
        <v>-</v>
      </c>
      <c r="AC30" s="717" t="str">
        <f ca="1">IFERROR(VLOOKUP(AC$2,Rango_Admin_DailyPred,MATCH($F30,Rango_Admin_DailyPred_Primera,0)+1,0),"-")</f>
        <v>-</v>
      </c>
      <c r="AD30" s="717" t="str">
        <f ca="1">IFERROR(VLOOKUP(AD$2,Rango_Admin_DailyPred,MATCH($F30,Rango_Admin_DailyPred_Primera,0)+1,0),"-")</f>
        <v>-</v>
      </c>
      <c r="AE30" s="717" t="str">
        <f ca="1">IFERROR(VLOOKUP(AE$2,Rango_Admin_DailyPred,MATCH($F30,Rango_Admin_DailyPred_Primera,0)+1,0),"-")</f>
        <v>-</v>
      </c>
      <c r="AF30" s="717" t="str">
        <f ca="1">IFERROR(VLOOKUP(AF$2,Rango_Admin_DailyPred,MATCH($F30,Rango_Admin_DailyPred_Primera,0)+1,0),"-")</f>
        <v>-</v>
      </c>
      <c r="AG30" s="717" t="str">
        <f ca="1">IFERROR(VLOOKUP(AG$2,Rango_Admin_DailyPred,MATCH($F30,Rango_Admin_DailyPred_Primera,0)+1,0),"-")</f>
        <v>-</v>
      </c>
      <c r="AH30" s="717" t="str">
        <f ca="1">IFERROR(VLOOKUP(AH$2,Rango_Admin_DailyPred,MATCH($F30,Rango_Admin_DailyPred_Primera,0)+1,0),"-")</f>
        <v>-</v>
      </c>
      <c r="AI30" s="717" t="str">
        <f ca="1">IFERROR(VLOOKUP(AI$2,Rango_Admin_DailyPred,MATCH($F30,Rango_Admin_DailyPred_Primera,0)+1,0),"-")</f>
        <v>-</v>
      </c>
      <c r="AJ30" s="717" t="str">
        <f ca="1">IFERROR(VLOOKUP(AJ$2,Rango_Admin_DailyPred,MATCH($F30,Rango_Admin_DailyPred_Primera,0)+1,0),"-")</f>
        <v>-</v>
      </c>
      <c r="AK30" s="717" t="str">
        <f ca="1">IFERROR(VLOOKUP(AK$2,Rango_Admin_DailyPred,MATCH($F30,Rango_Admin_DailyPred_Primera,0)+1,0),"-")</f>
        <v>-</v>
      </c>
      <c r="AL30" s="717" t="str">
        <f ca="1">IFERROR(VLOOKUP(AL$2,Rango_Admin_DailyPred,MATCH($F30,Rango_Admin_DailyPred_Primera,0)+1,0),"-")</f>
        <v>-</v>
      </c>
      <c r="AM30" s="717" t="str">
        <f ca="1">IFERROR(VLOOKUP(AM$2,Rango_Admin_DailyPred,MATCH($F30,Rango_Admin_DailyPred_Primera,0)+1,0),"-")</f>
        <v>-</v>
      </c>
      <c r="AN30" s="295"/>
    </row>
    <row r="31" spans="1:40">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v>28</v>
      </c>
      <c r="D31" s="19"/>
      <c r="E31" s="781">
        <f ca="1">IFERROR(HLOOKUP(C31,Rango_Admin_DailyClas,3,FALSE),"-")</f>
        <v>1</v>
      </c>
      <c r="F31" s="772" t="str">
        <f ca="1">IFERROR(HLOOKUP(C31,Rango_Admin_DailyClas,5,FALSE),"-")</f>
        <v>Humberto</v>
      </c>
      <c r="G31" s="768">
        <f ca="1">IFERROR(HLOOKUP(C31,Rango_Admin_DailyClas,4,FALSE),"-")</f>
        <v>0</v>
      </c>
      <c r="H31" s="717">
        <f ca="1">IFERROR(VLOOKUP(H$2,Rango_Admin_DailyPred,MATCH($F31,Rango_Admin_DailyPred_Primera,0)+1,0),"-")</f>
        <v>0</v>
      </c>
      <c r="I31" s="717">
        <f ca="1">IFERROR(VLOOKUP(I$2,Rango_Admin_DailyPred,MATCH($F31,Rango_Admin_DailyPred_Primera,0)+1,0),"-")</f>
        <v>0</v>
      </c>
      <c r="J31" s="717">
        <f ca="1">IFERROR(VLOOKUP(J$2,Rango_Admin_DailyPred,MATCH($F31,Rango_Admin_DailyPred_Primera,0)+1,0),"-")</f>
        <v>0</v>
      </c>
      <c r="K31" s="717">
        <f ca="1">IFERROR(VLOOKUP(K$2,Rango_Admin_DailyPred,MATCH($F31,Rango_Admin_DailyPred_Primera,0)+1,0),"-")</f>
        <v>0</v>
      </c>
      <c r="L31" s="717" t="str">
        <f ca="1">IFERROR(VLOOKUP(L$2,Rango_Admin_DailyPred,MATCH($F31,Rango_Admin_DailyPred_Primera,0)+1,0),"-")</f>
        <v>-</v>
      </c>
      <c r="M31" s="717" t="str">
        <f ca="1">IFERROR(VLOOKUP(M$2,Rango_Admin_DailyPred,MATCH($F31,Rango_Admin_DailyPred_Primera,0)+1,0),"-")</f>
        <v>-</v>
      </c>
      <c r="N31" s="717" t="str">
        <f ca="1">IFERROR(VLOOKUP(N$2,Rango_Admin_DailyPred,MATCH($F31,Rango_Admin_DailyPred_Primera,0)+1,0),"-")</f>
        <v>-</v>
      </c>
      <c r="O31" s="717" t="str">
        <f ca="1">IFERROR(VLOOKUP(O$2,Rango_Admin_DailyPred,MATCH($F31,Rango_Admin_DailyPred_Primera,0)+1,0),"-")</f>
        <v>-</v>
      </c>
      <c r="P31" s="717" t="str">
        <f ca="1">IFERROR(VLOOKUP(P$2,Rango_Admin_DailyPred,MATCH($F31,Rango_Admin_DailyPred_Primera,0)+1,0),"-")</f>
        <v>-</v>
      </c>
      <c r="Q31" s="717" t="str">
        <f ca="1">IFERROR(VLOOKUP(Q$2,Rango_Admin_DailyPred,MATCH($F31,Rango_Admin_DailyPred_Primera,0)+1,0),"-")</f>
        <v>-</v>
      </c>
      <c r="R31" s="717" t="str">
        <f ca="1">IFERROR(VLOOKUP(R$2,Rango_Admin_DailyPred,MATCH($F31,Rango_Admin_DailyPred_Primera,0)+1,0),"-")</f>
        <v>-</v>
      </c>
      <c r="S31" s="717" t="str">
        <f ca="1">IFERROR(VLOOKUP(S$2,Rango_Admin_DailyPred,MATCH($F31,Rango_Admin_DailyPred_Primera,0)+1,0),"-")</f>
        <v>-</v>
      </c>
      <c r="T31" s="717" t="str">
        <f ca="1">IFERROR(VLOOKUP(T$2,Rango_Admin_DailyPred,MATCH($F31,Rango_Admin_DailyPred_Primera,0)+1,0),"-")</f>
        <v>-</v>
      </c>
      <c r="U31" s="717" t="str">
        <f ca="1">IFERROR(VLOOKUP(U$2,Rango_Admin_DailyPred,MATCH($F31,Rango_Admin_DailyPred_Primera,0)+1,0),"-")</f>
        <v>-</v>
      </c>
      <c r="V31" s="717" t="str">
        <f ca="1">IFERROR(VLOOKUP(V$2,Rango_Admin_DailyPred,MATCH($F31,Rango_Admin_DailyPred_Primera,0)+1,0),"-")</f>
        <v>-</v>
      </c>
      <c r="W31" s="717" t="str">
        <f ca="1">IFERROR(VLOOKUP(W$2,Rango_Admin_DailyPred,MATCH($F31,Rango_Admin_DailyPred_Primera,0)+1,0),"-")</f>
        <v>-</v>
      </c>
      <c r="X31" s="717" t="str">
        <f ca="1">IFERROR(VLOOKUP(X$2,Rango_Admin_DailyPred,MATCH($F31,Rango_Admin_DailyPred_Primera,0)+1,0),"-")</f>
        <v>-</v>
      </c>
      <c r="Y31" s="717" t="str">
        <f ca="1">IFERROR(VLOOKUP(Y$2,Rango_Admin_DailyPred,MATCH($F31,Rango_Admin_DailyPred_Primera,0)+1,0),"-")</f>
        <v>-</v>
      </c>
      <c r="Z31" s="717" t="str">
        <f ca="1">IFERROR(VLOOKUP(Z$2,Rango_Admin_DailyPred,MATCH($F31,Rango_Admin_DailyPred_Primera,0)+1,0),"-")</f>
        <v>-</v>
      </c>
      <c r="AA31" s="717" t="str">
        <f ca="1">IFERROR(VLOOKUP(AA$2,Rango_Admin_DailyPred,MATCH($F31,Rango_Admin_DailyPred_Primera,0)+1,0),"-")</f>
        <v>-</v>
      </c>
      <c r="AB31" s="717" t="str">
        <f ca="1">IFERROR(VLOOKUP(AB$2,Rango_Admin_DailyPred,MATCH($F31,Rango_Admin_DailyPred_Primera,0)+1,0),"-")</f>
        <v>-</v>
      </c>
      <c r="AC31" s="717" t="str">
        <f ca="1">IFERROR(VLOOKUP(AC$2,Rango_Admin_DailyPred,MATCH($F31,Rango_Admin_DailyPred_Primera,0)+1,0),"-")</f>
        <v>-</v>
      </c>
      <c r="AD31" s="717" t="str">
        <f ca="1">IFERROR(VLOOKUP(AD$2,Rango_Admin_DailyPred,MATCH($F31,Rango_Admin_DailyPred_Primera,0)+1,0),"-")</f>
        <v>-</v>
      </c>
      <c r="AE31" s="717" t="str">
        <f ca="1">IFERROR(VLOOKUP(AE$2,Rango_Admin_DailyPred,MATCH($F31,Rango_Admin_DailyPred_Primera,0)+1,0),"-")</f>
        <v>-</v>
      </c>
      <c r="AF31" s="717" t="str">
        <f ca="1">IFERROR(VLOOKUP(AF$2,Rango_Admin_DailyPred,MATCH($F31,Rango_Admin_DailyPred_Primera,0)+1,0),"-")</f>
        <v>-</v>
      </c>
      <c r="AG31" s="717" t="str">
        <f ca="1">IFERROR(VLOOKUP(AG$2,Rango_Admin_DailyPred,MATCH($F31,Rango_Admin_DailyPred_Primera,0)+1,0),"-")</f>
        <v>-</v>
      </c>
      <c r="AH31" s="717" t="str">
        <f ca="1">IFERROR(VLOOKUP(AH$2,Rango_Admin_DailyPred,MATCH($F31,Rango_Admin_DailyPred_Primera,0)+1,0),"-")</f>
        <v>-</v>
      </c>
      <c r="AI31" s="717" t="str">
        <f ca="1">IFERROR(VLOOKUP(AI$2,Rango_Admin_DailyPred,MATCH($F31,Rango_Admin_DailyPred_Primera,0)+1,0),"-")</f>
        <v>-</v>
      </c>
      <c r="AJ31" s="717" t="str">
        <f ca="1">IFERROR(VLOOKUP(AJ$2,Rango_Admin_DailyPred,MATCH($F31,Rango_Admin_DailyPred_Primera,0)+1,0),"-")</f>
        <v>-</v>
      </c>
      <c r="AK31" s="717" t="str">
        <f ca="1">IFERROR(VLOOKUP(AK$2,Rango_Admin_DailyPred,MATCH($F31,Rango_Admin_DailyPred_Primera,0)+1,0),"-")</f>
        <v>-</v>
      </c>
      <c r="AL31" s="717" t="str">
        <f ca="1">IFERROR(VLOOKUP(AL$2,Rango_Admin_DailyPred,MATCH($F31,Rango_Admin_DailyPred_Primera,0)+1,0),"-")</f>
        <v>-</v>
      </c>
      <c r="AM31" s="717" t="str">
        <f ca="1">IFERROR(VLOOKUP(AM$2,Rango_Admin_DailyPred,MATCH($F31,Rango_Admin_DailyPred_Primera,0)+1,0),"-")</f>
        <v>-</v>
      </c>
      <c r="AN31" s="295"/>
    </row>
    <row r="32" spans="1:40">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v>29</v>
      </c>
      <c r="D32" s="19"/>
      <c r="E32" s="781">
        <f ca="1">IFERROR(HLOOKUP(C32,Rango_Admin_DailyClas,3,FALSE),"-")</f>
        <v>1</v>
      </c>
      <c r="F32" s="772" t="str">
        <f ca="1">IFERROR(HLOOKUP(C32,Rango_Admin_DailyClas,5,FALSE),"-")</f>
        <v>Andres Salcedo</v>
      </c>
      <c r="G32" s="768">
        <f ca="1">IFERROR(HLOOKUP(C32,Rango_Admin_DailyClas,4,FALSE),"-")</f>
        <v>0</v>
      </c>
      <c r="H32" s="717">
        <f ca="1">IFERROR(VLOOKUP(H$2,Rango_Admin_DailyPred,MATCH($F32,Rango_Admin_DailyPred_Primera,0)+1,0),"-")</f>
        <v>0</v>
      </c>
      <c r="I32" s="717">
        <f ca="1">IFERROR(VLOOKUP(I$2,Rango_Admin_DailyPred,MATCH($F32,Rango_Admin_DailyPred_Primera,0)+1,0),"-")</f>
        <v>0</v>
      </c>
      <c r="J32" s="717">
        <f ca="1">IFERROR(VLOOKUP(J$2,Rango_Admin_DailyPred,MATCH($F32,Rango_Admin_DailyPred_Primera,0)+1,0),"-")</f>
        <v>0</v>
      </c>
      <c r="K32" s="717">
        <f ca="1">IFERROR(VLOOKUP(K$2,Rango_Admin_DailyPred,MATCH($F32,Rango_Admin_DailyPred_Primera,0)+1,0),"-")</f>
        <v>0</v>
      </c>
      <c r="L32" s="717" t="str">
        <f ca="1">IFERROR(VLOOKUP(L$2,Rango_Admin_DailyPred,MATCH($F32,Rango_Admin_DailyPred_Primera,0)+1,0),"-")</f>
        <v>-</v>
      </c>
      <c r="M32" s="717" t="str">
        <f ca="1">IFERROR(VLOOKUP(M$2,Rango_Admin_DailyPred,MATCH($F32,Rango_Admin_DailyPred_Primera,0)+1,0),"-")</f>
        <v>-</v>
      </c>
      <c r="N32" s="717" t="str">
        <f ca="1">IFERROR(VLOOKUP(N$2,Rango_Admin_DailyPred,MATCH($F32,Rango_Admin_DailyPred_Primera,0)+1,0),"-")</f>
        <v>-</v>
      </c>
      <c r="O32" s="717" t="str">
        <f ca="1">IFERROR(VLOOKUP(O$2,Rango_Admin_DailyPred,MATCH($F32,Rango_Admin_DailyPred_Primera,0)+1,0),"-")</f>
        <v>-</v>
      </c>
      <c r="P32" s="717" t="str">
        <f ca="1">IFERROR(VLOOKUP(P$2,Rango_Admin_DailyPred,MATCH($F32,Rango_Admin_DailyPred_Primera,0)+1,0),"-")</f>
        <v>-</v>
      </c>
      <c r="Q32" s="717" t="str">
        <f ca="1">IFERROR(VLOOKUP(Q$2,Rango_Admin_DailyPred,MATCH($F32,Rango_Admin_DailyPred_Primera,0)+1,0),"-")</f>
        <v>-</v>
      </c>
      <c r="R32" s="717" t="str">
        <f ca="1">IFERROR(VLOOKUP(R$2,Rango_Admin_DailyPred,MATCH($F32,Rango_Admin_DailyPred_Primera,0)+1,0),"-")</f>
        <v>-</v>
      </c>
      <c r="S32" s="717" t="str">
        <f ca="1">IFERROR(VLOOKUP(S$2,Rango_Admin_DailyPred,MATCH($F32,Rango_Admin_DailyPred_Primera,0)+1,0),"-")</f>
        <v>-</v>
      </c>
      <c r="T32" s="717" t="str">
        <f ca="1">IFERROR(VLOOKUP(T$2,Rango_Admin_DailyPred,MATCH($F32,Rango_Admin_DailyPred_Primera,0)+1,0),"-")</f>
        <v>-</v>
      </c>
      <c r="U32" s="717" t="str">
        <f ca="1">IFERROR(VLOOKUP(U$2,Rango_Admin_DailyPred,MATCH($F32,Rango_Admin_DailyPred_Primera,0)+1,0),"-")</f>
        <v>-</v>
      </c>
      <c r="V32" s="717" t="str">
        <f ca="1">IFERROR(VLOOKUP(V$2,Rango_Admin_DailyPred,MATCH($F32,Rango_Admin_DailyPred_Primera,0)+1,0),"-")</f>
        <v>-</v>
      </c>
      <c r="W32" s="717" t="str">
        <f ca="1">IFERROR(VLOOKUP(W$2,Rango_Admin_DailyPred,MATCH($F32,Rango_Admin_DailyPred_Primera,0)+1,0),"-")</f>
        <v>-</v>
      </c>
      <c r="X32" s="717" t="str">
        <f ca="1">IFERROR(VLOOKUP(X$2,Rango_Admin_DailyPred,MATCH($F32,Rango_Admin_DailyPred_Primera,0)+1,0),"-")</f>
        <v>-</v>
      </c>
      <c r="Y32" s="717" t="str">
        <f ca="1">IFERROR(VLOOKUP(Y$2,Rango_Admin_DailyPred,MATCH($F32,Rango_Admin_DailyPred_Primera,0)+1,0),"-")</f>
        <v>-</v>
      </c>
      <c r="Z32" s="717" t="str">
        <f ca="1">IFERROR(VLOOKUP(Z$2,Rango_Admin_DailyPred,MATCH($F32,Rango_Admin_DailyPred_Primera,0)+1,0),"-")</f>
        <v>-</v>
      </c>
      <c r="AA32" s="717" t="str">
        <f ca="1">IFERROR(VLOOKUP(AA$2,Rango_Admin_DailyPred,MATCH($F32,Rango_Admin_DailyPred_Primera,0)+1,0),"-")</f>
        <v>-</v>
      </c>
      <c r="AB32" s="717" t="str">
        <f ca="1">IFERROR(VLOOKUP(AB$2,Rango_Admin_DailyPred,MATCH($F32,Rango_Admin_DailyPred_Primera,0)+1,0),"-")</f>
        <v>-</v>
      </c>
      <c r="AC32" s="717" t="str">
        <f ca="1">IFERROR(VLOOKUP(AC$2,Rango_Admin_DailyPred,MATCH($F32,Rango_Admin_DailyPred_Primera,0)+1,0),"-")</f>
        <v>-</v>
      </c>
      <c r="AD32" s="717" t="str">
        <f ca="1">IFERROR(VLOOKUP(AD$2,Rango_Admin_DailyPred,MATCH($F32,Rango_Admin_DailyPred_Primera,0)+1,0),"-")</f>
        <v>-</v>
      </c>
      <c r="AE32" s="717" t="str">
        <f ca="1">IFERROR(VLOOKUP(AE$2,Rango_Admin_DailyPred,MATCH($F32,Rango_Admin_DailyPred_Primera,0)+1,0),"-")</f>
        <v>-</v>
      </c>
      <c r="AF32" s="717" t="str">
        <f ca="1">IFERROR(VLOOKUP(AF$2,Rango_Admin_DailyPred,MATCH($F32,Rango_Admin_DailyPred_Primera,0)+1,0),"-")</f>
        <v>-</v>
      </c>
      <c r="AG32" s="717" t="str">
        <f ca="1">IFERROR(VLOOKUP(AG$2,Rango_Admin_DailyPred,MATCH($F32,Rango_Admin_DailyPred_Primera,0)+1,0),"-")</f>
        <v>-</v>
      </c>
      <c r="AH32" s="717" t="str">
        <f ca="1">IFERROR(VLOOKUP(AH$2,Rango_Admin_DailyPred,MATCH($F32,Rango_Admin_DailyPred_Primera,0)+1,0),"-")</f>
        <v>-</v>
      </c>
      <c r="AI32" s="717" t="str">
        <f ca="1">IFERROR(VLOOKUP(AI$2,Rango_Admin_DailyPred,MATCH($F32,Rango_Admin_DailyPred_Primera,0)+1,0),"-")</f>
        <v>-</v>
      </c>
      <c r="AJ32" s="717" t="str">
        <f ca="1">IFERROR(VLOOKUP(AJ$2,Rango_Admin_DailyPred,MATCH($F32,Rango_Admin_DailyPred_Primera,0)+1,0),"-")</f>
        <v>-</v>
      </c>
      <c r="AK32" s="717" t="str">
        <f ca="1">IFERROR(VLOOKUP(AK$2,Rango_Admin_DailyPred,MATCH($F32,Rango_Admin_DailyPred_Primera,0)+1,0),"-")</f>
        <v>-</v>
      </c>
      <c r="AL32" s="717" t="str">
        <f ca="1">IFERROR(VLOOKUP(AL$2,Rango_Admin_DailyPred,MATCH($F32,Rango_Admin_DailyPred_Primera,0)+1,0),"-")</f>
        <v>-</v>
      </c>
      <c r="AM32" s="717" t="str">
        <f ca="1">IFERROR(VLOOKUP(AM$2,Rango_Admin_DailyPred,MATCH($F32,Rango_Admin_DailyPred_Primera,0)+1,0),"-")</f>
        <v>-</v>
      </c>
      <c r="AN32" s="295"/>
    </row>
    <row r="33" spans="1:40">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v>30</v>
      </c>
      <c r="D33" s="19"/>
      <c r="E33" s="781">
        <f ca="1">IFERROR(HLOOKUP(C33,Rango_Admin_DailyClas,3,FALSE),"-")</f>
        <v>1</v>
      </c>
      <c r="F33" s="772" t="str">
        <f ca="1">IFERROR(HLOOKUP(C33,Rango_Admin_DailyClas,5,FALSE),"-")</f>
        <v>Francisco Dinis</v>
      </c>
      <c r="G33" s="768">
        <f ca="1">IFERROR(HLOOKUP(C33,Rango_Admin_DailyClas,4,FALSE),"-")</f>
        <v>0</v>
      </c>
      <c r="H33" s="717">
        <f ca="1">IFERROR(VLOOKUP(H$2,Rango_Admin_DailyPred,MATCH($F33,Rango_Admin_DailyPred_Primera,0)+1,0),"-")</f>
        <v>0</v>
      </c>
      <c r="I33" s="717">
        <f ca="1">IFERROR(VLOOKUP(I$2,Rango_Admin_DailyPred,MATCH($F33,Rango_Admin_DailyPred_Primera,0)+1,0),"-")</f>
        <v>0</v>
      </c>
      <c r="J33" s="717">
        <f ca="1">IFERROR(VLOOKUP(J$2,Rango_Admin_DailyPred,MATCH($F33,Rango_Admin_DailyPred_Primera,0)+1,0),"-")</f>
        <v>0</v>
      </c>
      <c r="K33" s="717">
        <f ca="1">IFERROR(VLOOKUP(K$2,Rango_Admin_DailyPred,MATCH($F33,Rango_Admin_DailyPred_Primera,0)+1,0),"-")</f>
        <v>0</v>
      </c>
      <c r="L33" s="717" t="str">
        <f ca="1">IFERROR(VLOOKUP(L$2,Rango_Admin_DailyPred,MATCH($F33,Rango_Admin_DailyPred_Primera,0)+1,0),"-")</f>
        <v>-</v>
      </c>
      <c r="M33" s="717" t="str">
        <f ca="1">IFERROR(VLOOKUP(M$2,Rango_Admin_DailyPred,MATCH($F33,Rango_Admin_DailyPred_Primera,0)+1,0),"-")</f>
        <v>-</v>
      </c>
      <c r="N33" s="717" t="str">
        <f ca="1">IFERROR(VLOOKUP(N$2,Rango_Admin_DailyPred,MATCH($F33,Rango_Admin_DailyPred_Primera,0)+1,0),"-")</f>
        <v>-</v>
      </c>
      <c r="O33" s="717" t="str">
        <f ca="1">IFERROR(VLOOKUP(O$2,Rango_Admin_DailyPred,MATCH($F33,Rango_Admin_DailyPred_Primera,0)+1,0),"-")</f>
        <v>-</v>
      </c>
      <c r="P33" s="717" t="str">
        <f ca="1">IFERROR(VLOOKUP(P$2,Rango_Admin_DailyPred,MATCH($F33,Rango_Admin_DailyPred_Primera,0)+1,0),"-")</f>
        <v>-</v>
      </c>
      <c r="Q33" s="717" t="str">
        <f ca="1">IFERROR(VLOOKUP(Q$2,Rango_Admin_DailyPred,MATCH($F33,Rango_Admin_DailyPred_Primera,0)+1,0),"-")</f>
        <v>-</v>
      </c>
      <c r="R33" s="717" t="str">
        <f ca="1">IFERROR(VLOOKUP(R$2,Rango_Admin_DailyPred,MATCH($F33,Rango_Admin_DailyPred_Primera,0)+1,0),"-")</f>
        <v>-</v>
      </c>
      <c r="S33" s="717" t="str">
        <f ca="1">IFERROR(VLOOKUP(S$2,Rango_Admin_DailyPred,MATCH($F33,Rango_Admin_DailyPred_Primera,0)+1,0),"-")</f>
        <v>-</v>
      </c>
      <c r="T33" s="717" t="str">
        <f ca="1">IFERROR(VLOOKUP(T$2,Rango_Admin_DailyPred,MATCH($F33,Rango_Admin_DailyPred_Primera,0)+1,0),"-")</f>
        <v>-</v>
      </c>
      <c r="U33" s="717" t="str">
        <f ca="1">IFERROR(VLOOKUP(U$2,Rango_Admin_DailyPred,MATCH($F33,Rango_Admin_DailyPred_Primera,0)+1,0),"-")</f>
        <v>-</v>
      </c>
      <c r="V33" s="717" t="str">
        <f ca="1">IFERROR(VLOOKUP(V$2,Rango_Admin_DailyPred,MATCH($F33,Rango_Admin_DailyPred_Primera,0)+1,0),"-")</f>
        <v>-</v>
      </c>
      <c r="W33" s="717" t="str">
        <f ca="1">IFERROR(VLOOKUP(W$2,Rango_Admin_DailyPred,MATCH($F33,Rango_Admin_DailyPred_Primera,0)+1,0),"-")</f>
        <v>-</v>
      </c>
      <c r="X33" s="717" t="str">
        <f ca="1">IFERROR(VLOOKUP(X$2,Rango_Admin_DailyPred,MATCH($F33,Rango_Admin_DailyPred_Primera,0)+1,0),"-")</f>
        <v>-</v>
      </c>
      <c r="Y33" s="717" t="str">
        <f ca="1">IFERROR(VLOOKUP(Y$2,Rango_Admin_DailyPred,MATCH($F33,Rango_Admin_DailyPred_Primera,0)+1,0),"-")</f>
        <v>-</v>
      </c>
      <c r="Z33" s="717" t="str">
        <f ca="1">IFERROR(VLOOKUP(Z$2,Rango_Admin_DailyPred,MATCH($F33,Rango_Admin_DailyPred_Primera,0)+1,0),"-")</f>
        <v>-</v>
      </c>
      <c r="AA33" s="717" t="str">
        <f ca="1">IFERROR(VLOOKUP(AA$2,Rango_Admin_DailyPred,MATCH($F33,Rango_Admin_DailyPred_Primera,0)+1,0),"-")</f>
        <v>-</v>
      </c>
      <c r="AB33" s="717" t="str">
        <f ca="1">IFERROR(VLOOKUP(AB$2,Rango_Admin_DailyPred,MATCH($F33,Rango_Admin_DailyPred_Primera,0)+1,0),"-")</f>
        <v>-</v>
      </c>
      <c r="AC33" s="717" t="str">
        <f ca="1">IFERROR(VLOOKUP(AC$2,Rango_Admin_DailyPred,MATCH($F33,Rango_Admin_DailyPred_Primera,0)+1,0),"-")</f>
        <v>-</v>
      </c>
      <c r="AD33" s="717" t="str">
        <f ca="1">IFERROR(VLOOKUP(AD$2,Rango_Admin_DailyPred,MATCH($F33,Rango_Admin_DailyPred_Primera,0)+1,0),"-")</f>
        <v>-</v>
      </c>
      <c r="AE33" s="717" t="str">
        <f ca="1">IFERROR(VLOOKUP(AE$2,Rango_Admin_DailyPred,MATCH($F33,Rango_Admin_DailyPred_Primera,0)+1,0),"-")</f>
        <v>-</v>
      </c>
      <c r="AF33" s="717" t="str">
        <f ca="1">IFERROR(VLOOKUP(AF$2,Rango_Admin_DailyPred,MATCH($F33,Rango_Admin_DailyPred_Primera,0)+1,0),"-")</f>
        <v>-</v>
      </c>
      <c r="AG33" s="717" t="str">
        <f ca="1">IFERROR(VLOOKUP(AG$2,Rango_Admin_DailyPred,MATCH($F33,Rango_Admin_DailyPred_Primera,0)+1,0),"-")</f>
        <v>-</v>
      </c>
      <c r="AH33" s="717" t="str">
        <f ca="1">IFERROR(VLOOKUP(AH$2,Rango_Admin_DailyPred,MATCH($F33,Rango_Admin_DailyPred_Primera,0)+1,0),"-")</f>
        <v>-</v>
      </c>
      <c r="AI33" s="717" t="str">
        <f ca="1">IFERROR(VLOOKUP(AI$2,Rango_Admin_DailyPred,MATCH($F33,Rango_Admin_DailyPred_Primera,0)+1,0),"-")</f>
        <v>-</v>
      </c>
      <c r="AJ33" s="717" t="str">
        <f ca="1">IFERROR(VLOOKUP(AJ$2,Rango_Admin_DailyPred,MATCH($F33,Rango_Admin_DailyPred_Primera,0)+1,0),"-")</f>
        <v>-</v>
      </c>
      <c r="AK33" s="717" t="str">
        <f ca="1">IFERROR(VLOOKUP(AK$2,Rango_Admin_DailyPred,MATCH($F33,Rango_Admin_DailyPred_Primera,0)+1,0),"-")</f>
        <v>-</v>
      </c>
      <c r="AL33" s="717" t="str">
        <f ca="1">IFERROR(VLOOKUP(AL$2,Rango_Admin_DailyPred,MATCH($F33,Rango_Admin_DailyPred_Primera,0)+1,0),"-")</f>
        <v>-</v>
      </c>
      <c r="AM33" s="717" t="str">
        <f ca="1">IFERROR(VLOOKUP(AM$2,Rango_Admin_DailyPred,MATCH($F33,Rango_Admin_DailyPred_Primera,0)+1,0),"-")</f>
        <v>-</v>
      </c>
      <c r="AN33" s="295"/>
    </row>
    <row r="34" spans="1:40">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v>31</v>
      </c>
      <c r="D34" s="19"/>
      <c r="E34" s="781">
        <f ca="1">IFERROR(HLOOKUP(C34,Rango_Admin_DailyClas,3,FALSE),"-")</f>
        <v>1</v>
      </c>
      <c r="F34" s="772" t="str">
        <f ca="1">IFERROR(HLOOKUP(C34,Rango_Admin_DailyClas,5,FALSE),"-")</f>
        <v>Leonardo Herrera</v>
      </c>
      <c r="G34" s="768">
        <f ca="1">IFERROR(HLOOKUP(C34,Rango_Admin_DailyClas,4,FALSE),"-")</f>
        <v>0</v>
      </c>
      <c r="H34" s="717">
        <f ca="1">IFERROR(VLOOKUP(H$2,Rango_Admin_DailyPred,MATCH($F34,Rango_Admin_DailyPred_Primera,0)+1,0),"-")</f>
        <v>0</v>
      </c>
      <c r="I34" s="717">
        <f ca="1">IFERROR(VLOOKUP(I$2,Rango_Admin_DailyPred,MATCH($F34,Rango_Admin_DailyPred_Primera,0)+1,0),"-")</f>
        <v>0</v>
      </c>
      <c r="J34" s="717">
        <f ca="1">IFERROR(VLOOKUP(J$2,Rango_Admin_DailyPred,MATCH($F34,Rango_Admin_DailyPred_Primera,0)+1,0),"-")</f>
        <v>0</v>
      </c>
      <c r="K34" s="717">
        <f ca="1">IFERROR(VLOOKUP(K$2,Rango_Admin_DailyPred,MATCH($F34,Rango_Admin_DailyPred_Primera,0)+1,0),"-")</f>
        <v>0</v>
      </c>
      <c r="L34" s="717" t="str">
        <f ca="1">IFERROR(VLOOKUP(L$2,Rango_Admin_DailyPred,MATCH($F34,Rango_Admin_DailyPred_Primera,0)+1,0),"-")</f>
        <v>-</v>
      </c>
      <c r="M34" s="717" t="str">
        <f ca="1">IFERROR(VLOOKUP(M$2,Rango_Admin_DailyPred,MATCH($F34,Rango_Admin_DailyPred_Primera,0)+1,0),"-")</f>
        <v>-</v>
      </c>
      <c r="N34" s="717" t="str">
        <f ca="1">IFERROR(VLOOKUP(N$2,Rango_Admin_DailyPred,MATCH($F34,Rango_Admin_DailyPred_Primera,0)+1,0),"-")</f>
        <v>-</v>
      </c>
      <c r="O34" s="717" t="str">
        <f ca="1">IFERROR(VLOOKUP(O$2,Rango_Admin_DailyPred,MATCH($F34,Rango_Admin_DailyPred_Primera,0)+1,0),"-")</f>
        <v>-</v>
      </c>
      <c r="P34" s="717" t="str">
        <f ca="1">IFERROR(VLOOKUP(P$2,Rango_Admin_DailyPred,MATCH($F34,Rango_Admin_DailyPred_Primera,0)+1,0),"-")</f>
        <v>-</v>
      </c>
      <c r="Q34" s="717" t="str">
        <f ca="1">IFERROR(VLOOKUP(Q$2,Rango_Admin_DailyPred,MATCH($F34,Rango_Admin_DailyPred_Primera,0)+1,0),"-")</f>
        <v>-</v>
      </c>
      <c r="R34" s="717" t="str">
        <f ca="1">IFERROR(VLOOKUP(R$2,Rango_Admin_DailyPred,MATCH($F34,Rango_Admin_DailyPred_Primera,0)+1,0),"-")</f>
        <v>-</v>
      </c>
      <c r="S34" s="717" t="str">
        <f ca="1">IFERROR(VLOOKUP(S$2,Rango_Admin_DailyPred,MATCH($F34,Rango_Admin_DailyPred_Primera,0)+1,0),"-")</f>
        <v>-</v>
      </c>
      <c r="T34" s="717" t="str">
        <f ca="1">IFERROR(VLOOKUP(T$2,Rango_Admin_DailyPred,MATCH($F34,Rango_Admin_DailyPred_Primera,0)+1,0),"-")</f>
        <v>-</v>
      </c>
      <c r="U34" s="717" t="str">
        <f ca="1">IFERROR(VLOOKUP(U$2,Rango_Admin_DailyPred,MATCH($F34,Rango_Admin_DailyPred_Primera,0)+1,0),"-")</f>
        <v>-</v>
      </c>
      <c r="V34" s="717" t="str">
        <f ca="1">IFERROR(VLOOKUP(V$2,Rango_Admin_DailyPred,MATCH($F34,Rango_Admin_DailyPred_Primera,0)+1,0),"-")</f>
        <v>-</v>
      </c>
      <c r="W34" s="717" t="str">
        <f ca="1">IFERROR(VLOOKUP(W$2,Rango_Admin_DailyPred,MATCH($F34,Rango_Admin_DailyPred_Primera,0)+1,0),"-")</f>
        <v>-</v>
      </c>
      <c r="X34" s="717" t="str">
        <f ca="1">IFERROR(VLOOKUP(X$2,Rango_Admin_DailyPred,MATCH($F34,Rango_Admin_DailyPred_Primera,0)+1,0),"-")</f>
        <v>-</v>
      </c>
      <c r="Y34" s="717" t="str">
        <f ca="1">IFERROR(VLOOKUP(Y$2,Rango_Admin_DailyPred,MATCH($F34,Rango_Admin_DailyPred_Primera,0)+1,0),"-")</f>
        <v>-</v>
      </c>
      <c r="Z34" s="717" t="str">
        <f ca="1">IFERROR(VLOOKUP(Z$2,Rango_Admin_DailyPred,MATCH($F34,Rango_Admin_DailyPred_Primera,0)+1,0),"-")</f>
        <v>-</v>
      </c>
      <c r="AA34" s="717" t="str">
        <f ca="1">IFERROR(VLOOKUP(AA$2,Rango_Admin_DailyPred,MATCH($F34,Rango_Admin_DailyPred_Primera,0)+1,0),"-")</f>
        <v>-</v>
      </c>
      <c r="AB34" s="717" t="str">
        <f ca="1">IFERROR(VLOOKUP(AB$2,Rango_Admin_DailyPred,MATCH($F34,Rango_Admin_DailyPred_Primera,0)+1,0),"-")</f>
        <v>-</v>
      </c>
      <c r="AC34" s="717" t="str">
        <f ca="1">IFERROR(VLOOKUP(AC$2,Rango_Admin_DailyPred,MATCH($F34,Rango_Admin_DailyPred_Primera,0)+1,0),"-")</f>
        <v>-</v>
      </c>
      <c r="AD34" s="717" t="str">
        <f ca="1">IFERROR(VLOOKUP(AD$2,Rango_Admin_DailyPred,MATCH($F34,Rango_Admin_DailyPred_Primera,0)+1,0),"-")</f>
        <v>-</v>
      </c>
      <c r="AE34" s="717" t="str">
        <f ca="1">IFERROR(VLOOKUP(AE$2,Rango_Admin_DailyPred,MATCH($F34,Rango_Admin_DailyPred_Primera,0)+1,0),"-")</f>
        <v>-</v>
      </c>
      <c r="AF34" s="717" t="str">
        <f ca="1">IFERROR(VLOOKUP(AF$2,Rango_Admin_DailyPred,MATCH($F34,Rango_Admin_DailyPred_Primera,0)+1,0),"-")</f>
        <v>-</v>
      </c>
      <c r="AG34" s="717" t="str">
        <f ca="1">IFERROR(VLOOKUP(AG$2,Rango_Admin_DailyPred,MATCH($F34,Rango_Admin_DailyPred_Primera,0)+1,0),"-")</f>
        <v>-</v>
      </c>
      <c r="AH34" s="717" t="str">
        <f ca="1">IFERROR(VLOOKUP(AH$2,Rango_Admin_DailyPred,MATCH($F34,Rango_Admin_DailyPred_Primera,0)+1,0),"-")</f>
        <v>-</v>
      </c>
      <c r="AI34" s="717" t="str">
        <f ca="1">IFERROR(VLOOKUP(AI$2,Rango_Admin_DailyPred,MATCH($F34,Rango_Admin_DailyPred_Primera,0)+1,0),"-")</f>
        <v>-</v>
      </c>
      <c r="AJ34" s="717" t="str">
        <f ca="1">IFERROR(VLOOKUP(AJ$2,Rango_Admin_DailyPred,MATCH($F34,Rango_Admin_DailyPred_Primera,0)+1,0),"-")</f>
        <v>-</v>
      </c>
      <c r="AK34" s="717" t="str">
        <f ca="1">IFERROR(VLOOKUP(AK$2,Rango_Admin_DailyPred,MATCH($F34,Rango_Admin_DailyPred_Primera,0)+1,0),"-")</f>
        <v>-</v>
      </c>
      <c r="AL34" s="717" t="str">
        <f ca="1">IFERROR(VLOOKUP(AL$2,Rango_Admin_DailyPred,MATCH($F34,Rango_Admin_DailyPred_Primera,0)+1,0),"-")</f>
        <v>-</v>
      </c>
      <c r="AM34" s="717" t="str">
        <f ca="1">IFERROR(VLOOKUP(AM$2,Rango_Admin_DailyPred,MATCH($F34,Rango_Admin_DailyPred_Primera,0)+1,0),"-")</f>
        <v>-</v>
      </c>
      <c r="AN34" s="295"/>
    </row>
    <row r="35" spans="1:40">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v>32</v>
      </c>
      <c r="D35" s="19"/>
      <c r="E35" s="781">
        <f ca="1">IFERROR(HLOOKUP(C35,Rango_Admin_DailyClas,3,FALSE),"-")</f>
        <v>1</v>
      </c>
      <c r="F35" s="772" t="str">
        <f ca="1">IFERROR(HLOOKUP(C35,Rango_Admin_DailyClas,5,FALSE),"-")</f>
        <v xml:space="preserve">German </v>
      </c>
      <c r="G35" s="768">
        <f ca="1">IFERROR(HLOOKUP(C35,Rango_Admin_DailyClas,4,FALSE),"-")</f>
        <v>0</v>
      </c>
      <c r="H35" s="717">
        <f ca="1">IFERROR(VLOOKUP(H$2,Rango_Admin_DailyPred,MATCH($F35,Rango_Admin_DailyPred_Primera,0)+1,0),"-")</f>
        <v>0</v>
      </c>
      <c r="I35" s="717">
        <f ca="1">IFERROR(VLOOKUP(I$2,Rango_Admin_DailyPred,MATCH($F35,Rango_Admin_DailyPred_Primera,0)+1,0),"-")</f>
        <v>0</v>
      </c>
      <c r="J35" s="717">
        <f ca="1">IFERROR(VLOOKUP(J$2,Rango_Admin_DailyPred,MATCH($F35,Rango_Admin_DailyPred_Primera,0)+1,0),"-")</f>
        <v>0</v>
      </c>
      <c r="K35" s="717">
        <f ca="1">IFERROR(VLOOKUP(K$2,Rango_Admin_DailyPred,MATCH($F35,Rango_Admin_DailyPred_Primera,0)+1,0),"-")</f>
        <v>0</v>
      </c>
      <c r="L35" s="717" t="str">
        <f ca="1">IFERROR(VLOOKUP(L$2,Rango_Admin_DailyPred,MATCH($F35,Rango_Admin_DailyPred_Primera,0)+1,0),"-")</f>
        <v>-</v>
      </c>
      <c r="M35" s="717" t="str">
        <f ca="1">IFERROR(VLOOKUP(M$2,Rango_Admin_DailyPred,MATCH($F35,Rango_Admin_DailyPred_Primera,0)+1,0),"-")</f>
        <v>-</v>
      </c>
      <c r="N35" s="717" t="str">
        <f ca="1">IFERROR(VLOOKUP(N$2,Rango_Admin_DailyPred,MATCH($F35,Rango_Admin_DailyPred_Primera,0)+1,0),"-")</f>
        <v>-</v>
      </c>
      <c r="O35" s="717" t="str">
        <f ca="1">IFERROR(VLOOKUP(O$2,Rango_Admin_DailyPred,MATCH($F35,Rango_Admin_DailyPred_Primera,0)+1,0),"-")</f>
        <v>-</v>
      </c>
      <c r="P35" s="717" t="str">
        <f ca="1">IFERROR(VLOOKUP(P$2,Rango_Admin_DailyPred,MATCH($F35,Rango_Admin_DailyPred_Primera,0)+1,0),"-")</f>
        <v>-</v>
      </c>
      <c r="Q35" s="717" t="str">
        <f ca="1">IFERROR(VLOOKUP(Q$2,Rango_Admin_DailyPred,MATCH($F35,Rango_Admin_DailyPred_Primera,0)+1,0),"-")</f>
        <v>-</v>
      </c>
      <c r="R35" s="717" t="str">
        <f ca="1">IFERROR(VLOOKUP(R$2,Rango_Admin_DailyPred,MATCH($F35,Rango_Admin_DailyPred_Primera,0)+1,0),"-")</f>
        <v>-</v>
      </c>
      <c r="S35" s="717" t="str">
        <f ca="1">IFERROR(VLOOKUP(S$2,Rango_Admin_DailyPred,MATCH($F35,Rango_Admin_DailyPred_Primera,0)+1,0),"-")</f>
        <v>-</v>
      </c>
      <c r="T35" s="717" t="str">
        <f ca="1">IFERROR(VLOOKUP(T$2,Rango_Admin_DailyPred,MATCH($F35,Rango_Admin_DailyPred_Primera,0)+1,0),"-")</f>
        <v>-</v>
      </c>
      <c r="U35" s="717" t="str">
        <f ca="1">IFERROR(VLOOKUP(U$2,Rango_Admin_DailyPred,MATCH($F35,Rango_Admin_DailyPred_Primera,0)+1,0),"-")</f>
        <v>-</v>
      </c>
      <c r="V35" s="717" t="str">
        <f ca="1">IFERROR(VLOOKUP(V$2,Rango_Admin_DailyPred,MATCH($F35,Rango_Admin_DailyPred_Primera,0)+1,0),"-")</f>
        <v>-</v>
      </c>
      <c r="W35" s="717" t="str">
        <f ca="1">IFERROR(VLOOKUP(W$2,Rango_Admin_DailyPred,MATCH($F35,Rango_Admin_DailyPred_Primera,0)+1,0),"-")</f>
        <v>-</v>
      </c>
      <c r="X35" s="717" t="str">
        <f ca="1">IFERROR(VLOOKUP(X$2,Rango_Admin_DailyPred,MATCH($F35,Rango_Admin_DailyPred_Primera,0)+1,0),"-")</f>
        <v>-</v>
      </c>
      <c r="Y35" s="717" t="str">
        <f ca="1">IFERROR(VLOOKUP(Y$2,Rango_Admin_DailyPred,MATCH($F35,Rango_Admin_DailyPred_Primera,0)+1,0),"-")</f>
        <v>-</v>
      </c>
      <c r="Z35" s="717" t="str">
        <f ca="1">IFERROR(VLOOKUP(Z$2,Rango_Admin_DailyPred,MATCH($F35,Rango_Admin_DailyPred_Primera,0)+1,0),"-")</f>
        <v>-</v>
      </c>
      <c r="AA35" s="717" t="str">
        <f ca="1">IFERROR(VLOOKUP(AA$2,Rango_Admin_DailyPred,MATCH($F35,Rango_Admin_DailyPred_Primera,0)+1,0),"-")</f>
        <v>-</v>
      </c>
      <c r="AB35" s="717" t="str">
        <f ca="1">IFERROR(VLOOKUP(AB$2,Rango_Admin_DailyPred,MATCH($F35,Rango_Admin_DailyPred_Primera,0)+1,0),"-")</f>
        <v>-</v>
      </c>
      <c r="AC35" s="717" t="str">
        <f ca="1">IFERROR(VLOOKUP(AC$2,Rango_Admin_DailyPred,MATCH($F35,Rango_Admin_DailyPred_Primera,0)+1,0),"-")</f>
        <v>-</v>
      </c>
      <c r="AD35" s="717" t="str">
        <f ca="1">IFERROR(VLOOKUP(AD$2,Rango_Admin_DailyPred,MATCH($F35,Rango_Admin_DailyPred_Primera,0)+1,0),"-")</f>
        <v>-</v>
      </c>
      <c r="AE35" s="717" t="str">
        <f ca="1">IFERROR(VLOOKUP(AE$2,Rango_Admin_DailyPred,MATCH($F35,Rango_Admin_DailyPred_Primera,0)+1,0),"-")</f>
        <v>-</v>
      </c>
      <c r="AF35" s="717" t="str">
        <f ca="1">IFERROR(VLOOKUP(AF$2,Rango_Admin_DailyPred,MATCH($F35,Rango_Admin_DailyPred_Primera,0)+1,0),"-")</f>
        <v>-</v>
      </c>
      <c r="AG35" s="717" t="str">
        <f ca="1">IFERROR(VLOOKUP(AG$2,Rango_Admin_DailyPred,MATCH($F35,Rango_Admin_DailyPred_Primera,0)+1,0),"-")</f>
        <v>-</v>
      </c>
      <c r="AH35" s="717" t="str">
        <f ca="1">IFERROR(VLOOKUP(AH$2,Rango_Admin_DailyPred,MATCH($F35,Rango_Admin_DailyPred_Primera,0)+1,0),"-")</f>
        <v>-</v>
      </c>
      <c r="AI35" s="717" t="str">
        <f ca="1">IFERROR(VLOOKUP(AI$2,Rango_Admin_DailyPred,MATCH($F35,Rango_Admin_DailyPred_Primera,0)+1,0),"-")</f>
        <v>-</v>
      </c>
      <c r="AJ35" s="717" t="str">
        <f ca="1">IFERROR(VLOOKUP(AJ$2,Rango_Admin_DailyPred,MATCH($F35,Rango_Admin_DailyPred_Primera,0)+1,0),"-")</f>
        <v>-</v>
      </c>
      <c r="AK35" s="717" t="str">
        <f ca="1">IFERROR(VLOOKUP(AK$2,Rango_Admin_DailyPred,MATCH($F35,Rango_Admin_DailyPred_Primera,0)+1,0),"-")</f>
        <v>-</v>
      </c>
      <c r="AL35" s="717" t="str">
        <f ca="1">IFERROR(VLOOKUP(AL$2,Rango_Admin_DailyPred,MATCH($F35,Rango_Admin_DailyPred_Primera,0)+1,0),"-")</f>
        <v>-</v>
      </c>
      <c r="AM35" s="717" t="str">
        <f ca="1">IFERROR(VLOOKUP(AM$2,Rango_Admin_DailyPred,MATCH($F35,Rango_Admin_DailyPred_Primera,0)+1,0),"-")</f>
        <v>-</v>
      </c>
      <c r="AN35" s="295"/>
    </row>
    <row r="36" spans="1:40">
      <c r="C36" s="8">
        <v>33</v>
      </c>
      <c r="E36" s="781">
        <f ca="1">IFERROR(HLOOKUP(C36,Rango_Admin_DailyClas,3,FALSE),"-")</f>
        <v>1</v>
      </c>
      <c r="F36" s="772" t="str">
        <f ca="1">IFERROR(HLOOKUP(C36,Rango_Admin_DailyClas,5,FALSE),"-")</f>
        <v xml:space="preserve">Orbert </v>
      </c>
      <c r="G36" s="768">
        <f ca="1">IFERROR(HLOOKUP(C36,Rango_Admin_DailyClas,4,FALSE),"-")</f>
        <v>0</v>
      </c>
      <c r="H36" s="717">
        <f ca="1">IFERROR(VLOOKUP(H$2,Rango_Admin_DailyPred,MATCH($F36,Rango_Admin_DailyPred_Primera,0)+1,0),"-")</f>
        <v>0</v>
      </c>
      <c r="I36" s="717">
        <f ca="1">IFERROR(VLOOKUP(I$2,Rango_Admin_DailyPred,MATCH($F36,Rango_Admin_DailyPred_Primera,0)+1,0),"-")</f>
        <v>0</v>
      </c>
      <c r="J36" s="717">
        <f ca="1">IFERROR(VLOOKUP(J$2,Rango_Admin_DailyPred,MATCH($F36,Rango_Admin_DailyPred_Primera,0)+1,0),"-")</f>
        <v>0</v>
      </c>
      <c r="K36" s="717">
        <f ca="1">IFERROR(VLOOKUP(K$2,Rango_Admin_DailyPred,MATCH($F36,Rango_Admin_DailyPred_Primera,0)+1,0),"-")</f>
        <v>0</v>
      </c>
      <c r="L36" s="717" t="str">
        <f ca="1">IFERROR(VLOOKUP(L$2,Rango_Admin_DailyPred,MATCH($F36,Rango_Admin_DailyPred_Primera,0)+1,0),"-")</f>
        <v>-</v>
      </c>
      <c r="M36" s="717" t="str">
        <f ca="1">IFERROR(VLOOKUP(M$2,Rango_Admin_DailyPred,MATCH($F36,Rango_Admin_DailyPred_Primera,0)+1,0),"-")</f>
        <v>-</v>
      </c>
      <c r="N36" s="717" t="str">
        <f ca="1">IFERROR(VLOOKUP(N$2,Rango_Admin_DailyPred,MATCH($F36,Rango_Admin_DailyPred_Primera,0)+1,0),"-")</f>
        <v>-</v>
      </c>
      <c r="O36" s="717" t="str">
        <f ca="1">IFERROR(VLOOKUP(O$2,Rango_Admin_DailyPred,MATCH($F36,Rango_Admin_DailyPred_Primera,0)+1,0),"-")</f>
        <v>-</v>
      </c>
      <c r="P36" s="717" t="str">
        <f ca="1">IFERROR(VLOOKUP(P$2,Rango_Admin_DailyPred,MATCH($F36,Rango_Admin_DailyPred_Primera,0)+1,0),"-")</f>
        <v>-</v>
      </c>
      <c r="Q36" s="717" t="str">
        <f ca="1">IFERROR(VLOOKUP(Q$2,Rango_Admin_DailyPred,MATCH($F36,Rango_Admin_DailyPred_Primera,0)+1,0),"-")</f>
        <v>-</v>
      </c>
      <c r="R36" s="717" t="str">
        <f ca="1">IFERROR(VLOOKUP(R$2,Rango_Admin_DailyPred,MATCH($F36,Rango_Admin_DailyPred_Primera,0)+1,0),"-")</f>
        <v>-</v>
      </c>
      <c r="S36" s="717" t="str">
        <f ca="1">IFERROR(VLOOKUP(S$2,Rango_Admin_DailyPred,MATCH($F36,Rango_Admin_DailyPred_Primera,0)+1,0),"-")</f>
        <v>-</v>
      </c>
      <c r="T36" s="717" t="str">
        <f ca="1">IFERROR(VLOOKUP(T$2,Rango_Admin_DailyPred,MATCH($F36,Rango_Admin_DailyPred_Primera,0)+1,0),"-")</f>
        <v>-</v>
      </c>
      <c r="U36" s="717" t="str">
        <f ca="1">IFERROR(VLOOKUP(U$2,Rango_Admin_DailyPred,MATCH($F36,Rango_Admin_DailyPred_Primera,0)+1,0),"-")</f>
        <v>-</v>
      </c>
      <c r="V36" s="717" t="str">
        <f ca="1">IFERROR(VLOOKUP(V$2,Rango_Admin_DailyPred,MATCH($F36,Rango_Admin_DailyPred_Primera,0)+1,0),"-")</f>
        <v>-</v>
      </c>
      <c r="W36" s="717" t="str">
        <f ca="1">IFERROR(VLOOKUP(W$2,Rango_Admin_DailyPred,MATCH($F36,Rango_Admin_DailyPred_Primera,0)+1,0),"-")</f>
        <v>-</v>
      </c>
      <c r="X36" s="717" t="str">
        <f ca="1">IFERROR(VLOOKUP(X$2,Rango_Admin_DailyPred,MATCH($F36,Rango_Admin_DailyPred_Primera,0)+1,0),"-")</f>
        <v>-</v>
      </c>
      <c r="Y36" s="717" t="str">
        <f ca="1">IFERROR(VLOOKUP(Y$2,Rango_Admin_DailyPred,MATCH($F36,Rango_Admin_DailyPred_Primera,0)+1,0),"-")</f>
        <v>-</v>
      </c>
      <c r="Z36" s="717" t="str">
        <f ca="1">IFERROR(VLOOKUP(Z$2,Rango_Admin_DailyPred,MATCH($F36,Rango_Admin_DailyPred_Primera,0)+1,0),"-")</f>
        <v>-</v>
      </c>
      <c r="AA36" s="717" t="str">
        <f ca="1">IFERROR(VLOOKUP(AA$2,Rango_Admin_DailyPred,MATCH($F36,Rango_Admin_DailyPred_Primera,0)+1,0),"-")</f>
        <v>-</v>
      </c>
      <c r="AB36" s="717" t="str">
        <f ca="1">IFERROR(VLOOKUP(AB$2,Rango_Admin_DailyPred,MATCH($F36,Rango_Admin_DailyPred_Primera,0)+1,0),"-")</f>
        <v>-</v>
      </c>
      <c r="AC36" s="717" t="str">
        <f ca="1">IFERROR(VLOOKUP(AC$2,Rango_Admin_DailyPred,MATCH($F36,Rango_Admin_DailyPred_Primera,0)+1,0),"-")</f>
        <v>-</v>
      </c>
      <c r="AD36" s="717" t="str">
        <f ca="1">IFERROR(VLOOKUP(AD$2,Rango_Admin_DailyPred,MATCH($F36,Rango_Admin_DailyPred_Primera,0)+1,0),"-")</f>
        <v>-</v>
      </c>
      <c r="AE36" s="717" t="str">
        <f ca="1">IFERROR(VLOOKUP(AE$2,Rango_Admin_DailyPred,MATCH($F36,Rango_Admin_DailyPred_Primera,0)+1,0),"-")</f>
        <v>-</v>
      </c>
      <c r="AF36" s="717" t="str">
        <f ca="1">IFERROR(VLOOKUP(AF$2,Rango_Admin_DailyPred,MATCH($F36,Rango_Admin_DailyPred_Primera,0)+1,0),"-")</f>
        <v>-</v>
      </c>
      <c r="AG36" s="717" t="str">
        <f ca="1">IFERROR(VLOOKUP(AG$2,Rango_Admin_DailyPred,MATCH($F36,Rango_Admin_DailyPred_Primera,0)+1,0),"-")</f>
        <v>-</v>
      </c>
      <c r="AH36" s="717" t="str">
        <f ca="1">IFERROR(VLOOKUP(AH$2,Rango_Admin_DailyPred,MATCH($F36,Rango_Admin_DailyPred_Primera,0)+1,0),"-")</f>
        <v>-</v>
      </c>
      <c r="AI36" s="717" t="str">
        <f ca="1">IFERROR(VLOOKUP(AI$2,Rango_Admin_DailyPred,MATCH($F36,Rango_Admin_DailyPred_Primera,0)+1,0),"-")</f>
        <v>-</v>
      </c>
      <c r="AJ36" s="717" t="str">
        <f ca="1">IFERROR(VLOOKUP(AJ$2,Rango_Admin_DailyPred,MATCH($F36,Rango_Admin_DailyPred_Primera,0)+1,0),"-")</f>
        <v>-</v>
      </c>
      <c r="AK36" s="717" t="str">
        <f ca="1">IFERROR(VLOOKUP(AK$2,Rango_Admin_DailyPred,MATCH($F36,Rango_Admin_DailyPred_Primera,0)+1,0),"-")</f>
        <v>-</v>
      </c>
      <c r="AL36" s="717" t="str">
        <f ca="1">IFERROR(VLOOKUP(AL$2,Rango_Admin_DailyPred,MATCH($F36,Rango_Admin_DailyPred_Primera,0)+1,0),"-")</f>
        <v>-</v>
      </c>
      <c r="AM36" s="717" t="str">
        <f ca="1">IFERROR(VLOOKUP(AM$2,Rango_Admin_DailyPred,MATCH($F36,Rango_Admin_DailyPred_Primera,0)+1,0),"-")</f>
        <v>-</v>
      </c>
    </row>
    <row r="37" spans="1:40">
      <c r="C37" s="8">
        <v>34</v>
      </c>
      <c r="E37" s="781">
        <f ca="1">IFERROR(HLOOKUP(C37,Rango_Admin_DailyClas,3,FALSE),"-")</f>
        <v>1</v>
      </c>
      <c r="F37" s="772" t="str">
        <f ca="1">IFERROR(HLOOKUP(C37,Rango_Admin_DailyClas,5,FALSE),"-")</f>
        <v>Alex Flores</v>
      </c>
      <c r="G37" s="768">
        <f ca="1">IFERROR(HLOOKUP(C37,Rango_Admin_DailyClas,4,FALSE),"-")</f>
        <v>0</v>
      </c>
      <c r="H37" s="717">
        <f ca="1">IFERROR(VLOOKUP(H$2,Rango_Admin_DailyPred,MATCH($F37,Rango_Admin_DailyPred_Primera,0)+1,0),"-")</f>
        <v>0</v>
      </c>
      <c r="I37" s="717">
        <f ca="1">IFERROR(VLOOKUP(I$2,Rango_Admin_DailyPred,MATCH($F37,Rango_Admin_DailyPred_Primera,0)+1,0),"-")</f>
        <v>0</v>
      </c>
      <c r="J37" s="717">
        <f ca="1">IFERROR(VLOOKUP(J$2,Rango_Admin_DailyPred,MATCH($F37,Rango_Admin_DailyPred_Primera,0)+1,0),"-")</f>
        <v>0</v>
      </c>
      <c r="K37" s="717">
        <f ca="1">IFERROR(VLOOKUP(K$2,Rango_Admin_DailyPred,MATCH($F37,Rango_Admin_DailyPred_Primera,0)+1,0),"-")</f>
        <v>0</v>
      </c>
      <c r="L37" s="717" t="str">
        <f ca="1">IFERROR(VLOOKUP(L$2,Rango_Admin_DailyPred,MATCH($F37,Rango_Admin_DailyPred_Primera,0)+1,0),"-")</f>
        <v>-</v>
      </c>
      <c r="M37" s="717" t="str">
        <f ca="1">IFERROR(VLOOKUP(M$2,Rango_Admin_DailyPred,MATCH($F37,Rango_Admin_DailyPred_Primera,0)+1,0),"-")</f>
        <v>-</v>
      </c>
      <c r="N37" s="717" t="str">
        <f ca="1">IFERROR(VLOOKUP(N$2,Rango_Admin_DailyPred,MATCH($F37,Rango_Admin_DailyPred_Primera,0)+1,0),"-")</f>
        <v>-</v>
      </c>
      <c r="O37" s="717" t="str">
        <f ca="1">IFERROR(VLOOKUP(O$2,Rango_Admin_DailyPred,MATCH($F37,Rango_Admin_DailyPred_Primera,0)+1,0),"-")</f>
        <v>-</v>
      </c>
      <c r="P37" s="717" t="str">
        <f ca="1">IFERROR(VLOOKUP(P$2,Rango_Admin_DailyPred,MATCH($F37,Rango_Admin_DailyPred_Primera,0)+1,0),"-")</f>
        <v>-</v>
      </c>
      <c r="Q37" s="717" t="str">
        <f ca="1">IFERROR(VLOOKUP(Q$2,Rango_Admin_DailyPred,MATCH($F37,Rango_Admin_DailyPred_Primera,0)+1,0),"-")</f>
        <v>-</v>
      </c>
      <c r="R37" s="717" t="str">
        <f ca="1">IFERROR(VLOOKUP(R$2,Rango_Admin_DailyPred,MATCH($F37,Rango_Admin_DailyPred_Primera,0)+1,0),"-")</f>
        <v>-</v>
      </c>
      <c r="S37" s="717" t="str">
        <f ca="1">IFERROR(VLOOKUP(S$2,Rango_Admin_DailyPred,MATCH($F37,Rango_Admin_DailyPred_Primera,0)+1,0),"-")</f>
        <v>-</v>
      </c>
      <c r="T37" s="717" t="str">
        <f ca="1">IFERROR(VLOOKUP(T$2,Rango_Admin_DailyPred,MATCH($F37,Rango_Admin_DailyPred_Primera,0)+1,0),"-")</f>
        <v>-</v>
      </c>
      <c r="U37" s="717" t="str">
        <f ca="1">IFERROR(VLOOKUP(U$2,Rango_Admin_DailyPred,MATCH($F37,Rango_Admin_DailyPred_Primera,0)+1,0),"-")</f>
        <v>-</v>
      </c>
      <c r="V37" s="717" t="str">
        <f ca="1">IFERROR(VLOOKUP(V$2,Rango_Admin_DailyPred,MATCH($F37,Rango_Admin_DailyPred_Primera,0)+1,0),"-")</f>
        <v>-</v>
      </c>
      <c r="W37" s="717" t="str">
        <f ca="1">IFERROR(VLOOKUP(W$2,Rango_Admin_DailyPred,MATCH($F37,Rango_Admin_DailyPred_Primera,0)+1,0),"-")</f>
        <v>-</v>
      </c>
      <c r="X37" s="717" t="str">
        <f ca="1">IFERROR(VLOOKUP(X$2,Rango_Admin_DailyPred,MATCH($F37,Rango_Admin_DailyPred_Primera,0)+1,0),"-")</f>
        <v>-</v>
      </c>
      <c r="Y37" s="717" t="str">
        <f ca="1">IFERROR(VLOOKUP(Y$2,Rango_Admin_DailyPred,MATCH($F37,Rango_Admin_DailyPred_Primera,0)+1,0),"-")</f>
        <v>-</v>
      </c>
      <c r="Z37" s="717" t="str">
        <f ca="1">IFERROR(VLOOKUP(Z$2,Rango_Admin_DailyPred,MATCH($F37,Rango_Admin_DailyPred_Primera,0)+1,0),"-")</f>
        <v>-</v>
      </c>
      <c r="AA37" s="717" t="str">
        <f ca="1">IFERROR(VLOOKUP(AA$2,Rango_Admin_DailyPred,MATCH($F37,Rango_Admin_DailyPred_Primera,0)+1,0),"-")</f>
        <v>-</v>
      </c>
      <c r="AB37" s="717" t="str">
        <f ca="1">IFERROR(VLOOKUP(AB$2,Rango_Admin_DailyPred,MATCH($F37,Rango_Admin_DailyPred_Primera,0)+1,0),"-")</f>
        <v>-</v>
      </c>
      <c r="AC37" s="717" t="str">
        <f ca="1">IFERROR(VLOOKUP(AC$2,Rango_Admin_DailyPred,MATCH($F37,Rango_Admin_DailyPred_Primera,0)+1,0),"-")</f>
        <v>-</v>
      </c>
      <c r="AD37" s="717" t="str">
        <f ca="1">IFERROR(VLOOKUP(AD$2,Rango_Admin_DailyPred,MATCH($F37,Rango_Admin_DailyPred_Primera,0)+1,0),"-")</f>
        <v>-</v>
      </c>
      <c r="AE37" s="717" t="str">
        <f ca="1">IFERROR(VLOOKUP(AE$2,Rango_Admin_DailyPred,MATCH($F37,Rango_Admin_DailyPred_Primera,0)+1,0),"-")</f>
        <v>-</v>
      </c>
      <c r="AF37" s="717" t="str">
        <f ca="1">IFERROR(VLOOKUP(AF$2,Rango_Admin_DailyPred,MATCH($F37,Rango_Admin_DailyPred_Primera,0)+1,0),"-")</f>
        <v>-</v>
      </c>
      <c r="AG37" s="717" t="str">
        <f ca="1">IFERROR(VLOOKUP(AG$2,Rango_Admin_DailyPred,MATCH($F37,Rango_Admin_DailyPred_Primera,0)+1,0),"-")</f>
        <v>-</v>
      </c>
      <c r="AH37" s="717" t="str">
        <f ca="1">IFERROR(VLOOKUP(AH$2,Rango_Admin_DailyPred,MATCH($F37,Rango_Admin_DailyPred_Primera,0)+1,0),"-")</f>
        <v>-</v>
      </c>
      <c r="AI37" s="717" t="str">
        <f ca="1">IFERROR(VLOOKUP(AI$2,Rango_Admin_DailyPred,MATCH($F37,Rango_Admin_DailyPred_Primera,0)+1,0),"-")</f>
        <v>-</v>
      </c>
      <c r="AJ37" s="717" t="str">
        <f ca="1">IFERROR(VLOOKUP(AJ$2,Rango_Admin_DailyPred,MATCH($F37,Rango_Admin_DailyPred_Primera,0)+1,0),"-")</f>
        <v>-</v>
      </c>
      <c r="AK37" s="717" t="str">
        <f ca="1">IFERROR(VLOOKUP(AK$2,Rango_Admin_DailyPred,MATCH($F37,Rango_Admin_DailyPred_Primera,0)+1,0),"-")</f>
        <v>-</v>
      </c>
      <c r="AL37" s="717" t="str">
        <f ca="1">IFERROR(VLOOKUP(AL$2,Rango_Admin_DailyPred,MATCH($F37,Rango_Admin_DailyPred_Primera,0)+1,0),"-")</f>
        <v>-</v>
      </c>
      <c r="AM37" s="717" t="str">
        <f ca="1">IFERROR(VLOOKUP(AM$2,Rango_Admin_DailyPred,MATCH($F37,Rango_Admin_DailyPred_Primera,0)+1,0),"-")</f>
        <v>-</v>
      </c>
    </row>
    <row r="38" spans="1:40">
      <c r="C38" s="8">
        <v>35</v>
      </c>
      <c r="E38" s="781">
        <f ca="1">IFERROR(HLOOKUP(C38,Rango_Admin_DailyClas,3,FALSE),"-")</f>
        <v>1</v>
      </c>
      <c r="F38" s="772" t="str">
        <f ca="1">IFERROR(HLOOKUP(C38,Rango_Admin_DailyClas,5,FALSE),"-")</f>
        <v>Erick Lavado</v>
      </c>
      <c r="G38" s="768">
        <f ca="1">IFERROR(HLOOKUP(C38,Rango_Admin_DailyClas,4,FALSE),"-")</f>
        <v>0</v>
      </c>
      <c r="H38" s="717">
        <f ca="1">IFERROR(VLOOKUP(H$2,Rango_Admin_DailyPred,MATCH($F38,Rango_Admin_DailyPred_Primera,0)+1,0),"-")</f>
        <v>0</v>
      </c>
      <c r="I38" s="717">
        <f ca="1">IFERROR(VLOOKUP(I$2,Rango_Admin_DailyPred,MATCH($F38,Rango_Admin_DailyPred_Primera,0)+1,0),"-")</f>
        <v>0</v>
      </c>
      <c r="J38" s="717">
        <f ca="1">IFERROR(VLOOKUP(J$2,Rango_Admin_DailyPred,MATCH($F38,Rango_Admin_DailyPred_Primera,0)+1,0),"-")</f>
        <v>0</v>
      </c>
      <c r="K38" s="717">
        <f ca="1">IFERROR(VLOOKUP(K$2,Rango_Admin_DailyPred,MATCH($F38,Rango_Admin_DailyPred_Primera,0)+1,0),"-")</f>
        <v>0</v>
      </c>
      <c r="L38" s="717" t="str">
        <f ca="1">IFERROR(VLOOKUP(L$2,Rango_Admin_DailyPred,MATCH($F38,Rango_Admin_DailyPred_Primera,0)+1,0),"-")</f>
        <v>-</v>
      </c>
      <c r="M38" s="717" t="str">
        <f ca="1">IFERROR(VLOOKUP(M$2,Rango_Admin_DailyPred,MATCH($F38,Rango_Admin_DailyPred_Primera,0)+1,0),"-")</f>
        <v>-</v>
      </c>
      <c r="N38" s="717" t="str">
        <f ca="1">IFERROR(VLOOKUP(N$2,Rango_Admin_DailyPred,MATCH($F38,Rango_Admin_DailyPred_Primera,0)+1,0),"-")</f>
        <v>-</v>
      </c>
      <c r="O38" s="717" t="str">
        <f ca="1">IFERROR(VLOOKUP(O$2,Rango_Admin_DailyPred,MATCH($F38,Rango_Admin_DailyPred_Primera,0)+1,0),"-")</f>
        <v>-</v>
      </c>
      <c r="P38" s="717" t="str">
        <f ca="1">IFERROR(VLOOKUP(P$2,Rango_Admin_DailyPred,MATCH($F38,Rango_Admin_DailyPred_Primera,0)+1,0),"-")</f>
        <v>-</v>
      </c>
      <c r="Q38" s="717" t="str">
        <f ca="1">IFERROR(VLOOKUP(Q$2,Rango_Admin_DailyPred,MATCH($F38,Rango_Admin_DailyPred_Primera,0)+1,0),"-")</f>
        <v>-</v>
      </c>
      <c r="R38" s="717" t="str">
        <f ca="1">IFERROR(VLOOKUP(R$2,Rango_Admin_DailyPred,MATCH($F38,Rango_Admin_DailyPred_Primera,0)+1,0),"-")</f>
        <v>-</v>
      </c>
      <c r="S38" s="717" t="str">
        <f ca="1">IFERROR(VLOOKUP(S$2,Rango_Admin_DailyPred,MATCH($F38,Rango_Admin_DailyPred_Primera,0)+1,0),"-")</f>
        <v>-</v>
      </c>
      <c r="T38" s="717" t="str">
        <f ca="1">IFERROR(VLOOKUP(T$2,Rango_Admin_DailyPred,MATCH($F38,Rango_Admin_DailyPred_Primera,0)+1,0),"-")</f>
        <v>-</v>
      </c>
      <c r="U38" s="717" t="str">
        <f ca="1">IFERROR(VLOOKUP(U$2,Rango_Admin_DailyPred,MATCH($F38,Rango_Admin_DailyPred_Primera,0)+1,0),"-")</f>
        <v>-</v>
      </c>
      <c r="V38" s="717" t="str">
        <f ca="1">IFERROR(VLOOKUP(V$2,Rango_Admin_DailyPred,MATCH($F38,Rango_Admin_DailyPred_Primera,0)+1,0),"-")</f>
        <v>-</v>
      </c>
      <c r="W38" s="717" t="str">
        <f ca="1">IFERROR(VLOOKUP(W$2,Rango_Admin_DailyPred,MATCH($F38,Rango_Admin_DailyPred_Primera,0)+1,0),"-")</f>
        <v>-</v>
      </c>
      <c r="X38" s="717" t="str">
        <f ca="1">IFERROR(VLOOKUP(X$2,Rango_Admin_DailyPred,MATCH($F38,Rango_Admin_DailyPred_Primera,0)+1,0),"-")</f>
        <v>-</v>
      </c>
      <c r="Y38" s="717" t="str">
        <f ca="1">IFERROR(VLOOKUP(Y$2,Rango_Admin_DailyPred,MATCH($F38,Rango_Admin_DailyPred_Primera,0)+1,0),"-")</f>
        <v>-</v>
      </c>
      <c r="Z38" s="717" t="str">
        <f ca="1">IFERROR(VLOOKUP(Z$2,Rango_Admin_DailyPred,MATCH($F38,Rango_Admin_DailyPred_Primera,0)+1,0),"-")</f>
        <v>-</v>
      </c>
      <c r="AA38" s="717" t="str">
        <f ca="1">IFERROR(VLOOKUP(AA$2,Rango_Admin_DailyPred,MATCH($F38,Rango_Admin_DailyPred_Primera,0)+1,0),"-")</f>
        <v>-</v>
      </c>
      <c r="AB38" s="717" t="str">
        <f ca="1">IFERROR(VLOOKUP(AB$2,Rango_Admin_DailyPred,MATCH($F38,Rango_Admin_DailyPred_Primera,0)+1,0),"-")</f>
        <v>-</v>
      </c>
      <c r="AC38" s="717" t="str">
        <f ca="1">IFERROR(VLOOKUP(AC$2,Rango_Admin_DailyPred,MATCH($F38,Rango_Admin_DailyPred_Primera,0)+1,0),"-")</f>
        <v>-</v>
      </c>
      <c r="AD38" s="717" t="str">
        <f ca="1">IFERROR(VLOOKUP(AD$2,Rango_Admin_DailyPred,MATCH($F38,Rango_Admin_DailyPred_Primera,0)+1,0),"-")</f>
        <v>-</v>
      </c>
      <c r="AE38" s="717" t="str">
        <f ca="1">IFERROR(VLOOKUP(AE$2,Rango_Admin_DailyPred,MATCH($F38,Rango_Admin_DailyPred_Primera,0)+1,0),"-")</f>
        <v>-</v>
      </c>
      <c r="AF38" s="717" t="str">
        <f ca="1">IFERROR(VLOOKUP(AF$2,Rango_Admin_DailyPred,MATCH($F38,Rango_Admin_DailyPred_Primera,0)+1,0),"-")</f>
        <v>-</v>
      </c>
      <c r="AG38" s="717" t="str">
        <f ca="1">IFERROR(VLOOKUP(AG$2,Rango_Admin_DailyPred,MATCH($F38,Rango_Admin_DailyPred_Primera,0)+1,0),"-")</f>
        <v>-</v>
      </c>
      <c r="AH38" s="717" t="str">
        <f ca="1">IFERROR(VLOOKUP(AH$2,Rango_Admin_DailyPred,MATCH($F38,Rango_Admin_DailyPred_Primera,0)+1,0),"-")</f>
        <v>-</v>
      </c>
      <c r="AI38" s="717" t="str">
        <f ca="1">IFERROR(VLOOKUP(AI$2,Rango_Admin_DailyPred,MATCH($F38,Rango_Admin_DailyPred_Primera,0)+1,0),"-")</f>
        <v>-</v>
      </c>
      <c r="AJ38" s="717" t="str">
        <f ca="1">IFERROR(VLOOKUP(AJ$2,Rango_Admin_DailyPred,MATCH($F38,Rango_Admin_DailyPred_Primera,0)+1,0),"-")</f>
        <v>-</v>
      </c>
      <c r="AK38" s="717" t="str">
        <f ca="1">IFERROR(VLOOKUP(AK$2,Rango_Admin_DailyPred,MATCH($F38,Rango_Admin_DailyPred_Primera,0)+1,0),"-")</f>
        <v>-</v>
      </c>
      <c r="AL38" s="717" t="str">
        <f ca="1">IFERROR(VLOOKUP(AL$2,Rango_Admin_DailyPred,MATCH($F38,Rango_Admin_DailyPred_Primera,0)+1,0),"-")</f>
        <v>-</v>
      </c>
      <c r="AM38" s="717" t="str">
        <f ca="1">IFERROR(VLOOKUP(AM$2,Rango_Admin_DailyPred,MATCH($F38,Rango_Admin_DailyPred_Primera,0)+1,0),"-")</f>
        <v>-</v>
      </c>
    </row>
    <row r="39" spans="1:40">
      <c r="C39" s="8">
        <v>36</v>
      </c>
      <c r="E39" s="781">
        <f ca="1">IFERROR(HLOOKUP(C39,Rango_Admin_DailyClas,3,FALSE),"-")</f>
        <v>1</v>
      </c>
      <c r="F39" s="772" t="str">
        <f ca="1">IFERROR(HLOOKUP(C39,Rango_Admin_DailyClas,5,FALSE),"-")</f>
        <v xml:space="preserve">Eleyton </v>
      </c>
      <c r="G39" s="768">
        <f ca="1">IFERROR(HLOOKUP(C39,Rango_Admin_DailyClas,4,FALSE),"-")</f>
        <v>0</v>
      </c>
      <c r="H39" s="717">
        <f ca="1">IFERROR(VLOOKUP(H$2,Rango_Admin_DailyPred,MATCH($F39,Rango_Admin_DailyPred_Primera,0)+1,0),"-")</f>
        <v>0</v>
      </c>
      <c r="I39" s="717">
        <f ca="1">IFERROR(VLOOKUP(I$2,Rango_Admin_DailyPred,MATCH($F39,Rango_Admin_DailyPred_Primera,0)+1,0),"-")</f>
        <v>0</v>
      </c>
      <c r="J39" s="717">
        <f ca="1">IFERROR(VLOOKUP(J$2,Rango_Admin_DailyPred,MATCH($F39,Rango_Admin_DailyPred_Primera,0)+1,0),"-")</f>
        <v>0</v>
      </c>
      <c r="K39" s="717">
        <f ca="1">IFERROR(VLOOKUP(K$2,Rango_Admin_DailyPred,MATCH($F39,Rango_Admin_DailyPred_Primera,0)+1,0),"-")</f>
        <v>0</v>
      </c>
      <c r="L39" s="717" t="str">
        <f ca="1">IFERROR(VLOOKUP(L$2,Rango_Admin_DailyPred,MATCH($F39,Rango_Admin_DailyPred_Primera,0)+1,0),"-")</f>
        <v>-</v>
      </c>
      <c r="M39" s="717" t="str">
        <f ca="1">IFERROR(VLOOKUP(M$2,Rango_Admin_DailyPred,MATCH($F39,Rango_Admin_DailyPred_Primera,0)+1,0),"-")</f>
        <v>-</v>
      </c>
      <c r="N39" s="717" t="str">
        <f ca="1">IFERROR(VLOOKUP(N$2,Rango_Admin_DailyPred,MATCH($F39,Rango_Admin_DailyPred_Primera,0)+1,0),"-")</f>
        <v>-</v>
      </c>
      <c r="O39" s="717" t="str">
        <f ca="1">IFERROR(VLOOKUP(O$2,Rango_Admin_DailyPred,MATCH($F39,Rango_Admin_DailyPred_Primera,0)+1,0),"-")</f>
        <v>-</v>
      </c>
      <c r="P39" s="717" t="str">
        <f ca="1">IFERROR(VLOOKUP(P$2,Rango_Admin_DailyPred,MATCH($F39,Rango_Admin_DailyPred_Primera,0)+1,0),"-")</f>
        <v>-</v>
      </c>
      <c r="Q39" s="717" t="str">
        <f ca="1">IFERROR(VLOOKUP(Q$2,Rango_Admin_DailyPred,MATCH($F39,Rango_Admin_DailyPred_Primera,0)+1,0),"-")</f>
        <v>-</v>
      </c>
      <c r="R39" s="717" t="str">
        <f ca="1">IFERROR(VLOOKUP(R$2,Rango_Admin_DailyPred,MATCH($F39,Rango_Admin_DailyPred_Primera,0)+1,0),"-")</f>
        <v>-</v>
      </c>
      <c r="S39" s="717" t="str">
        <f ca="1">IFERROR(VLOOKUP(S$2,Rango_Admin_DailyPred,MATCH($F39,Rango_Admin_DailyPred_Primera,0)+1,0),"-")</f>
        <v>-</v>
      </c>
      <c r="T39" s="717" t="str">
        <f ca="1">IFERROR(VLOOKUP(T$2,Rango_Admin_DailyPred,MATCH($F39,Rango_Admin_DailyPred_Primera,0)+1,0),"-")</f>
        <v>-</v>
      </c>
      <c r="U39" s="717" t="str">
        <f ca="1">IFERROR(VLOOKUP(U$2,Rango_Admin_DailyPred,MATCH($F39,Rango_Admin_DailyPred_Primera,0)+1,0),"-")</f>
        <v>-</v>
      </c>
      <c r="V39" s="717" t="str">
        <f ca="1">IFERROR(VLOOKUP(V$2,Rango_Admin_DailyPred,MATCH($F39,Rango_Admin_DailyPred_Primera,0)+1,0),"-")</f>
        <v>-</v>
      </c>
      <c r="W39" s="717" t="str">
        <f ca="1">IFERROR(VLOOKUP(W$2,Rango_Admin_DailyPred,MATCH($F39,Rango_Admin_DailyPred_Primera,0)+1,0),"-")</f>
        <v>-</v>
      </c>
      <c r="X39" s="717" t="str">
        <f ca="1">IFERROR(VLOOKUP(X$2,Rango_Admin_DailyPred,MATCH($F39,Rango_Admin_DailyPred_Primera,0)+1,0),"-")</f>
        <v>-</v>
      </c>
      <c r="Y39" s="717" t="str">
        <f ca="1">IFERROR(VLOOKUP(Y$2,Rango_Admin_DailyPred,MATCH($F39,Rango_Admin_DailyPred_Primera,0)+1,0),"-")</f>
        <v>-</v>
      </c>
      <c r="Z39" s="717" t="str">
        <f ca="1">IFERROR(VLOOKUP(Z$2,Rango_Admin_DailyPred,MATCH($F39,Rango_Admin_DailyPred_Primera,0)+1,0),"-")</f>
        <v>-</v>
      </c>
      <c r="AA39" s="717" t="str">
        <f ca="1">IFERROR(VLOOKUP(AA$2,Rango_Admin_DailyPred,MATCH($F39,Rango_Admin_DailyPred_Primera,0)+1,0),"-")</f>
        <v>-</v>
      </c>
      <c r="AB39" s="717" t="str">
        <f ca="1">IFERROR(VLOOKUP(AB$2,Rango_Admin_DailyPred,MATCH($F39,Rango_Admin_DailyPred_Primera,0)+1,0),"-")</f>
        <v>-</v>
      </c>
      <c r="AC39" s="717" t="str">
        <f ca="1">IFERROR(VLOOKUP(AC$2,Rango_Admin_DailyPred,MATCH($F39,Rango_Admin_DailyPred_Primera,0)+1,0),"-")</f>
        <v>-</v>
      </c>
      <c r="AD39" s="717" t="str">
        <f ca="1">IFERROR(VLOOKUP(AD$2,Rango_Admin_DailyPred,MATCH($F39,Rango_Admin_DailyPred_Primera,0)+1,0),"-")</f>
        <v>-</v>
      </c>
      <c r="AE39" s="717" t="str">
        <f ca="1">IFERROR(VLOOKUP(AE$2,Rango_Admin_DailyPred,MATCH($F39,Rango_Admin_DailyPred_Primera,0)+1,0),"-")</f>
        <v>-</v>
      </c>
      <c r="AF39" s="717" t="str">
        <f ca="1">IFERROR(VLOOKUP(AF$2,Rango_Admin_DailyPred,MATCH($F39,Rango_Admin_DailyPred_Primera,0)+1,0),"-")</f>
        <v>-</v>
      </c>
      <c r="AG39" s="717" t="str">
        <f ca="1">IFERROR(VLOOKUP(AG$2,Rango_Admin_DailyPred,MATCH($F39,Rango_Admin_DailyPred_Primera,0)+1,0),"-")</f>
        <v>-</v>
      </c>
      <c r="AH39" s="717" t="str">
        <f ca="1">IFERROR(VLOOKUP(AH$2,Rango_Admin_DailyPred,MATCH($F39,Rango_Admin_DailyPred_Primera,0)+1,0),"-")</f>
        <v>-</v>
      </c>
      <c r="AI39" s="717" t="str">
        <f ca="1">IFERROR(VLOOKUP(AI$2,Rango_Admin_DailyPred,MATCH($F39,Rango_Admin_DailyPred_Primera,0)+1,0),"-")</f>
        <v>-</v>
      </c>
      <c r="AJ39" s="717" t="str">
        <f ca="1">IFERROR(VLOOKUP(AJ$2,Rango_Admin_DailyPred,MATCH($F39,Rango_Admin_DailyPred_Primera,0)+1,0),"-")</f>
        <v>-</v>
      </c>
      <c r="AK39" s="717" t="str">
        <f ca="1">IFERROR(VLOOKUP(AK$2,Rango_Admin_DailyPred,MATCH($F39,Rango_Admin_DailyPred_Primera,0)+1,0),"-")</f>
        <v>-</v>
      </c>
      <c r="AL39" s="717" t="str">
        <f ca="1">IFERROR(VLOOKUP(AL$2,Rango_Admin_DailyPred,MATCH($F39,Rango_Admin_DailyPred_Primera,0)+1,0),"-")</f>
        <v>-</v>
      </c>
      <c r="AM39" s="717" t="str">
        <f ca="1">IFERROR(VLOOKUP(AM$2,Rango_Admin_DailyPred,MATCH($F39,Rango_Admin_DailyPred_Primera,0)+1,0),"-")</f>
        <v>-</v>
      </c>
    </row>
    <row r="40" spans="1:40">
      <c r="C40" s="8">
        <v>37</v>
      </c>
      <c r="E40" s="781" t="str">
        <f ca="1">IFERROR(HLOOKUP(C40,Rango_Admin_DailyClas,3,FALSE),"-")</f>
        <v>-</v>
      </c>
      <c r="F40" s="772" t="str">
        <f ca="1">IFERROR(HLOOKUP(C40,Rango_Admin_DailyClas,5,FALSE),"-")</f>
        <v>-</v>
      </c>
      <c r="G40" s="768" t="str">
        <f ca="1">IFERROR(HLOOKUP(C40,Rango_Admin_DailyClas,4,FALSE),"-")</f>
        <v>-</v>
      </c>
      <c r="H40" s="717" t="str">
        <f ca="1">IFERROR(VLOOKUP(H$2,Rango_Admin_DailyPred,MATCH($F40,Rango_Admin_DailyPred_Primera,0)+1,0),"-")</f>
        <v>-</v>
      </c>
      <c r="I40" s="717" t="str">
        <f ca="1">IFERROR(VLOOKUP(I$2,Rango_Admin_DailyPred,MATCH($F40,Rango_Admin_DailyPred_Primera,0)+1,0),"-")</f>
        <v>-</v>
      </c>
      <c r="J40" s="717" t="str">
        <f ca="1">IFERROR(VLOOKUP(J$2,Rango_Admin_DailyPred,MATCH($F40,Rango_Admin_DailyPred_Primera,0)+1,0),"-")</f>
        <v>-</v>
      </c>
      <c r="K40" s="717" t="str">
        <f ca="1">IFERROR(VLOOKUP(K$2,Rango_Admin_DailyPred,MATCH($F40,Rango_Admin_DailyPred_Primera,0)+1,0),"-")</f>
        <v>-</v>
      </c>
      <c r="L40" s="717" t="str">
        <f ca="1">IFERROR(VLOOKUP(L$2,Rango_Admin_DailyPred,MATCH($F40,Rango_Admin_DailyPred_Primera,0)+1,0),"-")</f>
        <v>-</v>
      </c>
      <c r="M40" s="717" t="str">
        <f ca="1">IFERROR(VLOOKUP(M$2,Rango_Admin_DailyPred,MATCH($F40,Rango_Admin_DailyPred_Primera,0)+1,0),"-")</f>
        <v>-</v>
      </c>
      <c r="N40" s="717" t="str">
        <f ca="1">IFERROR(VLOOKUP(N$2,Rango_Admin_DailyPred,MATCH($F40,Rango_Admin_DailyPred_Primera,0)+1,0),"-")</f>
        <v>-</v>
      </c>
      <c r="O40" s="717" t="str">
        <f ca="1">IFERROR(VLOOKUP(O$2,Rango_Admin_DailyPred,MATCH($F40,Rango_Admin_DailyPred_Primera,0)+1,0),"-")</f>
        <v>-</v>
      </c>
      <c r="P40" s="717" t="str">
        <f ca="1">IFERROR(VLOOKUP(P$2,Rango_Admin_DailyPred,MATCH($F40,Rango_Admin_DailyPred_Primera,0)+1,0),"-")</f>
        <v>-</v>
      </c>
      <c r="Q40" s="717" t="str">
        <f ca="1">IFERROR(VLOOKUP(Q$2,Rango_Admin_DailyPred,MATCH($F40,Rango_Admin_DailyPred_Primera,0)+1,0),"-")</f>
        <v>-</v>
      </c>
      <c r="R40" s="717" t="str">
        <f ca="1">IFERROR(VLOOKUP(R$2,Rango_Admin_DailyPred,MATCH($F40,Rango_Admin_DailyPred_Primera,0)+1,0),"-")</f>
        <v>-</v>
      </c>
      <c r="S40" s="717" t="str">
        <f ca="1">IFERROR(VLOOKUP(S$2,Rango_Admin_DailyPred,MATCH($F40,Rango_Admin_DailyPred_Primera,0)+1,0),"-")</f>
        <v>-</v>
      </c>
      <c r="T40" s="717" t="str">
        <f ca="1">IFERROR(VLOOKUP(T$2,Rango_Admin_DailyPred,MATCH($F40,Rango_Admin_DailyPred_Primera,0)+1,0),"-")</f>
        <v>-</v>
      </c>
      <c r="U40" s="717" t="str">
        <f ca="1">IFERROR(VLOOKUP(U$2,Rango_Admin_DailyPred,MATCH($F40,Rango_Admin_DailyPred_Primera,0)+1,0),"-")</f>
        <v>-</v>
      </c>
      <c r="V40" s="717" t="str">
        <f ca="1">IFERROR(VLOOKUP(V$2,Rango_Admin_DailyPred,MATCH($F40,Rango_Admin_DailyPred_Primera,0)+1,0),"-")</f>
        <v>-</v>
      </c>
      <c r="W40" s="717" t="str">
        <f ca="1">IFERROR(VLOOKUP(W$2,Rango_Admin_DailyPred,MATCH($F40,Rango_Admin_DailyPred_Primera,0)+1,0),"-")</f>
        <v>-</v>
      </c>
      <c r="X40" s="717" t="str">
        <f ca="1">IFERROR(VLOOKUP(X$2,Rango_Admin_DailyPred,MATCH($F40,Rango_Admin_DailyPred_Primera,0)+1,0),"-")</f>
        <v>-</v>
      </c>
      <c r="Y40" s="717" t="str">
        <f ca="1">IFERROR(VLOOKUP(Y$2,Rango_Admin_DailyPred,MATCH($F40,Rango_Admin_DailyPred_Primera,0)+1,0),"-")</f>
        <v>-</v>
      </c>
      <c r="Z40" s="717" t="str">
        <f ca="1">IFERROR(VLOOKUP(Z$2,Rango_Admin_DailyPred,MATCH($F40,Rango_Admin_DailyPred_Primera,0)+1,0),"-")</f>
        <v>-</v>
      </c>
      <c r="AA40" s="717" t="str">
        <f ca="1">IFERROR(VLOOKUP(AA$2,Rango_Admin_DailyPred,MATCH($F40,Rango_Admin_DailyPred_Primera,0)+1,0),"-")</f>
        <v>-</v>
      </c>
      <c r="AB40" s="717" t="str">
        <f ca="1">IFERROR(VLOOKUP(AB$2,Rango_Admin_DailyPred,MATCH($F40,Rango_Admin_DailyPred_Primera,0)+1,0),"-")</f>
        <v>-</v>
      </c>
      <c r="AC40" s="717" t="str">
        <f ca="1">IFERROR(VLOOKUP(AC$2,Rango_Admin_DailyPred,MATCH($F40,Rango_Admin_DailyPred_Primera,0)+1,0),"-")</f>
        <v>-</v>
      </c>
      <c r="AD40" s="717" t="str">
        <f ca="1">IFERROR(VLOOKUP(AD$2,Rango_Admin_DailyPred,MATCH($F40,Rango_Admin_DailyPred_Primera,0)+1,0),"-")</f>
        <v>-</v>
      </c>
      <c r="AE40" s="717" t="str">
        <f ca="1">IFERROR(VLOOKUP(AE$2,Rango_Admin_DailyPred,MATCH($F40,Rango_Admin_DailyPred_Primera,0)+1,0),"-")</f>
        <v>-</v>
      </c>
      <c r="AF40" s="717" t="str">
        <f ca="1">IFERROR(VLOOKUP(AF$2,Rango_Admin_DailyPred,MATCH($F40,Rango_Admin_DailyPred_Primera,0)+1,0),"-")</f>
        <v>-</v>
      </c>
      <c r="AG40" s="717" t="str">
        <f ca="1">IFERROR(VLOOKUP(AG$2,Rango_Admin_DailyPred,MATCH($F40,Rango_Admin_DailyPred_Primera,0)+1,0),"-")</f>
        <v>-</v>
      </c>
      <c r="AH40" s="717" t="str">
        <f ca="1">IFERROR(VLOOKUP(AH$2,Rango_Admin_DailyPred,MATCH($F40,Rango_Admin_DailyPred_Primera,0)+1,0),"-")</f>
        <v>-</v>
      </c>
      <c r="AI40" s="717" t="str">
        <f ca="1">IFERROR(VLOOKUP(AI$2,Rango_Admin_DailyPred,MATCH($F40,Rango_Admin_DailyPred_Primera,0)+1,0),"-")</f>
        <v>-</v>
      </c>
      <c r="AJ40" s="717" t="str">
        <f ca="1">IFERROR(VLOOKUP(AJ$2,Rango_Admin_DailyPred,MATCH($F40,Rango_Admin_DailyPred_Primera,0)+1,0),"-")</f>
        <v>-</v>
      </c>
      <c r="AK40" s="717" t="str">
        <f ca="1">IFERROR(VLOOKUP(AK$2,Rango_Admin_DailyPred,MATCH($F40,Rango_Admin_DailyPred_Primera,0)+1,0),"-")</f>
        <v>-</v>
      </c>
      <c r="AL40" s="717" t="str">
        <f ca="1">IFERROR(VLOOKUP(AL$2,Rango_Admin_DailyPred,MATCH($F40,Rango_Admin_DailyPred_Primera,0)+1,0),"-")</f>
        <v>-</v>
      </c>
      <c r="AM40" s="717" t="str">
        <f ca="1">IFERROR(VLOOKUP(AM$2,Rango_Admin_DailyPred,MATCH($F40,Rango_Admin_DailyPred_Primera,0)+1,0),"-")</f>
        <v>-</v>
      </c>
    </row>
    <row r="41" spans="1:40">
      <c r="C41" s="8">
        <v>38</v>
      </c>
      <c r="E41" s="781" t="str">
        <f ca="1">IFERROR(HLOOKUP(C41,Rango_Admin_DailyClas,3,FALSE),"-")</f>
        <v>-</v>
      </c>
      <c r="F41" s="772" t="str">
        <f ca="1">IFERROR(HLOOKUP(C41,Rango_Admin_DailyClas,5,FALSE),"-")</f>
        <v>-</v>
      </c>
      <c r="G41" s="768" t="str">
        <f ca="1">IFERROR(HLOOKUP(C41,Rango_Admin_DailyClas,4,FALSE),"-")</f>
        <v>-</v>
      </c>
      <c r="H41" s="717" t="str">
        <f ca="1">IFERROR(VLOOKUP(H$2,Rango_Admin_DailyPred,MATCH($F41,Rango_Admin_DailyPred_Primera,0)+1,0),"-")</f>
        <v>-</v>
      </c>
      <c r="I41" s="717" t="str">
        <f ca="1">IFERROR(VLOOKUP(I$2,Rango_Admin_DailyPred,MATCH($F41,Rango_Admin_DailyPred_Primera,0)+1,0),"-")</f>
        <v>-</v>
      </c>
      <c r="J41" s="717" t="str">
        <f ca="1">IFERROR(VLOOKUP(J$2,Rango_Admin_DailyPred,MATCH($F41,Rango_Admin_DailyPred_Primera,0)+1,0),"-")</f>
        <v>-</v>
      </c>
      <c r="K41" s="717" t="str">
        <f ca="1">IFERROR(VLOOKUP(K$2,Rango_Admin_DailyPred,MATCH($F41,Rango_Admin_DailyPred_Primera,0)+1,0),"-")</f>
        <v>-</v>
      </c>
      <c r="L41" s="717" t="str">
        <f ca="1">IFERROR(VLOOKUP(L$2,Rango_Admin_DailyPred,MATCH($F41,Rango_Admin_DailyPred_Primera,0)+1,0),"-")</f>
        <v>-</v>
      </c>
      <c r="M41" s="717" t="str">
        <f ca="1">IFERROR(VLOOKUP(M$2,Rango_Admin_DailyPred,MATCH($F41,Rango_Admin_DailyPred_Primera,0)+1,0),"-")</f>
        <v>-</v>
      </c>
      <c r="N41" s="717" t="str">
        <f ca="1">IFERROR(VLOOKUP(N$2,Rango_Admin_DailyPred,MATCH($F41,Rango_Admin_DailyPred_Primera,0)+1,0),"-")</f>
        <v>-</v>
      </c>
      <c r="O41" s="717" t="str">
        <f ca="1">IFERROR(VLOOKUP(O$2,Rango_Admin_DailyPred,MATCH($F41,Rango_Admin_DailyPred_Primera,0)+1,0),"-")</f>
        <v>-</v>
      </c>
      <c r="P41" s="717" t="str">
        <f ca="1">IFERROR(VLOOKUP(P$2,Rango_Admin_DailyPred,MATCH($F41,Rango_Admin_DailyPred_Primera,0)+1,0),"-")</f>
        <v>-</v>
      </c>
      <c r="Q41" s="717" t="str">
        <f ca="1">IFERROR(VLOOKUP(Q$2,Rango_Admin_DailyPred,MATCH($F41,Rango_Admin_DailyPred_Primera,0)+1,0),"-")</f>
        <v>-</v>
      </c>
      <c r="R41" s="717" t="str">
        <f ca="1">IFERROR(VLOOKUP(R$2,Rango_Admin_DailyPred,MATCH($F41,Rango_Admin_DailyPred_Primera,0)+1,0),"-")</f>
        <v>-</v>
      </c>
      <c r="S41" s="717" t="str">
        <f ca="1">IFERROR(VLOOKUP(S$2,Rango_Admin_DailyPred,MATCH($F41,Rango_Admin_DailyPred_Primera,0)+1,0),"-")</f>
        <v>-</v>
      </c>
      <c r="T41" s="717" t="str">
        <f ca="1">IFERROR(VLOOKUP(T$2,Rango_Admin_DailyPred,MATCH($F41,Rango_Admin_DailyPred_Primera,0)+1,0),"-")</f>
        <v>-</v>
      </c>
      <c r="U41" s="717" t="str">
        <f ca="1">IFERROR(VLOOKUP(U$2,Rango_Admin_DailyPred,MATCH($F41,Rango_Admin_DailyPred_Primera,0)+1,0),"-")</f>
        <v>-</v>
      </c>
      <c r="V41" s="717" t="str">
        <f ca="1">IFERROR(VLOOKUP(V$2,Rango_Admin_DailyPred,MATCH($F41,Rango_Admin_DailyPred_Primera,0)+1,0),"-")</f>
        <v>-</v>
      </c>
      <c r="W41" s="717" t="str">
        <f ca="1">IFERROR(VLOOKUP(W$2,Rango_Admin_DailyPred,MATCH($F41,Rango_Admin_DailyPred_Primera,0)+1,0),"-")</f>
        <v>-</v>
      </c>
      <c r="X41" s="717" t="str">
        <f ca="1">IFERROR(VLOOKUP(X$2,Rango_Admin_DailyPred,MATCH($F41,Rango_Admin_DailyPred_Primera,0)+1,0),"-")</f>
        <v>-</v>
      </c>
      <c r="Y41" s="717" t="str">
        <f ca="1">IFERROR(VLOOKUP(Y$2,Rango_Admin_DailyPred,MATCH($F41,Rango_Admin_DailyPred_Primera,0)+1,0),"-")</f>
        <v>-</v>
      </c>
      <c r="Z41" s="717" t="str">
        <f ca="1">IFERROR(VLOOKUP(Z$2,Rango_Admin_DailyPred,MATCH($F41,Rango_Admin_DailyPred_Primera,0)+1,0),"-")</f>
        <v>-</v>
      </c>
      <c r="AA41" s="717" t="str">
        <f ca="1">IFERROR(VLOOKUP(AA$2,Rango_Admin_DailyPred,MATCH($F41,Rango_Admin_DailyPred_Primera,0)+1,0),"-")</f>
        <v>-</v>
      </c>
      <c r="AB41" s="717" t="str">
        <f ca="1">IFERROR(VLOOKUP(AB$2,Rango_Admin_DailyPred,MATCH($F41,Rango_Admin_DailyPred_Primera,0)+1,0),"-")</f>
        <v>-</v>
      </c>
      <c r="AC41" s="717" t="str">
        <f ca="1">IFERROR(VLOOKUP(AC$2,Rango_Admin_DailyPred,MATCH($F41,Rango_Admin_DailyPred_Primera,0)+1,0),"-")</f>
        <v>-</v>
      </c>
      <c r="AD41" s="717" t="str">
        <f ca="1">IFERROR(VLOOKUP(AD$2,Rango_Admin_DailyPred,MATCH($F41,Rango_Admin_DailyPred_Primera,0)+1,0),"-")</f>
        <v>-</v>
      </c>
      <c r="AE41" s="717" t="str">
        <f ca="1">IFERROR(VLOOKUP(AE$2,Rango_Admin_DailyPred,MATCH($F41,Rango_Admin_DailyPred_Primera,0)+1,0),"-")</f>
        <v>-</v>
      </c>
      <c r="AF41" s="717" t="str">
        <f ca="1">IFERROR(VLOOKUP(AF$2,Rango_Admin_DailyPred,MATCH($F41,Rango_Admin_DailyPred_Primera,0)+1,0),"-")</f>
        <v>-</v>
      </c>
      <c r="AG41" s="717" t="str">
        <f ca="1">IFERROR(VLOOKUP(AG$2,Rango_Admin_DailyPred,MATCH($F41,Rango_Admin_DailyPred_Primera,0)+1,0),"-")</f>
        <v>-</v>
      </c>
      <c r="AH41" s="717" t="str">
        <f ca="1">IFERROR(VLOOKUP(AH$2,Rango_Admin_DailyPred,MATCH($F41,Rango_Admin_DailyPred_Primera,0)+1,0),"-")</f>
        <v>-</v>
      </c>
      <c r="AI41" s="717" t="str">
        <f ca="1">IFERROR(VLOOKUP(AI$2,Rango_Admin_DailyPred,MATCH($F41,Rango_Admin_DailyPred_Primera,0)+1,0),"-")</f>
        <v>-</v>
      </c>
      <c r="AJ41" s="717" t="str">
        <f ca="1">IFERROR(VLOOKUP(AJ$2,Rango_Admin_DailyPred,MATCH($F41,Rango_Admin_DailyPred_Primera,0)+1,0),"-")</f>
        <v>-</v>
      </c>
      <c r="AK41" s="717" t="str">
        <f ca="1">IFERROR(VLOOKUP(AK$2,Rango_Admin_DailyPred,MATCH($F41,Rango_Admin_DailyPred_Primera,0)+1,0),"-")</f>
        <v>-</v>
      </c>
      <c r="AL41" s="717" t="str">
        <f ca="1">IFERROR(VLOOKUP(AL$2,Rango_Admin_DailyPred,MATCH($F41,Rango_Admin_DailyPred_Primera,0)+1,0),"-")</f>
        <v>-</v>
      </c>
      <c r="AM41" s="717" t="str">
        <f ca="1">IFERROR(VLOOKUP(AM$2,Rango_Admin_DailyPred,MATCH($F41,Rango_Admin_DailyPred_Primera,0)+1,0),"-")</f>
        <v>-</v>
      </c>
    </row>
    <row r="42" spans="1:40">
      <c r="C42" s="8">
        <v>39</v>
      </c>
      <c r="E42" s="781" t="str">
        <f ca="1">IFERROR(HLOOKUP(C42,Rango_Admin_DailyClas,3,FALSE),"-")</f>
        <v>-</v>
      </c>
      <c r="F42" s="772" t="str">
        <f ca="1">IFERROR(HLOOKUP(C42,Rango_Admin_DailyClas,5,FALSE),"-")</f>
        <v>-</v>
      </c>
      <c r="G42" s="768" t="str">
        <f ca="1">IFERROR(HLOOKUP(C42,Rango_Admin_DailyClas,4,FALSE),"-")</f>
        <v>-</v>
      </c>
      <c r="H42" s="717" t="str">
        <f ca="1">IFERROR(VLOOKUP(H$2,Rango_Admin_DailyPred,MATCH($F42,Rango_Admin_DailyPred_Primera,0)+1,0),"-")</f>
        <v>-</v>
      </c>
      <c r="I42" s="717" t="str">
        <f ca="1">IFERROR(VLOOKUP(I$2,Rango_Admin_DailyPred,MATCH($F42,Rango_Admin_DailyPred_Primera,0)+1,0),"-")</f>
        <v>-</v>
      </c>
      <c r="J42" s="717" t="str">
        <f ca="1">IFERROR(VLOOKUP(J$2,Rango_Admin_DailyPred,MATCH($F42,Rango_Admin_DailyPred_Primera,0)+1,0),"-")</f>
        <v>-</v>
      </c>
      <c r="K42" s="717" t="str">
        <f ca="1">IFERROR(VLOOKUP(K$2,Rango_Admin_DailyPred,MATCH($F42,Rango_Admin_DailyPred_Primera,0)+1,0),"-")</f>
        <v>-</v>
      </c>
      <c r="L42" s="717" t="str">
        <f ca="1">IFERROR(VLOOKUP(L$2,Rango_Admin_DailyPred,MATCH($F42,Rango_Admin_DailyPred_Primera,0)+1,0),"-")</f>
        <v>-</v>
      </c>
      <c r="M42" s="717" t="str">
        <f ca="1">IFERROR(VLOOKUP(M$2,Rango_Admin_DailyPred,MATCH($F42,Rango_Admin_DailyPred_Primera,0)+1,0),"-")</f>
        <v>-</v>
      </c>
      <c r="N42" s="717" t="str">
        <f ca="1">IFERROR(VLOOKUP(N$2,Rango_Admin_DailyPred,MATCH($F42,Rango_Admin_DailyPred_Primera,0)+1,0),"-")</f>
        <v>-</v>
      </c>
      <c r="O42" s="717" t="str">
        <f ca="1">IFERROR(VLOOKUP(O$2,Rango_Admin_DailyPred,MATCH($F42,Rango_Admin_DailyPred_Primera,0)+1,0),"-")</f>
        <v>-</v>
      </c>
      <c r="P42" s="717" t="str">
        <f ca="1">IFERROR(VLOOKUP(P$2,Rango_Admin_DailyPred,MATCH($F42,Rango_Admin_DailyPred_Primera,0)+1,0),"-")</f>
        <v>-</v>
      </c>
      <c r="Q42" s="717" t="str">
        <f ca="1">IFERROR(VLOOKUP(Q$2,Rango_Admin_DailyPred,MATCH($F42,Rango_Admin_DailyPred_Primera,0)+1,0),"-")</f>
        <v>-</v>
      </c>
      <c r="R42" s="717" t="str">
        <f ca="1">IFERROR(VLOOKUP(R$2,Rango_Admin_DailyPred,MATCH($F42,Rango_Admin_DailyPred_Primera,0)+1,0),"-")</f>
        <v>-</v>
      </c>
      <c r="S42" s="717" t="str">
        <f ca="1">IFERROR(VLOOKUP(S$2,Rango_Admin_DailyPred,MATCH($F42,Rango_Admin_DailyPred_Primera,0)+1,0),"-")</f>
        <v>-</v>
      </c>
      <c r="T42" s="717" t="str">
        <f ca="1">IFERROR(VLOOKUP(T$2,Rango_Admin_DailyPred,MATCH($F42,Rango_Admin_DailyPred_Primera,0)+1,0),"-")</f>
        <v>-</v>
      </c>
      <c r="U42" s="717" t="str">
        <f ca="1">IFERROR(VLOOKUP(U$2,Rango_Admin_DailyPred,MATCH($F42,Rango_Admin_DailyPred_Primera,0)+1,0),"-")</f>
        <v>-</v>
      </c>
      <c r="V42" s="717" t="str">
        <f ca="1">IFERROR(VLOOKUP(V$2,Rango_Admin_DailyPred,MATCH($F42,Rango_Admin_DailyPred_Primera,0)+1,0),"-")</f>
        <v>-</v>
      </c>
      <c r="W42" s="717" t="str">
        <f ca="1">IFERROR(VLOOKUP(W$2,Rango_Admin_DailyPred,MATCH($F42,Rango_Admin_DailyPred_Primera,0)+1,0),"-")</f>
        <v>-</v>
      </c>
      <c r="X42" s="717" t="str">
        <f ca="1">IFERROR(VLOOKUP(X$2,Rango_Admin_DailyPred,MATCH($F42,Rango_Admin_DailyPred_Primera,0)+1,0),"-")</f>
        <v>-</v>
      </c>
      <c r="Y42" s="717" t="str">
        <f ca="1">IFERROR(VLOOKUP(Y$2,Rango_Admin_DailyPred,MATCH($F42,Rango_Admin_DailyPred_Primera,0)+1,0),"-")</f>
        <v>-</v>
      </c>
      <c r="Z42" s="717" t="str">
        <f ca="1">IFERROR(VLOOKUP(Z$2,Rango_Admin_DailyPred,MATCH($F42,Rango_Admin_DailyPred_Primera,0)+1,0),"-")</f>
        <v>-</v>
      </c>
      <c r="AA42" s="717" t="str">
        <f ca="1">IFERROR(VLOOKUP(AA$2,Rango_Admin_DailyPred,MATCH($F42,Rango_Admin_DailyPred_Primera,0)+1,0),"-")</f>
        <v>-</v>
      </c>
      <c r="AB42" s="717" t="str">
        <f ca="1">IFERROR(VLOOKUP(AB$2,Rango_Admin_DailyPred,MATCH($F42,Rango_Admin_DailyPred_Primera,0)+1,0),"-")</f>
        <v>-</v>
      </c>
      <c r="AC42" s="717" t="str">
        <f ca="1">IFERROR(VLOOKUP(AC$2,Rango_Admin_DailyPred,MATCH($F42,Rango_Admin_DailyPred_Primera,0)+1,0),"-")</f>
        <v>-</v>
      </c>
      <c r="AD42" s="717" t="str">
        <f ca="1">IFERROR(VLOOKUP(AD$2,Rango_Admin_DailyPred,MATCH($F42,Rango_Admin_DailyPred_Primera,0)+1,0),"-")</f>
        <v>-</v>
      </c>
      <c r="AE42" s="717" t="str">
        <f ca="1">IFERROR(VLOOKUP(AE$2,Rango_Admin_DailyPred,MATCH($F42,Rango_Admin_DailyPred_Primera,0)+1,0),"-")</f>
        <v>-</v>
      </c>
      <c r="AF42" s="717" t="str">
        <f ca="1">IFERROR(VLOOKUP(AF$2,Rango_Admin_DailyPred,MATCH($F42,Rango_Admin_DailyPred_Primera,0)+1,0),"-")</f>
        <v>-</v>
      </c>
      <c r="AG42" s="717" t="str">
        <f ca="1">IFERROR(VLOOKUP(AG$2,Rango_Admin_DailyPred,MATCH($F42,Rango_Admin_DailyPred_Primera,0)+1,0),"-")</f>
        <v>-</v>
      </c>
      <c r="AH42" s="717" t="str">
        <f ca="1">IFERROR(VLOOKUP(AH$2,Rango_Admin_DailyPred,MATCH($F42,Rango_Admin_DailyPred_Primera,0)+1,0),"-")</f>
        <v>-</v>
      </c>
      <c r="AI42" s="717" t="str">
        <f ca="1">IFERROR(VLOOKUP(AI$2,Rango_Admin_DailyPred,MATCH($F42,Rango_Admin_DailyPred_Primera,0)+1,0),"-")</f>
        <v>-</v>
      </c>
      <c r="AJ42" s="717" t="str">
        <f ca="1">IFERROR(VLOOKUP(AJ$2,Rango_Admin_DailyPred,MATCH($F42,Rango_Admin_DailyPred_Primera,0)+1,0),"-")</f>
        <v>-</v>
      </c>
      <c r="AK42" s="717" t="str">
        <f ca="1">IFERROR(VLOOKUP(AK$2,Rango_Admin_DailyPred,MATCH($F42,Rango_Admin_DailyPred_Primera,0)+1,0),"-")</f>
        <v>-</v>
      </c>
      <c r="AL42" s="717" t="str">
        <f ca="1">IFERROR(VLOOKUP(AL$2,Rango_Admin_DailyPred,MATCH($F42,Rango_Admin_DailyPred_Primera,0)+1,0),"-")</f>
        <v>-</v>
      </c>
      <c r="AM42" s="717" t="str">
        <f ca="1">IFERROR(VLOOKUP(AM$2,Rango_Admin_DailyPred,MATCH($F42,Rango_Admin_DailyPred_Primera,0)+1,0),"-")</f>
        <v>-</v>
      </c>
    </row>
    <row r="43" spans="1:40">
      <c r="C43" s="8">
        <v>40</v>
      </c>
      <c r="E43" s="781" t="str">
        <f ca="1">IFERROR(HLOOKUP(C43,Rango_Admin_DailyClas,3,FALSE),"-")</f>
        <v>-</v>
      </c>
      <c r="F43" s="772" t="str">
        <f ca="1">IFERROR(HLOOKUP(C43,Rango_Admin_DailyClas,5,FALSE),"-")</f>
        <v>-</v>
      </c>
      <c r="G43" s="768" t="str">
        <f ca="1">IFERROR(HLOOKUP(C43,Rango_Admin_DailyClas,4,FALSE),"-")</f>
        <v>-</v>
      </c>
      <c r="H43" s="717" t="str">
        <f ca="1">IFERROR(VLOOKUP(H$2,Rango_Admin_DailyPred,MATCH($F43,Rango_Admin_DailyPred_Primera,0)+1,0),"-")</f>
        <v>-</v>
      </c>
      <c r="I43" s="717" t="str">
        <f ca="1">IFERROR(VLOOKUP(I$2,Rango_Admin_DailyPred,MATCH($F43,Rango_Admin_DailyPred_Primera,0)+1,0),"-")</f>
        <v>-</v>
      </c>
      <c r="J43" s="717" t="str">
        <f ca="1">IFERROR(VLOOKUP(J$2,Rango_Admin_DailyPred,MATCH($F43,Rango_Admin_DailyPred_Primera,0)+1,0),"-")</f>
        <v>-</v>
      </c>
      <c r="K43" s="717" t="str">
        <f ca="1">IFERROR(VLOOKUP(K$2,Rango_Admin_DailyPred,MATCH($F43,Rango_Admin_DailyPred_Primera,0)+1,0),"-")</f>
        <v>-</v>
      </c>
      <c r="L43" s="717" t="str">
        <f ca="1">IFERROR(VLOOKUP(L$2,Rango_Admin_DailyPred,MATCH($F43,Rango_Admin_DailyPred_Primera,0)+1,0),"-")</f>
        <v>-</v>
      </c>
      <c r="M43" s="717" t="str">
        <f ca="1">IFERROR(VLOOKUP(M$2,Rango_Admin_DailyPred,MATCH($F43,Rango_Admin_DailyPred_Primera,0)+1,0),"-")</f>
        <v>-</v>
      </c>
      <c r="N43" s="717" t="str">
        <f ca="1">IFERROR(VLOOKUP(N$2,Rango_Admin_DailyPred,MATCH($F43,Rango_Admin_DailyPred_Primera,0)+1,0),"-")</f>
        <v>-</v>
      </c>
      <c r="O43" s="717" t="str">
        <f ca="1">IFERROR(VLOOKUP(O$2,Rango_Admin_DailyPred,MATCH($F43,Rango_Admin_DailyPred_Primera,0)+1,0),"-")</f>
        <v>-</v>
      </c>
      <c r="P43" s="717" t="str">
        <f ca="1">IFERROR(VLOOKUP(P$2,Rango_Admin_DailyPred,MATCH($F43,Rango_Admin_DailyPred_Primera,0)+1,0),"-")</f>
        <v>-</v>
      </c>
      <c r="Q43" s="717" t="str">
        <f ca="1">IFERROR(VLOOKUP(Q$2,Rango_Admin_DailyPred,MATCH($F43,Rango_Admin_DailyPred_Primera,0)+1,0),"-")</f>
        <v>-</v>
      </c>
      <c r="R43" s="717" t="str">
        <f ca="1">IFERROR(VLOOKUP(R$2,Rango_Admin_DailyPred,MATCH($F43,Rango_Admin_DailyPred_Primera,0)+1,0),"-")</f>
        <v>-</v>
      </c>
      <c r="S43" s="717" t="str">
        <f ca="1">IFERROR(VLOOKUP(S$2,Rango_Admin_DailyPred,MATCH($F43,Rango_Admin_DailyPred_Primera,0)+1,0),"-")</f>
        <v>-</v>
      </c>
      <c r="T43" s="717" t="str">
        <f ca="1">IFERROR(VLOOKUP(T$2,Rango_Admin_DailyPred,MATCH($F43,Rango_Admin_DailyPred_Primera,0)+1,0),"-")</f>
        <v>-</v>
      </c>
      <c r="U43" s="717" t="str">
        <f ca="1">IFERROR(VLOOKUP(U$2,Rango_Admin_DailyPred,MATCH($F43,Rango_Admin_DailyPred_Primera,0)+1,0),"-")</f>
        <v>-</v>
      </c>
      <c r="V43" s="717" t="str">
        <f ca="1">IFERROR(VLOOKUP(V$2,Rango_Admin_DailyPred,MATCH($F43,Rango_Admin_DailyPred_Primera,0)+1,0),"-")</f>
        <v>-</v>
      </c>
      <c r="W43" s="717" t="str">
        <f ca="1">IFERROR(VLOOKUP(W$2,Rango_Admin_DailyPred,MATCH($F43,Rango_Admin_DailyPred_Primera,0)+1,0),"-")</f>
        <v>-</v>
      </c>
      <c r="X43" s="717" t="str">
        <f ca="1">IFERROR(VLOOKUP(X$2,Rango_Admin_DailyPred,MATCH($F43,Rango_Admin_DailyPred_Primera,0)+1,0),"-")</f>
        <v>-</v>
      </c>
      <c r="Y43" s="717" t="str">
        <f ca="1">IFERROR(VLOOKUP(Y$2,Rango_Admin_DailyPred,MATCH($F43,Rango_Admin_DailyPred_Primera,0)+1,0),"-")</f>
        <v>-</v>
      </c>
      <c r="Z43" s="717" t="str">
        <f ca="1">IFERROR(VLOOKUP(Z$2,Rango_Admin_DailyPred,MATCH($F43,Rango_Admin_DailyPred_Primera,0)+1,0),"-")</f>
        <v>-</v>
      </c>
      <c r="AA43" s="717" t="str">
        <f ca="1">IFERROR(VLOOKUP(AA$2,Rango_Admin_DailyPred,MATCH($F43,Rango_Admin_DailyPred_Primera,0)+1,0),"-")</f>
        <v>-</v>
      </c>
      <c r="AB43" s="717" t="str">
        <f ca="1">IFERROR(VLOOKUP(AB$2,Rango_Admin_DailyPred,MATCH($F43,Rango_Admin_DailyPred_Primera,0)+1,0),"-")</f>
        <v>-</v>
      </c>
      <c r="AC43" s="717" t="str">
        <f ca="1">IFERROR(VLOOKUP(AC$2,Rango_Admin_DailyPred,MATCH($F43,Rango_Admin_DailyPred_Primera,0)+1,0),"-")</f>
        <v>-</v>
      </c>
      <c r="AD43" s="717" t="str">
        <f ca="1">IFERROR(VLOOKUP(AD$2,Rango_Admin_DailyPred,MATCH($F43,Rango_Admin_DailyPred_Primera,0)+1,0),"-")</f>
        <v>-</v>
      </c>
      <c r="AE43" s="717" t="str">
        <f ca="1">IFERROR(VLOOKUP(AE$2,Rango_Admin_DailyPred,MATCH($F43,Rango_Admin_DailyPred_Primera,0)+1,0),"-")</f>
        <v>-</v>
      </c>
      <c r="AF43" s="717" t="str">
        <f ca="1">IFERROR(VLOOKUP(AF$2,Rango_Admin_DailyPred,MATCH($F43,Rango_Admin_DailyPred_Primera,0)+1,0),"-")</f>
        <v>-</v>
      </c>
      <c r="AG43" s="717" t="str">
        <f ca="1">IFERROR(VLOOKUP(AG$2,Rango_Admin_DailyPred,MATCH($F43,Rango_Admin_DailyPred_Primera,0)+1,0),"-")</f>
        <v>-</v>
      </c>
      <c r="AH43" s="717" t="str">
        <f ca="1">IFERROR(VLOOKUP(AH$2,Rango_Admin_DailyPred,MATCH($F43,Rango_Admin_DailyPred_Primera,0)+1,0),"-")</f>
        <v>-</v>
      </c>
      <c r="AI43" s="717" t="str">
        <f ca="1">IFERROR(VLOOKUP(AI$2,Rango_Admin_DailyPred,MATCH($F43,Rango_Admin_DailyPred_Primera,0)+1,0),"-")</f>
        <v>-</v>
      </c>
      <c r="AJ43" s="717" t="str">
        <f ca="1">IFERROR(VLOOKUP(AJ$2,Rango_Admin_DailyPred,MATCH($F43,Rango_Admin_DailyPred_Primera,0)+1,0),"-")</f>
        <v>-</v>
      </c>
      <c r="AK43" s="717" t="str">
        <f ca="1">IFERROR(VLOOKUP(AK$2,Rango_Admin_DailyPred,MATCH($F43,Rango_Admin_DailyPred_Primera,0)+1,0),"-")</f>
        <v>-</v>
      </c>
      <c r="AL43" s="717" t="str">
        <f ca="1">IFERROR(VLOOKUP(AL$2,Rango_Admin_DailyPred,MATCH($F43,Rango_Admin_DailyPred_Primera,0)+1,0),"-")</f>
        <v>-</v>
      </c>
      <c r="AM43" s="717" t="str">
        <f ca="1">IFERROR(VLOOKUP(AM$2,Rango_Admin_DailyPred,MATCH($F43,Rango_Admin_DailyPred_Primera,0)+1,0),"-")</f>
        <v>-</v>
      </c>
    </row>
    <row r="44" spans="1:40">
      <c r="C44" s="8">
        <v>41</v>
      </c>
      <c r="E44" s="781" t="str">
        <f ca="1">IFERROR(HLOOKUP(C44,Rango_Admin_DailyClas,3,FALSE),"-")</f>
        <v>-</v>
      </c>
      <c r="F44" s="772" t="str">
        <f ca="1">IFERROR(HLOOKUP(C44,Rango_Admin_DailyClas,5,FALSE),"-")</f>
        <v>-</v>
      </c>
      <c r="G44" s="768" t="str">
        <f ca="1">IFERROR(HLOOKUP(C44,Rango_Admin_DailyClas,4,FALSE),"-")</f>
        <v>-</v>
      </c>
      <c r="H44" s="717" t="str">
        <f ca="1">IFERROR(VLOOKUP(H$2,Rango_Admin_DailyPred,MATCH($F44,Rango_Admin_DailyPred_Primera,0)+1,0),"-")</f>
        <v>-</v>
      </c>
      <c r="I44" s="717" t="str">
        <f ca="1">IFERROR(VLOOKUP(I$2,Rango_Admin_DailyPred,MATCH($F44,Rango_Admin_DailyPred_Primera,0)+1,0),"-")</f>
        <v>-</v>
      </c>
      <c r="J44" s="717" t="str">
        <f ca="1">IFERROR(VLOOKUP(J$2,Rango_Admin_DailyPred,MATCH($F44,Rango_Admin_DailyPred_Primera,0)+1,0),"-")</f>
        <v>-</v>
      </c>
      <c r="K44" s="717" t="str">
        <f ca="1">IFERROR(VLOOKUP(K$2,Rango_Admin_DailyPred,MATCH($F44,Rango_Admin_DailyPred_Primera,0)+1,0),"-")</f>
        <v>-</v>
      </c>
      <c r="L44" s="717" t="str">
        <f ca="1">IFERROR(VLOOKUP(L$2,Rango_Admin_DailyPred,MATCH($F44,Rango_Admin_DailyPred_Primera,0)+1,0),"-")</f>
        <v>-</v>
      </c>
      <c r="M44" s="717" t="str">
        <f ca="1">IFERROR(VLOOKUP(M$2,Rango_Admin_DailyPred,MATCH($F44,Rango_Admin_DailyPred_Primera,0)+1,0),"-")</f>
        <v>-</v>
      </c>
      <c r="N44" s="717" t="str">
        <f ca="1">IFERROR(VLOOKUP(N$2,Rango_Admin_DailyPred,MATCH($F44,Rango_Admin_DailyPred_Primera,0)+1,0),"-")</f>
        <v>-</v>
      </c>
      <c r="O44" s="717" t="str">
        <f ca="1">IFERROR(VLOOKUP(O$2,Rango_Admin_DailyPred,MATCH($F44,Rango_Admin_DailyPred_Primera,0)+1,0),"-")</f>
        <v>-</v>
      </c>
      <c r="P44" s="717" t="str">
        <f ca="1">IFERROR(VLOOKUP(P$2,Rango_Admin_DailyPred,MATCH($F44,Rango_Admin_DailyPred_Primera,0)+1,0),"-")</f>
        <v>-</v>
      </c>
      <c r="Q44" s="717" t="str">
        <f ca="1">IFERROR(VLOOKUP(Q$2,Rango_Admin_DailyPred,MATCH($F44,Rango_Admin_DailyPred_Primera,0)+1,0),"-")</f>
        <v>-</v>
      </c>
      <c r="R44" s="717" t="str">
        <f ca="1">IFERROR(VLOOKUP(R$2,Rango_Admin_DailyPred,MATCH($F44,Rango_Admin_DailyPred_Primera,0)+1,0),"-")</f>
        <v>-</v>
      </c>
      <c r="S44" s="717" t="str">
        <f ca="1">IFERROR(VLOOKUP(S$2,Rango_Admin_DailyPred,MATCH($F44,Rango_Admin_DailyPred_Primera,0)+1,0),"-")</f>
        <v>-</v>
      </c>
      <c r="T44" s="717" t="str">
        <f ca="1">IFERROR(VLOOKUP(T$2,Rango_Admin_DailyPred,MATCH($F44,Rango_Admin_DailyPred_Primera,0)+1,0),"-")</f>
        <v>-</v>
      </c>
      <c r="U44" s="717" t="str">
        <f ca="1">IFERROR(VLOOKUP(U$2,Rango_Admin_DailyPred,MATCH($F44,Rango_Admin_DailyPred_Primera,0)+1,0),"-")</f>
        <v>-</v>
      </c>
      <c r="V44" s="717" t="str">
        <f ca="1">IFERROR(VLOOKUP(V$2,Rango_Admin_DailyPred,MATCH($F44,Rango_Admin_DailyPred_Primera,0)+1,0),"-")</f>
        <v>-</v>
      </c>
      <c r="W44" s="717" t="str">
        <f ca="1">IFERROR(VLOOKUP(W$2,Rango_Admin_DailyPred,MATCH($F44,Rango_Admin_DailyPred_Primera,0)+1,0),"-")</f>
        <v>-</v>
      </c>
      <c r="X44" s="717" t="str">
        <f ca="1">IFERROR(VLOOKUP(X$2,Rango_Admin_DailyPred,MATCH($F44,Rango_Admin_DailyPred_Primera,0)+1,0),"-")</f>
        <v>-</v>
      </c>
      <c r="Y44" s="717" t="str">
        <f ca="1">IFERROR(VLOOKUP(Y$2,Rango_Admin_DailyPred,MATCH($F44,Rango_Admin_DailyPred_Primera,0)+1,0),"-")</f>
        <v>-</v>
      </c>
      <c r="Z44" s="717" t="str">
        <f ca="1">IFERROR(VLOOKUP(Z$2,Rango_Admin_DailyPred,MATCH($F44,Rango_Admin_DailyPred_Primera,0)+1,0),"-")</f>
        <v>-</v>
      </c>
      <c r="AA44" s="717" t="str">
        <f ca="1">IFERROR(VLOOKUP(AA$2,Rango_Admin_DailyPred,MATCH($F44,Rango_Admin_DailyPred_Primera,0)+1,0),"-")</f>
        <v>-</v>
      </c>
      <c r="AB44" s="717" t="str">
        <f ca="1">IFERROR(VLOOKUP(AB$2,Rango_Admin_DailyPred,MATCH($F44,Rango_Admin_DailyPred_Primera,0)+1,0),"-")</f>
        <v>-</v>
      </c>
      <c r="AC44" s="717" t="str">
        <f ca="1">IFERROR(VLOOKUP(AC$2,Rango_Admin_DailyPred,MATCH($F44,Rango_Admin_DailyPred_Primera,0)+1,0),"-")</f>
        <v>-</v>
      </c>
      <c r="AD44" s="717" t="str">
        <f ca="1">IFERROR(VLOOKUP(AD$2,Rango_Admin_DailyPred,MATCH($F44,Rango_Admin_DailyPred_Primera,0)+1,0),"-")</f>
        <v>-</v>
      </c>
      <c r="AE44" s="717" t="str">
        <f ca="1">IFERROR(VLOOKUP(AE$2,Rango_Admin_DailyPred,MATCH($F44,Rango_Admin_DailyPred_Primera,0)+1,0),"-")</f>
        <v>-</v>
      </c>
      <c r="AF44" s="717" t="str">
        <f ca="1">IFERROR(VLOOKUP(AF$2,Rango_Admin_DailyPred,MATCH($F44,Rango_Admin_DailyPred_Primera,0)+1,0),"-")</f>
        <v>-</v>
      </c>
      <c r="AG44" s="717" t="str">
        <f ca="1">IFERROR(VLOOKUP(AG$2,Rango_Admin_DailyPred,MATCH($F44,Rango_Admin_DailyPred_Primera,0)+1,0),"-")</f>
        <v>-</v>
      </c>
      <c r="AH44" s="717" t="str">
        <f ca="1">IFERROR(VLOOKUP(AH$2,Rango_Admin_DailyPred,MATCH($F44,Rango_Admin_DailyPred_Primera,0)+1,0),"-")</f>
        <v>-</v>
      </c>
      <c r="AI44" s="717" t="str">
        <f ca="1">IFERROR(VLOOKUP(AI$2,Rango_Admin_DailyPred,MATCH($F44,Rango_Admin_DailyPred_Primera,0)+1,0),"-")</f>
        <v>-</v>
      </c>
      <c r="AJ44" s="717" t="str">
        <f ca="1">IFERROR(VLOOKUP(AJ$2,Rango_Admin_DailyPred,MATCH($F44,Rango_Admin_DailyPred_Primera,0)+1,0),"-")</f>
        <v>-</v>
      </c>
      <c r="AK44" s="717" t="str">
        <f ca="1">IFERROR(VLOOKUP(AK$2,Rango_Admin_DailyPred,MATCH($F44,Rango_Admin_DailyPred_Primera,0)+1,0),"-")</f>
        <v>-</v>
      </c>
      <c r="AL44" s="717" t="str">
        <f ca="1">IFERROR(VLOOKUP(AL$2,Rango_Admin_DailyPred,MATCH($F44,Rango_Admin_DailyPred_Primera,0)+1,0),"-")</f>
        <v>-</v>
      </c>
      <c r="AM44" s="717" t="str">
        <f ca="1">IFERROR(VLOOKUP(AM$2,Rango_Admin_DailyPred,MATCH($F44,Rango_Admin_DailyPred_Primera,0)+1,0),"-")</f>
        <v>-</v>
      </c>
    </row>
    <row r="45" spans="1:40">
      <c r="C45" s="8">
        <v>42</v>
      </c>
      <c r="E45" s="781" t="str">
        <f ca="1">IFERROR(HLOOKUP(C45,Rango_Admin_DailyClas,3,FALSE),"-")</f>
        <v>-</v>
      </c>
      <c r="F45" s="772" t="str">
        <f ca="1">IFERROR(HLOOKUP(C45,Rango_Admin_DailyClas,5,FALSE),"-")</f>
        <v>-</v>
      </c>
      <c r="G45" s="768" t="str">
        <f ca="1">IFERROR(HLOOKUP(C45,Rango_Admin_DailyClas,4,FALSE),"-")</f>
        <v>-</v>
      </c>
      <c r="H45" s="717" t="str">
        <f ca="1">IFERROR(VLOOKUP(H$2,Rango_Admin_DailyPred,MATCH($F45,Rango_Admin_DailyPred_Primera,0)+1,0),"-")</f>
        <v>-</v>
      </c>
      <c r="I45" s="717" t="str">
        <f ca="1">IFERROR(VLOOKUP(I$2,Rango_Admin_DailyPred,MATCH($F45,Rango_Admin_DailyPred_Primera,0)+1,0),"-")</f>
        <v>-</v>
      </c>
      <c r="J45" s="717" t="str">
        <f ca="1">IFERROR(VLOOKUP(J$2,Rango_Admin_DailyPred,MATCH($F45,Rango_Admin_DailyPred_Primera,0)+1,0),"-")</f>
        <v>-</v>
      </c>
      <c r="K45" s="717" t="str">
        <f ca="1">IFERROR(VLOOKUP(K$2,Rango_Admin_DailyPred,MATCH($F45,Rango_Admin_DailyPred_Primera,0)+1,0),"-")</f>
        <v>-</v>
      </c>
      <c r="L45" s="717" t="str">
        <f ca="1">IFERROR(VLOOKUP(L$2,Rango_Admin_DailyPred,MATCH($F45,Rango_Admin_DailyPred_Primera,0)+1,0),"-")</f>
        <v>-</v>
      </c>
      <c r="M45" s="717" t="str">
        <f ca="1">IFERROR(VLOOKUP(M$2,Rango_Admin_DailyPred,MATCH($F45,Rango_Admin_DailyPred_Primera,0)+1,0),"-")</f>
        <v>-</v>
      </c>
      <c r="N45" s="717" t="str">
        <f ca="1">IFERROR(VLOOKUP(N$2,Rango_Admin_DailyPred,MATCH($F45,Rango_Admin_DailyPred_Primera,0)+1,0),"-")</f>
        <v>-</v>
      </c>
      <c r="O45" s="717" t="str">
        <f ca="1">IFERROR(VLOOKUP(O$2,Rango_Admin_DailyPred,MATCH($F45,Rango_Admin_DailyPred_Primera,0)+1,0),"-")</f>
        <v>-</v>
      </c>
      <c r="P45" s="717" t="str">
        <f ca="1">IFERROR(VLOOKUP(P$2,Rango_Admin_DailyPred,MATCH($F45,Rango_Admin_DailyPred_Primera,0)+1,0),"-")</f>
        <v>-</v>
      </c>
      <c r="Q45" s="717" t="str">
        <f ca="1">IFERROR(VLOOKUP(Q$2,Rango_Admin_DailyPred,MATCH($F45,Rango_Admin_DailyPred_Primera,0)+1,0),"-")</f>
        <v>-</v>
      </c>
      <c r="R45" s="717" t="str">
        <f ca="1">IFERROR(VLOOKUP(R$2,Rango_Admin_DailyPred,MATCH($F45,Rango_Admin_DailyPred_Primera,0)+1,0),"-")</f>
        <v>-</v>
      </c>
      <c r="S45" s="717" t="str">
        <f ca="1">IFERROR(VLOOKUP(S$2,Rango_Admin_DailyPred,MATCH($F45,Rango_Admin_DailyPred_Primera,0)+1,0),"-")</f>
        <v>-</v>
      </c>
      <c r="T45" s="717" t="str">
        <f ca="1">IFERROR(VLOOKUP(T$2,Rango_Admin_DailyPred,MATCH($F45,Rango_Admin_DailyPred_Primera,0)+1,0),"-")</f>
        <v>-</v>
      </c>
      <c r="U45" s="717" t="str">
        <f ca="1">IFERROR(VLOOKUP(U$2,Rango_Admin_DailyPred,MATCH($F45,Rango_Admin_DailyPred_Primera,0)+1,0),"-")</f>
        <v>-</v>
      </c>
      <c r="V45" s="717" t="str">
        <f ca="1">IFERROR(VLOOKUP(V$2,Rango_Admin_DailyPred,MATCH($F45,Rango_Admin_DailyPred_Primera,0)+1,0),"-")</f>
        <v>-</v>
      </c>
      <c r="W45" s="717" t="str">
        <f ca="1">IFERROR(VLOOKUP(W$2,Rango_Admin_DailyPred,MATCH($F45,Rango_Admin_DailyPred_Primera,0)+1,0),"-")</f>
        <v>-</v>
      </c>
      <c r="X45" s="717" t="str">
        <f ca="1">IFERROR(VLOOKUP(X$2,Rango_Admin_DailyPred,MATCH($F45,Rango_Admin_DailyPred_Primera,0)+1,0),"-")</f>
        <v>-</v>
      </c>
      <c r="Y45" s="717" t="str">
        <f ca="1">IFERROR(VLOOKUP(Y$2,Rango_Admin_DailyPred,MATCH($F45,Rango_Admin_DailyPred_Primera,0)+1,0),"-")</f>
        <v>-</v>
      </c>
      <c r="Z45" s="717" t="str">
        <f ca="1">IFERROR(VLOOKUP(Z$2,Rango_Admin_DailyPred,MATCH($F45,Rango_Admin_DailyPred_Primera,0)+1,0),"-")</f>
        <v>-</v>
      </c>
      <c r="AA45" s="717" t="str">
        <f ca="1">IFERROR(VLOOKUP(AA$2,Rango_Admin_DailyPred,MATCH($F45,Rango_Admin_DailyPred_Primera,0)+1,0),"-")</f>
        <v>-</v>
      </c>
      <c r="AB45" s="717" t="str">
        <f ca="1">IFERROR(VLOOKUP(AB$2,Rango_Admin_DailyPred,MATCH($F45,Rango_Admin_DailyPred_Primera,0)+1,0),"-")</f>
        <v>-</v>
      </c>
      <c r="AC45" s="717" t="str">
        <f ca="1">IFERROR(VLOOKUP(AC$2,Rango_Admin_DailyPred,MATCH($F45,Rango_Admin_DailyPred_Primera,0)+1,0),"-")</f>
        <v>-</v>
      </c>
      <c r="AD45" s="717" t="str">
        <f ca="1">IFERROR(VLOOKUP(AD$2,Rango_Admin_DailyPred,MATCH($F45,Rango_Admin_DailyPred_Primera,0)+1,0),"-")</f>
        <v>-</v>
      </c>
      <c r="AE45" s="717" t="str">
        <f ca="1">IFERROR(VLOOKUP(AE$2,Rango_Admin_DailyPred,MATCH($F45,Rango_Admin_DailyPred_Primera,0)+1,0),"-")</f>
        <v>-</v>
      </c>
      <c r="AF45" s="717" t="str">
        <f ca="1">IFERROR(VLOOKUP(AF$2,Rango_Admin_DailyPred,MATCH($F45,Rango_Admin_DailyPred_Primera,0)+1,0),"-")</f>
        <v>-</v>
      </c>
      <c r="AG45" s="717" t="str">
        <f ca="1">IFERROR(VLOOKUP(AG$2,Rango_Admin_DailyPred,MATCH($F45,Rango_Admin_DailyPred_Primera,0)+1,0),"-")</f>
        <v>-</v>
      </c>
      <c r="AH45" s="717" t="str">
        <f ca="1">IFERROR(VLOOKUP(AH$2,Rango_Admin_DailyPred,MATCH($F45,Rango_Admin_DailyPred_Primera,0)+1,0),"-")</f>
        <v>-</v>
      </c>
      <c r="AI45" s="717" t="str">
        <f ca="1">IFERROR(VLOOKUP(AI$2,Rango_Admin_DailyPred,MATCH($F45,Rango_Admin_DailyPred_Primera,0)+1,0),"-")</f>
        <v>-</v>
      </c>
      <c r="AJ45" s="717" t="str">
        <f ca="1">IFERROR(VLOOKUP(AJ$2,Rango_Admin_DailyPred,MATCH($F45,Rango_Admin_DailyPred_Primera,0)+1,0),"-")</f>
        <v>-</v>
      </c>
      <c r="AK45" s="717" t="str">
        <f ca="1">IFERROR(VLOOKUP(AK$2,Rango_Admin_DailyPred,MATCH($F45,Rango_Admin_DailyPred_Primera,0)+1,0),"-")</f>
        <v>-</v>
      </c>
      <c r="AL45" s="717" t="str">
        <f ca="1">IFERROR(VLOOKUP(AL$2,Rango_Admin_DailyPred,MATCH($F45,Rango_Admin_DailyPred_Primera,0)+1,0),"-")</f>
        <v>-</v>
      </c>
      <c r="AM45" s="717" t="str">
        <f ca="1">IFERROR(VLOOKUP(AM$2,Rango_Admin_DailyPred,MATCH($F45,Rango_Admin_DailyPred_Primera,0)+1,0),"-")</f>
        <v>-</v>
      </c>
    </row>
    <row r="46" spans="1:40">
      <c r="C46" s="8">
        <v>43</v>
      </c>
      <c r="E46" s="781" t="str">
        <f ca="1">IFERROR(HLOOKUP(C46,Rango_Admin_DailyClas,3,FALSE),"-")</f>
        <v>-</v>
      </c>
      <c r="F46" s="772" t="str">
        <f ca="1">IFERROR(HLOOKUP(C46,Rango_Admin_DailyClas,5,FALSE),"-")</f>
        <v>-</v>
      </c>
      <c r="G46" s="768" t="str">
        <f ca="1">IFERROR(HLOOKUP(C46,Rango_Admin_DailyClas,4,FALSE),"-")</f>
        <v>-</v>
      </c>
      <c r="H46" s="717" t="str">
        <f ca="1">IFERROR(VLOOKUP(H$2,Rango_Admin_DailyPred,MATCH($F46,Rango_Admin_DailyPred_Primera,0)+1,0),"-")</f>
        <v>-</v>
      </c>
      <c r="I46" s="717" t="str">
        <f ca="1">IFERROR(VLOOKUP(I$2,Rango_Admin_DailyPred,MATCH($F46,Rango_Admin_DailyPred_Primera,0)+1,0),"-")</f>
        <v>-</v>
      </c>
      <c r="J46" s="717" t="str">
        <f ca="1">IFERROR(VLOOKUP(J$2,Rango_Admin_DailyPred,MATCH($F46,Rango_Admin_DailyPred_Primera,0)+1,0),"-")</f>
        <v>-</v>
      </c>
      <c r="K46" s="717" t="str">
        <f ca="1">IFERROR(VLOOKUP(K$2,Rango_Admin_DailyPred,MATCH($F46,Rango_Admin_DailyPred_Primera,0)+1,0),"-")</f>
        <v>-</v>
      </c>
      <c r="L46" s="717" t="str">
        <f ca="1">IFERROR(VLOOKUP(L$2,Rango_Admin_DailyPred,MATCH($F46,Rango_Admin_DailyPred_Primera,0)+1,0),"-")</f>
        <v>-</v>
      </c>
      <c r="M46" s="717" t="str">
        <f ca="1">IFERROR(VLOOKUP(M$2,Rango_Admin_DailyPred,MATCH($F46,Rango_Admin_DailyPred_Primera,0)+1,0),"-")</f>
        <v>-</v>
      </c>
      <c r="N46" s="717" t="str">
        <f ca="1">IFERROR(VLOOKUP(N$2,Rango_Admin_DailyPred,MATCH($F46,Rango_Admin_DailyPred_Primera,0)+1,0),"-")</f>
        <v>-</v>
      </c>
      <c r="O46" s="717" t="str">
        <f ca="1">IFERROR(VLOOKUP(O$2,Rango_Admin_DailyPred,MATCH($F46,Rango_Admin_DailyPred_Primera,0)+1,0),"-")</f>
        <v>-</v>
      </c>
      <c r="P46" s="717" t="str">
        <f ca="1">IFERROR(VLOOKUP(P$2,Rango_Admin_DailyPred,MATCH($F46,Rango_Admin_DailyPred_Primera,0)+1,0),"-")</f>
        <v>-</v>
      </c>
      <c r="Q46" s="717" t="str">
        <f ca="1">IFERROR(VLOOKUP(Q$2,Rango_Admin_DailyPred,MATCH($F46,Rango_Admin_DailyPred_Primera,0)+1,0),"-")</f>
        <v>-</v>
      </c>
      <c r="R46" s="717" t="str">
        <f ca="1">IFERROR(VLOOKUP(R$2,Rango_Admin_DailyPred,MATCH($F46,Rango_Admin_DailyPred_Primera,0)+1,0),"-")</f>
        <v>-</v>
      </c>
      <c r="S46" s="717" t="str">
        <f ca="1">IFERROR(VLOOKUP(S$2,Rango_Admin_DailyPred,MATCH($F46,Rango_Admin_DailyPred_Primera,0)+1,0),"-")</f>
        <v>-</v>
      </c>
      <c r="T46" s="717" t="str">
        <f ca="1">IFERROR(VLOOKUP(T$2,Rango_Admin_DailyPred,MATCH($F46,Rango_Admin_DailyPred_Primera,0)+1,0),"-")</f>
        <v>-</v>
      </c>
      <c r="U46" s="717" t="str">
        <f ca="1">IFERROR(VLOOKUP(U$2,Rango_Admin_DailyPred,MATCH($F46,Rango_Admin_DailyPred_Primera,0)+1,0),"-")</f>
        <v>-</v>
      </c>
      <c r="V46" s="717" t="str">
        <f ca="1">IFERROR(VLOOKUP(V$2,Rango_Admin_DailyPred,MATCH($F46,Rango_Admin_DailyPred_Primera,0)+1,0),"-")</f>
        <v>-</v>
      </c>
      <c r="W46" s="717" t="str">
        <f ca="1">IFERROR(VLOOKUP(W$2,Rango_Admin_DailyPred,MATCH($F46,Rango_Admin_DailyPred_Primera,0)+1,0),"-")</f>
        <v>-</v>
      </c>
      <c r="X46" s="717" t="str">
        <f ca="1">IFERROR(VLOOKUP(X$2,Rango_Admin_DailyPred,MATCH($F46,Rango_Admin_DailyPred_Primera,0)+1,0),"-")</f>
        <v>-</v>
      </c>
      <c r="Y46" s="717" t="str">
        <f ca="1">IFERROR(VLOOKUP(Y$2,Rango_Admin_DailyPred,MATCH($F46,Rango_Admin_DailyPred_Primera,0)+1,0),"-")</f>
        <v>-</v>
      </c>
      <c r="Z46" s="717" t="str">
        <f ca="1">IFERROR(VLOOKUP(Z$2,Rango_Admin_DailyPred,MATCH($F46,Rango_Admin_DailyPred_Primera,0)+1,0),"-")</f>
        <v>-</v>
      </c>
      <c r="AA46" s="717" t="str">
        <f ca="1">IFERROR(VLOOKUP(AA$2,Rango_Admin_DailyPred,MATCH($F46,Rango_Admin_DailyPred_Primera,0)+1,0),"-")</f>
        <v>-</v>
      </c>
      <c r="AB46" s="717" t="str">
        <f ca="1">IFERROR(VLOOKUP(AB$2,Rango_Admin_DailyPred,MATCH($F46,Rango_Admin_DailyPred_Primera,0)+1,0),"-")</f>
        <v>-</v>
      </c>
      <c r="AC46" s="717" t="str">
        <f ca="1">IFERROR(VLOOKUP(AC$2,Rango_Admin_DailyPred,MATCH($F46,Rango_Admin_DailyPred_Primera,0)+1,0),"-")</f>
        <v>-</v>
      </c>
      <c r="AD46" s="717" t="str">
        <f ca="1">IFERROR(VLOOKUP(AD$2,Rango_Admin_DailyPred,MATCH($F46,Rango_Admin_DailyPred_Primera,0)+1,0),"-")</f>
        <v>-</v>
      </c>
      <c r="AE46" s="717" t="str">
        <f ca="1">IFERROR(VLOOKUP(AE$2,Rango_Admin_DailyPred,MATCH($F46,Rango_Admin_DailyPred_Primera,0)+1,0),"-")</f>
        <v>-</v>
      </c>
      <c r="AF46" s="717" t="str">
        <f ca="1">IFERROR(VLOOKUP(AF$2,Rango_Admin_DailyPred,MATCH($F46,Rango_Admin_DailyPred_Primera,0)+1,0),"-")</f>
        <v>-</v>
      </c>
      <c r="AG46" s="717" t="str">
        <f ca="1">IFERROR(VLOOKUP(AG$2,Rango_Admin_DailyPred,MATCH($F46,Rango_Admin_DailyPred_Primera,0)+1,0),"-")</f>
        <v>-</v>
      </c>
      <c r="AH46" s="717" t="str">
        <f ca="1">IFERROR(VLOOKUP(AH$2,Rango_Admin_DailyPred,MATCH($F46,Rango_Admin_DailyPred_Primera,0)+1,0),"-")</f>
        <v>-</v>
      </c>
      <c r="AI46" s="717" t="str">
        <f ca="1">IFERROR(VLOOKUP(AI$2,Rango_Admin_DailyPred,MATCH($F46,Rango_Admin_DailyPred_Primera,0)+1,0),"-")</f>
        <v>-</v>
      </c>
      <c r="AJ46" s="717" t="str">
        <f ca="1">IFERROR(VLOOKUP(AJ$2,Rango_Admin_DailyPred,MATCH($F46,Rango_Admin_DailyPred_Primera,0)+1,0),"-")</f>
        <v>-</v>
      </c>
      <c r="AK46" s="717" t="str">
        <f ca="1">IFERROR(VLOOKUP(AK$2,Rango_Admin_DailyPred,MATCH($F46,Rango_Admin_DailyPred_Primera,0)+1,0),"-")</f>
        <v>-</v>
      </c>
      <c r="AL46" s="717" t="str">
        <f ca="1">IFERROR(VLOOKUP(AL$2,Rango_Admin_DailyPred,MATCH($F46,Rango_Admin_DailyPred_Primera,0)+1,0),"-")</f>
        <v>-</v>
      </c>
      <c r="AM46" s="717" t="str">
        <f ca="1">IFERROR(VLOOKUP(AM$2,Rango_Admin_DailyPred,MATCH($F46,Rango_Admin_DailyPred_Primera,0)+1,0),"-")</f>
        <v>-</v>
      </c>
    </row>
    <row r="47" spans="1:40">
      <c r="C47" s="8">
        <v>44</v>
      </c>
      <c r="E47" s="781" t="str">
        <f ca="1">IFERROR(HLOOKUP(C47,Rango_Admin_DailyClas,3,FALSE),"-")</f>
        <v>-</v>
      </c>
      <c r="F47" s="772" t="str">
        <f ca="1">IFERROR(HLOOKUP(C47,Rango_Admin_DailyClas,5,FALSE),"-")</f>
        <v>-</v>
      </c>
      <c r="G47" s="768" t="str">
        <f ca="1">IFERROR(HLOOKUP(C47,Rango_Admin_DailyClas,4,FALSE),"-")</f>
        <v>-</v>
      </c>
      <c r="H47" s="717" t="str">
        <f ca="1">IFERROR(VLOOKUP(H$2,Rango_Admin_DailyPred,MATCH($F47,Rango_Admin_DailyPred_Primera,0)+1,0),"-")</f>
        <v>-</v>
      </c>
      <c r="I47" s="717" t="str">
        <f ca="1">IFERROR(VLOOKUP(I$2,Rango_Admin_DailyPred,MATCH($F47,Rango_Admin_DailyPred_Primera,0)+1,0),"-")</f>
        <v>-</v>
      </c>
      <c r="J47" s="717" t="str">
        <f ca="1">IFERROR(VLOOKUP(J$2,Rango_Admin_DailyPred,MATCH($F47,Rango_Admin_DailyPred_Primera,0)+1,0),"-")</f>
        <v>-</v>
      </c>
      <c r="K47" s="717" t="str">
        <f ca="1">IFERROR(VLOOKUP(K$2,Rango_Admin_DailyPred,MATCH($F47,Rango_Admin_DailyPred_Primera,0)+1,0),"-")</f>
        <v>-</v>
      </c>
      <c r="L47" s="717" t="str">
        <f ca="1">IFERROR(VLOOKUP(L$2,Rango_Admin_DailyPred,MATCH($F47,Rango_Admin_DailyPred_Primera,0)+1,0),"-")</f>
        <v>-</v>
      </c>
      <c r="M47" s="717" t="str">
        <f ca="1">IFERROR(VLOOKUP(M$2,Rango_Admin_DailyPred,MATCH($F47,Rango_Admin_DailyPred_Primera,0)+1,0),"-")</f>
        <v>-</v>
      </c>
      <c r="N47" s="717" t="str">
        <f ca="1">IFERROR(VLOOKUP(N$2,Rango_Admin_DailyPred,MATCH($F47,Rango_Admin_DailyPred_Primera,0)+1,0),"-")</f>
        <v>-</v>
      </c>
      <c r="O47" s="717" t="str">
        <f ca="1">IFERROR(VLOOKUP(O$2,Rango_Admin_DailyPred,MATCH($F47,Rango_Admin_DailyPred_Primera,0)+1,0),"-")</f>
        <v>-</v>
      </c>
      <c r="P47" s="717" t="str">
        <f ca="1">IFERROR(VLOOKUP(P$2,Rango_Admin_DailyPred,MATCH($F47,Rango_Admin_DailyPred_Primera,0)+1,0),"-")</f>
        <v>-</v>
      </c>
      <c r="Q47" s="717" t="str">
        <f ca="1">IFERROR(VLOOKUP(Q$2,Rango_Admin_DailyPred,MATCH($F47,Rango_Admin_DailyPred_Primera,0)+1,0),"-")</f>
        <v>-</v>
      </c>
      <c r="R47" s="717" t="str">
        <f ca="1">IFERROR(VLOOKUP(R$2,Rango_Admin_DailyPred,MATCH($F47,Rango_Admin_DailyPred_Primera,0)+1,0),"-")</f>
        <v>-</v>
      </c>
      <c r="S47" s="717" t="str">
        <f ca="1">IFERROR(VLOOKUP(S$2,Rango_Admin_DailyPred,MATCH($F47,Rango_Admin_DailyPred_Primera,0)+1,0),"-")</f>
        <v>-</v>
      </c>
      <c r="T47" s="717" t="str">
        <f ca="1">IFERROR(VLOOKUP(T$2,Rango_Admin_DailyPred,MATCH($F47,Rango_Admin_DailyPred_Primera,0)+1,0),"-")</f>
        <v>-</v>
      </c>
      <c r="U47" s="717" t="str">
        <f ca="1">IFERROR(VLOOKUP(U$2,Rango_Admin_DailyPred,MATCH($F47,Rango_Admin_DailyPred_Primera,0)+1,0),"-")</f>
        <v>-</v>
      </c>
      <c r="V47" s="717" t="str">
        <f ca="1">IFERROR(VLOOKUP(V$2,Rango_Admin_DailyPred,MATCH($F47,Rango_Admin_DailyPred_Primera,0)+1,0),"-")</f>
        <v>-</v>
      </c>
      <c r="W47" s="717" t="str">
        <f ca="1">IFERROR(VLOOKUP(W$2,Rango_Admin_DailyPred,MATCH($F47,Rango_Admin_DailyPred_Primera,0)+1,0),"-")</f>
        <v>-</v>
      </c>
      <c r="X47" s="717" t="str">
        <f ca="1">IFERROR(VLOOKUP(X$2,Rango_Admin_DailyPred,MATCH($F47,Rango_Admin_DailyPred_Primera,0)+1,0),"-")</f>
        <v>-</v>
      </c>
      <c r="Y47" s="717" t="str">
        <f ca="1">IFERROR(VLOOKUP(Y$2,Rango_Admin_DailyPred,MATCH($F47,Rango_Admin_DailyPred_Primera,0)+1,0),"-")</f>
        <v>-</v>
      </c>
      <c r="Z47" s="717" t="str">
        <f ca="1">IFERROR(VLOOKUP(Z$2,Rango_Admin_DailyPred,MATCH($F47,Rango_Admin_DailyPred_Primera,0)+1,0),"-")</f>
        <v>-</v>
      </c>
      <c r="AA47" s="717" t="str">
        <f ca="1">IFERROR(VLOOKUP(AA$2,Rango_Admin_DailyPred,MATCH($F47,Rango_Admin_DailyPred_Primera,0)+1,0),"-")</f>
        <v>-</v>
      </c>
      <c r="AB47" s="717" t="str">
        <f ca="1">IFERROR(VLOOKUP(AB$2,Rango_Admin_DailyPred,MATCH($F47,Rango_Admin_DailyPred_Primera,0)+1,0),"-")</f>
        <v>-</v>
      </c>
      <c r="AC47" s="717" t="str">
        <f ca="1">IFERROR(VLOOKUP(AC$2,Rango_Admin_DailyPred,MATCH($F47,Rango_Admin_DailyPred_Primera,0)+1,0),"-")</f>
        <v>-</v>
      </c>
      <c r="AD47" s="717" t="str">
        <f ca="1">IFERROR(VLOOKUP(AD$2,Rango_Admin_DailyPred,MATCH($F47,Rango_Admin_DailyPred_Primera,0)+1,0),"-")</f>
        <v>-</v>
      </c>
      <c r="AE47" s="717" t="str">
        <f ca="1">IFERROR(VLOOKUP(AE$2,Rango_Admin_DailyPred,MATCH($F47,Rango_Admin_DailyPred_Primera,0)+1,0),"-")</f>
        <v>-</v>
      </c>
      <c r="AF47" s="717" t="str">
        <f ca="1">IFERROR(VLOOKUP(AF$2,Rango_Admin_DailyPred,MATCH($F47,Rango_Admin_DailyPred_Primera,0)+1,0),"-")</f>
        <v>-</v>
      </c>
      <c r="AG47" s="717" t="str">
        <f ca="1">IFERROR(VLOOKUP(AG$2,Rango_Admin_DailyPred,MATCH($F47,Rango_Admin_DailyPred_Primera,0)+1,0),"-")</f>
        <v>-</v>
      </c>
      <c r="AH47" s="717" t="str">
        <f ca="1">IFERROR(VLOOKUP(AH$2,Rango_Admin_DailyPred,MATCH($F47,Rango_Admin_DailyPred_Primera,0)+1,0),"-")</f>
        <v>-</v>
      </c>
      <c r="AI47" s="717" t="str">
        <f ca="1">IFERROR(VLOOKUP(AI$2,Rango_Admin_DailyPred,MATCH($F47,Rango_Admin_DailyPred_Primera,0)+1,0),"-")</f>
        <v>-</v>
      </c>
      <c r="AJ47" s="717" t="str">
        <f ca="1">IFERROR(VLOOKUP(AJ$2,Rango_Admin_DailyPred,MATCH($F47,Rango_Admin_DailyPred_Primera,0)+1,0),"-")</f>
        <v>-</v>
      </c>
      <c r="AK47" s="717" t="str">
        <f ca="1">IFERROR(VLOOKUP(AK$2,Rango_Admin_DailyPred,MATCH($F47,Rango_Admin_DailyPred_Primera,0)+1,0),"-")</f>
        <v>-</v>
      </c>
      <c r="AL47" s="717" t="str">
        <f ca="1">IFERROR(VLOOKUP(AL$2,Rango_Admin_DailyPred,MATCH($F47,Rango_Admin_DailyPred_Primera,0)+1,0),"-")</f>
        <v>-</v>
      </c>
      <c r="AM47" s="717" t="str">
        <f ca="1">IFERROR(VLOOKUP(AM$2,Rango_Admin_DailyPred,MATCH($F47,Rango_Admin_DailyPred_Primera,0)+1,0),"-")</f>
        <v>-</v>
      </c>
    </row>
    <row r="48" spans="1:40">
      <c r="C48" s="8">
        <v>45</v>
      </c>
      <c r="E48" s="781" t="str">
        <f ca="1">IFERROR(HLOOKUP(C48,Rango_Admin_DailyClas,3,FALSE),"-")</f>
        <v>-</v>
      </c>
      <c r="F48" s="772" t="str">
        <f ca="1">IFERROR(HLOOKUP(C48,Rango_Admin_DailyClas,5,FALSE),"-")</f>
        <v>-</v>
      </c>
      <c r="G48" s="768" t="str">
        <f ca="1">IFERROR(HLOOKUP(C48,Rango_Admin_DailyClas,4,FALSE),"-")</f>
        <v>-</v>
      </c>
      <c r="H48" s="717" t="str">
        <f ca="1">IFERROR(VLOOKUP(H$2,Rango_Admin_DailyPred,MATCH($F48,Rango_Admin_DailyPred_Primera,0)+1,0),"-")</f>
        <v>-</v>
      </c>
      <c r="I48" s="717" t="str">
        <f ca="1">IFERROR(VLOOKUP(I$2,Rango_Admin_DailyPred,MATCH($F48,Rango_Admin_DailyPred_Primera,0)+1,0),"-")</f>
        <v>-</v>
      </c>
      <c r="J48" s="717" t="str">
        <f ca="1">IFERROR(VLOOKUP(J$2,Rango_Admin_DailyPred,MATCH($F48,Rango_Admin_DailyPred_Primera,0)+1,0),"-")</f>
        <v>-</v>
      </c>
      <c r="K48" s="717" t="str">
        <f ca="1">IFERROR(VLOOKUP(K$2,Rango_Admin_DailyPred,MATCH($F48,Rango_Admin_DailyPred_Primera,0)+1,0),"-")</f>
        <v>-</v>
      </c>
      <c r="L48" s="717" t="str">
        <f ca="1">IFERROR(VLOOKUP(L$2,Rango_Admin_DailyPred,MATCH($F48,Rango_Admin_DailyPred_Primera,0)+1,0),"-")</f>
        <v>-</v>
      </c>
      <c r="M48" s="717" t="str">
        <f ca="1">IFERROR(VLOOKUP(M$2,Rango_Admin_DailyPred,MATCH($F48,Rango_Admin_DailyPred_Primera,0)+1,0),"-")</f>
        <v>-</v>
      </c>
      <c r="N48" s="717" t="str">
        <f ca="1">IFERROR(VLOOKUP(N$2,Rango_Admin_DailyPred,MATCH($F48,Rango_Admin_DailyPred_Primera,0)+1,0),"-")</f>
        <v>-</v>
      </c>
      <c r="O48" s="717" t="str">
        <f ca="1">IFERROR(VLOOKUP(O$2,Rango_Admin_DailyPred,MATCH($F48,Rango_Admin_DailyPred_Primera,0)+1,0),"-")</f>
        <v>-</v>
      </c>
      <c r="P48" s="717" t="str">
        <f ca="1">IFERROR(VLOOKUP(P$2,Rango_Admin_DailyPred,MATCH($F48,Rango_Admin_DailyPred_Primera,0)+1,0),"-")</f>
        <v>-</v>
      </c>
      <c r="Q48" s="717" t="str">
        <f ca="1">IFERROR(VLOOKUP(Q$2,Rango_Admin_DailyPred,MATCH($F48,Rango_Admin_DailyPred_Primera,0)+1,0),"-")</f>
        <v>-</v>
      </c>
      <c r="R48" s="717" t="str">
        <f ca="1">IFERROR(VLOOKUP(R$2,Rango_Admin_DailyPred,MATCH($F48,Rango_Admin_DailyPred_Primera,0)+1,0),"-")</f>
        <v>-</v>
      </c>
      <c r="S48" s="717" t="str">
        <f ca="1">IFERROR(VLOOKUP(S$2,Rango_Admin_DailyPred,MATCH($F48,Rango_Admin_DailyPred_Primera,0)+1,0),"-")</f>
        <v>-</v>
      </c>
      <c r="T48" s="717" t="str">
        <f ca="1">IFERROR(VLOOKUP(T$2,Rango_Admin_DailyPred,MATCH($F48,Rango_Admin_DailyPred_Primera,0)+1,0),"-")</f>
        <v>-</v>
      </c>
      <c r="U48" s="717" t="str">
        <f ca="1">IFERROR(VLOOKUP(U$2,Rango_Admin_DailyPred,MATCH($F48,Rango_Admin_DailyPred_Primera,0)+1,0),"-")</f>
        <v>-</v>
      </c>
      <c r="V48" s="717" t="str">
        <f ca="1">IFERROR(VLOOKUP(V$2,Rango_Admin_DailyPred,MATCH($F48,Rango_Admin_DailyPred_Primera,0)+1,0),"-")</f>
        <v>-</v>
      </c>
      <c r="W48" s="717" t="str">
        <f ca="1">IFERROR(VLOOKUP(W$2,Rango_Admin_DailyPred,MATCH($F48,Rango_Admin_DailyPred_Primera,0)+1,0),"-")</f>
        <v>-</v>
      </c>
      <c r="X48" s="717" t="str">
        <f ca="1">IFERROR(VLOOKUP(X$2,Rango_Admin_DailyPred,MATCH($F48,Rango_Admin_DailyPred_Primera,0)+1,0),"-")</f>
        <v>-</v>
      </c>
      <c r="Y48" s="717" t="str">
        <f ca="1">IFERROR(VLOOKUP(Y$2,Rango_Admin_DailyPred,MATCH($F48,Rango_Admin_DailyPred_Primera,0)+1,0),"-")</f>
        <v>-</v>
      </c>
      <c r="Z48" s="717" t="str">
        <f ca="1">IFERROR(VLOOKUP(Z$2,Rango_Admin_DailyPred,MATCH($F48,Rango_Admin_DailyPred_Primera,0)+1,0),"-")</f>
        <v>-</v>
      </c>
      <c r="AA48" s="717" t="str">
        <f ca="1">IFERROR(VLOOKUP(AA$2,Rango_Admin_DailyPred,MATCH($F48,Rango_Admin_DailyPred_Primera,0)+1,0),"-")</f>
        <v>-</v>
      </c>
      <c r="AB48" s="717" t="str">
        <f ca="1">IFERROR(VLOOKUP(AB$2,Rango_Admin_DailyPred,MATCH($F48,Rango_Admin_DailyPred_Primera,0)+1,0),"-")</f>
        <v>-</v>
      </c>
      <c r="AC48" s="717" t="str">
        <f ca="1">IFERROR(VLOOKUP(AC$2,Rango_Admin_DailyPred,MATCH($F48,Rango_Admin_DailyPred_Primera,0)+1,0),"-")</f>
        <v>-</v>
      </c>
      <c r="AD48" s="717" t="str">
        <f ca="1">IFERROR(VLOOKUP(AD$2,Rango_Admin_DailyPred,MATCH($F48,Rango_Admin_DailyPred_Primera,0)+1,0),"-")</f>
        <v>-</v>
      </c>
      <c r="AE48" s="717" t="str">
        <f ca="1">IFERROR(VLOOKUP(AE$2,Rango_Admin_DailyPred,MATCH($F48,Rango_Admin_DailyPred_Primera,0)+1,0),"-")</f>
        <v>-</v>
      </c>
      <c r="AF48" s="717" t="str">
        <f ca="1">IFERROR(VLOOKUP(AF$2,Rango_Admin_DailyPred,MATCH($F48,Rango_Admin_DailyPred_Primera,0)+1,0),"-")</f>
        <v>-</v>
      </c>
      <c r="AG48" s="717" t="str">
        <f ca="1">IFERROR(VLOOKUP(AG$2,Rango_Admin_DailyPred,MATCH($F48,Rango_Admin_DailyPred_Primera,0)+1,0),"-")</f>
        <v>-</v>
      </c>
      <c r="AH48" s="717" t="str">
        <f ca="1">IFERROR(VLOOKUP(AH$2,Rango_Admin_DailyPred,MATCH($F48,Rango_Admin_DailyPred_Primera,0)+1,0),"-")</f>
        <v>-</v>
      </c>
      <c r="AI48" s="717" t="str">
        <f ca="1">IFERROR(VLOOKUP(AI$2,Rango_Admin_DailyPred,MATCH($F48,Rango_Admin_DailyPred_Primera,0)+1,0),"-")</f>
        <v>-</v>
      </c>
      <c r="AJ48" s="717" t="str">
        <f ca="1">IFERROR(VLOOKUP(AJ$2,Rango_Admin_DailyPred,MATCH($F48,Rango_Admin_DailyPred_Primera,0)+1,0),"-")</f>
        <v>-</v>
      </c>
      <c r="AK48" s="717" t="str">
        <f ca="1">IFERROR(VLOOKUP(AK$2,Rango_Admin_DailyPred,MATCH($F48,Rango_Admin_DailyPred_Primera,0)+1,0),"-")</f>
        <v>-</v>
      </c>
      <c r="AL48" s="717" t="str">
        <f ca="1">IFERROR(VLOOKUP(AL$2,Rango_Admin_DailyPred,MATCH($F48,Rango_Admin_DailyPred_Primera,0)+1,0),"-")</f>
        <v>-</v>
      </c>
      <c r="AM48" s="717" t="str">
        <f ca="1">IFERROR(VLOOKUP(AM$2,Rango_Admin_DailyPred,MATCH($F48,Rango_Admin_DailyPred_Primera,0)+1,0),"-")</f>
        <v>-</v>
      </c>
    </row>
    <row r="49" spans="3:39">
      <c r="C49" s="8">
        <v>46</v>
      </c>
      <c r="E49" s="781" t="str">
        <f ca="1">IFERROR(HLOOKUP(C49,Rango_Admin_DailyClas,3,FALSE),"-")</f>
        <v>-</v>
      </c>
      <c r="F49" s="772" t="str">
        <f ca="1">IFERROR(HLOOKUP(C49,Rango_Admin_DailyClas,5,FALSE),"-")</f>
        <v>-</v>
      </c>
      <c r="G49" s="768" t="str">
        <f ca="1">IFERROR(HLOOKUP(C49,Rango_Admin_DailyClas,4,FALSE),"-")</f>
        <v>-</v>
      </c>
      <c r="H49" s="717" t="str">
        <f ca="1">IFERROR(VLOOKUP(H$2,Rango_Admin_DailyPred,MATCH($F49,Rango_Admin_DailyPred_Primera,0)+1,0),"-")</f>
        <v>-</v>
      </c>
      <c r="I49" s="717" t="str">
        <f ca="1">IFERROR(VLOOKUP(I$2,Rango_Admin_DailyPred,MATCH($F49,Rango_Admin_DailyPred_Primera,0)+1,0),"-")</f>
        <v>-</v>
      </c>
      <c r="J49" s="717" t="str">
        <f ca="1">IFERROR(VLOOKUP(J$2,Rango_Admin_DailyPred,MATCH($F49,Rango_Admin_DailyPred_Primera,0)+1,0),"-")</f>
        <v>-</v>
      </c>
      <c r="K49" s="717" t="str">
        <f ca="1">IFERROR(VLOOKUP(K$2,Rango_Admin_DailyPred,MATCH($F49,Rango_Admin_DailyPred_Primera,0)+1,0),"-")</f>
        <v>-</v>
      </c>
      <c r="L49" s="717" t="str">
        <f ca="1">IFERROR(VLOOKUP(L$2,Rango_Admin_DailyPred,MATCH($F49,Rango_Admin_DailyPred_Primera,0)+1,0),"-")</f>
        <v>-</v>
      </c>
      <c r="M49" s="717" t="str">
        <f ca="1">IFERROR(VLOOKUP(M$2,Rango_Admin_DailyPred,MATCH($F49,Rango_Admin_DailyPred_Primera,0)+1,0),"-")</f>
        <v>-</v>
      </c>
      <c r="N49" s="717" t="str">
        <f ca="1">IFERROR(VLOOKUP(N$2,Rango_Admin_DailyPred,MATCH($F49,Rango_Admin_DailyPred_Primera,0)+1,0),"-")</f>
        <v>-</v>
      </c>
      <c r="O49" s="717" t="str">
        <f ca="1">IFERROR(VLOOKUP(O$2,Rango_Admin_DailyPred,MATCH($F49,Rango_Admin_DailyPred_Primera,0)+1,0),"-")</f>
        <v>-</v>
      </c>
      <c r="P49" s="717" t="str">
        <f ca="1">IFERROR(VLOOKUP(P$2,Rango_Admin_DailyPred,MATCH($F49,Rango_Admin_DailyPred_Primera,0)+1,0),"-")</f>
        <v>-</v>
      </c>
      <c r="Q49" s="717" t="str">
        <f ca="1">IFERROR(VLOOKUP(Q$2,Rango_Admin_DailyPred,MATCH($F49,Rango_Admin_DailyPred_Primera,0)+1,0),"-")</f>
        <v>-</v>
      </c>
      <c r="R49" s="717" t="str">
        <f ca="1">IFERROR(VLOOKUP(R$2,Rango_Admin_DailyPred,MATCH($F49,Rango_Admin_DailyPred_Primera,0)+1,0),"-")</f>
        <v>-</v>
      </c>
      <c r="S49" s="717" t="str">
        <f ca="1">IFERROR(VLOOKUP(S$2,Rango_Admin_DailyPred,MATCH($F49,Rango_Admin_DailyPred_Primera,0)+1,0),"-")</f>
        <v>-</v>
      </c>
      <c r="T49" s="717" t="str">
        <f ca="1">IFERROR(VLOOKUP(T$2,Rango_Admin_DailyPred,MATCH($F49,Rango_Admin_DailyPred_Primera,0)+1,0),"-")</f>
        <v>-</v>
      </c>
      <c r="U49" s="717" t="str">
        <f ca="1">IFERROR(VLOOKUP(U$2,Rango_Admin_DailyPred,MATCH($F49,Rango_Admin_DailyPred_Primera,0)+1,0),"-")</f>
        <v>-</v>
      </c>
      <c r="V49" s="717" t="str">
        <f ca="1">IFERROR(VLOOKUP(V$2,Rango_Admin_DailyPred,MATCH($F49,Rango_Admin_DailyPred_Primera,0)+1,0),"-")</f>
        <v>-</v>
      </c>
      <c r="W49" s="717" t="str">
        <f ca="1">IFERROR(VLOOKUP(W$2,Rango_Admin_DailyPred,MATCH($F49,Rango_Admin_DailyPred_Primera,0)+1,0),"-")</f>
        <v>-</v>
      </c>
      <c r="X49" s="717" t="str">
        <f ca="1">IFERROR(VLOOKUP(X$2,Rango_Admin_DailyPred,MATCH($F49,Rango_Admin_DailyPred_Primera,0)+1,0),"-")</f>
        <v>-</v>
      </c>
      <c r="Y49" s="717" t="str">
        <f ca="1">IFERROR(VLOOKUP(Y$2,Rango_Admin_DailyPred,MATCH($F49,Rango_Admin_DailyPred_Primera,0)+1,0),"-")</f>
        <v>-</v>
      </c>
      <c r="Z49" s="717" t="str">
        <f ca="1">IFERROR(VLOOKUP(Z$2,Rango_Admin_DailyPred,MATCH($F49,Rango_Admin_DailyPred_Primera,0)+1,0),"-")</f>
        <v>-</v>
      </c>
      <c r="AA49" s="717" t="str">
        <f ca="1">IFERROR(VLOOKUP(AA$2,Rango_Admin_DailyPred,MATCH($F49,Rango_Admin_DailyPred_Primera,0)+1,0),"-")</f>
        <v>-</v>
      </c>
      <c r="AB49" s="717" t="str">
        <f ca="1">IFERROR(VLOOKUP(AB$2,Rango_Admin_DailyPred,MATCH($F49,Rango_Admin_DailyPred_Primera,0)+1,0),"-")</f>
        <v>-</v>
      </c>
      <c r="AC49" s="717" t="str">
        <f ca="1">IFERROR(VLOOKUP(AC$2,Rango_Admin_DailyPred,MATCH($F49,Rango_Admin_DailyPred_Primera,0)+1,0),"-")</f>
        <v>-</v>
      </c>
      <c r="AD49" s="717" t="str">
        <f ca="1">IFERROR(VLOOKUP(AD$2,Rango_Admin_DailyPred,MATCH($F49,Rango_Admin_DailyPred_Primera,0)+1,0),"-")</f>
        <v>-</v>
      </c>
      <c r="AE49" s="717" t="str">
        <f ca="1">IFERROR(VLOOKUP(AE$2,Rango_Admin_DailyPred,MATCH($F49,Rango_Admin_DailyPred_Primera,0)+1,0),"-")</f>
        <v>-</v>
      </c>
      <c r="AF49" s="717" t="str">
        <f ca="1">IFERROR(VLOOKUP(AF$2,Rango_Admin_DailyPred,MATCH($F49,Rango_Admin_DailyPred_Primera,0)+1,0),"-")</f>
        <v>-</v>
      </c>
      <c r="AG49" s="717" t="str">
        <f ca="1">IFERROR(VLOOKUP(AG$2,Rango_Admin_DailyPred,MATCH($F49,Rango_Admin_DailyPred_Primera,0)+1,0),"-")</f>
        <v>-</v>
      </c>
      <c r="AH49" s="717" t="str">
        <f ca="1">IFERROR(VLOOKUP(AH$2,Rango_Admin_DailyPred,MATCH($F49,Rango_Admin_DailyPred_Primera,0)+1,0),"-")</f>
        <v>-</v>
      </c>
      <c r="AI49" s="717" t="str">
        <f ca="1">IFERROR(VLOOKUP(AI$2,Rango_Admin_DailyPred,MATCH($F49,Rango_Admin_DailyPred_Primera,0)+1,0),"-")</f>
        <v>-</v>
      </c>
      <c r="AJ49" s="717" t="str">
        <f ca="1">IFERROR(VLOOKUP(AJ$2,Rango_Admin_DailyPred,MATCH($F49,Rango_Admin_DailyPred_Primera,0)+1,0),"-")</f>
        <v>-</v>
      </c>
      <c r="AK49" s="717" t="str">
        <f ca="1">IFERROR(VLOOKUP(AK$2,Rango_Admin_DailyPred,MATCH($F49,Rango_Admin_DailyPred_Primera,0)+1,0),"-")</f>
        <v>-</v>
      </c>
      <c r="AL49" s="717" t="str">
        <f ca="1">IFERROR(VLOOKUP(AL$2,Rango_Admin_DailyPred,MATCH($F49,Rango_Admin_DailyPred_Primera,0)+1,0),"-")</f>
        <v>-</v>
      </c>
      <c r="AM49" s="717" t="str">
        <f ca="1">IFERROR(VLOOKUP(AM$2,Rango_Admin_DailyPred,MATCH($F49,Rango_Admin_DailyPred_Primera,0)+1,0),"-")</f>
        <v>-</v>
      </c>
    </row>
    <row r="50" spans="3:39">
      <c r="C50" s="8">
        <v>47</v>
      </c>
      <c r="E50" s="781" t="str">
        <f ca="1">IFERROR(HLOOKUP(C50,Rango_Admin_DailyClas,3,FALSE),"-")</f>
        <v>-</v>
      </c>
      <c r="F50" s="772" t="str">
        <f ca="1">IFERROR(HLOOKUP(C50,Rango_Admin_DailyClas,5,FALSE),"-")</f>
        <v>-</v>
      </c>
      <c r="G50" s="768" t="str">
        <f ca="1">IFERROR(HLOOKUP(C50,Rango_Admin_DailyClas,4,FALSE),"-")</f>
        <v>-</v>
      </c>
      <c r="H50" s="717" t="str">
        <f ca="1">IFERROR(VLOOKUP(H$2,Rango_Admin_DailyPred,MATCH($F50,Rango_Admin_DailyPred_Primera,0)+1,0),"-")</f>
        <v>-</v>
      </c>
      <c r="I50" s="717" t="str">
        <f ca="1">IFERROR(VLOOKUP(I$2,Rango_Admin_DailyPred,MATCH($F50,Rango_Admin_DailyPred_Primera,0)+1,0),"-")</f>
        <v>-</v>
      </c>
      <c r="J50" s="717" t="str">
        <f ca="1">IFERROR(VLOOKUP(J$2,Rango_Admin_DailyPred,MATCH($F50,Rango_Admin_DailyPred_Primera,0)+1,0),"-")</f>
        <v>-</v>
      </c>
      <c r="K50" s="717" t="str">
        <f ca="1">IFERROR(VLOOKUP(K$2,Rango_Admin_DailyPred,MATCH($F50,Rango_Admin_DailyPred_Primera,0)+1,0),"-")</f>
        <v>-</v>
      </c>
      <c r="L50" s="717" t="str">
        <f ca="1">IFERROR(VLOOKUP(L$2,Rango_Admin_DailyPred,MATCH($F50,Rango_Admin_DailyPred_Primera,0)+1,0),"-")</f>
        <v>-</v>
      </c>
      <c r="M50" s="717" t="str">
        <f ca="1">IFERROR(VLOOKUP(M$2,Rango_Admin_DailyPred,MATCH($F50,Rango_Admin_DailyPred_Primera,0)+1,0),"-")</f>
        <v>-</v>
      </c>
      <c r="N50" s="717" t="str">
        <f ca="1">IFERROR(VLOOKUP(N$2,Rango_Admin_DailyPred,MATCH($F50,Rango_Admin_DailyPred_Primera,0)+1,0),"-")</f>
        <v>-</v>
      </c>
      <c r="O50" s="717" t="str">
        <f ca="1">IFERROR(VLOOKUP(O$2,Rango_Admin_DailyPred,MATCH($F50,Rango_Admin_DailyPred_Primera,0)+1,0),"-")</f>
        <v>-</v>
      </c>
      <c r="P50" s="717" t="str">
        <f ca="1">IFERROR(VLOOKUP(P$2,Rango_Admin_DailyPred,MATCH($F50,Rango_Admin_DailyPred_Primera,0)+1,0),"-")</f>
        <v>-</v>
      </c>
      <c r="Q50" s="717" t="str">
        <f ca="1">IFERROR(VLOOKUP(Q$2,Rango_Admin_DailyPred,MATCH($F50,Rango_Admin_DailyPred_Primera,0)+1,0),"-")</f>
        <v>-</v>
      </c>
      <c r="R50" s="717" t="str">
        <f ca="1">IFERROR(VLOOKUP(R$2,Rango_Admin_DailyPred,MATCH($F50,Rango_Admin_DailyPred_Primera,0)+1,0),"-")</f>
        <v>-</v>
      </c>
      <c r="S50" s="717" t="str">
        <f ca="1">IFERROR(VLOOKUP(S$2,Rango_Admin_DailyPred,MATCH($F50,Rango_Admin_DailyPred_Primera,0)+1,0),"-")</f>
        <v>-</v>
      </c>
      <c r="T50" s="717" t="str">
        <f ca="1">IFERROR(VLOOKUP(T$2,Rango_Admin_DailyPred,MATCH($F50,Rango_Admin_DailyPred_Primera,0)+1,0),"-")</f>
        <v>-</v>
      </c>
      <c r="U50" s="717" t="str">
        <f ca="1">IFERROR(VLOOKUP(U$2,Rango_Admin_DailyPred,MATCH($F50,Rango_Admin_DailyPred_Primera,0)+1,0),"-")</f>
        <v>-</v>
      </c>
      <c r="V50" s="717" t="str">
        <f ca="1">IFERROR(VLOOKUP(V$2,Rango_Admin_DailyPred,MATCH($F50,Rango_Admin_DailyPred_Primera,0)+1,0),"-")</f>
        <v>-</v>
      </c>
      <c r="W50" s="717" t="str">
        <f ca="1">IFERROR(VLOOKUP(W$2,Rango_Admin_DailyPred,MATCH($F50,Rango_Admin_DailyPred_Primera,0)+1,0),"-")</f>
        <v>-</v>
      </c>
      <c r="X50" s="717" t="str">
        <f ca="1">IFERROR(VLOOKUP(X$2,Rango_Admin_DailyPred,MATCH($F50,Rango_Admin_DailyPred_Primera,0)+1,0),"-")</f>
        <v>-</v>
      </c>
      <c r="Y50" s="717" t="str">
        <f ca="1">IFERROR(VLOOKUP(Y$2,Rango_Admin_DailyPred,MATCH($F50,Rango_Admin_DailyPred_Primera,0)+1,0),"-")</f>
        <v>-</v>
      </c>
      <c r="Z50" s="717" t="str">
        <f ca="1">IFERROR(VLOOKUP(Z$2,Rango_Admin_DailyPred,MATCH($F50,Rango_Admin_DailyPred_Primera,0)+1,0),"-")</f>
        <v>-</v>
      </c>
      <c r="AA50" s="717" t="str">
        <f ca="1">IFERROR(VLOOKUP(AA$2,Rango_Admin_DailyPred,MATCH($F50,Rango_Admin_DailyPred_Primera,0)+1,0),"-")</f>
        <v>-</v>
      </c>
      <c r="AB50" s="717" t="str">
        <f ca="1">IFERROR(VLOOKUP(AB$2,Rango_Admin_DailyPred,MATCH($F50,Rango_Admin_DailyPred_Primera,0)+1,0),"-")</f>
        <v>-</v>
      </c>
      <c r="AC50" s="717" t="str">
        <f ca="1">IFERROR(VLOOKUP(AC$2,Rango_Admin_DailyPred,MATCH($F50,Rango_Admin_DailyPred_Primera,0)+1,0),"-")</f>
        <v>-</v>
      </c>
      <c r="AD50" s="717" t="str">
        <f ca="1">IFERROR(VLOOKUP(AD$2,Rango_Admin_DailyPred,MATCH($F50,Rango_Admin_DailyPred_Primera,0)+1,0),"-")</f>
        <v>-</v>
      </c>
      <c r="AE50" s="717" t="str">
        <f ca="1">IFERROR(VLOOKUP(AE$2,Rango_Admin_DailyPred,MATCH($F50,Rango_Admin_DailyPred_Primera,0)+1,0),"-")</f>
        <v>-</v>
      </c>
      <c r="AF50" s="717" t="str">
        <f ca="1">IFERROR(VLOOKUP(AF$2,Rango_Admin_DailyPred,MATCH($F50,Rango_Admin_DailyPred_Primera,0)+1,0),"-")</f>
        <v>-</v>
      </c>
      <c r="AG50" s="717" t="str">
        <f ca="1">IFERROR(VLOOKUP(AG$2,Rango_Admin_DailyPred,MATCH($F50,Rango_Admin_DailyPred_Primera,0)+1,0),"-")</f>
        <v>-</v>
      </c>
      <c r="AH50" s="717" t="str">
        <f ca="1">IFERROR(VLOOKUP(AH$2,Rango_Admin_DailyPred,MATCH($F50,Rango_Admin_DailyPred_Primera,0)+1,0),"-")</f>
        <v>-</v>
      </c>
      <c r="AI50" s="717" t="str">
        <f ca="1">IFERROR(VLOOKUP(AI$2,Rango_Admin_DailyPred,MATCH($F50,Rango_Admin_DailyPred_Primera,0)+1,0),"-")</f>
        <v>-</v>
      </c>
      <c r="AJ50" s="717" t="str">
        <f ca="1">IFERROR(VLOOKUP(AJ$2,Rango_Admin_DailyPred,MATCH($F50,Rango_Admin_DailyPred_Primera,0)+1,0),"-")</f>
        <v>-</v>
      </c>
      <c r="AK50" s="717" t="str">
        <f ca="1">IFERROR(VLOOKUP(AK$2,Rango_Admin_DailyPred,MATCH($F50,Rango_Admin_DailyPred_Primera,0)+1,0),"-")</f>
        <v>-</v>
      </c>
      <c r="AL50" s="717" t="str">
        <f ca="1">IFERROR(VLOOKUP(AL$2,Rango_Admin_DailyPred,MATCH($F50,Rango_Admin_DailyPred_Primera,0)+1,0),"-")</f>
        <v>-</v>
      </c>
      <c r="AM50" s="717" t="str">
        <f ca="1">IFERROR(VLOOKUP(AM$2,Rango_Admin_DailyPred,MATCH($F50,Rango_Admin_DailyPred_Primera,0)+1,0),"-")</f>
        <v>-</v>
      </c>
    </row>
    <row r="51" spans="3:39">
      <c r="C51" s="8">
        <v>48</v>
      </c>
      <c r="E51" s="781" t="str">
        <f ca="1">IFERROR(HLOOKUP(C51,Rango_Admin_DailyClas,3,FALSE),"-")</f>
        <v>-</v>
      </c>
      <c r="F51" s="772" t="str">
        <f ca="1">IFERROR(HLOOKUP(C51,Rango_Admin_DailyClas,5,FALSE),"-")</f>
        <v>-</v>
      </c>
      <c r="G51" s="768" t="str">
        <f ca="1">IFERROR(HLOOKUP(C51,Rango_Admin_DailyClas,4,FALSE),"-")</f>
        <v>-</v>
      </c>
      <c r="H51" s="717" t="str">
        <f ca="1">IFERROR(VLOOKUP(H$2,Rango_Admin_DailyPred,MATCH($F51,Rango_Admin_DailyPred_Primera,0)+1,0),"-")</f>
        <v>-</v>
      </c>
      <c r="I51" s="717" t="str">
        <f ca="1">IFERROR(VLOOKUP(I$2,Rango_Admin_DailyPred,MATCH($F51,Rango_Admin_DailyPred_Primera,0)+1,0),"-")</f>
        <v>-</v>
      </c>
      <c r="J51" s="717" t="str">
        <f ca="1">IFERROR(VLOOKUP(J$2,Rango_Admin_DailyPred,MATCH($F51,Rango_Admin_DailyPred_Primera,0)+1,0),"-")</f>
        <v>-</v>
      </c>
      <c r="K51" s="717" t="str">
        <f ca="1">IFERROR(VLOOKUP(K$2,Rango_Admin_DailyPred,MATCH($F51,Rango_Admin_DailyPred_Primera,0)+1,0),"-")</f>
        <v>-</v>
      </c>
      <c r="L51" s="717" t="str">
        <f ca="1">IFERROR(VLOOKUP(L$2,Rango_Admin_DailyPred,MATCH($F51,Rango_Admin_DailyPred_Primera,0)+1,0),"-")</f>
        <v>-</v>
      </c>
      <c r="M51" s="717" t="str">
        <f ca="1">IFERROR(VLOOKUP(M$2,Rango_Admin_DailyPred,MATCH($F51,Rango_Admin_DailyPred_Primera,0)+1,0),"-")</f>
        <v>-</v>
      </c>
      <c r="N51" s="717" t="str">
        <f ca="1">IFERROR(VLOOKUP(N$2,Rango_Admin_DailyPred,MATCH($F51,Rango_Admin_DailyPred_Primera,0)+1,0),"-")</f>
        <v>-</v>
      </c>
      <c r="O51" s="717" t="str">
        <f ca="1">IFERROR(VLOOKUP(O$2,Rango_Admin_DailyPred,MATCH($F51,Rango_Admin_DailyPred_Primera,0)+1,0),"-")</f>
        <v>-</v>
      </c>
      <c r="P51" s="717" t="str">
        <f ca="1">IFERROR(VLOOKUP(P$2,Rango_Admin_DailyPred,MATCH($F51,Rango_Admin_DailyPred_Primera,0)+1,0),"-")</f>
        <v>-</v>
      </c>
      <c r="Q51" s="717" t="str">
        <f ca="1">IFERROR(VLOOKUP(Q$2,Rango_Admin_DailyPred,MATCH($F51,Rango_Admin_DailyPred_Primera,0)+1,0),"-")</f>
        <v>-</v>
      </c>
      <c r="R51" s="717" t="str">
        <f ca="1">IFERROR(VLOOKUP(R$2,Rango_Admin_DailyPred,MATCH($F51,Rango_Admin_DailyPred_Primera,0)+1,0),"-")</f>
        <v>-</v>
      </c>
      <c r="S51" s="717" t="str">
        <f ca="1">IFERROR(VLOOKUP(S$2,Rango_Admin_DailyPred,MATCH($F51,Rango_Admin_DailyPred_Primera,0)+1,0),"-")</f>
        <v>-</v>
      </c>
      <c r="T51" s="717" t="str">
        <f ca="1">IFERROR(VLOOKUP(T$2,Rango_Admin_DailyPred,MATCH($F51,Rango_Admin_DailyPred_Primera,0)+1,0),"-")</f>
        <v>-</v>
      </c>
      <c r="U51" s="717" t="str">
        <f ca="1">IFERROR(VLOOKUP(U$2,Rango_Admin_DailyPred,MATCH($F51,Rango_Admin_DailyPred_Primera,0)+1,0),"-")</f>
        <v>-</v>
      </c>
      <c r="V51" s="717" t="str">
        <f ca="1">IFERROR(VLOOKUP(V$2,Rango_Admin_DailyPred,MATCH($F51,Rango_Admin_DailyPred_Primera,0)+1,0),"-")</f>
        <v>-</v>
      </c>
      <c r="W51" s="717" t="str">
        <f ca="1">IFERROR(VLOOKUP(W$2,Rango_Admin_DailyPred,MATCH($F51,Rango_Admin_DailyPred_Primera,0)+1,0),"-")</f>
        <v>-</v>
      </c>
      <c r="X51" s="717" t="str">
        <f ca="1">IFERROR(VLOOKUP(X$2,Rango_Admin_DailyPred,MATCH($F51,Rango_Admin_DailyPred_Primera,0)+1,0),"-")</f>
        <v>-</v>
      </c>
      <c r="Y51" s="717" t="str">
        <f ca="1">IFERROR(VLOOKUP(Y$2,Rango_Admin_DailyPred,MATCH($F51,Rango_Admin_DailyPred_Primera,0)+1,0),"-")</f>
        <v>-</v>
      </c>
      <c r="Z51" s="717" t="str">
        <f ca="1">IFERROR(VLOOKUP(Z$2,Rango_Admin_DailyPred,MATCH($F51,Rango_Admin_DailyPred_Primera,0)+1,0),"-")</f>
        <v>-</v>
      </c>
      <c r="AA51" s="717" t="str">
        <f ca="1">IFERROR(VLOOKUP(AA$2,Rango_Admin_DailyPred,MATCH($F51,Rango_Admin_DailyPred_Primera,0)+1,0),"-")</f>
        <v>-</v>
      </c>
      <c r="AB51" s="717" t="str">
        <f ca="1">IFERROR(VLOOKUP(AB$2,Rango_Admin_DailyPred,MATCH($F51,Rango_Admin_DailyPred_Primera,0)+1,0),"-")</f>
        <v>-</v>
      </c>
      <c r="AC51" s="717" t="str">
        <f ca="1">IFERROR(VLOOKUP(AC$2,Rango_Admin_DailyPred,MATCH($F51,Rango_Admin_DailyPred_Primera,0)+1,0),"-")</f>
        <v>-</v>
      </c>
      <c r="AD51" s="717" t="str">
        <f ca="1">IFERROR(VLOOKUP(AD$2,Rango_Admin_DailyPred,MATCH($F51,Rango_Admin_DailyPred_Primera,0)+1,0),"-")</f>
        <v>-</v>
      </c>
      <c r="AE51" s="717" t="str">
        <f ca="1">IFERROR(VLOOKUP(AE$2,Rango_Admin_DailyPred,MATCH($F51,Rango_Admin_DailyPred_Primera,0)+1,0),"-")</f>
        <v>-</v>
      </c>
      <c r="AF51" s="717" t="str">
        <f ca="1">IFERROR(VLOOKUP(AF$2,Rango_Admin_DailyPred,MATCH($F51,Rango_Admin_DailyPred_Primera,0)+1,0),"-")</f>
        <v>-</v>
      </c>
      <c r="AG51" s="717" t="str">
        <f ca="1">IFERROR(VLOOKUP(AG$2,Rango_Admin_DailyPred,MATCH($F51,Rango_Admin_DailyPred_Primera,0)+1,0),"-")</f>
        <v>-</v>
      </c>
      <c r="AH51" s="717" t="str">
        <f ca="1">IFERROR(VLOOKUP(AH$2,Rango_Admin_DailyPred,MATCH($F51,Rango_Admin_DailyPred_Primera,0)+1,0),"-")</f>
        <v>-</v>
      </c>
      <c r="AI51" s="717" t="str">
        <f ca="1">IFERROR(VLOOKUP(AI$2,Rango_Admin_DailyPred,MATCH($F51,Rango_Admin_DailyPred_Primera,0)+1,0),"-")</f>
        <v>-</v>
      </c>
      <c r="AJ51" s="717" t="str">
        <f ca="1">IFERROR(VLOOKUP(AJ$2,Rango_Admin_DailyPred,MATCH($F51,Rango_Admin_DailyPred_Primera,0)+1,0),"-")</f>
        <v>-</v>
      </c>
      <c r="AK51" s="717" t="str">
        <f ca="1">IFERROR(VLOOKUP(AK$2,Rango_Admin_DailyPred,MATCH($F51,Rango_Admin_DailyPred_Primera,0)+1,0),"-")</f>
        <v>-</v>
      </c>
      <c r="AL51" s="717" t="str">
        <f ca="1">IFERROR(VLOOKUP(AL$2,Rango_Admin_DailyPred,MATCH($F51,Rango_Admin_DailyPred_Primera,0)+1,0),"-")</f>
        <v>-</v>
      </c>
      <c r="AM51" s="717" t="str">
        <f ca="1">IFERROR(VLOOKUP(AM$2,Rango_Admin_DailyPred,MATCH($F51,Rango_Admin_DailyPred_Primera,0)+1,0),"-")</f>
        <v>-</v>
      </c>
    </row>
    <row r="52" spans="3:39">
      <c r="C52" s="8">
        <v>49</v>
      </c>
      <c r="E52" s="781" t="str">
        <f ca="1">IFERROR(HLOOKUP(C52,Rango_Admin_DailyClas,3,FALSE),"-")</f>
        <v>-</v>
      </c>
      <c r="F52" s="772" t="str">
        <f ca="1">IFERROR(HLOOKUP(C52,Rango_Admin_DailyClas,5,FALSE),"-")</f>
        <v>-</v>
      </c>
      <c r="G52" s="768" t="str">
        <f ca="1">IFERROR(HLOOKUP(C52,Rango_Admin_DailyClas,4,FALSE),"-")</f>
        <v>-</v>
      </c>
      <c r="H52" s="717" t="str">
        <f ca="1">IFERROR(VLOOKUP(H$2,Rango_Admin_DailyPred,MATCH($F52,Rango_Admin_DailyPred_Primera,0)+1,0),"-")</f>
        <v>-</v>
      </c>
      <c r="I52" s="717" t="str">
        <f ca="1">IFERROR(VLOOKUP(I$2,Rango_Admin_DailyPred,MATCH($F52,Rango_Admin_DailyPred_Primera,0)+1,0),"-")</f>
        <v>-</v>
      </c>
      <c r="J52" s="717" t="str">
        <f ca="1">IFERROR(VLOOKUP(J$2,Rango_Admin_DailyPred,MATCH($F52,Rango_Admin_DailyPred_Primera,0)+1,0),"-")</f>
        <v>-</v>
      </c>
      <c r="K52" s="717" t="str">
        <f ca="1">IFERROR(VLOOKUP(K$2,Rango_Admin_DailyPred,MATCH($F52,Rango_Admin_DailyPred_Primera,0)+1,0),"-")</f>
        <v>-</v>
      </c>
      <c r="L52" s="717" t="str">
        <f ca="1">IFERROR(VLOOKUP(L$2,Rango_Admin_DailyPred,MATCH($F52,Rango_Admin_DailyPred_Primera,0)+1,0),"-")</f>
        <v>-</v>
      </c>
      <c r="M52" s="717" t="str">
        <f ca="1">IFERROR(VLOOKUP(M$2,Rango_Admin_DailyPred,MATCH($F52,Rango_Admin_DailyPred_Primera,0)+1,0),"-")</f>
        <v>-</v>
      </c>
      <c r="N52" s="717" t="str">
        <f ca="1">IFERROR(VLOOKUP(N$2,Rango_Admin_DailyPred,MATCH($F52,Rango_Admin_DailyPred_Primera,0)+1,0),"-")</f>
        <v>-</v>
      </c>
      <c r="O52" s="717" t="str">
        <f ca="1">IFERROR(VLOOKUP(O$2,Rango_Admin_DailyPred,MATCH($F52,Rango_Admin_DailyPred_Primera,0)+1,0),"-")</f>
        <v>-</v>
      </c>
      <c r="P52" s="717" t="str">
        <f ca="1">IFERROR(VLOOKUP(P$2,Rango_Admin_DailyPred,MATCH($F52,Rango_Admin_DailyPred_Primera,0)+1,0),"-")</f>
        <v>-</v>
      </c>
      <c r="Q52" s="717" t="str">
        <f ca="1">IFERROR(VLOOKUP(Q$2,Rango_Admin_DailyPred,MATCH($F52,Rango_Admin_DailyPred_Primera,0)+1,0),"-")</f>
        <v>-</v>
      </c>
      <c r="R52" s="717" t="str">
        <f ca="1">IFERROR(VLOOKUP(R$2,Rango_Admin_DailyPred,MATCH($F52,Rango_Admin_DailyPred_Primera,0)+1,0),"-")</f>
        <v>-</v>
      </c>
      <c r="S52" s="717" t="str">
        <f ca="1">IFERROR(VLOOKUP(S$2,Rango_Admin_DailyPred,MATCH($F52,Rango_Admin_DailyPred_Primera,0)+1,0),"-")</f>
        <v>-</v>
      </c>
      <c r="T52" s="717" t="str">
        <f ca="1">IFERROR(VLOOKUP(T$2,Rango_Admin_DailyPred,MATCH($F52,Rango_Admin_DailyPred_Primera,0)+1,0),"-")</f>
        <v>-</v>
      </c>
      <c r="U52" s="717" t="str">
        <f ca="1">IFERROR(VLOOKUP(U$2,Rango_Admin_DailyPred,MATCH($F52,Rango_Admin_DailyPred_Primera,0)+1,0),"-")</f>
        <v>-</v>
      </c>
      <c r="V52" s="717" t="str">
        <f ca="1">IFERROR(VLOOKUP(V$2,Rango_Admin_DailyPred,MATCH($F52,Rango_Admin_DailyPred_Primera,0)+1,0),"-")</f>
        <v>-</v>
      </c>
      <c r="W52" s="717" t="str">
        <f ca="1">IFERROR(VLOOKUP(W$2,Rango_Admin_DailyPred,MATCH($F52,Rango_Admin_DailyPred_Primera,0)+1,0),"-")</f>
        <v>-</v>
      </c>
      <c r="X52" s="717" t="str">
        <f ca="1">IFERROR(VLOOKUP(X$2,Rango_Admin_DailyPred,MATCH($F52,Rango_Admin_DailyPred_Primera,0)+1,0),"-")</f>
        <v>-</v>
      </c>
      <c r="Y52" s="717" t="str">
        <f ca="1">IFERROR(VLOOKUP(Y$2,Rango_Admin_DailyPred,MATCH($F52,Rango_Admin_DailyPred_Primera,0)+1,0),"-")</f>
        <v>-</v>
      </c>
      <c r="Z52" s="717" t="str">
        <f ca="1">IFERROR(VLOOKUP(Z$2,Rango_Admin_DailyPred,MATCH($F52,Rango_Admin_DailyPred_Primera,0)+1,0),"-")</f>
        <v>-</v>
      </c>
      <c r="AA52" s="717" t="str">
        <f ca="1">IFERROR(VLOOKUP(AA$2,Rango_Admin_DailyPred,MATCH($F52,Rango_Admin_DailyPred_Primera,0)+1,0),"-")</f>
        <v>-</v>
      </c>
      <c r="AB52" s="717" t="str">
        <f ca="1">IFERROR(VLOOKUP(AB$2,Rango_Admin_DailyPred,MATCH($F52,Rango_Admin_DailyPred_Primera,0)+1,0),"-")</f>
        <v>-</v>
      </c>
      <c r="AC52" s="717" t="str">
        <f ca="1">IFERROR(VLOOKUP(AC$2,Rango_Admin_DailyPred,MATCH($F52,Rango_Admin_DailyPred_Primera,0)+1,0),"-")</f>
        <v>-</v>
      </c>
      <c r="AD52" s="717" t="str">
        <f ca="1">IFERROR(VLOOKUP(AD$2,Rango_Admin_DailyPred,MATCH($F52,Rango_Admin_DailyPred_Primera,0)+1,0),"-")</f>
        <v>-</v>
      </c>
      <c r="AE52" s="717" t="str">
        <f ca="1">IFERROR(VLOOKUP(AE$2,Rango_Admin_DailyPred,MATCH($F52,Rango_Admin_DailyPred_Primera,0)+1,0),"-")</f>
        <v>-</v>
      </c>
      <c r="AF52" s="717" t="str">
        <f ca="1">IFERROR(VLOOKUP(AF$2,Rango_Admin_DailyPred,MATCH($F52,Rango_Admin_DailyPred_Primera,0)+1,0),"-")</f>
        <v>-</v>
      </c>
      <c r="AG52" s="717" t="str">
        <f ca="1">IFERROR(VLOOKUP(AG$2,Rango_Admin_DailyPred,MATCH($F52,Rango_Admin_DailyPred_Primera,0)+1,0),"-")</f>
        <v>-</v>
      </c>
      <c r="AH52" s="717" t="str">
        <f ca="1">IFERROR(VLOOKUP(AH$2,Rango_Admin_DailyPred,MATCH($F52,Rango_Admin_DailyPred_Primera,0)+1,0),"-")</f>
        <v>-</v>
      </c>
      <c r="AI52" s="717" t="str">
        <f ca="1">IFERROR(VLOOKUP(AI$2,Rango_Admin_DailyPred,MATCH($F52,Rango_Admin_DailyPred_Primera,0)+1,0),"-")</f>
        <v>-</v>
      </c>
      <c r="AJ52" s="717" t="str">
        <f ca="1">IFERROR(VLOOKUP(AJ$2,Rango_Admin_DailyPred,MATCH($F52,Rango_Admin_DailyPred_Primera,0)+1,0),"-")</f>
        <v>-</v>
      </c>
      <c r="AK52" s="717" t="str">
        <f ca="1">IFERROR(VLOOKUP(AK$2,Rango_Admin_DailyPred,MATCH($F52,Rango_Admin_DailyPred_Primera,0)+1,0),"-")</f>
        <v>-</v>
      </c>
      <c r="AL52" s="717" t="str">
        <f ca="1">IFERROR(VLOOKUP(AL$2,Rango_Admin_DailyPred,MATCH($F52,Rango_Admin_DailyPred_Primera,0)+1,0),"-")</f>
        <v>-</v>
      </c>
      <c r="AM52" s="717" t="str">
        <f ca="1">IFERROR(VLOOKUP(AM$2,Rango_Admin_DailyPred,MATCH($F52,Rango_Admin_DailyPred_Primera,0)+1,0),"-")</f>
        <v>-</v>
      </c>
    </row>
    <row r="53" spans="3:39">
      <c r="C53" s="8">
        <v>50</v>
      </c>
      <c r="E53" s="781" t="str">
        <f ca="1">IFERROR(HLOOKUP(C53,Rango_Admin_DailyClas,3,FALSE),"-")</f>
        <v>-</v>
      </c>
      <c r="F53" s="772" t="str">
        <f ca="1">IFERROR(HLOOKUP(C53,Rango_Admin_DailyClas,5,FALSE),"-")</f>
        <v>-</v>
      </c>
      <c r="G53" s="768" t="str">
        <f ca="1">IFERROR(HLOOKUP(C53,Rango_Admin_DailyClas,4,FALSE),"-")</f>
        <v>-</v>
      </c>
      <c r="H53" s="717" t="str">
        <f ca="1">IFERROR(VLOOKUP(H$2,Rango_Admin_DailyPred,MATCH($F53,Rango_Admin_DailyPred_Primera,0)+1,0),"-")</f>
        <v>-</v>
      </c>
      <c r="I53" s="717" t="str">
        <f ca="1">IFERROR(VLOOKUP(I$2,Rango_Admin_DailyPred,MATCH($F53,Rango_Admin_DailyPred_Primera,0)+1,0),"-")</f>
        <v>-</v>
      </c>
      <c r="J53" s="717" t="str">
        <f ca="1">IFERROR(VLOOKUP(J$2,Rango_Admin_DailyPred,MATCH($F53,Rango_Admin_DailyPred_Primera,0)+1,0),"-")</f>
        <v>-</v>
      </c>
      <c r="K53" s="717" t="str">
        <f ca="1">IFERROR(VLOOKUP(K$2,Rango_Admin_DailyPred,MATCH($F53,Rango_Admin_DailyPred_Primera,0)+1,0),"-")</f>
        <v>-</v>
      </c>
      <c r="L53" s="717" t="str">
        <f ca="1">IFERROR(VLOOKUP(L$2,Rango_Admin_DailyPred,MATCH($F53,Rango_Admin_DailyPred_Primera,0)+1,0),"-")</f>
        <v>-</v>
      </c>
      <c r="M53" s="717" t="str">
        <f ca="1">IFERROR(VLOOKUP(M$2,Rango_Admin_DailyPred,MATCH($F53,Rango_Admin_DailyPred_Primera,0)+1,0),"-")</f>
        <v>-</v>
      </c>
      <c r="N53" s="717" t="str">
        <f ca="1">IFERROR(VLOOKUP(N$2,Rango_Admin_DailyPred,MATCH($F53,Rango_Admin_DailyPred_Primera,0)+1,0),"-")</f>
        <v>-</v>
      </c>
      <c r="O53" s="717" t="str">
        <f ca="1">IFERROR(VLOOKUP(O$2,Rango_Admin_DailyPred,MATCH($F53,Rango_Admin_DailyPred_Primera,0)+1,0),"-")</f>
        <v>-</v>
      </c>
      <c r="P53" s="717" t="str">
        <f ca="1">IFERROR(VLOOKUP(P$2,Rango_Admin_DailyPred,MATCH($F53,Rango_Admin_DailyPred_Primera,0)+1,0),"-")</f>
        <v>-</v>
      </c>
      <c r="Q53" s="717" t="str">
        <f ca="1">IFERROR(VLOOKUP(Q$2,Rango_Admin_DailyPred,MATCH($F53,Rango_Admin_DailyPred_Primera,0)+1,0),"-")</f>
        <v>-</v>
      </c>
      <c r="R53" s="717" t="str">
        <f ca="1">IFERROR(VLOOKUP(R$2,Rango_Admin_DailyPred,MATCH($F53,Rango_Admin_DailyPred_Primera,0)+1,0),"-")</f>
        <v>-</v>
      </c>
      <c r="S53" s="717" t="str">
        <f ca="1">IFERROR(VLOOKUP(S$2,Rango_Admin_DailyPred,MATCH($F53,Rango_Admin_DailyPred_Primera,0)+1,0),"-")</f>
        <v>-</v>
      </c>
      <c r="T53" s="717" t="str">
        <f ca="1">IFERROR(VLOOKUP(T$2,Rango_Admin_DailyPred,MATCH($F53,Rango_Admin_DailyPred_Primera,0)+1,0),"-")</f>
        <v>-</v>
      </c>
      <c r="U53" s="717" t="str">
        <f ca="1">IFERROR(VLOOKUP(U$2,Rango_Admin_DailyPred,MATCH($F53,Rango_Admin_DailyPred_Primera,0)+1,0),"-")</f>
        <v>-</v>
      </c>
      <c r="V53" s="717" t="str">
        <f ca="1">IFERROR(VLOOKUP(V$2,Rango_Admin_DailyPred,MATCH($F53,Rango_Admin_DailyPred_Primera,0)+1,0),"-")</f>
        <v>-</v>
      </c>
      <c r="W53" s="717" t="str">
        <f ca="1">IFERROR(VLOOKUP(W$2,Rango_Admin_DailyPred,MATCH($F53,Rango_Admin_DailyPred_Primera,0)+1,0),"-")</f>
        <v>-</v>
      </c>
      <c r="X53" s="717" t="str">
        <f ca="1">IFERROR(VLOOKUP(X$2,Rango_Admin_DailyPred,MATCH($F53,Rango_Admin_DailyPred_Primera,0)+1,0),"-")</f>
        <v>-</v>
      </c>
      <c r="Y53" s="717" t="str">
        <f ca="1">IFERROR(VLOOKUP(Y$2,Rango_Admin_DailyPred,MATCH($F53,Rango_Admin_DailyPred_Primera,0)+1,0),"-")</f>
        <v>-</v>
      </c>
      <c r="Z53" s="717" t="str">
        <f ca="1">IFERROR(VLOOKUP(Z$2,Rango_Admin_DailyPred,MATCH($F53,Rango_Admin_DailyPred_Primera,0)+1,0),"-")</f>
        <v>-</v>
      </c>
      <c r="AA53" s="717" t="str">
        <f ca="1">IFERROR(VLOOKUP(AA$2,Rango_Admin_DailyPred,MATCH($F53,Rango_Admin_DailyPred_Primera,0)+1,0),"-")</f>
        <v>-</v>
      </c>
      <c r="AB53" s="717" t="str">
        <f ca="1">IFERROR(VLOOKUP(AB$2,Rango_Admin_DailyPred,MATCH($F53,Rango_Admin_DailyPred_Primera,0)+1,0),"-")</f>
        <v>-</v>
      </c>
      <c r="AC53" s="717" t="str">
        <f ca="1">IFERROR(VLOOKUP(AC$2,Rango_Admin_DailyPred,MATCH($F53,Rango_Admin_DailyPred_Primera,0)+1,0),"-")</f>
        <v>-</v>
      </c>
      <c r="AD53" s="717" t="str">
        <f ca="1">IFERROR(VLOOKUP(AD$2,Rango_Admin_DailyPred,MATCH($F53,Rango_Admin_DailyPred_Primera,0)+1,0),"-")</f>
        <v>-</v>
      </c>
      <c r="AE53" s="717" t="str">
        <f ca="1">IFERROR(VLOOKUP(AE$2,Rango_Admin_DailyPred,MATCH($F53,Rango_Admin_DailyPred_Primera,0)+1,0),"-")</f>
        <v>-</v>
      </c>
      <c r="AF53" s="717" t="str">
        <f ca="1">IFERROR(VLOOKUP(AF$2,Rango_Admin_DailyPred,MATCH($F53,Rango_Admin_DailyPred_Primera,0)+1,0),"-")</f>
        <v>-</v>
      </c>
      <c r="AG53" s="717" t="str">
        <f ca="1">IFERROR(VLOOKUP(AG$2,Rango_Admin_DailyPred,MATCH($F53,Rango_Admin_DailyPred_Primera,0)+1,0),"-")</f>
        <v>-</v>
      </c>
      <c r="AH53" s="717" t="str">
        <f ca="1">IFERROR(VLOOKUP(AH$2,Rango_Admin_DailyPred,MATCH($F53,Rango_Admin_DailyPred_Primera,0)+1,0),"-")</f>
        <v>-</v>
      </c>
      <c r="AI53" s="717" t="str">
        <f ca="1">IFERROR(VLOOKUP(AI$2,Rango_Admin_DailyPred,MATCH($F53,Rango_Admin_DailyPred_Primera,0)+1,0),"-")</f>
        <v>-</v>
      </c>
      <c r="AJ53" s="717" t="str">
        <f ca="1">IFERROR(VLOOKUP(AJ$2,Rango_Admin_DailyPred,MATCH($F53,Rango_Admin_DailyPred_Primera,0)+1,0),"-")</f>
        <v>-</v>
      </c>
      <c r="AK53" s="717" t="str">
        <f ca="1">IFERROR(VLOOKUP(AK$2,Rango_Admin_DailyPred,MATCH($F53,Rango_Admin_DailyPred_Primera,0)+1,0),"-")</f>
        <v>-</v>
      </c>
      <c r="AL53" s="717" t="str">
        <f ca="1">IFERROR(VLOOKUP(AL$2,Rango_Admin_DailyPred,MATCH($F53,Rango_Admin_DailyPred_Primera,0)+1,0),"-")</f>
        <v>-</v>
      </c>
      <c r="AM53" s="717" t="str">
        <f ca="1">IFERROR(VLOOKUP(AM$2,Rango_Admin_DailyPred,MATCH($F53,Rango_Admin_DailyPred_Primera,0)+1,0),"-")</f>
        <v>-</v>
      </c>
    </row>
    <row r="54" spans="3:39">
      <c r="C54" s="8">
        <v>51</v>
      </c>
      <c r="E54" s="781" t="str">
        <f ca="1">IFERROR(HLOOKUP(C54,Rango_Admin_DailyClas,3,FALSE),"-")</f>
        <v>-</v>
      </c>
      <c r="F54" s="772" t="str">
        <f ca="1">IFERROR(HLOOKUP(C54,Rango_Admin_DailyClas,5,FALSE),"-")</f>
        <v>-</v>
      </c>
      <c r="G54" s="768" t="str">
        <f ca="1">IFERROR(HLOOKUP(C54,Rango_Admin_DailyClas,4,FALSE),"-")</f>
        <v>-</v>
      </c>
      <c r="H54" s="717" t="str">
        <f ca="1">IFERROR(VLOOKUP(H$2,Rango_Admin_DailyPred,MATCH($F54,Rango_Admin_DailyPred_Primera,0)+1,0),"-")</f>
        <v>-</v>
      </c>
      <c r="I54" s="717" t="str">
        <f ca="1">IFERROR(VLOOKUP(I$2,Rango_Admin_DailyPred,MATCH($F54,Rango_Admin_DailyPred_Primera,0)+1,0),"-")</f>
        <v>-</v>
      </c>
      <c r="J54" s="717" t="str">
        <f ca="1">IFERROR(VLOOKUP(J$2,Rango_Admin_DailyPred,MATCH($F54,Rango_Admin_DailyPred_Primera,0)+1,0),"-")</f>
        <v>-</v>
      </c>
      <c r="K54" s="717" t="str">
        <f ca="1">IFERROR(VLOOKUP(K$2,Rango_Admin_DailyPred,MATCH($F54,Rango_Admin_DailyPred_Primera,0)+1,0),"-")</f>
        <v>-</v>
      </c>
      <c r="L54" s="717" t="str">
        <f ca="1">IFERROR(VLOOKUP(L$2,Rango_Admin_DailyPred,MATCH($F54,Rango_Admin_DailyPred_Primera,0)+1,0),"-")</f>
        <v>-</v>
      </c>
      <c r="M54" s="717" t="str">
        <f ca="1">IFERROR(VLOOKUP(M$2,Rango_Admin_DailyPred,MATCH($F54,Rango_Admin_DailyPred_Primera,0)+1,0),"-")</f>
        <v>-</v>
      </c>
      <c r="N54" s="717" t="str">
        <f ca="1">IFERROR(VLOOKUP(N$2,Rango_Admin_DailyPred,MATCH($F54,Rango_Admin_DailyPred_Primera,0)+1,0),"-")</f>
        <v>-</v>
      </c>
      <c r="O54" s="717" t="str">
        <f ca="1">IFERROR(VLOOKUP(O$2,Rango_Admin_DailyPred,MATCH($F54,Rango_Admin_DailyPred_Primera,0)+1,0),"-")</f>
        <v>-</v>
      </c>
      <c r="P54" s="717" t="str">
        <f ca="1">IFERROR(VLOOKUP(P$2,Rango_Admin_DailyPred,MATCH($F54,Rango_Admin_DailyPred_Primera,0)+1,0),"-")</f>
        <v>-</v>
      </c>
      <c r="Q54" s="717" t="str">
        <f ca="1">IFERROR(VLOOKUP(Q$2,Rango_Admin_DailyPred,MATCH($F54,Rango_Admin_DailyPred_Primera,0)+1,0),"-")</f>
        <v>-</v>
      </c>
      <c r="R54" s="717" t="str">
        <f ca="1">IFERROR(VLOOKUP(R$2,Rango_Admin_DailyPred,MATCH($F54,Rango_Admin_DailyPred_Primera,0)+1,0),"-")</f>
        <v>-</v>
      </c>
      <c r="S54" s="717" t="str">
        <f ca="1">IFERROR(VLOOKUP(S$2,Rango_Admin_DailyPred,MATCH($F54,Rango_Admin_DailyPred_Primera,0)+1,0),"-")</f>
        <v>-</v>
      </c>
      <c r="T54" s="717" t="str">
        <f ca="1">IFERROR(VLOOKUP(T$2,Rango_Admin_DailyPred,MATCH($F54,Rango_Admin_DailyPred_Primera,0)+1,0),"-")</f>
        <v>-</v>
      </c>
      <c r="U54" s="717" t="str">
        <f ca="1">IFERROR(VLOOKUP(U$2,Rango_Admin_DailyPred,MATCH($F54,Rango_Admin_DailyPred_Primera,0)+1,0),"-")</f>
        <v>-</v>
      </c>
      <c r="V54" s="717" t="str">
        <f ca="1">IFERROR(VLOOKUP(V$2,Rango_Admin_DailyPred,MATCH($F54,Rango_Admin_DailyPred_Primera,0)+1,0),"-")</f>
        <v>-</v>
      </c>
      <c r="W54" s="717" t="str">
        <f ca="1">IFERROR(VLOOKUP(W$2,Rango_Admin_DailyPred,MATCH($F54,Rango_Admin_DailyPred_Primera,0)+1,0),"-")</f>
        <v>-</v>
      </c>
      <c r="X54" s="717" t="str">
        <f ca="1">IFERROR(VLOOKUP(X$2,Rango_Admin_DailyPred,MATCH($F54,Rango_Admin_DailyPred_Primera,0)+1,0),"-")</f>
        <v>-</v>
      </c>
      <c r="Y54" s="717" t="str">
        <f ca="1">IFERROR(VLOOKUP(Y$2,Rango_Admin_DailyPred,MATCH($F54,Rango_Admin_DailyPred_Primera,0)+1,0),"-")</f>
        <v>-</v>
      </c>
      <c r="Z54" s="717" t="str">
        <f ca="1">IFERROR(VLOOKUP(Z$2,Rango_Admin_DailyPred,MATCH($F54,Rango_Admin_DailyPred_Primera,0)+1,0),"-")</f>
        <v>-</v>
      </c>
      <c r="AA54" s="717" t="str">
        <f ca="1">IFERROR(VLOOKUP(AA$2,Rango_Admin_DailyPred,MATCH($F54,Rango_Admin_DailyPred_Primera,0)+1,0),"-")</f>
        <v>-</v>
      </c>
      <c r="AB54" s="717" t="str">
        <f ca="1">IFERROR(VLOOKUP(AB$2,Rango_Admin_DailyPred,MATCH($F54,Rango_Admin_DailyPred_Primera,0)+1,0),"-")</f>
        <v>-</v>
      </c>
      <c r="AC54" s="717" t="str">
        <f ca="1">IFERROR(VLOOKUP(AC$2,Rango_Admin_DailyPred,MATCH($F54,Rango_Admin_DailyPred_Primera,0)+1,0),"-")</f>
        <v>-</v>
      </c>
      <c r="AD54" s="717" t="str">
        <f ca="1">IFERROR(VLOOKUP(AD$2,Rango_Admin_DailyPred,MATCH($F54,Rango_Admin_DailyPred_Primera,0)+1,0),"-")</f>
        <v>-</v>
      </c>
      <c r="AE54" s="717" t="str">
        <f ca="1">IFERROR(VLOOKUP(AE$2,Rango_Admin_DailyPred,MATCH($F54,Rango_Admin_DailyPred_Primera,0)+1,0),"-")</f>
        <v>-</v>
      </c>
      <c r="AF54" s="717" t="str">
        <f ca="1">IFERROR(VLOOKUP(AF$2,Rango_Admin_DailyPred,MATCH($F54,Rango_Admin_DailyPred_Primera,0)+1,0),"-")</f>
        <v>-</v>
      </c>
      <c r="AG54" s="717" t="str">
        <f ca="1">IFERROR(VLOOKUP(AG$2,Rango_Admin_DailyPred,MATCH($F54,Rango_Admin_DailyPred_Primera,0)+1,0),"-")</f>
        <v>-</v>
      </c>
      <c r="AH54" s="717" t="str">
        <f ca="1">IFERROR(VLOOKUP(AH$2,Rango_Admin_DailyPred,MATCH($F54,Rango_Admin_DailyPred_Primera,0)+1,0),"-")</f>
        <v>-</v>
      </c>
      <c r="AI54" s="717" t="str">
        <f ca="1">IFERROR(VLOOKUP(AI$2,Rango_Admin_DailyPred,MATCH($F54,Rango_Admin_DailyPred_Primera,0)+1,0),"-")</f>
        <v>-</v>
      </c>
      <c r="AJ54" s="717" t="str">
        <f ca="1">IFERROR(VLOOKUP(AJ$2,Rango_Admin_DailyPred,MATCH($F54,Rango_Admin_DailyPred_Primera,0)+1,0),"-")</f>
        <v>-</v>
      </c>
      <c r="AK54" s="717" t="str">
        <f ca="1">IFERROR(VLOOKUP(AK$2,Rango_Admin_DailyPred,MATCH($F54,Rango_Admin_DailyPred_Primera,0)+1,0),"-")</f>
        <v>-</v>
      </c>
      <c r="AL54" s="717" t="str">
        <f ca="1">IFERROR(VLOOKUP(AL$2,Rango_Admin_DailyPred,MATCH($F54,Rango_Admin_DailyPred_Primera,0)+1,0),"-")</f>
        <v>-</v>
      </c>
      <c r="AM54" s="717" t="str">
        <f ca="1">IFERROR(VLOOKUP(AM$2,Rango_Admin_DailyPred,MATCH($F54,Rango_Admin_DailyPred_Primera,0)+1,0),"-")</f>
        <v>-</v>
      </c>
    </row>
    <row r="55" spans="3:39">
      <c r="C55" s="8">
        <v>52</v>
      </c>
      <c r="E55" s="781" t="str">
        <f ca="1">IFERROR(HLOOKUP(C55,Rango_Admin_DailyClas,3,FALSE),"-")</f>
        <v>-</v>
      </c>
      <c r="F55" s="772" t="str">
        <f ca="1">IFERROR(HLOOKUP(C55,Rango_Admin_DailyClas,5,FALSE),"-")</f>
        <v>-</v>
      </c>
      <c r="G55" s="768" t="str">
        <f ca="1">IFERROR(HLOOKUP(C55,Rango_Admin_DailyClas,4,FALSE),"-")</f>
        <v>-</v>
      </c>
      <c r="H55" s="717" t="str">
        <f ca="1">IFERROR(VLOOKUP(H$2,Rango_Admin_DailyPred,MATCH($F55,Rango_Admin_DailyPred_Primera,0)+1,0),"-")</f>
        <v>-</v>
      </c>
      <c r="I55" s="717" t="str">
        <f ca="1">IFERROR(VLOOKUP(I$2,Rango_Admin_DailyPred,MATCH($F55,Rango_Admin_DailyPred_Primera,0)+1,0),"-")</f>
        <v>-</v>
      </c>
      <c r="J55" s="717" t="str">
        <f ca="1">IFERROR(VLOOKUP(J$2,Rango_Admin_DailyPred,MATCH($F55,Rango_Admin_DailyPred_Primera,0)+1,0),"-")</f>
        <v>-</v>
      </c>
      <c r="K55" s="717" t="str">
        <f ca="1">IFERROR(VLOOKUP(K$2,Rango_Admin_DailyPred,MATCH($F55,Rango_Admin_DailyPred_Primera,0)+1,0),"-")</f>
        <v>-</v>
      </c>
      <c r="L55" s="717" t="str">
        <f ca="1">IFERROR(VLOOKUP(L$2,Rango_Admin_DailyPred,MATCH($F55,Rango_Admin_DailyPred_Primera,0)+1,0),"-")</f>
        <v>-</v>
      </c>
      <c r="M55" s="717" t="str">
        <f ca="1">IFERROR(VLOOKUP(M$2,Rango_Admin_DailyPred,MATCH($F55,Rango_Admin_DailyPred_Primera,0)+1,0),"-")</f>
        <v>-</v>
      </c>
      <c r="N55" s="717" t="str">
        <f ca="1">IFERROR(VLOOKUP(N$2,Rango_Admin_DailyPred,MATCH($F55,Rango_Admin_DailyPred_Primera,0)+1,0),"-")</f>
        <v>-</v>
      </c>
      <c r="O55" s="717" t="str">
        <f ca="1">IFERROR(VLOOKUP(O$2,Rango_Admin_DailyPred,MATCH($F55,Rango_Admin_DailyPred_Primera,0)+1,0),"-")</f>
        <v>-</v>
      </c>
      <c r="P55" s="717" t="str">
        <f ca="1">IFERROR(VLOOKUP(P$2,Rango_Admin_DailyPred,MATCH($F55,Rango_Admin_DailyPred_Primera,0)+1,0),"-")</f>
        <v>-</v>
      </c>
      <c r="Q55" s="717" t="str">
        <f ca="1">IFERROR(VLOOKUP(Q$2,Rango_Admin_DailyPred,MATCH($F55,Rango_Admin_DailyPred_Primera,0)+1,0),"-")</f>
        <v>-</v>
      </c>
      <c r="R55" s="717" t="str">
        <f ca="1">IFERROR(VLOOKUP(R$2,Rango_Admin_DailyPred,MATCH($F55,Rango_Admin_DailyPred_Primera,0)+1,0),"-")</f>
        <v>-</v>
      </c>
      <c r="S55" s="717" t="str">
        <f ca="1">IFERROR(VLOOKUP(S$2,Rango_Admin_DailyPred,MATCH($F55,Rango_Admin_DailyPred_Primera,0)+1,0),"-")</f>
        <v>-</v>
      </c>
      <c r="T55" s="717" t="str">
        <f ca="1">IFERROR(VLOOKUP(T$2,Rango_Admin_DailyPred,MATCH($F55,Rango_Admin_DailyPred_Primera,0)+1,0),"-")</f>
        <v>-</v>
      </c>
      <c r="U55" s="717" t="str">
        <f ca="1">IFERROR(VLOOKUP(U$2,Rango_Admin_DailyPred,MATCH($F55,Rango_Admin_DailyPred_Primera,0)+1,0),"-")</f>
        <v>-</v>
      </c>
      <c r="V55" s="717" t="str">
        <f ca="1">IFERROR(VLOOKUP(V$2,Rango_Admin_DailyPred,MATCH($F55,Rango_Admin_DailyPred_Primera,0)+1,0),"-")</f>
        <v>-</v>
      </c>
      <c r="W55" s="717" t="str">
        <f ca="1">IFERROR(VLOOKUP(W$2,Rango_Admin_DailyPred,MATCH($F55,Rango_Admin_DailyPred_Primera,0)+1,0),"-")</f>
        <v>-</v>
      </c>
      <c r="X55" s="717" t="str">
        <f ca="1">IFERROR(VLOOKUP(X$2,Rango_Admin_DailyPred,MATCH($F55,Rango_Admin_DailyPred_Primera,0)+1,0),"-")</f>
        <v>-</v>
      </c>
      <c r="Y55" s="717" t="str">
        <f ca="1">IFERROR(VLOOKUP(Y$2,Rango_Admin_DailyPred,MATCH($F55,Rango_Admin_DailyPred_Primera,0)+1,0),"-")</f>
        <v>-</v>
      </c>
      <c r="Z55" s="717" t="str">
        <f ca="1">IFERROR(VLOOKUP(Z$2,Rango_Admin_DailyPred,MATCH($F55,Rango_Admin_DailyPred_Primera,0)+1,0),"-")</f>
        <v>-</v>
      </c>
      <c r="AA55" s="717" t="str">
        <f ca="1">IFERROR(VLOOKUP(AA$2,Rango_Admin_DailyPred,MATCH($F55,Rango_Admin_DailyPred_Primera,0)+1,0),"-")</f>
        <v>-</v>
      </c>
      <c r="AB55" s="717" t="str">
        <f ca="1">IFERROR(VLOOKUP(AB$2,Rango_Admin_DailyPred,MATCH($F55,Rango_Admin_DailyPred_Primera,0)+1,0),"-")</f>
        <v>-</v>
      </c>
      <c r="AC55" s="717" t="str">
        <f ca="1">IFERROR(VLOOKUP(AC$2,Rango_Admin_DailyPred,MATCH($F55,Rango_Admin_DailyPred_Primera,0)+1,0),"-")</f>
        <v>-</v>
      </c>
      <c r="AD55" s="717" t="str">
        <f ca="1">IFERROR(VLOOKUP(AD$2,Rango_Admin_DailyPred,MATCH($F55,Rango_Admin_DailyPred_Primera,0)+1,0),"-")</f>
        <v>-</v>
      </c>
      <c r="AE55" s="717" t="str">
        <f ca="1">IFERROR(VLOOKUP(AE$2,Rango_Admin_DailyPred,MATCH($F55,Rango_Admin_DailyPred_Primera,0)+1,0),"-")</f>
        <v>-</v>
      </c>
      <c r="AF55" s="717" t="str">
        <f ca="1">IFERROR(VLOOKUP(AF$2,Rango_Admin_DailyPred,MATCH($F55,Rango_Admin_DailyPred_Primera,0)+1,0),"-")</f>
        <v>-</v>
      </c>
      <c r="AG55" s="717" t="str">
        <f ca="1">IFERROR(VLOOKUP(AG$2,Rango_Admin_DailyPred,MATCH($F55,Rango_Admin_DailyPred_Primera,0)+1,0),"-")</f>
        <v>-</v>
      </c>
      <c r="AH55" s="717" t="str">
        <f ca="1">IFERROR(VLOOKUP(AH$2,Rango_Admin_DailyPred,MATCH($F55,Rango_Admin_DailyPred_Primera,0)+1,0),"-")</f>
        <v>-</v>
      </c>
      <c r="AI55" s="717" t="str">
        <f ca="1">IFERROR(VLOOKUP(AI$2,Rango_Admin_DailyPred,MATCH($F55,Rango_Admin_DailyPred_Primera,0)+1,0),"-")</f>
        <v>-</v>
      </c>
      <c r="AJ55" s="717" t="str">
        <f ca="1">IFERROR(VLOOKUP(AJ$2,Rango_Admin_DailyPred,MATCH($F55,Rango_Admin_DailyPred_Primera,0)+1,0),"-")</f>
        <v>-</v>
      </c>
      <c r="AK55" s="717" t="str">
        <f ca="1">IFERROR(VLOOKUP(AK$2,Rango_Admin_DailyPred,MATCH($F55,Rango_Admin_DailyPred_Primera,0)+1,0),"-")</f>
        <v>-</v>
      </c>
      <c r="AL55" s="717" t="str">
        <f ca="1">IFERROR(VLOOKUP(AL$2,Rango_Admin_DailyPred,MATCH($F55,Rango_Admin_DailyPred_Primera,0)+1,0),"-")</f>
        <v>-</v>
      </c>
      <c r="AM55" s="717" t="str">
        <f ca="1">IFERROR(VLOOKUP(AM$2,Rango_Admin_DailyPred,MATCH($F55,Rango_Admin_DailyPred_Primera,0)+1,0),"-")</f>
        <v>-</v>
      </c>
    </row>
    <row r="56" spans="3:39">
      <c r="C56" s="8">
        <v>53</v>
      </c>
      <c r="E56" s="781" t="str">
        <f ca="1">IFERROR(HLOOKUP(C56,Rango_Admin_DailyClas,3,FALSE),"-")</f>
        <v>-</v>
      </c>
      <c r="F56" s="772" t="str">
        <f ca="1">IFERROR(HLOOKUP(C56,Rango_Admin_DailyClas,5,FALSE),"-")</f>
        <v>-</v>
      </c>
      <c r="G56" s="768" t="str">
        <f ca="1">IFERROR(HLOOKUP(C56,Rango_Admin_DailyClas,4,FALSE),"-")</f>
        <v>-</v>
      </c>
      <c r="H56" s="717" t="str">
        <f ca="1">IFERROR(VLOOKUP(H$2,Rango_Admin_DailyPred,MATCH($F56,Rango_Admin_DailyPred_Primera,0)+1,0),"-")</f>
        <v>-</v>
      </c>
      <c r="I56" s="717" t="str">
        <f ca="1">IFERROR(VLOOKUP(I$2,Rango_Admin_DailyPred,MATCH($F56,Rango_Admin_DailyPred_Primera,0)+1,0),"-")</f>
        <v>-</v>
      </c>
      <c r="J56" s="717" t="str">
        <f ca="1">IFERROR(VLOOKUP(J$2,Rango_Admin_DailyPred,MATCH($F56,Rango_Admin_DailyPred_Primera,0)+1,0),"-")</f>
        <v>-</v>
      </c>
      <c r="K56" s="717" t="str">
        <f ca="1">IFERROR(VLOOKUP(K$2,Rango_Admin_DailyPred,MATCH($F56,Rango_Admin_DailyPred_Primera,0)+1,0),"-")</f>
        <v>-</v>
      </c>
      <c r="L56" s="717" t="str">
        <f ca="1">IFERROR(VLOOKUP(L$2,Rango_Admin_DailyPred,MATCH($F56,Rango_Admin_DailyPred_Primera,0)+1,0),"-")</f>
        <v>-</v>
      </c>
      <c r="M56" s="717" t="str">
        <f ca="1">IFERROR(VLOOKUP(M$2,Rango_Admin_DailyPred,MATCH($F56,Rango_Admin_DailyPred_Primera,0)+1,0),"-")</f>
        <v>-</v>
      </c>
      <c r="N56" s="717" t="str">
        <f ca="1">IFERROR(VLOOKUP(N$2,Rango_Admin_DailyPred,MATCH($F56,Rango_Admin_DailyPred_Primera,0)+1,0),"-")</f>
        <v>-</v>
      </c>
      <c r="O56" s="717" t="str">
        <f ca="1">IFERROR(VLOOKUP(O$2,Rango_Admin_DailyPred,MATCH($F56,Rango_Admin_DailyPred_Primera,0)+1,0),"-")</f>
        <v>-</v>
      </c>
      <c r="P56" s="717" t="str">
        <f ca="1">IFERROR(VLOOKUP(P$2,Rango_Admin_DailyPred,MATCH($F56,Rango_Admin_DailyPred_Primera,0)+1,0),"-")</f>
        <v>-</v>
      </c>
      <c r="Q56" s="717" t="str">
        <f ca="1">IFERROR(VLOOKUP(Q$2,Rango_Admin_DailyPred,MATCH($F56,Rango_Admin_DailyPred_Primera,0)+1,0),"-")</f>
        <v>-</v>
      </c>
      <c r="R56" s="717" t="str">
        <f ca="1">IFERROR(VLOOKUP(R$2,Rango_Admin_DailyPred,MATCH($F56,Rango_Admin_DailyPred_Primera,0)+1,0),"-")</f>
        <v>-</v>
      </c>
      <c r="S56" s="717" t="str">
        <f ca="1">IFERROR(VLOOKUP(S$2,Rango_Admin_DailyPred,MATCH($F56,Rango_Admin_DailyPred_Primera,0)+1,0),"-")</f>
        <v>-</v>
      </c>
      <c r="T56" s="717" t="str">
        <f ca="1">IFERROR(VLOOKUP(T$2,Rango_Admin_DailyPred,MATCH($F56,Rango_Admin_DailyPred_Primera,0)+1,0),"-")</f>
        <v>-</v>
      </c>
      <c r="U56" s="717" t="str">
        <f ca="1">IFERROR(VLOOKUP(U$2,Rango_Admin_DailyPred,MATCH($F56,Rango_Admin_DailyPred_Primera,0)+1,0),"-")</f>
        <v>-</v>
      </c>
      <c r="V56" s="717" t="str">
        <f ca="1">IFERROR(VLOOKUP(V$2,Rango_Admin_DailyPred,MATCH($F56,Rango_Admin_DailyPred_Primera,0)+1,0),"-")</f>
        <v>-</v>
      </c>
      <c r="W56" s="717" t="str">
        <f ca="1">IFERROR(VLOOKUP(W$2,Rango_Admin_DailyPred,MATCH($F56,Rango_Admin_DailyPred_Primera,0)+1,0),"-")</f>
        <v>-</v>
      </c>
      <c r="X56" s="717" t="str">
        <f ca="1">IFERROR(VLOOKUP(X$2,Rango_Admin_DailyPred,MATCH($F56,Rango_Admin_DailyPred_Primera,0)+1,0),"-")</f>
        <v>-</v>
      </c>
      <c r="Y56" s="717" t="str">
        <f ca="1">IFERROR(VLOOKUP(Y$2,Rango_Admin_DailyPred,MATCH($F56,Rango_Admin_DailyPred_Primera,0)+1,0),"-")</f>
        <v>-</v>
      </c>
      <c r="Z56" s="717" t="str">
        <f ca="1">IFERROR(VLOOKUP(Z$2,Rango_Admin_DailyPred,MATCH($F56,Rango_Admin_DailyPred_Primera,0)+1,0),"-")</f>
        <v>-</v>
      </c>
      <c r="AA56" s="717" t="str">
        <f ca="1">IFERROR(VLOOKUP(AA$2,Rango_Admin_DailyPred,MATCH($F56,Rango_Admin_DailyPred_Primera,0)+1,0),"-")</f>
        <v>-</v>
      </c>
      <c r="AB56" s="717" t="str">
        <f ca="1">IFERROR(VLOOKUP(AB$2,Rango_Admin_DailyPred,MATCH($F56,Rango_Admin_DailyPred_Primera,0)+1,0),"-")</f>
        <v>-</v>
      </c>
      <c r="AC56" s="717" t="str">
        <f ca="1">IFERROR(VLOOKUP(AC$2,Rango_Admin_DailyPred,MATCH($F56,Rango_Admin_DailyPred_Primera,0)+1,0),"-")</f>
        <v>-</v>
      </c>
      <c r="AD56" s="717" t="str">
        <f ca="1">IFERROR(VLOOKUP(AD$2,Rango_Admin_DailyPred,MATCH($F56,Rango_Admin_DailyPred_Primera,0)+1,0),"-")</f>
        <v>-</v>
      </c>
      <c r="AE56" s="717" t="str">
        <f ca="1">IFERROR(VLOOKUP(AE$2,Rango_Admin_DailyPred,MATCH($F56,Rango_Admin_DailyPred_Primera,0)+1,0),"-")</f>
        <v>-</v>
      </c>
      <c r="AF56" s="717" t="str">
        <f ca="1">IFERROR(VLOOKUP(AF$2,Rango_Admin_DailyPred,MATCH($F56,Rango_Admin_DailyPred_Primera,0)+1,0),"-")</f>
        <v>-</v>
      </c>
      <c r="AG56" s="717" t="str">
        <f ca="1">IFERROR(VLOOKUP(AG$2,Rango_Admin_DailyPred,MATCH($F56,Rango_Admin_DailyPred_Primera,0)+1,0),"-")</f>
        <v>-</v>
      </c>
      <c r="AH56" s="717" t="str">
        <f ca="1">IFERROR(VLOOKUP(AH$2,Rango_Admin_DailyPred,MATCH($F56,Rango_Admin_DailyPred_Primera,0)+1,0),"-")</f>
        <v>-</v>
      </c>
      <c r="AI56" s="717" t="str">
        <f ca="1">IFERROR(VLOOKUP(AI$2,Rango_Admin_DailyPred,MATCH($F56,Rango_Admin_DailyPred_Primera,0)+1,0),"-")</f>
        <v>-</v>
      </c>
      <c r="AJ56" s="717" t="str">
        <f ca="1">IFERROR(VLOOKUP(AJ$2,Rango_Admin_DailyPred,MATCH($F56,Rango_Admin_DailyPred_Primera,0)+1,0),"-")</f>
        <v>-</v>
      </c>
      <c r="AK56" s="717" t="str">
        <f ca="1">IFERROR(VLOOKUP(AK$2,Rango_Admin_DailyPred,MATCH($F56,Rango_Admin_DailyPred_Primera,0)+1,0),"-")</f>
        <v>-</v>
      </c>
      <c r="AL56" s="717" t="str">
        <f ca="1">IFERROR(VLOOKUP(AL$2,Rango_Admin_DailyPred,MATCH($F56,Rango_Admin_DailyPred_Primera,0)+1,0),"-")</f>
        <v>-</v>
      </c>
      <c r="AM56" s="717" t="str">
        <f ca="1">IFERROR(VLOOKUP(AM$2,Rango_Admin_DailyPred,MATCH($F56,Rango_Admin_DailyPred_Primera,0)+1,0),"-")</f>
        <v>-</v>
      </c>
    </row>
    <row r="57" spans="3:39">
      <c r="C57" s="8">
        <v>54</v>
      </c>
      <c r="E57" s="781" t="str">
        <f ca="1">IFERROR(HLOOKUP(C57,Rango_Admin_DailyClas,3,FALSE),"-")</f>
        <v>-</v>
      </c>
      <c r="F57" s="772" t="str">
        <f ca="1">IFERROR(HLOOKUP(C57,Rango_Admin_DailyClas,5,FALSE),"-")</f>
        <v>-</v>
      </c>
      <c r="G57" s="768" t="str">
        <f ca="1">IFERROR(HLOOKUP(C57,Rango_Admin_DailyClas,4,FALSE),"-")</f>
        <v>-</v>
      </c>
      <c r="H57" s="717" t="str">
        <f ca="1">IFERROR(VLOOKUP(H$2,Rango_Admin_DailyPred,MATCH($F57,Rango_Admin_DailyPred_Primera,0)+1,0),"-")</f>
        <v>-</v>
      </c>
      <c r="I57" s="717" t="str">
        <f ca="1">IFERROR(VLOOKUP(I$2,Rango_Admin_DailyPred,MATCH($F57,Rango_Admin_DailyPred_Primera,0)+1,0),"-")</f>
        <v>-</v>
      </c>
      <c r="J57" s="717" t="str">
        <f ca="1">IFERROR(VLOOKUP(J$2,Rango_Admin_DailyPred,MATCH($F57,Rango_Admin_DailyPred_Primera,0)+1,0),"-")</f>
        <v>-</v>
      </c>
      <c r="K57" s="717" t="str">
        <f ca="1">IFERROR(VLOOKUP(K$2,Rango_Admin_DailyPred,MATCH($F57,Rango_Admin_DailyPred_Primera,0)+1,0),"-")</f>
        <v>-</v>
      </c>
      <c r="L57" s="717" t="str">
        <f ca="1">IFERROR(VLOOKUP(L$2,Rango_Admin_DailyPred,MATCH($F57,Rango_Admin_DailyPred_Primera,0)+1,0),"-")</f>
        <v>-</v>
      </c>
      <c r="M57" s="717" t="str">
        <f ca="1">IFERROR(VLOOKUP(M$2,Rango_Admin_DailyPred,MATCH($F57,Rango_Admin_DailyPred_Primera,0)+1,0),"-")</f>
        <v>-</v>
      </c>
      <c r="N57" s="717" t="str">
        <f ca="1">IFERROR(VLOOKUP(N$2,Rango_Admin_DailyPred,MATCH($F57,Rango_Admin_DailyPred_Primera,0)+1,0),"-")</f>
        <v>-</v>
      </c>
      <c r="O57" s="717" t="str">
        <f ca="1">IFERROR(VLOOKUP(O$2,Rango_Admin_DailyPred,MATCH($F57,Rango_Admin_DailyPred_Primera,0)+1,0),"-")</f>
        <v>-</v>
      </c>
      <c r="P57" s="717" t="str">
        <f ca="1">IFERROR(VLOOKUP(P$2,Rango_Admin_DailyPred,MATCH($F57,Rango_Admin_DailyPred_Primera,0)+1,0),"-")</f>
        <v>-</v>
      </c>
      <c r="Q57" s="717" t="str">
        <f ca="1">IFERROR(VLOOKUP(Q$2,Rango_Admin_DailyPred,MATCH($F57,Rango_Admin_DailyPred_Primera,0)+1,0),"-")</f>
        <v>-</v>
      </c>
      <c r="R57" s="717" t="str">
        <f ca="1">IFERROR(VLOOKUP(R$2,Rango_Admin_DailyPred,MATCH($F57,Rango_Admin_DailyPred_Primera,0)+1,0),"-")</f>
        <v>-</v>
      </c>
      <c r="S57" s="717" t="str">
        <f ca="1">IFERROR(VLOOKUP(S$2,Rango_Admin_DailyPred,MATCH($F57,Rango_Admin_DailyPred_Primera,0)+1,0),"-")</f>
        <v>-</v>
      </c>
      <c r="T57" s="717" t="str">
        <f ca="1">IFERROR(VLOOKUP(T$2,Rango_Admin_DailyPred,MATCH($F57,Rango_Admin_DailyPred_Primera,0)+1,0),"-")</f>
        <v>-</v>
      </c>
      <c r="U57" s="717" t="str">
        <f ca="1">IFERROR(VLOOKUP(U$2,Rango_Admin_DailyPred,MATCH($F57,Rango_Admin_DailyPred_Primera,0)+1,0),"-")</f>
        <v>-</v>
      </c>
      <c r="V57" s="717" t="str">
        <f ca="1">IFERROR(VLOOKUP(V$2,Rango_Admin_DailyPred,MATCH($F57,Rango_Admin_DailyPred_Primera,0)+1,0),"-")</f>
        <v>-</v>
      </c>
      <c r="W57" s="717" t="str">
        <f ca="1">IFERROR(VLOOKUP(W$2,Rango_Admin_DailyPred,MATCH($F57,Rango_Admin_DailyPred_Primera,0)+1,0),"-")</f>
        <v>-</v>
      </c>
      <c r="X57" s="717" t="str">
        <f ca="1">IFERROR(VLOOKUP(X$2,Rango_Admin_DailyPred,MATCH($F57,Rango_Admin_DailyPred_Primera,0)+1,0),"-")</f>
        <v>-</v>
      </c>
      <c r="Y57" s="717" t="str">
        <f ca="1">IFERROR(VLOOKUP(Y$2,Rango_Admin_DailyPred,MATCH($F57,Rango_Admin_DailyPred_Primera,0)+1,0),"-")</f>
        <v>-</v>
      </c>
      <c r="Z57" s="717" t="str">
        <f ca="1">IFERROR(VLOOKUP(Z$2,Rango_Admin_DailyPred,MATCH($F57,Rango_Admin_DailyPred_Primera,0)+1,0),"-")</f>
        <v>-</v>
      </c>
      <c r="AA57" s="717" t="str">
        <f ca="1">IFERROR(VLOOKUP(AA$2,Rango_Admin_DailyPred,MATCH($F57,Rango_Admin_DailyPred_Primera,0)+1,0),"-")</f>
        <v>-</v>
      </c>
      <c r="AB57" s="717" t="str">
        <f ca="1">IFERROR(VLOOKUP(AB$2,Rango_Admin_DailyPred,MATCH($F57,Rango_Admin_DailyPred_Primera,0)+1,0),"-")</f>
        <v>-</v>
      </c>
      <c r="AC57" s="717" t="str">
        <f ca="1">IFERROR(VLOOKUP(AC$2,Rango_Admin_DailyPred,MATCH($F57,Rango_Admin_DailyPred_Primera,0)+1,0),"-")</f>
        <v>-</v>
      </c>
      <c r="AD57" s="717" t="str">
        <f ca="1">IFERROR(VLOOKUP(AD$2,Rango_Admin_DailyPred,MATCH($F57,Rango_Admin_DailyPred_Primera,0)+1,0),"-")</f>
        <v>-</v>
      </c>
      <c r="AE57" s="717" t="str">
        <f ca="1">IFERROR(VLOOKUP(AE$2,Rango_Admin_DailyPred,MATCH($F57,Rango_Admin_DailyPred_Primera,0)+1,0),"-")</f>
        <v>-</v>
      </c>
      <c r="AF57" s="717" t="str">
        <f ca="1">IFERROR(VLOOKUP(AF$2,Rango_Admin_DailyPred,MATCH($F57,Rango_Admin_DailyPred_Primera,0)+1,0),"-")</f>
        <v>-</v>
      </c>
      <c r="AG57" s="717" t="str">
        <f ca="1">IFERROR(VLOOKUP(AG$2,Rango_Admin_DailyPred,MATCH($F57,Rango_Admin_DailyPred_Primera,0)+1,0),"-")</f>
        <v>-</v>
      </c>
      <c r="AH57" s="717" t="str">
        <f ca="1">IFERROR(VLOOKUP(AH$2,Rango_Admin_DailyPred,MATCH($F57,Rango_Admin_DailyPred_Primera,0)+1,0),"-")</f>
        <v>-</v>
      </c>
      <c r="AI57" s="717" t="str">
        <f ca="1">IFERROR(VLOOKUP(AI$2,Rango_Admin_DailyPred,MATCH($F57,Rango_Admin_DailyPred_Primera,0)+1,0),"-")</f>
        <v>-</v>
      </c>
      <c r="AJ57" s="717" t="str">
        <f ca="1">IFERROR(VLOOKUP(AJ$2,Rango_Admin_DailyPred,MATCH($F57,Rango_Admin_DailyPred_Primera,0)+1,0),"-")</f>
        <v>-</v>
      </c>
      <c r="AK57" s="717" t="str">
        <f ca="1">IFERROR(VLOOKUP(AK$2,Rango_Admin_DailyPred,MATCH($F57,Rango_Admin_DailyPred_Primera,0)+1,0),"-")</f>
        <v>-</v>
      </c>
      <c r="AL57" s="717" t="str">
        <f ca="1">IFERROR(VLOOKUP(AL$2,Rango_Admin_DailyPred,MATCH($F57,Rango_Admin_DailyPred_Primera,0)+1,0),"-")</f>
        <v>-</v>
      </c>
      <c r="AM57" s="717" t="str">
        <f ca="1">IFERROR(VLOOKUP(AM$2,Rango_Admin_DailyPred,MATCH($F57,Rango_Admin_DailyPred_Primera,0)+1,0),"-")</f>
        <v>-</v>
      </c>
    </row>
    <row r="58" spans="3:39">
      <c r="C58" s="8">
        <v>55</v>
      </c>
      <c r="E58" s="781" t="str">
        <f ca="1">IFERROR(HLOOKUP(C58,Rango_Admin_DailyClas,3,FALSE),"-")</f>
        <v>-</v>
      </c>
      <c r="F58" s="772" t="str">
        <f ca="1">IFERROR(HLOOKUP(C58,Rango_Admin_DailyClas,5,FALSE),"-")</f>
        <v>-</v>
      </c>
      <c r="G58" s="768" t="str">
        <f ca="1">IFERROR(HLOOKUP(C58,Rango_Admin_DailyClas,4,FALSE),"-")</f>
        <v>-</v>
      </c>
      <c r="H58" s="717" t="str">
        <f ca="1">IFERROR(VLOOKUP(H$2,Rango_Admin_DailyPred,MATCH($F58,Rango_Admin_DailyPred_Primera,0)+1,0),"-")</f>
        <v>-</v>
      </c>
      <c r="I58" s="717" t="str">
        <f ca="1">IFERROR(VLOOKUP(I$2,Rango_Admin_DailyPred,MATCH($F58,Rango_Admin_DailyPred_Primera,0)+1,0),"-")</f>
        <v>-</v>
      </c>
      <c r="J58" s="717" t="str">
        <f ca="1">IFERROR(VLOOKUP(J$2,Rango_Admin_DailyPred,MATCH($F58,Rango_Admin_DailyPred_Primera,0)+1,0),"-")</f>
        <v>-</v>
      </c>
      <c r="K58" s="717" t="str">
        <f ca="1">IFERROR(VLOOKUP(K$2,Rango_Admin_DailyPred,MATCH($F58,Rango_Admin_DailyPred_Primera,0)+1,0),"-")</f>
        <v>-</v>
      </c>
      <c r="L58" s="717" t="str">
        <f ca="1">IFERROR(VLOOKUP(L$2,Rango_Admin_DailyPred,MATCH($F58,Rango_Admin_DailyPred_Primera,0)+1,0),"-")</f>
        <v>-</v>
      </c>
      <c r="M58" s="717" t="str">
        <f ca="1">IFERROR(VLOOKUP(M$2,Rango_Admin_DailyPred,MATCH($F58,Rango_Admin_DailyPred_Primera,0)+1,0),"-")</f>
        <v>-</v>
      </c>
      <c r="N58" s="717" t="str">
        <f ca="1">IFERROR(VLOOKUP(N$2,Rango_Admin_DailyPred,MATCH($F58,Rango_Admin_DailyPred_Primera,0)+1,0),"-")</f>
        <v>-</v>
      </c>
      <c r="O58" s="717" t="str">
        <f ca="1">IFERROR(VLOOKUP(O$2,Rango_Admin_DailyPred,MATCH($F58,Rango_Admin_DailyPred_Primera,0)+1,0),"-")</f>
        <v>-</v>
      </c>
      <c r="P58" s="717" t="str">
        <f ca="1">IFERROR(VLOOKUP(P$2,Rango_Admin_DailyPred,MATCH($F58,Rango_Admin_DailyPred_Primera,0)+1,0),"-")</f>
        <v>-</v>
      </c>
      <c r="Q58" s="717" t="str">
        <f ca="1">IFERROR(VLOOKUP(Q$2,Rango_Admin_DailyPred,MATCH($F58,Rango_Admin_DailyPred_Primera,0)+1,0),"-")</f>
        <v>-</v>
      </c>
      <c r="R58" s="717" t="str">
        <f ca="1">IFERROR(VLOOKUP(R$2,Rango_Admin_DailyPred,MATCH($F58,Rango_Admin_DailyPred_Primera,0)+1,0),"-")</f>
        <v>-</v>
      </c>
      <c r="S58" s="717" t="str">
        <f ca="1">IFERROR(VLOOKUP(S$2,Rango_Admin_DailyPred,MATCH($F58,Rango_Admin_DailyPred_Primera,0)+1,0),"-")</f>
        <v>-</v>
      </c>
      <c r="T58" s="717" t="str">
        <f ca="1">IFERROR(VLOOKUP(T$2,Rango_Admin_DailyPred,MATCH($F58,Rango_Admin_DailyPred_Primera,0)+1,0),"-")</f>
        <v>-</v>
      </c>
      <c r="U58" s="717" t="str">
        <f ca="1">IFERROR(VLOOKUP(U$2,Rango_Admin_DailyPred,MATCH($F58,Rango_Admin_DailyPred_Primera,0)+1,0),"-")</f>
        <v>-</v>
      </c>
      <c r="V58" s="717" t="str">
        <f ca="1">IFERROR(VLOOKUP(V$2,Rango_Admin_DailyPred,MATCH($F58,Rango_Admin_DailyPred_Primera,0)+1,0),"-")</f>
        <v>-</v>
      </c>
      <c r="W58" s="717" t="str">
        <f ca="1">IFERROR(VLOOKUP(W$2,Rango_Admin_DailyPred,MATCH($F58,Rango_Admin_DailyPred_Primera,0)+1,0),"-")</f>
        <v>-</v>
      </c>
      <c r="X58" s="717" t="str">
        <f ca="1">IFERROR(VLOOKUP(X$2,Rango_Admin_DailyPred,MATCH($F58,Rango_Admin_DailyPred_Primera,0)+1,0),"-")</f>
        <v>-</v>
      </c>
      <c r="Y58" s="717" t="str">
        <f ca="1">IFERROR(VLOOKUP(Y$2,Rango_Admin_DailyPred,MATCH($F58,Rango_Admin_DailyPred_Primera,0)+1,0),"-")</f>
        <v>-</v>
      </c>
      <c r="Z58" s="717" t="str">
        <f ca="1">IFERROR(VLOOKUP(Z$2,Rango_Admin_DailyPred,MATCH($F58,Rango_Admin_DailyPred_Primera,0)+1,0),"-")</f>
        <v>-</v>
      </c>
      <c r="AA58" s="717" t="str">
        <f ca="1">IFERROR(VLOOKUP(AA$2,Rango_Admin_DailyPred,MATCH($F58,Rango_Admin_DailyPred_Primera,0)+1,0),"-")</f>
        <v>-</v>
      </c>
      <c r="AB58" s="717" t="str">
        <f ca="1">IFERROR(VLOOKUP(AB$2,Rango_Admin_DailyPred,MATCH($F58,Rango_Admin_DailyPred_Primera,0)+1,0),"-")</f>
        <v>-</v>
      </c>
      <c r="AC58" s="717" t="str">
        <f ca="1">IFERROR(VLOOKUP(AC$2,Rango_Admin_DailyPred,MATCH($F58,Rango_Admin_DailyPred_Primera,0)+1,0),"-")</f>
        <v>-</v>
      </c>
      <c r="AD58" s="717" t="str">
        <f ca="1">IFERROR(VLOOKUP(AD$2,Rango_Admin_DailyPred,MATCH($F58,Rango_Admin_DailyPred_Primera,0)+1,0),"-")</f>
        <v>-</v>
      </c>
      <c r="AE58" s="717" t="str">
        <f ca="1">IFERROR(VLOOKUP(AE$2,Rango_Admin_DailyPred,MATCH($F58,Rango_Admin_DailyPred_Primera,0)+1,0),"-")</f>
        <v>-</v>
      </c>
      <c r="AF58" s="717" t="str">
        <f ca="1">IFERROR(VLOOKUP(AF$2,Rango_Admin_DailyPred,MATCH($F58,Rango_Admin_DailyPred_Primera,0)+1,0),"-")</f>
        <v>-</v>
      </c>
      <c r="AG58" s="717" t="str">
        <f ca="1">IFERROR(VLOOKUP(AG$2,Rango_Admin_DailyPred,MATCH($F58,Rango_Admin_DailyPred_Primera,0)+1,0),"-")</f>
        <v>-</v>
      </c>
      <c r="AH58" s="717" t="str">
        <f ca="1">IFERROR(VLOOKUP(AH$2,Rango_Admin_DailyPred,MATCH($F58,Rango_Admin_DailyPred_Primera,0)+1,0),"-")</f>
        <v>-</v>
      </c>
      <c r="AI58" s="717" t="str">
        <f ca="1">IFERROR(VLOOKUP(AI$2,Rango_Admin_DailyPred,MATCH($F58,Rango_Admin_DailyPred_Primera,0)+1,0),"-")</f>
        <v>-</v>
      </c>
      <c r="AJ58" s="717" t="str">
        <f ca="1">IFERROR(VLOOKUP(AJ$2,Rango_Admin_DailyPred,MATCH($F58,Rango_Admin_DailyPred_Primera,0)+1,0),"-")</f>
        <v>-</v>
      </c>
      <c r="AK58" s="717" t="str">
        <f ca="1">IFERROR(VLOOKUP(AK$2,Rango_Admin_DailyPred,MATCH($F58,Rango_Admin_DailyPred_Primera,0)+1,0),"-")</f>
        <v>-</v>
      </c>
      <c r="AL58" s="717" t="str">
        <f ca="1">IFERROR(VLOOKUP(AL$2,Rango_Admin_DailyPred,MATCH($F58,Rango_Admin_DailyPred_Primera,0)+1,0),"-")</f>
        <v>-</v>
      </c>
      <c r="AM58" s="717" t="str">
        <f ca="1">IFERROR(VLOOKUP(AM$2,Rango_Admin_DailyPred,MATCH($F58,Rango_Admin_DailyPred_Primera,0)+1,0),"-")</f>
        <v>-</v>
      </c>
    </row>
    <row r="59" spans="3:39">
      <c r="C59" s="8">
        <v>56</v>
      </c>
      <c r="E59" s="781" t="str">
        <f ca="1">IFERROR(HLOOKUP(C59,Rango_Admin_DailyClas,3,FALSE),"-")</f>
        <v>-</v>
      </c>
      <c r="F59" s="772" t="str">
        <f ca="1">IFERROR(HLOOKUP(C59,Rango_Admin_DailyClas,5,FALSE),"-")</f>
        <v>-</v>
      </c>
      <c r="G59" s="768" t="str">
        <f ca="1">IFERROR(HLOOKUP(C59,Rango_Admin_DailyClas,4,FALSE),"-")</f>
        <v>-</v>
      </c>
      <c r="H59" s="717" t="str">
        <f ca="1">IFERROR(VLOOKUP(H$2,Rango_Admin_DailyPred,MATCH($F59,Rango_Admin_DailyPred_Primera,0)+1,0),"-")</f>
        <v>-</v>
      </c>
      <c r="I59" s="717" t="str">
        <f ca="1">IFERROR(VLOOKUP(I$2,Rango_Admin_DailyPred,MATCH($F59,Rango_Admin_DailyPred_Primera,0)+1,0),"-")</f>
        <v>-</v>
      </c>
      <c r="J59" s="717" t="str">
        <f ca="1">IFERROR(VLOOKUP(J$2,Rango_Admin_DailyPred,MATCH($F59,Rango_Admin_DailyPred_Primera,0)+1,0),"-")</f>
        <v>-</v>
      </c>
      <c r="K59" s="717" t="str">
        <f ca="1">IFERROR(VLOOKUP(K$2,Rango_Admin_DailyPred,MATCH($F59,Rango_Admin_DailyPred_Primera,0)+1,0),"-")</f>
        <v>-</v>
      </c>
      <c r="L59" s="717" t="str">
        <f ca="1">IFERROR(VLOOKUP(L$2,Rango_Admin_DailyPred,MATCH($F59,Rango_Admin_DailyPred_Primera,0)+1,0),"-")</f>
        <v>-</v>
      </c>
      <c r="M59" s="717" t="str">
        <f ca="1">IFERROR(VLOOKUP(M$2,Rango_Admin_DailyPred,MATCH($F59,Rango_Admin_DailyPred_Primera,0)+1,0),"-")</f>
        <v>-</v>
      </c>
      <c r="N59" s="717" t="str">
        <f ca="1">IFERROR(VLOOKUP(N$2,Rango_Admin_DailyPred,MATCH($F59,Rango_Admin_DailyPred_Primera,0)+1,0),"-")</f>
        <v>-</v>
      </c>
      <c r="O59" s="717" t="str">
        <f ca="1">IFERROR(VLOOKUP(O$2,Rango_Admin_DailyPred,MATCH($F59,Rango_Admin_DailyPred_Primera,0)+1,0),"-")</f>
        <v>-</v>
      </c>
      <c r="P59" s="717" t="str">
        <f ca="1">IFERROR(VLOOKUP(P$2,Rango_Admin_DailyPred,MATCH($F59,Rango_Admin_DailyPred_Primera,0)+1,0),"-")</f>
        <v>-</v>
      </c>
      <c r="Q59" s="717" t="str">
        <f ca="1">IFERROR(VLOOKUP(Q$2,Rango_Admin_DailyPred,MATCH($F59,Rango_Admin_DailyPred_Primera,0)+1,0),"-")</f>
        <v>-</v>
      </c>
      <c r="R59" s="717" t="str">
        <f ca="1">IFERROR(VLOOKUP(R$2,Rango_Admin_DailyPred,MATCH($F59,Rango_Admin_DailyPred_Primera,0)+1,0),"-")</f>
        <v>-</v>
      </c>
      <c r="S59" s="717" t="str">
        <f ca="1">IFERROR(VLOOKUP(S$2,Rango_Admin_DailyPred,MATCH($F59,Rango_Admin_DailyPred_Primera,0)+1,0),"-")</f>
        <v>-</v>
      </c>
      <c r="T59" s="717" t="str">
        <f ca="1">IFERROR(VLOOKUP(T$2,Rango_Admin_DailyPred,MATCH($F59,Rango_Admin_DailyPred_Primera,0)+1,0),"-")</f>
        <v>-</v>
      </c>
      <c r="U59" s="717" t="str">
        <f ca="1">IFERROR(VLOOKUP(U$2,Rango_Admin_DailyPred,MATCH($F59,Rango_Admin_DailyPred_Primera,0)+1,0),"-")</f>
        <v>-</v>
      </c>
      <c r="V59" s="717" t="str">
        <f ca="1">IFERROR(VLOOKUP(V$2,Rango_Admin_DailyPred,MATCH($F59,Rango_Admin_DailyPred_Primera,0)+1,0),"-")</f>
        <v>-</v>
      </c>
      <c r="W59" s="717" t="str">
        <f ca="1">IFERROR(VLOOKUP(W$2,Rango_Admin_DailyPred,MATCH($F59,Rango_Admin_DailyPred_Primera,0)+1,0),"-")</f>
        <v>-</v>
      </c>
      <c r="X59" s="717" t="str">
        <f ca="1">IFERROR(VLOOKUP(X$2,Rango_Admin_DailyPred,MATCH($F59,Rango_Admin_DailyPred_Primera,0)+1,0),"-")</f>
        <v>-</v>
      </c>
      <c r="Y59" s="717" t="str">
        <f ca="1">IFERROR(VLOOKUP(Y$2,Rango_Admin_DailyPred,MATCH($F59,Rango_Admin_DailyPred_Primera,0)+1,0),"-")</f>
        <v>-</v>
      </c>
      <c r="Z59" s="717" t="str">
        <f ca="1">IFERROR(VLOOKUP(Z$2,Rango_Admin_DailyPred,MATCH($F59,Rango_Admin_DailyPred_Primera,0)+1,0),"-")</f>
        <v>-</v>
      </c>
      <c r="AA59" s="717" t="str">
        <f ca="1">IFERROR(VLOOKUP(AA$2,Rango_Admin_DailyPred,MATCH($F59,Rango_Admin_DailyPred_Primera,0)+1,0),"-")</f>
        <v>-</v>
      </c>
      <c r="AB59" s="717" t="str">
        <f ca="1">IFERROR(VLOOKUP(AB$2,Rango_Admin_DailyPred,MATCH($F59,Rango_Admin_DailyPred_Primera,0)+1,0),"-")</f>
        <v>-</v>
      </c>
      <c r="AC59" s="717" t="str">
        <f ca="1">IFERROR(VLOOKUP(AC$2,Rango_Admin_DailyPred,MATCH($F59,Rango_Admin_DailyPred_Primera,0)+1,0),"-")</f>
        <v>-</v>
      </c>
      <c r="AD59" s="717" t="str">
        <f ca="1">IFERROR(VLOOKUP(AD$2,Rango_Admin_DailyPred,MATCH($F59,Rango_Admin_DailyPred_Primera,0)+1,0),"-")</f>
        <v>-</v>
      </c>
      <c r="AE59" s="717" t="str">
        <f ca="1">IFERROR(VLOOKUP(AE$2,Rango_Admin_DailyPred,MATCH($F59,Rango_Admin_DailyPred_Primera,0)+1,0),"-")</f>
        <v>-</v>
      </c>
      <c r="AF59" s="717" t="str">
        <f ca="1">IFERROR(VLOOKUP(AF$2,Rango_Admin_DailyPred,MATCH($F59,Rango_Admin_DailyPred_Primera,0)+1,0),"-")</f>
        <v>-</v>
      </c>
      <c r="AG59" s="717" t="str">
        <f ca="1">IFERROR(VLOOKUP(AG$2,Rango_Admin_DailyPred,MATCH($F59,Rango_Admin_DailyPred_Primera,0)+1,0),"-")</f>
        <v>-</v>
      </c>
      <c r="AH59" s="717" t="str">
        <f ca="1">IFERROR(VLOOKUP(AH$2,Rango_Admin_DailyPred,MATCH($F59,Rango_Admin_DailyPred_Primera,0)+1,0),"-")</f>
        <v>-</v>
      </c>
      <c r="AI59" s="717" t="str">
        <f ca="1">IFERROR(VLOOKUP(AI$2,Rango_Admin_DailyPred,MATCH($F59,Rango_Admin_DailyPred_Primera,0)+1,0),"-")</f>
        <v>-</v>
      </c>
      <c r="AJ59" s="717" t="str">
        <f ca="1">IFERROR(VLOOKUP(AJ$2,Rango_Admin_DailyPred,MATCH($F59,Rango_Admin_DailyPred_Primera,0)+1,0),"-")</f>
        <v>-</v>
      </c>
      <c r="AK59" s="717" t="str">
        <f ca="1">IFERROR(VLOOKUP(AK$2,Rango_Admin_DailyPred,MATCH($F59,Rango_Admin_DailyPred_Primera,0)+1,0),"-")</f>
        <v>-</v>
      </c>
      <c r="AL59" s="717" t="str">
        <f ca="1">IFERROR(VLOOKUP(AL$2,Rango_Admin_DailyPred,MATCH($F59,Rango_Admin_DailyPred_Primera,0)+1,0),"-")</f>
        <v>-</v>
      </c>
      <c r="AM59" s="717" t="str">
        <f ca="1">IFERROR(VLOOKUP(AM$2,Rango_Admin_DailyPred,MATCH($F59,Rango_Admin_DailyPred_Primera,0)+1,0),"-")</f>
        <v>-</v>
      </c>
    </row>
    <row r="60" spans="3:39">
      <c r="C60" s="8">
        <v>57</v>
      </c>
      <c r="E60" s="781" t="str">
        <f ca="1">IFERROR(HLOOKUP(C60,Rango_Admin_DailyClas,3,FALSE),"-")</f>
        <v>-</v>
      </c>
      <c r="F60" s="772" t="str">
        <f ca="1">IFERROR(HLOOKUP(C60,Rango_Admin_DailyClas,5,FALSE),"-")</f>
        <v>-</v>
      </c>
      <c r="G60" s="768" t="str">
        <f ca="1">IFERROR(HLOOKUP(C60,Rango_Admin_DailyClas,4,FALSE),"-")</f>
        <v>-</v>
      </c>
      <c r="H60" s="717" t="str">
        <f ca="1">IFERROR(VLOOKUP(H$2,Rango_Admin_DailyPred,MATCH($F60,Rango_Admin_DailyPred_Primera,0)+1,0),"-")</f>
        <v>-</v>
      </c>
      <c r="I60" s="717" t="str">
        <f ca="1">IFERROR(VLOOKUP(I$2,Rango_Admin_DailyPred,MATCH($F60,Rango_Admin_DailyPred_Primera,0)+1,0),"-")</f>
        <v>-</v>
      </c>
      <c r="J60" s="717" t="str">
        <f ca="1">IFERROR(VLOOKUP(J$2,Rango_Admin_DailyPred,MATCH($F60,Rango_Admin_DailyPred_Primera,0)+1,0),"-")</f>
        <v>-</v>
      </c>
      <c r="K60" s="717" t="str">
        <f ca="1">IFERROR(VLOOKUP(K$2,Rango_Admin_DailyPred,MATCH($F60,Rango_Admin_DailyPred_Primera,0)+1,0),"-")</f>
        <v>-</v>
      </c>
      <c r="L60" s="717" t="str">
        <f ca="1">IFERROR(VLOOKUP(L$2,Rango_Admin_DailyPred,MATCH($F60,Rango_Admin_DailyPred_Primera,0)+1,0),"-")</f>
        <v>-</v>
      </c>
      <c r="M60" s="717" t="str">
        <f ca="1">IFERROR(VLOOKUP(M$2,Rango_Admin_DailyPred,MATCH($F60,Rango_Admin_DailyPred_Primera,0)+1,0),"-")</f>
        <v>-</v>
      </c>
      <c r="N60" s="717" t="str">
        <f ca="1">IFERROR(VLOOKUP(N$2,Rango_Admin_DailyPred,MATCH($F60,Rango_Admin_DailyPred_Primera,0)+1,0),"-")</f>
        <v>-</v>
      </c>
      <c r="O60" s="717" t="str">
        <f ca="1">IFERROR(VLOOKUP(O$2,Rango_Admin_DailyPred,MATCH($F60,Rango_Admin_DailyPred_Primera,0)+1,0),"-")</f>
        <v>-</v>
      </c>
      <c r="P60" s="717" t="str">
        <f ca="1">IFERROR(VLOOKUP(P$2,Rango_Admin_DailyPred,MATCH($F60,Rango_Admin_DailyPred_Primera,0)+1,0),"-")</f>
        <v>-</v>
      </c>
      <c r="Q60" s="717" t="str">
        <f ca="1">IFERROR(VLOOKUP(Q$2,Rango_Admin_DailyPred,MATCH($F60,Rango_Admin_DailyPred_Primera,0)+1,0),"-")</f>
        <v>-</v>
      </c>
      <c r="R60" s="717" t="str">
        <f ca="1">IFERROR(VLOOKUP(R$2,Rango_Admin_DailyPred,MATCH($F60,Rango_Admin_DailyPred_Primera,0)+1,0),"-")</f>
        <v>-</v>
      </c>
      <c r="S60" s="717" t="str">
        <f ca="1">IFERROR(VLOOKUP(S$2,Rango_Admin_DailyPred,MATCH($F60,Rango_Admin_DailyPred_Primera,0)+1,0),"-")</f>
        <v>-</v>
      </c>
      <c r="T60" s="717" t="str">
        <f ca="1">IFERROR(VLOOKUP(T$2,Rango_Admin_DailyPred,MATCH($F60,Rango_Admin_DailyPred_Primera,0)+1,0),"-")</f>
        <v>-</v>
      </c>
      <c r="U60" s="717" t="str">
        <f ca="1">IFERROR(VLOOKUP(U$2,Rango_Admin_DailyPred,MATCH($F60,Rango_Admin_DailyPred_Primera,0)+1,0),"-")</f>
        <v>-</v>
      </c>
      <c r="V60" s="717" t="str">
        <f ca="1">IFERROR(VLOOKUP(V$2,Rango_Admin_DailyPred,MATCH($F60,Rango_Admin_DailyPred_Primera,0)+1,0),"-")</f>
        <v>-</v>
      </c>
      <c r="W60" s="717" t="str">
        <f ca="1">IFERROR(VLOOKUP(W$2,Rango_Admin_DailyPred,MATCH($F60,Rango_Admin_DailyPred_Primera,0)+1,0),"-")</f>
        <v>-</v>
      </c>
      <c r="X60" s="717" t="str">
        <f ca="1">IFERROR(VLOOKUP(X$2,Rango_Admin_DailyPred,MATCH($F60,Rango_Admin_DailyPred_Primera,0)+1,0),"-")</f>
        <v>-</v>
      </c>
      <c r="Y60" s="717" t="str">
        <f ca="1">IFERROR(VLOOKUP(Y$2,Rango_Admin_DailyPred,MATCH($F60,Rango_Admin_DailyPred_Primera,0)+1,0),"-")</f>
        <v>-</v>
      </c>
      <c r="Z60" s="717" t="str">
        <f ca="1">IFERROR(VLOOKUP(Z$2,Rango_Admin_DailyPred,MATCH($F60,Rango_Admin_DailyPred_Primera,0)+1,0),"-")</f>
        <v>-</v>
      </c>
      <c r="AA60" s="717" t="str">
        <f ca="1">IFERROR(VLOOKUP(AA$2,Rango_Admin_DailyPred,MATCH($F60,Rango_Admin_DailyPred_Primera,0)+1,0),"-")</f>
        <v>-</v>
      </c>
      <c r="AB60" s="717" t="str">
        <f ca="1">IFERROR(VLOOKUP(AB$2,Rango_Admin_DailyPred,MATCH($F60,Rango_Admin_DailyPred_Primera,0)+1,0),"-")</f>
        <v>-</v>
      </c>
      <c r="AC60" s="717" t="str">
        <f ca="1">IFERROR(VLOOKUP(AC$2,Rango_Admin_DailyPred,MATCH($F60,Rango_Admin_DailyPred_Primera,0)+1,0),"-")</f>
        <v>-</v>
      </c>
      <c r="AD60" s="717" t="str">
        <f ca="1">IFERROR(VLOOKUP(AD$2,Rango_Admin_DailyPred,MATCH($F60,Rango_Admin_DailyPred_Primera,0)+1,0),"-")</f>
        <v>-</v>
      </c>
      <c r="AE60" s="717" t="str">
        <f ca="1">IFERROR(VLOOKUP(AE$2,Rango_Admin_DailyPred,MATCH($F60,Rango_Admin_DailyPred_Primera,0)+1,0),"-")</f>
        <v>-</v>
      </c>
      <c r="AF60" s="717" t="str">
        <f ca="1">IFERROR(VLOOKUP(AF$2,Rango_Admin_DailyPred,MATCH($F60,Rango_Admin_DailyPred_Primera,0)+1,0),"-")</f>
        <v>-</v>
      </c>
      <c r="AG60" s="717" t="str">
        <f ca="1">IFERROR(VLOOKUP(AG$2,Rango_Admin_DailyPred,MATCH($F60,Rango_Admin_DailyPred_Primera,0)+1,0),"-")</f>
        <v>-</v>
      </c>
      <c r="AH60" s="717" t="str">
        <f ca="1">IFERROR(VLOOKUP(AH$2,Rango_Admin_DailyPred,MATCH($F60,Rango_Admin_DailyPred_Primera,0)+1,0),"-")</f>
        <v>-</v>
      </c>
      <c r="AI60" s="717" t="str">
        <f ca="1">IFERROR(VLOOKUP(AI$2,Rango_Admin_DailyPred,MATCH($F60,Rango_Admin_DailyPred_Primera,0)+1,0),"-")</f>
        <v>-</v>
      </c>
      <c r="AJ60" s="717" t="str">
        <f ca="1">IFERROR(VLOOKUP(AJ$2,Rango_Admin_DailyPred,MATCH($F60,Rango_Admin_DailyPred_Primera,0)+1,0),"-")</f>
        <v>-</v>
      </c>
      <c r="AK60" s="717" t="str">
        <f ca="1">IFERROR(VLOOKUP(AK$2,Rango_Admin_DailyPred,MATCH($F60,Rango_Admin_DailyPred_Primera,0)+1,0),"-")</f>
        <v>-</v>
      </c>
      <c r="AL60" s="717" t="str">
        <f ca="1">IFERROR(VLOOKUP(AL$2,Rango_Admin_DailyPred,MATCH($F60,Rango_Admin_DailyPred_Primera,0)+1,0),"-")</f>
        <v>-</v>
      </c>
      <c r="AM60" s="717" t="str">
        <f ca="1">IFERROR(VLOOKUP(AM$2,Rango_Admin_DailyPred,MATCH($F60,Rango_Admin_DailyPred_Primera,0)+1,0),"-")</f>
        <v>-</v>
      </c>
    </row>
    <row r="61" spans="3:39">
      <c r="C61" s="8">
        <v>58</v>
      </c>
      <c r="E61" s="781" t="str">
        <f ca="1">IFERROR(HLOOKUP(C61,Rango_Admin_DailyClas,3,FALSE),"-")</f>
        <v>-</v>
      </c>
      <c r="F61" s="772" t="str">
        <f ca="1">IFERROR(HLOOKUP(C61,Rango_Admin_DailyClas,5,FALSE),"-")</f>
        <v>-</v>
      </c>
      <c r="G61" s="768" t="str">
        <f ca="1">IFERROR(HLOOKUP(C61,Rango_Admin_DailyClas,4,FALSE),"-")</f>
        <v>-</v>
      </c>
      <c r="H61" s="717" t="str">
        <f ca="1">IFERROR(VLOOKUP(H$2,Rango_Admin_DailyPred,MATCH($F61,Rango_Admin_DailyPred_Primera,0)+1,0),"-")</f>
        <v>-</v>
      </c>
      <c r="I61" s="717" t="str">
        <f ca="1">IFERROR(VLOOKUP(I$2,Rango_Admin_DailyPred,MATCH($F61,Rango_Admin_DailyPred_Primera,0)+1,0),"-")</f>
        <v>-</v>
      </c>
      <c r="J61" s="717" t="str">
        <f ca="1">IFERROR(VLOOKUP(J$2,Rango_Admin_DailyPred,MATCH($F61,Rango_Admin_DailyPred_Primera,0)+1,0),"-")</f>
        <v>-</v>
      </c>
      <c r="K61" s="717" t="str">
        <f ca="1">IFERROR(VLOOKUP(K$2,Rango_Admin_DailyPred,MATCH($F61,Rango_Admin_DailyPred_Primera,0)+1,0),"-")</f>
        <v>-</v>
      </c>
      <c r="L61" s="717" t="str">
        <f ca="1">IFERROR(VLOOKUP(L$2,Rango_Admin_DailyPred,MATCH($F61,Rango_Admin_DailyPred_Primera,0)+1,0),"-")</f>
        <v>-</v>
      </c>
      <c r="M61" s="717" t="str">
        <f ca="1">IFERROR(VLOOKUP(M$2,Rango_Admin_DailyPred,MATCH($F61,Rango_Admin_DailyPred_Primera,0)+1,0),"-")</f>
        <v>-</v>
      </c>
      <c r="N61" s="717" t="str">
        <f ca="1">IFERROR(VLOOKUP(N$2,Rango_Admin_DailyPred,MATCH($F61,Rango_Admin_DailyPred_Primera,0)+1,0),"-")</f>
        <v>-</v>
      </c>
      <c r="O61" s="717" t="str">
        <f ca="1">IFERROR(VLOOKUP(O$2,Rango_Admin_DailyPred,MATCH($F61,Rango_Admin_DailyPred_Primera,0)+1,0),"-")</f>
        <v>-</v>
      </c>
      <c r="P61" s="717" t="str">
        <f ca="1">IFERROR(VLOOKUP(P$2,Rango_Admin_DailyPred,MATCH($F61,Rango_Admin_DailyPred_Primera,0)+1,0),"-")</f>
        <v>-</v>
      </c>
      <c r="Q61" s="717" t="str">
        <f ca="1">IFERROR(VLOOKUP(Q$2,Rango_Admin_DailyPred,MATCH($F61,Rango_Admin_DailyPred_Primera,0)+1,0),"-")</f>
        <v>-</v>
      </c>
      <c r="R61" s="717" t="str">
        <f ca="1">IFERROR(VLOOKUP(R$2,Rango_Admin_DailyPred,MATCH($F61,Rango_Admin_DailyPred_Primera,0)+1,0),"-")</f>
        <v>-</v>
      </c>
      <c r="S61" s="717" t="str">
        <f ca="1">IFERROR(VLOOKUP(S$2,Rango_Admin_DailyPred,MATCH($F61,Rango_Admin_DailyPred_Primera,0)+1,0),"-")</f>
        <v>-</v>
      </c>
      <c r="T61" s="717" t="str">
        <f ca="1">IFERROR(VLOOKUP(T$2,Rango_Admin_DailyPred,MATCH($F61,Rango_Admin_DailyPred_Primera,0)+1,0),"-")</f>
        <v>-</v>
      </c>
      <c r="U61" s="717" t="str">
        <f ca="1">IFERROR(VLOOKUP(U$2,Rango_Admin_DailyPred,MATCH($F61,Rango_Admin_DailyPred_Primera,0)+1,0),"-")</f>
        <v>-</v>
      </c>
      <c r="V61" s="717" t="str">
        <f ca="1">IFERROR(VLOOKUP(V$2,Rango_Admin_DailyPred,MATCH($F61,Rango_Admin_DailyPred_Primera,0)+1,0),"-")</f>
        <v>-</v>
      </c>
      <c r="W61" s="717" t="str">
        <f ca="1">IFERROR(VLOOKUP(W$2,Rango_Admin_DailyPred,MATCH($F61,Rango_Admin_DailyPred_Primera,0)+1,0),"-")</f>
        <v>-</v>
      </c>
      <c r="X61" s="717" t="str">
        <f ca="1">IFERROR(VLOOKUP(X$2,Rango_Admin_DailyPred,MATCH($F61,Rango_Admin_DailyPred_Primera,0)+1,0),"-")</f>
        <v>-</v>
      </c>
      <c r="Y61" s="717" t="str">
        <f ca="1">IFERROR(VLOOKUP(Y$2,Rango_Admin_DailyPred,MATCH($F61,Rango_Admin_DailyPred_Primera,0)+1,0),"-")</f>
        <v>-</v>
      </c>
      <c r="Z61" s="717" t="str">
        <f ca="1">IFERROR(VLOOKUP(Z$2,Rango_Admin_DailyPred,MATCH($F61,Rango_Admin_DailyPred_Primera,0)+1,0),"-")</f>
        <v>-</v>
      </c>
      <c r="AA61" s="717" t="str">
        <f ca="1">IFERROR(VLOOKUP(AA$2,Rango_Admin_DailyPred,MATCH($F61,Rango_Admin_DailyPred_Primera,0)+1,0),"-")</f>
        <v>-</v>
      </c>
      <c r="AB61" s="717" t="str">
        <f ca="1">IFERROR(VLOOKUP(AB$2,Rango_Admin_DailyPred,MATCH($F61,Rango_Admin_DailyPred_Primera,0)+1,0),"-")</f>
        <v>-</v>
      </c>
      <c r="AC61" s="717" t="str">
        <f ca="1">IFERROR(VLOOKUP(AC$2,Rango_Admin_DailyPred,MATCH($F61,Rango_Admin_DailyPred_Primera,0)+1,0),"-")</f>
        <v>-</v>
      </c>
      <c r="AD61" s="717" t="str">
        <f ca="1">IFERROR(VLOOKUP(AD$2,Rango_Admin_DailyPred,MATCH($F61,Rango_Admin_DailyPred_Primera,0)+1,0),"-")</f>
        <v>-</v>
      </c>
      <c r="AE61" s="717" t="str">
        <f ca="1">IFERROR(VLOOKUP(AE$2,Rango_Admin_DailyPred,MATCH($F61,Rango_Admin_DailyPred_Primera,0)+1,0),"-")</f>
        <v>-</v>
      </c>
      <c r="AF61" s="717" t="str">
        <f ca="1">IFERROR(VLOOKUP(AF$2,Rango_Admin_DailyPred,MATCH($F61,Rango_Admin_DailyPred_Primera,0)+1,0),"-")</f>
        <v>-</v>
      </c>
      <c r="AG61" s="717" t="str">
        <f ca="1">IFERROR(VLOOKUP(AG$2,Rango_Admin_DailyPred,MATCH($F61,Rango_Admin_DailyPred_Primera,0)+1,0),"-")</f>
        <v>-</v>
      </c>
      <c r="AH61" s="717" t="str">
        <f ca="1">IFERROR(VLOOKUP(AH$2,Rango_Admin_DailyPred,MATCH($F61,Rango_Admin_DailyPred_Primera,0)+1,0),"-")</f>
        <v>-</v>
      </c>
      <c r="AI61" s="717" t="str">
        <f ca="1">IFERROR(VLOOKUP(AI$2,Rango_Admin_DailyPred,MATCH($F61,Rango_Admin_DailyPred_Primera,0)+1,0),"-")</f>
        <v>-</v>
      </c>
      <c r="AJ61" s="717" t="str">
        <f ca="1">IFERROR(VLOOKUP(AJ$2,Rango_Admin_DailyPred,MATCH($F61,Rango_Admin_DailyPred_Primera,0)+1,0),"-")</f>
        <v>-</v>
      </c>
      <c r="AK61" s="717" t="str">
        <f ca="1">IFERROR(VLOOKUP(AK$2,Rango_Admin_DailyPred,MATCH($F61,Rango_Admin_DailyPred_Primera,0)+1,0),"-")</f>
        <v>-</v>
      </c>
      <c r="AL61" s="717" t="str">
        <f ca="1">IFERROR(VLOOKUP(AL$2,Rango_Admin_DailyPred,MATCH($F61,Rango_Admin_DailyPred_Primera,0)+1,0),"-")</f>
        <v>-</v>
      </c>
      <c r="AM61" s="717" t="str">
        <f ca="1">IFERROR(VLOOKUP(AM$2,Rango_Admin_DailyPred,MATCH($F61,Rango_Admin_DailyPred_Primera,0)+1,0),"-")</f>
        <v>-</v>
      </c>
    </row>
    <row r="62" spans="3:39">
      <c r="C62" s="8">
        <v>59</v>
      </c>
      <c r="E62" s="781" t="str">
        <f ca="1">IFERROR(HLOOKUP(C62,Rango_Admin_DailyClas,3,FALSE),"-")</f>
        <v>-</v>
      </c>
      <c r="F62" s="772" t="str">
        <f ca="1">IFERROR(HLOOKUP(C62,Rango_Admin_DailyClas,5,FALSE),"-")</f>
        <v>-</v>
      </c>
      <c r="G62" s="768" t="str">
        <f ca="1">IFERROR(HLOOKUP(C62,Rango_Admin_DailyClas,4,FALSE),"-")</f>
        <v>-</v>
      </c>
      <c r="H62" s="717" t="str">
        <f ca="1">IFERROR(VLOOKUP(H$2,Rango_Admin_DailyPred,MATCH($F62,Rango_Admin_DailyPred_Primera,0)+1,0),"-")</f>
        <v>-</v>
      </c>
      <c r="I62" s="717" t="str">
        <f ca="1">IFERROR(VLOOKUP(I$2,Rango_Admin_DailyPred,MATCH($F62,Rango_Admin_DailyPred_Primera,0)+1,0),"-")</f>
        <v>-</v>
      </c>
      <c r="J62" s="717" t="str">
        <f ca="1">IFERROR(VLOOKUP(J$2,Rango_Admin_DailyPred,MATCH($F62,Rango_Admin_DailyPred_Primera,0)+1,0),"-")</f>
        <v>-</v>
      </c>
      <c r="K62" s="717" t="str">
        <f ca="1">IFERROR(VLOOKUP(K$2,Rango_Admin_DailyPred,MATCH($F62,Rango_Admin_DailyPred_Primera,0)+1,0),"-")</f>
        <v>-</v>
      </c>
      <c r="L62" s="717" t="str">
        <f ca="1">IFERROR(VLOOKUP(L$2,Rango_Admin_DailyPred,MATCH($F62,Rango_Admin_DailyPred_Primera,0)+1,0),"-")</f>
        <v>-</v>
      </c>
      <c r="M62" s="717" t="str">
        <f ca="1">IFERROR(VLOOKUP(M$2,Rango_Admin_DailyPred,MATCH($F62,Rango_Admin_DailyPred_Primera,0)+1,0),"-")</f>
        <v>-</v>
      </c>
      <c r="N62" s="717" t="str">
        <f ca="1">IFERROR(VLOOKUP(N$2,Rango_Admin_DailyPred,MATCH($F62,Rango_Admin_DailyPred_Primera,0)+1,0),"-")</f>
        <v>-</v>
      </c>
      <c r="O62" s="717" t="str">
        <f ca="1">IFERROR(VLOOKUP(O$2,Rango_Admin_DailyPred,MATCH($F62,Rango_Admin_DailyPred_Primera,0)+1,0),"-")</f>
        <v>-</v>
      </c>
      <c r="P62" s="717" t="str">
        <f ca="1">IFERROR(VLOOKUP(P$2,Rango_Admin_DailyPred,MATCH($F62,Rango_Admin_DailyPred_Primera,0)+1,0),"-")</f>
        <v>-</v>
      </c>
      <c r="Q62" s="717" t="str">
        <f ca="1">IFERROR(VLOOKUP(Q$2,Rango_Admin_DailyPred,MATCH($F62,Rango_Admin_DailyPred_Primera,0)+1,0),"-")</f>
        <v>-</v>
      </c>
      <c r="R62" s="717" t="str">
        <f ca="1">IFERROR(VLOOKUP(R$2,Rango_Admin_DailyPred,MATCH($F62,Rango_Admin_DailyPred_Primera,0)+1,0),"-")</f>
        <v>-</v>
      </c>
      <c r="S62" s="717" t="str">
        <f ca="1">IFERROR(VLOOKUP(S$2,Rango_Admin_DailyPred,MATCH($F62,Rango_Admin_DailyPred_Primera,0)+1,0),"-")</f>
        <v>-</v>
      </c>
      <c r="T62" s="717" t="str">
        <f ca="1">IFERROR(VLOOKUP(T$2,Rango_Admin_DailyPred,MATCH($F62,Rango_Admin_DailyPred_Primera,0)+1,0),"-")</f>
        <v>-</v>
      </c>
      <c r="U62" s="717" t="str">
        <f ca="1">IFERROR(VLOOKUP(U$2,Rango_Admin_DailyPred,MATCH($F62,Rango_Admin_DailyPred_Primera,0)+1,0),"-")</f>
        <v>-</v>
      </c>
      <c r="V62" s="717" t="str">
        <f ca="1">IFERROR(VLOOKUP(V$2,Rango_Admin_DailyPred,MATCH($F62,Rango_Admin_DailyPred_Primera,0)+1,0),"-")</f>
        <v>-</v>
      </c>
      <c r="W62" s="717" t="str">
        <f ca="1">IFERROR(VLOOKUP(W$2,Rango_Admin_DailyPred,MATCH($F62,Rango_Admin_DailyPred_Primera,0)+1,0),"-")</f>
        <v>-</v>
      </c>
      <c r="X62" s="717" t="str">
        <f ca="1">IFERROR(VLOOKUP(X$2,Rango_Admin_DailyPred,MATCH($F62,Rango_Admin_DailyPred_Primera,0)+1,0),"-")</f>
        <v>-</v>
      </c>
      <c r="Y62" s="717" t="str">
        <f ca="1">IFERROR(VLOOKUP(Y$2,Rango_Admin_DailyPred,MATCH($F62,Rango_Admin_DailyPred_Primera,0)+1,0),"-")</f>
        <v>-</v>
      </c>
      <c r="Z62" s="717" t="str">
        <f ca="1">IFERROR(VLOOKUP(Z$2,Rango_Admin_DailyPred,MATCH($F62,Rango_Admin_DailyPred_Primera,0)+1,0),"-")</f>
        <v>-</v>
      </c>
      <c r="AA62" s="717" t="str">
        <f ca="1">IFERROR(VLOOKUP(AA$2,Rango_Admin_DailyPred,MATCH($F62,Rango_Admin_DailyPred_Primera,0)+1,0),"-")</f>
        <v>-</v>
      </c>
      <c r="AB62" s="717" t="str">
        <f ca="1">IFERROR(VLOOKUP(AB$2,Rango_Admin_DailyPred,MATCH($F62,Rango_Admin_DailyPred_Primera,0)+1,0),"-")</f>
        <v>-</v>
      </c>
      <c r="AC62" s="717" t="str">
        <f ca="1">IFERROR(VLOOKUP(AC$2,Rango_Admin_DailyPred,MATCH($F62,Rango_Admin_DailyPred_Primera,0)+1,0),"-")</f>
        <v>-</v>
      </c>
      <c r="AD62" s="717" t="str">
        <f ca="1">IFERROR(VLOOKUP(AD$2,Rango_Admin_DailyPred,MATCH($F62,Rango_Admin_DailyPred_Primera,0)+1,0),"-")</f>
        <v>-</v>
      </c>
      <c r="AE62" s="717" t="str">
        <f ca="1">IFERROR(VLOOKUP(AE$2,Rango_Admin_DailyPred,MATCH($F62,Rango_Admin_DailyPred_Primera,0)+1,0),"-")</f>
        <v>-</v>
      </c>
      <c r="AF62" s="717" t="str">
        <f ca="1">IFERROR(VLOOKUP(AF$2,Rango_Admin_DailyPred,MATCH($F62,Rango_Admin_DailyPred_Primera,0)+1,0),"-")</f>
        <v>-</v>
      </c>
      <c r="AG62" s="717" t="str">
        <f ca="1">IFERROR(VLOOKUP(AG$2,Rango_Admin_DailyPred,MATCH($F62,Rango_Admin_DailyPred_Primera,0)+1,0),"-")</f>
        <v>-</v>
      </c>
      <c r="AH62" s="717" t="str">
        <f ca="1">IFERROR(VLOOKUP(AH$2,Rango_Admin_DailyPred,MATCH($F62,Rango_Admin_DailyPred_Primera,0)+1,0),"-")</f>
        <v>-</v>
      </c>
      <c r="AI62" s="717" t="str">
        <f ca="1">IFERROR(VLOOKUP(AI$2,Rango_Admin_DailyPred,MATCH($F62,Rango_Admin_DailyPred_Primera,0)+1,0),"-")</f>
        <v>-</v>
      </c>
      <c r="AJ62" s="717" t="str">
        <f ca="1">IFERROR(VLOOKUP(AJ$2,Rango_Admin_DailyPred,MATCH($F62,Rango_Admin_DailyPred_Primera,0)+1,0),"-")</f>
        <v>-</v>
      </c>
      <c r="AK62" s="717" t="str">
        <f ca="1">IFERROR(VLOOKUP(AK$2,Rango_Admin_DailyPred,MATCH($F62,Rango_Admin_DailyPred_Primera,0)+1,0),"-")</f>
        <v>-</v>
      </c>
      <c r="AL62" s="717" t="str">
        <f ca="1">IFERROR(VLOOKUP(AL$2,Rango_Admin_DailyPred,MATCH($F62,Rango_Admin_DailyPred_Primera,0)+1,0),"-")</f>
        <v>-</v>
      </c>
      <c r="AM62" s="717" t="str">
        <f ca="1">IFERROR(VLOOKUP(AM$2,Rango_Admin_DailyPred,MATCH($F62,Rango_Admin_DailyPred_Primera,0)+1,0),"-")</f>
        <v>-</v>
      </c>
    </row>
    <row r="63" spans="3:39">
      <c r="C63" s="8">
        <v>60</v>
      </c>
      <c r="E63" s="781" t="str">
        <f ca="1">IFERROR(HLOOKUP(C63,Rango_Admin_DailyClas,3,FALSE),"-")</f>
        <v>-</v>
      </c>
      <c r="F63" s="772" t="str">
        <f ca="1">IFERROR(HLOOKUP(C63,Rango_Admin_DailyClas,5,FALSE),"-")</f>
        <v>-</v>
      </c>
      <c r="G63" s="768" t="str">
        <f ca="1">IFERROR(HLOOKUP(C63,Rango_Admin_DailyClas,4,FALSE),"-")</f>
        <v>-</v>
      </c>
      <c r="H63" s="717" t="str">
        <f ca="1">IFERROR(VLOOKUP(H$2,Rango_Admin_DailyPred,MATCH($F63,Rango_Admin_DailyPred_Primera,0)+1,0),"-")</f>
        <v>-</v>
      </c>
      <c r="I63" s="717" t="str">
        <f ca="1">IFERROR(VLOOKUP(I$2,Rango_Admin_DailyPred,MATCH($F63,Rango_Admin_DailyPred_Primera,0)+1,0),"-")</f>
        <v>-</v>
      </c>
      <c r="J63" s="717" t="str">
        <f ca="1">IFERROR(VLOOKUP(J$2,Rango_Admin_DailyPred,MATCH($F63,Rango_Admin_DailyPred_Primera,0)+1,0),"-")</f>
        <v>-</v>
      </c>
      <c r="K63" s="717" t="str">
        <f ca="1">IFERROR(VLOOKUP(K$2,Rango_Admin_DailyPred,MATCH($F63,Rango_Admin_DailyPred_Primera,0)+1,0),"-")</f>
        <v>-</v>
      </c>
      <c r="L63" s="717" t="str">
        <f ca="1">IFERROR(VLOOKUP(L$2,Rango_Admin_DailyPred,MATCH($F63,Rango_Admin_DailyPred_Primera,0)+1,0),"-")</f>
        <v>-</v>
      </c>
      <c r="M63" s="717" t="str">
        <f ca="1">IFERROR(VLOOKUP(M$2,Rango_Admin_DailyPred,MATCH($F63,Rango_Admin_DailyPred_Primera,0)+1,0),"-")</f>
        <v>-</v>
      </c>
      <c r="N63" s="717" t="str">
        <f ca="1">IFERROR(VLOOKUP(N$2,Rango_Admin_DailyPred,MATCH($F63,Rango_Admin_DailyPred_Primera,0)+1,0),"-")</f>
        <v>-</v>
      </c>
      <c r="O63" s="717" t="str">
        <f ca="1">IFERROR(VLOOKUP(O$2,Rango_Admin_DailyPred,MATCH($F63,Rango_Admin_DailyPred_Primera,0)+1,0),"-")</f>
        <v>-</v>
      </c>
      <c r="P63" s="717" t="str">
        <f ca="1">IFERROR(VLOOKUP(P$2,Rango_Admin_DailyPred,MATCH($F63,Rango_Admin_DailyPred_Primera,0)+1,0),"-")</f>
        <v>-</v>
      </c>
      <c r="Q63" s="717" t="str">
        <f ca="1">IFERROR(VLOOKUP(Q$2,Rango_Admin_DailyPred,MATCH($F63,Rango_Admin_DailyPred_Primera,0)+1,0),"-")</f>
        <v>-</v>
      </c>
      <c r="R63" s="717" t="str">
        <f ca="1">IFERROR(VLOOKUP(R$2,Rango_Admin_DailyPred,MATCH($F63,Rango_Admin_DailyPred_Primera,0)+1,0),"-")</f>
        <v>-</v>
      </c>
      <c r="S63" s="717" t="str">
        <f ca="1">IFERROR(VLOOKUP(S$2,Rango_Admin_DailyPred,MATCH($F63,Rango_Admin_DailyPred_Primera,0)+1,0),"-")</f>
        <v>-</v>
      </c>
      <c r="T63" s="717" t="str">
        <f ca="1">IFERROR(VLOOKUP(T$2,Rango_Admin_DailyPred,MATCH($F63,Rango_Admin_DailyPred_Primera,0)+1,0),"-")</f>
        <v>-</v>
      </c>
      <c r="U63" s="717" t="str">
        <f ca="1">IFERROR(VLOOKUP(U$2,Rango_Admin_DailyPred,MATCH($F63,Rango_Admin_DailyPred_Primera,0)+1,0),"-")</f>
        <v>-</v>
      </c>
      <c r="V63" s="717" t="str">
        <f ca="1">IFERROR(VLOOKUP(V$2,Rango_Admin_DailyPred,MATCH($F63,Rango_Admin_DailyPred_Primera,0)+1,0),"-")</f>
        <v>-</v>
      </c>
      <c r="W63" s="717" t="str">
        <f ca="1">IFERROR(VLOOKUP(W$2,Rango_Admin_DailyPred,MATCH($F63,Rango_Admin_DailyPred_Primera,0)+1,0),"-")</f>
        <v>-</v>
      </c>
      <c r="X63" s="717" t="str">
        <f ca="1">IFERROR(VLOOKUP(X$2,Rango_Admin_DailyPred,MATCH($F63,Rango_Admin_DailyPred_Primera,0)+1,0),"-")</f>
        <v>-</v>
      </c>
      <c r="Y63" s="717" t="str">
        <f ca="1">IFERROR(VLOOKUP(Y$2,Rango_Admin_DailyPred,MATCH($F63,Rango_Admin_DailyPred_Primera,0)+1,0),"-")</f>
        <v>-</v>
      </c>
      <c r="Z63" s="717" t="str">
        <f ca="1">IFERROR(VLOOKUP(Z$2,Rango_Admin_DailyPred,MATCH($F63,Rango_Admin_DailyPred_Primera,0)+1,0),"-")</f>
        <v>-</v>
      </c>
      <c r="AA63" s="717" t="str">
        <f ca="1">IFERROR(VLOOKUP(AA$2,Rango_Admin_DailyPred,MATCH($F63,Rango_Admin_DailyPred_Primera,0)+1,0),"-")</f>
        <v>-</v>
      </c>
      <c r="AB63" s="717" t="str">
        <f ca="1">IFERROR(VLOOKUP(AB$2,Rango_Admin_DailyPred,MATCH($F63,Rango_Admin_DailyPred_Primera,0)+1,0),"-")</f>
        <v>-</v>
      </c>
      <c r="AC63" s="717" t="str">
        <f ca="1">IFERROR(VLOOKUP(AC$2,Rango_Admin_DailyPred,MATCH($F63,Rango_Admin_DailyPred_Primera,0)+1,0),"-")</f>
        <v>-</v>
      </c>
      <c r="AD63" s="717" t="str">
        <f ca="1">IFERROR(VLOOKUP(AD$2,Rango_Admin_DailyPred,MATCH($F63,Rango_Admin_DailyPred_Primera,0)+1,0),"-")</f>
        <v>-</v>
      </c>
      <c r="AE63" s="717" t="str">
        <f ca="1">IFERROR(VLOOKUP(AE$2,Rango_Admin_DailyPred,MATCH($F63,Rango_Admin_DailyPred_Primera,0)+1,0),"-")</f>
        <v>-</v>
      </c>
      <c r="AF63" s="717" t="str">
        <f ca="1">IFERROR(VLOOKUP(AF$2,Rango_Admin_DailyPred,MATCH($F63,Rango_Admin_DailyPred_Primera,0)+1,0),"-")</f>
        <v>-</v>
      </c>
      <c r="AG63" s="717" t="str">
        <f ca="1">IFERROR(VLOOKUP(AG$2,Rango_Admin_DailyPred,MATCH($F63,Rango_Admin_DailyPred_Primera,0)+1,0),"-")</f>
        <v>-</v>
      </c>
      <c r="AH63" s="717" t="str">
        <f ca="1">IFERROR(VLOOKUP(AH$2,Rango_Admin_DailyPred,MATCH($F63,Rango_Admin_DailyPred_Primera,0)+1,0),"-")</f>
        <v>-</v>
      </c>
      <c r="AI63" s="717" t="str">
        <f ca="1">IFERROR(VLOOKUP(AI$2,Rango_Admin_DailyPred,MATCH($F63,Rango_Admin_DailyPred_Primera,0)+1,0),"-")</f>
        <v>-</v>
      </c>
      <c r="AJ63" s="717" t="str">
        <f ca="1">IFERROR(VLOOKUP(AJ$2,Rango_Admin_DailyPred,MATCH($F63,Rango_Admin_DailyPred_Primera,0)+1,0),"-")</f>
        <v>-</v>
      </c>
      <c r="AK63" s="717" t="str">
        <f ca="1">IFERROR(VLOOKUP(AK$2,Rango_Admin_DailyPred,MATCH($F63,Rango_Admin_DailyPred_Primera,0)+1,0),"-")</f>
        <v>-</v>
      </c>
      <c r="AL63" s="717" t="str">
        <f ca="1">IFERROR(VLOOKUP(AL$2,Rango_Admin_DailyPred,MATCH($F63,Rango_Admin_DailyPred_Primera,0)+1,0),"-")</f>
        <v>-</v>
      </c>
      <c r="AM63" s="717" t="str">
        <f ca="1">IFERROR(VLOOKUP(AM$2,Rango_Admin_DailyPred,MATCH($F63,Rango_Admin_DailyPred_Primera,0)+1,0),"-")</f>
        <v>-</v>
      </c>
    </row>
    <row r="64" spans="3:39">
      <c r="C64" s="8">
        <v>61</v>
      </c>
      <c r="E64" s="781" t="str">
        <f ca="1">IFERROR(HLOOKUP(C64,Rango_Admin_DailyClas,3,FALSE),"-")</f>
        <v>-</v>
      </c>
      <c r="F64" s="772" t="str">
        <f ca="1">IFERROR(HLOOKUP(C64,Rango_Admin_DailyClas,5,FALSE),"-")</f>
        <v>-</v>
      </c>
      <c r="G64" s="768" t="str">
        <f ca="1">IFERROR(HLOOKUP(C64,Rango_Admin_DailyClas,4,FALSE),"-")</f>
        <v>-</v>
      </c>
      <c r="H64" s="717" t="str">
        <f ca="1">IFERROR(VLOOKUP(H$2,Rango_Admin_DailyPred,MATCH($F64,Rango_Admin_DailyPred_Primera,0)+1,0),"-")</f>
        <v>-</v>
      </c>
      <c r="I64" s="717" t="str">
        <f ca="1">IFERROR(VLOOKUP(I$2,Rango_Admin_DailyPred,MATCH($F64,Rango_Admin_DailyPred_Primera,0)+1,0),"-")</f>
        <v>-</v>
      </c>
      <c r="J64" s="717" t="str">
        <f ca="1">IFERROR(VLOOKUP(J$2,Rango_Admin_DailyPred,MATCH($F64,Rango_Admin_DailyPred_Primera,0)+1,0),"-")</f>
        <v>-</v>
      </c>
      <c r="K64" s="717" t="str">
        <f ca="1">IFERROR(VLOOKUP(K$2,Rango_Admin_DailyPred,MATCH($F64,Rango_Admin_DailyPred_Primera,0)+1,0),"-")</f>
        <v>-</v>
      </c>
      <c r="L64" s="717" t="str">
        <f ca="1">IFERROR(VLOOKUP(L$2,Rango_Admin_DailyPred,MATCH($F64,Rango_Admin_DailyPred_Primera,0)+1,0),"-")</f>
        <v>-</v>
      </c>
      <c r="M64" s="717" t="str">
        <f ca="1">IFERROR(VLOOKUP(M$2,Rango_Admin_DailyPred,MATCH($F64,Rango_Admin_DailyPred_Primera,0)+1,0),"-")</f>
        <v>-</v>
      </c>
      <c r="N64" s="717" t="str">
        <f ca="1">IFERROR(VLOOKUP(N$2,Rango_Admin_DailyPred,MATCH($F64,Rango_Admin_DailyPred_Primera,0)+1,0),"-")</f>
        <v>-</v>
      </c>
      <c r="O64" s="717" t="str">
        <f ca="1">IFERROR(VLOOKUP(O$2,Rango_Admin_DailyPred,MATCH($F64,Rango_Admin_DailyPred_Primera,0)+1,0),"-")</f>
        <v>-</v>
      </c>
      <c r="P64" s="717" t="str">
        <f ca="1">IFERROR(VLOOKUP(P$2,Rango_Admin_DailyPred,MATCH($F64,Rango_Admin_DailyPred_Primera,0)+1,0),"-")</f>
        <v>-</v>
      </c>
      <c r="Q64" s="717" t="str">
        <f ca="1">IFERROR(VLOOKUP(Q$2,Rango_Admin_DailyPred,MATCH($F64,Rango_Admin_DailyPred_Primera,0)+1,0),"-")</f>
        <v>-</v>
      </c>
      <c r="R64" s="717" t="str">
        <f ca="1">IFERROR(VLOOKUP(R$2,Rango_Admin_DailyPred,MATCH($F64,Rango_Admin_DailyPred_Primera,0)+1,0),"-")</f>
        <v>-</v>
      </c>
      <c r="S64" s="717" t="str">
        <f ca="1">IFERROR(VLOOKUP(S$2,Rango_Admin_DailyPred,MATCH($F64,Rango_Admin_DailyPred_Primera,0)+1,0),"-")</f>
        <v>-</v>
      </c>
      <c r="T64" s="717" t="str">
        <f ca="1">IFERROR(VLOOKUP(T$2,Rango_Admin_DailyPred,MATCH($F64,Rango_Admin_DailyPred_Primera,0)+1,0),"-")</f>
        <v>-</v>
      </c>
      <c r="U64" s="717" t="str">
        <f ca="1">IFERROR(VLOOKUP(U$2,Rango_Admin_DailyPred,MATCH($F64,Rango_Admin_DailyPred_Primera,0)+1,0),"-")</f>
        <v>-</v>
      </c>
      <c r="V64" s="717" t="str">
        <f ca="1">IFERROR(VLOOKUP(V$2,Rango_Admin_DailyPred,MATCH($F64,Rango_Admin_DailyPred_Primera,0)+1,0),"-")</f>
        <v>-</v>
      </c>
      <c r="W64" s="717" t="str">
        <f ca="1">IFERROR(VLOOKUP(W$2,Rango_Admin_DailyPred,MATCH($F64,Rango_Admin_DailyPred_Primera,0)+1,0),"-")</f>
        <v>-</v>
      </c>
      <c r="X64" s="717" t="str">
        <f ca="1">IFERROR(VLOOKUP(X$2,Rango_Admin_DailyPred,MATCH($F64,Rango_Admin_DailyPred_Primera,0)+1,0),"-")</f>
        <v>-</v>
      </c>
      <c r="Y64" s="717" t="str">
        <f ca="1">IFERROR(VLOOKUP(Y$2,Rango_Admin_DailyPred,MATCH($F64,Rango_Admin_DailyPred_Primera,0)+1,0),"-")</f>
        <v>-</v>
      </c>
      <c r="Z64" s="717" t="str">
        <f ca="1">IFERROR(VLOOKUP(Z$2,Rango_Admin_DailyPred,MATCH($F64,Rango_Admin_DailyPred_Primera,0)+1,0),"-")</f>
        <v>-</v>
      </c>
      <c r="AA64" s="717" t="str">
        <f ca="1">IFERROR(VLOOKUP(AA$2,Rango_Admin_DailyPred,MATCH($F64,Rango_Admin_DailyPred_Primera,0)+1,0),"-")</f>
        <v>-</v>
      </c>
      <c r="AB64" s="717" t="str">
        <f ca="1">IFERROR(VLOOKUP(AB$2,Rango_Admin_DailyPred,MATCH($F64,Rango_Admin_DailyPred_Primera,0)+1,0),"-")</f>
        <v>-</v>
      </c>
      <c r="AC64" s="717" t="str">
        <f ca="1">IFERROR(VLOOKUP(AC$2,Rango_Admin_DailyPred,MATCH($F64,Rango_Admin_DailyPred_Primera,0)+1,0),"-")</f>
        <v>-</v>
      </c>
      <c r="AD64" s="717" t="str">
        <f ca="1">IFERROR(VLOOKUP(AD$2,Rango_Admin_DailyPred,MATCH($F64,Rango_Admin_DailyPred_Primera,0)+1,0),"-")</f>
        <v>-</v>
      </c>
      <c r="AE64" s="717" t="str">
        <f ca="1">IFERROR(VLOOKUP(AE$2,Rango_Admin_DailyPred,MATCH($F64,Rango_Admin_DailyPred_Primera,0)+1,0),"-")</f>
        <v>-</v>
      </c>
      <c r="AF64" s="717" t="str">
        <f ca="1">IFERROR(VLOOKUP(AF$2,Rango_Admin_DailyPred,MATCH($F64,Rango_Admin_DailyPred_Primera,0)+1,0),"-")</f>
        <v>-</v>
      </c>
      <c r="AG64" s="717" t="str">
        <f ca="1">IFERROR(VLOOKUP(AG$2,Rango_Admin_DailyPred,MATCH($F64,Rango_Admin_DailyPred_Primera,0)+1,0),"-")</f>
        <v>-</v>
      </c>
      <c r="AH64" s="717" t="str">
        <f ca="1">IFERROR(VLOOKUP(AH$2,Rango_Admin_DailyPred,MATCH($F64,Rango_Admin_DailyPred_Primera,0)+1,0),"-")</f>
        <v>-</v>
      </c>
      <c r="AI64" s="717" t="str">
        <f ca="1">IFERROR(VLOOKUP(AI$2,Rango_Admin_DailyPred,MATCH($F64,Rango_Admin_DailyPred_Primera,0)+1,0),"-")</f>
        <v>-</v>
      </c>
      <c r="AJ64" s="717" t="str">
        <f ca="1">IFERROR(VLOOKUP(AJ$2,Rango_Admin_DailyPred,MATCH($F64,Rango_Admin_DailyPred_Primera,0)+1,0),"-")</f>
        <v>-</v>
      </c>
      <c r="AK64" s="717" t="str">
        <f ca="1">IFERROR(VLOOKUP(AK$2,Rango_Admin_DailyPred,MATCH($F64,Rango_Admin_DailyPred_Primera,0)+1,0),"-")</f>
        <v>-</v>
      </c>
      <c r="AL64" s="717" t="str">
        <f ca="1">IFERROR(VLOOKUP(AL$2,Rango_Admin_DailyPred,MATCH($F64,Rango_Admin_DailyPred_Primera,0)+1,0),"-")</f>
        <v>-</v>
      </c>
      <c r="AM64" s="717" t="str">
        <f ca="1">IFERROR(VLOOKUP(AM$2,Rango_Admin_DailyPred,MATCH($F64,Rango_Admin_DailyPred_Primera,0)+1,0),"-")</f>
        <v>-</v>
      </c>
    </row>
    <row r="65" spans="3:39">
      <c r="C65" s="8">
        <v>62</v>
      </c>
      <c r="E65" s="781" t="str">
        <f ca="1">IFERROR(HLOOKUP(C65,Rango_Admin_DailyClas,3,FALSE),"-")</f>
        <v>-</v>
      </c>
      <c r="F65" s="772" t="str">
        <f ca="1">IFERROR(HLOOKUP(C65,Rango_Admin_DailyClas,5,FALSE),"-")</f>
        <v>-</v>
      </c>
      <c r="G65" s="768" t="str">
        <f ca="1">IFERROR(HLOOKUP(C65,Rango_Admin_DailyClas,4,FALSE),"-")</f>
        <v>-</v>
      </c>
      <c r="H65" s="717" t="str">
        <f ca="1">IFERROR(VLOOKUP(H$2,Rango_Admin_DailyPred,MATCH($F65,Rango_Admin_DailyPred_Primera,0)+1,0),"-")</f>
        <v>-</v>
      </c>
      <c r="I65" s="717" t="str">
        <f ca="1">IFERROR(VLOOKUP(I$2,Rango_Admin_DailyPred,MATCH($F65,Rango_Admin_DailyPred_Primera,0)+1,0),"-")</f>
        <v>-</v>
      </c>
      <c r="J65" s="717" t="str">
        <f ca="1">IFERROR(VLOOKUP(J$2,Rango_Admin_DailyPred,MATCH($F65,Rango_Admin_DailyPred_Primera,0)+1,0),"-")</f>
        <v>-</v>
      </c>
      <c r="K65" s="717" t="str">
        <f ca="1">IFERROR(VLOOKUP(K$2,Rango_Admin_DailyPred,MATCH($F65,Rango_Admin_DailyPred_Primera,0)+1,0),"-")</f>
        <v>-</v>
      </c>
      <c r="L65" s="717" t="str">
        <f ca="1">IFERROR(VLOOKUP(L$2,Rango_Admin_DailyPred,MATCH($F65,Rango_Admin_DailyPred_Primera,0)+1,0),"-")</f>
        <v>-</v>
      </c>
      <c r="M65" s="717" t="str">
        <f ca="1">IFERROR(VLOOKUP(M$2,Rango_Admin_DailyPred,MATCH($F65,Rango_Admin_DailyPred_Primera,0)+1,0),"-")</f>
        <v>-</v>
      </c>
      <c r="N65" s="717" t="str">
        <f ca="1">IFERROR(VLOOKUP(N$2,Rango_Admin_DailyPred,MATCH($F65,Rango_Admin_DailyPred_Primera,0)+1,0),"-")</f>
        <v>-</v>
      </c>
      <c r="O65" s="717" t="str">
        <f ca="1">IFERROR(VLOOKUP(O$2,Rango_Admin_DailyPred,MATCH($F65,Rango_Admin_DailyPred_Primera,0)+1,0),"-")</f>
        <v>-</v>
      </c>
      <c r="P65" s="717" t="str">
        <f ca="1">IFERROR(VLOOKUP(P$2,Rango_Admin_DailyPred,MATCH($F65,Rango_Admin_DailyPred_Primera,0)+1,0),"-")</f>
        <v>-</v>
      </c>
      <c r="Q65" s="717" t="str">
        <f ca="1">IFERROR(VLOOKUP(Q$2,Rango_Admin_DailyPred,MATCH($F65,Rango_Admin_DailyPred_Primera,0)+1,0),"-")</f>
        <v>-</v>
      </c>
      <c r="R65" s="717" t="str">
        <f ca="1">IFERROR(VLOOKUP(R$2,Rango_Admin_DailyPred,MATCH($F65,Rango_Admin_DailyPred_Primera,0)+1,0),"-")</f>
        <v>-</v>
      </c>
      <c r="S65" s="717" t="str">
        <f ca="1">IFERROR(VLOOKUP(S$2,Rango_Admin_DailyPred,MATCH($F65,Rango_Admin_DailyPred_Primera,0)+1,0),"-")</f>
        <v>-</v>
      </c>
      <c r="T65" s="717" t="str">
        <f ca="1">IFERROR(VLOOKUP(T$2,Rango_Admin_DailyPred,MATCH($F65,Rango_Admin_DailyPred_Primera,0)+1,0),"-")</f>
        <v>-</v>
      </c>
      <c r="U65" s="717" t="str">
        <f ca="1">IFERROR(VLOOKUP(U$2,Rango_Admin_DailyPred,MATCH($F65,Rango_Admin_DailyPred_Primera,0)+1,0),"-")</f>
        <v>-</v>
      </c>
      <c r="V65" s="717" t="str">
        <f ca="1">IFERROR(VLOOKUP(V$2,Rango_Admin_DailyPred,MATCH($F65,Rango_Admin_DailyPred_Primera,0)+1,0),"-")</f>
        <v>-</v>
      </c>
      <c r="W65" s="717" t="str">
        <f ca="1">IFERROR(VLOOKUP(W$2,Rango_Admin_DailyPred,MATCH($F65,Rango_Admin_DailyPred_Primera,0)+1,0),"-")</f>
        <v>-</v>
      </c>
      <c r="X65" s="717" t="str">
        <f ca="1">IFERROR(VLOOKUP(X$2,Rango_Admin_DailyPred,MATCH($F65,Rango_Admin_DailyPred_Primera,0)+1,0),"-")</f>
        <v>-</v>
      </c>
      <c r="Y65" s="717" t="str">
        <f ca="1">IFERROR(VLOOKUP(Y$2,Rango_Admin_DailyPred,MATCH($F65,Rango_Admin_DailyPred_Primera,0)+1,0),"-")</f>
        <v>-</v>
      </c>
      <c r="Z65" s="717" t="str">
        <f ca="1">IFERROR(VLOOKUP(Z$2,Rango_Admin_DailyPred,MATCH($F65,Rango_Admin_DailyPred_Primera,0)+1,0),"-")</f>
        <v>-</v>
      </c>
      <c r="AA65" s="717" t="str">
        <f ca="1">IFERROR(VLOOKUP(AA$2,Rango_Admin_DailyPred,MATCH($F65,Rango_Admin_DailyPred_Primera,0)+1,0),"-")</f>
        <v>-</v>
      </c>
      <c r="AB65" s="717" t="str">
        <f ca="1">IFERROR(VLOOKUP(AB$2,Rango_Admin_DailyPred,MATCH($F65,Rango_Admin_DailyPred_Primera,0)+1,0),"-")</f>
        <v>-</v>
      </c>
      <c r="AC65" s="717" t="str">
        <f ca="1">IFERROR(VLOOKUP(AC$2,Rango_Admin_DailyPred,MATCH($F65,Rango_Admin_DailyPred_Primera,0)+1,0),"-")</f>
        <v>-</v>
      </c>
      <c r="AD65" s="717" t="str">
        <f ca="1">IFERROR(VLOOKUP(AD$2,Rango_Admin_DailyPred,MATCH($F65,Rango_Admin_DailyPred_Primera,0)+1,0),"-")</f>
        <v>-</v>
      </c>
      <c r="AE65" s="717" t="str">
        <f ca="1">IFERROR(VLOOKUP(AE$2,Rango_Admin_DailyPred,MATCH($F65,Rango_Admin_DailyPred_Primera,0)+1,0),"-")</f>
        <v>-</v>
      </c>
      <c r="AF65" s="717" t="str">
        <f ca="1">IFERROR(VLOOKUP(AF$2,Rango_Admin_DailyPred,MATCH($F65,Rango_Admin_DailyPred_Primera,0)+1,0),"-")</f>
        <v>-</v>
      </c>
      <c r="AG65" s="717" t="str">
        <f ca="1">IFERROR(VLOOKUP(AG$2,Rango_Admin_DailyPred,MATCH($F65,Rango_Admin_DailyPred_Primera,0)+1,0),"-")</f>
        <v>-</v>
      </c>
      <c r="AH65" s="717" t="str">
        <f ca="1">IFERROR(VLOOKUP(AH$2,Rango_Admin_DailyPred,MATCH($F65,Rango_Admin_DailyPred_Primera,0)+1,0),"-")</f>
        <v>-</v>
      </c>
      <c r="AI65" s="717" t="str">
        <f ca="1">IFERROR(VLOOKUP(AI$2,Rango_Admin_DailyPred,MATCH($F65,Rango_Admin_DailyPred_Primera,0)+1,0),"-")</f>
        <v>-</v>
      </c>
      <c r="AJ65" s="717" t="str">
        <f ca="1">IFERROR(VLOOKUP(AJ$2,Rango_Admin_DailyPred,MATCH($F65,Rango_Admin_DailyPred_Primera,0)+1,0),"-")</f>
        <v>-</v>
      </c>
      <c r="AK65" s="717" t="str">
        <f ca="1">IFERROR(VLOOKUP(AK$2,Rango_Admin_DailyPred,MATCH($F65,Rango_Admin_DailyPred_Primera,0)+1,0),"-")</f>
        <v>-</v>
      </c>
      <c r="AL65" s="717" t="str">
        <f ca="1">IFERROR(VLOOKUP(AL$2,Rango_Admin_DailyPred,MATCH($F65,Rango_Admin_DailyPred_Primera,0)+1,0),"-")</f>
        <v>-</v>
      </c>
      <c r="AM65" s="717" t="str">
        <f ca="1">IFERROR(VLOOKUP(AM$2,Rango_Admin_DailyPred,MATCH($F65,Rango_Admin_DailyPred_Primera,0)+1,0),"-")</f>
        <v>-</v>
      </c>
    </row>
    <row r="66" spans="3:39">
      <c r="C66" s="8">
        <v>63</v>
      </c>
      <c r="E66" s="781" t="str">
        <f ca="1">IFERROR(HLOOKUP(C66,Rango_Admin_DailyClas,3,FALSE),"-")</f>
        <v>-</v>
      </c>
      <c r="F66" s="772" t="str">
        <f ca="1">IFERROR(HLOOKUP(C66,Rango_Admin_DailyClas,5,FALSE),"-")</f>
        <v>-</v>
      </c>
      <c r="G66" s="768" t="str">
        <f ca="1">IFERROR(HLOOKUP(C66,Rango_Admin_DailyClas,4,FALSE),"-")</f>
        <v>-</v>
      </c>
      <c r="H66" s="717" t="str">
        <f ca="1">IFERROR(VLOOKUP(H$2,Rango_Admin_DailyPred,MATCH($F66,Rango_Admin_DailyPred_Primera,0)+1,0),"-")</f>
        <v>-</v>
      </c>
      <c r="I66" s="717" t="str">
        <f ca="1">IFERROR(VLOOKUP(I$2,Rango_Admin_DailyPred,MATCH($F66,Rango_Admin_DailyPred_Primera,0)+1,0),"-")</f>
        <v>-</v>
      </c>
      <c r="J66" s="717" t="str">
        <f ca="1">IFERROR(VLOOKUP(J$2,Rango_Admin_DailyPred,MATCH($F66,Rango_Admin_DailyPred_Primera,0)+1,0),"-")</f>
        <v>-</v>
      </c>
      <c r="K66" s="717" t="str">
        <f ca="1">IFERROR(VLOOKUP(K$2,Rango_Admin_DailyPred,MATCH($F66,Rango_Admin_DailyPred_Primera,0)+1,0),"-")</f>
        <v>-</v>
      </c>
      <c r="L66" s="717" t="str">
        <f ca="1">IFERROR(VLOOKUP(L$2,Rango_Admin_DailyPred,MATCH($F66,Rango_Admin_DailyPred_Primera,0)+1,0),"-")</f>
        <v>-</v>
      </c>
      <c r="M66" s="717" t="str">
        <f ca="1">IFERROR(VLOOKUP(M$2,Rango_Admin_DailyPred,MATCH($F66,Rango_Admin_DailyPred_Primera,0)+1,0),"-")</f>
        <v>-</v>
      </c>
      <c r="N66" s="717" t="str">
        <f ca="1">IFERROR(VLOOKUP(N$2,Rango_Admin_DailyPred,MATCH($F66,Rango_Admin_DailyPred_Primera,0)+1,0),"-")</f>
        <v>-</v>
      </c>
      <c r="O66" s="717" t="str">
        <f ca="1">IFERROR(VLOOKUP(O$2,Rango_Admin_DailyPred,MATCH($F66,Rango_Admin_DailyPred_Primera,0)+1,0),"-")</f>
        <v>-</v>
      </c>
      <c r="P66" s="717" t="str">
        <f ca="1">IFERROR(VLOOKUP(P$2,Rango_Admin_DailyPred,MATCH($F66,Rango_Admin_DailyPred_Primera,0)+1,0),"-")</f>
        <v>-</v>
      </c>
      <c r="Q66" s="717" t="str">
        <f ca="1">IFERROR(VLOOKUP(Q$2,Rango_Admin_DailyPred,MATCH($F66,Rango_Admin_DailyPred_Primera,0)+1,0),"-")</f>
        <v>-</v>
      </c>
      <c r="R66" s="717" t="str">
        <f ca="1">IFERROR(VLOOKUP(R$2,Rango_Admin_DailyPred,MATCH($F66,Rango_Admin_DailyPred_Primera,0)+1,0),"-")</f>
        <v>-</v>
      </c>
      <c r="S66" s="717" t="str">
        <f ca="1">IFERROR(VLOOKUP(S$2,Rango_Admin_DailyPred,MATCH($F66,Rango_Admin_DailyPred_Primera,0)+1,0),"-")</f>
        <v>-</v>
      </c>
      <c r="T66" s="717" t="str">
        <f ca="1">IFERROR(VLOOKUP(T$2,Rango_Admin_DailyPred,MATCH($F66,Rango_Admin_DailyPred_Primera,0)+1,0),"-")</f>
        <v>-</v>
      </c>
      <c r="U66" s="717" t="str">
        <f ca="1">IFERROR(VLOOKUP(U$2,Rango_Admin_DailyPred,MATCH($F66,Rango_Admin_DailyPred_Primera,0)+1,0),"-")</f>
        <v>-</v>
      </c>
      <c r="V66" s="717" t="str">
        <f ca="1">IFERROR(VLOOKUP(V$2,Rango_Admin_DailyPred,MATCH($F66,Rango_Admin_DailyPred_Primera,0)+1,0),"-")</f>
        <v>-</v>
      </c>
      <c r="W66" s="717" t="str">
        <f ca="1">IFERROR(VLOOKUP(W$2,Rango_Admin_DailyPred,MATCH($F66,Rango_Admin_DailyPred_Primera,0)+1,0),"-")</f>
        <v>-</v>
      </c>
      <c r="X66" s="717" t="str">
        <f ca="1">IFERROR(VLOOKUP(X$2,Rango_Admin_DailyPred,MATCH($F66,Rango_Admin_DailyPred_Primera,0)+1,0),"-")</f>
        <v>-</v>
      </c>
      <c r="Y66" s="717" t="str">
        <f ca="1">IFERROR(VLOOKUP(Y$2,Rango_Admin_DailyPred,MATCH($F66,Rango_Admin_DailyPred_Primera,0)+1,0),"-")</f>
        <v>-</v>
      </c>
      <c r="Z66" s="717" t="str">
        <f ca="1">IFERROR(VLOOKUP(Z$2,Rango_Admin_DailyPred,MATCH($F66,Rango_Admin_DailyPred_Primera,0)+1,0),"-")</f>
        <v>-</v>
      </c>
      <c r="AA66" s="717" t="str">
        <f ca="1">IFERROR(VLOOKUP(AA$2,Rango_Admin_DailyPred,MATCH($F66,Rango_Admin_DailyPred_Primera,0)+1,0),"-")</f>
        <v>-</v>
      </c>
      <c r="AB66" s="717" t="str">
        <f ca="1">IFERROR(VLOOKUP(AB$2,Rango_Admin_DailyPred,MATCH($F66,Rango_Admin_DailyPred_Primera,0)+1,0),"-")</f>
        <v>-</v>
      </c>
      <c r="AC66" s="717" t="str">
        <f ca="1">IFERROR(VLOOKUP(AC$2,Rango_Admin_DailyPred,MATCH($F66,Rango_Admin_DailyPred_Primera,0)+1,0),"-")</f>
        <v>-</v>
      </c>
      <c r="AD66" s="717" t="str">
        <f ca="1">IFERROR(VLOOKUP(AD$2,Rango_Admin_DailyPred,MATCH($F66,Rango_Admin_DailyPred_Primera,0)+1,0),"-")</f>
        <v>-</v>
      </c>
      <c r="AE66" s="717" t="str">
        <f ca="1">IFERROR(VLOOKUP(AE$2,Rango_Admin_DailyPred,MATCH($F66,Rango_Admin_DailyPred_Primera,0)+1,0),"-")</f>
        <v>-</v>
      </c>
      <c r="AF66" s="717" t="str">
        <f ca="1">IFERROR(VLOOKUP(AF$2,Rango_Admin_DailyPred,MATCH($F66,Rango_Admin_DailyPred_Primera,0)+1,0),"-")</f>
        <v>-</v>
      </c>
      <c r="AG66" s="717" t="str">
        <f ca="1">IFERROR(VLOOKUP(AG$2,Rango_Admin_DailyPred,MATCH($F66,Rango_Admin_DailyPred_Primera,0)+1,0),"-")</f>
        <v>-</v>
      </c>
      <c r="AH66" s="717" t="str">
        <f ca="1">IFERROR(VLOOKUP(AH$2,Rango_Admin_DailyPred,MATCH($F66,Rango_Admin_DailyPred_Primera,0)+1,0),"-")</f>
        <v>-</v>
      </c>
      <c r="AI66" s="717" t="str">
        <f ca="1">IFERROR(VLOOKUP(AI$2,Rango_Admin_DailyPred,MATCH($F66,Rango_Admin_DailyPred_Primera,0)+1,0),"-")</f>
        <v>-</v>
      </c>
      <c r="AJ66" s="717" t="str">
        <f ca="1">IFERROR(VLOOKUP(AJ$2,Rango_Admin_DailyPred,MATCH($F66,Rango_Admin_DailyPred_Primera,0)+1,0),"-")</f>
        <v>-</v>
      </c>
      <c r="AK66" s="717" t="str">
        <f ca="1">IFERROR(VLOOKUP(AK$2,Rango_Admin_DailyPred,MATCH($F66,Rango_Admin_DailyPred_Primera,0)+1,0),"-")</f>
        <v>-</v>
      </c>
      <c r="AL66" s="717" t="str">
        <f ca="1">IFERROR(VLOOKUP(AL$2,Rango_Admin_DailyPred,MATCH($F66,Rango_Admin_DailyPred_Primera,0)+1,0),"-")</f>
        <v>-</v>
      </c>
      <c r="AM66" s="717" t="str">
        <f ca="1">IFERROR(VLOOKUP(AM$2,Rango_Admin_DailyPred,MATCH($F66,Rango_Admin_DailyPred_Primera,0)+1,0),"-")</f>
        <v>-</v>
      </c>
    </row>
    <row r="67" spans="3:39">
      <c r="C67" s="8">
        <v>64</v>
      </c>
      <c r="E67" s="781" t="str">
        <f ca="1">IFERROR(HLOOKUP(C67,Rango_Admin_DailyClas,3,FALSE),"-")</f>
        <v>-</v>
      </c>
      <c r="F67" s="772" t="str">
        <f ca="1">IFERROR(HLOOKUP(C67,Rango_Admin_DailyClas,5,FALSE),"-")</f>
        <v>-</v>
      </c>
      <c r="G67" s="768" t="str">
        <f ca="1">IFERROR(HLOOKUP(C67,Rango_Admin_DailyClas,4,FALSE),"-")</f>
        <v>-</v>
      </c>
      <c r="H67" s="717" t="str">
        <f ca="1">IFERROR(VLOOKUP(H$2,Rango_Admin_DailyPred,MATCH($F67,Rango_Admin_DailyPred_Primera,0)+1,0),"-")</f>
        <v>-</v>
      </c>
      <c r="I67" s="717" t="str">
        <f ca="1">IFERROR(VLOOKUP(I$2,Rango_Admin_DailyPred,MATCH($F67,Rango_Admin_DailyPred_Primera,0)+1,0),"-")</f>
        <v>-</v>
      </c>
      <c r="J67" s="717" t="str">
        <f ca="1">IFERROR(VLOOKUP(J$2,Rango_Admin_DailyPred,MATCH($F67,Rango_Admin_DailyPred_Primera,0)+1,0),"-")</f>
        <v>-</v>
      </c>
      <c r="K67" s="717" t="str">
        <f ca="1">IFERROR(VLOOKUP(K$2,Rango_Admin_DailyPred,MATCH($F67,Rango_Admin_DailyPred_Primera,0)+1,0),"-")</f>
        <v>-</v>
      </c>
      <c r="L67" s="717" t="str">
        <f ca="1">IFERROR(VLOOKUP(L$2,Rango_Admin_DailyPred,MATCH($F67,Rango_Admin_DailyPred_Primera,0)+1,0),"-")</f>
        <v>-</v>
      </c>
      <c r="M67" s="717" t="str">
        <f ca="1">IFERROR(VLOOKUP(M$2,Rango_Admin_DailyPred,MATCH($F67,Rango_Admin_DailyPred_Primera,0)+1,0),"-")</f>
        <v>-</v>
      </c>
      <c r="N67" s="717" t="str">
        <f ca="1">IFERROR(VLOOKUP(N$2,Rango_Admin_DailyPred,MATCH($F67,Rango_Admin_DailyPred_Primera,0)+1,0),"-")</f>
        <v>-</v>
      </c>
      <c r="O67" s="717" t="str">
        <f ca="1">IFERROR(VLOOKUP(O$2,Rango_Admin_DailyPred,MATCH($F67,Rango_Admin_DailyPred_Primera,0)+1,0),"-")</f>
        <v>-</v>
      </c>
      <c r="P67" s="717" t="str">
        <f ca="1">IFERROR(VLOOKUP(P$2,Rango_Admin_DailyPred,MATCH($F67,Rango_Admin_DailyPred_Primera,0)+1,0),"-")</f>
        <v>-</v>
      </c>
      <c r="Q67" s="717" t="str">
        <f ca="1">IFERROR(VLOOKUP(Q$2,Rango_Admin_DailyPred,MATCH($F67,Rango_Admin_DailyPred_Primera,0)+1,0),"-")</f>
        <v>-</v>
      </c>
      <c r="R67" s="717" t="str">
        <f ca="1">IFERROR(VLOOKUP(R$2,Rango_Admin_DailyPred,MATCH($F67,Rango_Admin_DailyPred_Primera,0)+1,0),"-")</f>
        <v>-</v>
      </c>
      <c r="S67" s="717" t="str">
        <f ca="1">IFERROR(VLOOKUP(S$2,Rango_Admin_DailyPred,MATCH($F67,Rango_Admin_DailyPred_Primera,0)+1,0),"-")</f>
        <v>-</v>
      </c>
      <c r="T67" s="717" t="str">
        <f ca="1">IFERROR(VLOOKUP(T$2,Rango_Admin_DailyPred,MATCH($F67,Rango_Admin_DailyPred_Primera,0)+1,0),"-")</f>
        <v>-</v>
      </c>
      <c r="U67" s="717" t="str">
        <f ca="1">IFERROR(VLOOKUP(U$2,Rango_Admin_DailyPred,MATCH($F67,Rango_Admin_DailyPred_Primera,0)+1,0),"-")</f>
        <v>-</v>
      </c>
      <c r="V67" s="717" t="str">
        <f ca="1">IFERROR(VLOOKUP(V$2,Rango_Admin_DailyPred,MATCH($F67,Rango_Admin_DailyPred_Primera,0)+1,0),"-")</f>
        <v>-</v>
      </c>
      <c r="W67" s="717" t="str">
        <f ca="1">IFERROR(VLOOKUP(W$2,Rango_Admin_DailyPred,MATCH($F67,Rango_Admin_DailyPred_Primera,0)+1,0),"-")</f>
        <v>-</v>
      </c>
      <c r="X67" s="717" t="str">
        <f ca="1">IFERROR(VLOOKUP(X$2,Rango_Admin_DailyPred,MATCH($F67,Rango_Admin_DailyPred_Primera,0)+1,0),"-")</f>
        <v>-</v>
      </c>
      <c r="Y67" s="717" t="str">
        <f ca="1">IFERROR(VLOOKUP(Y$2,Rango_Admin_DailyPred,MATCH($F67,Rango_Admin_DailyPred_Primera,0)+1,0),"-")</f>
        <v>-</v>
      </c>
      <c r="Z67" s="717" t="str">
        <f ca="1">IFERROR(VLOOKUP(Z$2,Rango_Admin_DailyPred,MATCH($F67,Rango_Admin_DailyPred_Primera,0)+1,0),"-")</f>
        <v>-</v>
      </c>
      <c r="AA67" s="717" t="str">
        <f ca="1">IFERROR(VLOOKUP(AA$2,Rango_Admin_DailyPred,MATCH($F67,Rango_Admin_DailyPred_Primera,0)+1,0),"-")</f>
        <v>-</v>
      </c>
      <c r="AB67" s="717" t="str">
        <f ca="1">IFERROR(VLOOKUP(AB$2,Rango_Admin_DailyPred,MATCH($F67,Rango_Admin_DailyPred_Primera,0)+1,0),"-")</f>
        <v>-</v>
      </c>
      <c r="AC67" s="717" t="str">
        <f ca="1">IFERROR(VLOOKUP(AC$2,Rango_Admin_DailyPred,MATCH($F67,Rango_Admin_DailyPred_Primera,0)+1,0),"-")</f>
        <v>-</v>
      </c>
      <c r="AD67" s="717" t="str">
        <f ca="1">IFERROR(VLOOKUP(AD$2,Rango_Admin_DailyPred,MATCH($F67,Rango_Admin_DailyPred_Primera,0)+1,0),"-")</f>
        <v>-</v>
      </c>
      <c r="AE67" s="717" t="str">
        <f ca="1">IFERROR(VLOOKUP(AE$2,Rango_Admin_DailyPred,MATCH($F67,Rango_Admin_DailyPred_Primera,0)+1,0),"-")</f>
        <v>-</v>
      </c>
      <c r="AF67" s="717" t="str">
        <f ca="1">IFERROR(VLOOKUP(AF$2,Rango_Admin_DailyPred,MATCH($F67,Rango_Admin_DailyPred_Primera,0)+1,0),"-")</f>
        <v>-</v>
      </c>
      <c r="AG67" s="717" t="str">
        <f ca="1">IFERROR(VLOOKUP(AG$2,Rango_Admin_DailyPred,MATCH($F67,Rango_Admin_DailyPred_Primera,0)+1,0),"-")</f>
        <v>-</v>
      </c>
      <c r="AH67" s="717" t="str">
        <f ca="1">IFERROR(VLOOKUP(AH$2,Rango_Admin_DailyPred,MATCH($F67,Rango_Admin_DailyPred_Primera,0)+1,0),"-")</f>
        <v>-</v>
      </c>
      <c r="AI67" s="717" t="str">
        <f ca="1">IFERROR(VLOOKUP(AI$2,Rango_Admin_DailyPred,MATCH($F67,Rango_Admin_DailyPred_Primera,0)+1,0),"-")</f>
        <v>-</v>
      </c>
      <c r="AJ67" s="717" t="str">
        <f ca="1">IFERROR(VLOOKUP(AJ$2,Rango_Admin_DailyPred,MATCH($F67,Rango_Admin_DailyPred_Primera,0)+1,0),"-")</f>
        <v>-</v>
      </c>
      <c r="AK67" s="717" t="str">
        <f ca="1">IFERROR(VLOOKUP(AK$2,Rango_Admin_DailyPred,MATCH($F67,Rango_Admin_DailyPred_Primera,0)+1,0),"-")</f>
        <v>-</v>
      </c>
      <c r="AL67" s="717" t="str">
        <f ca="1">IFERROR(VLOOKUP(AL$2,Rango_Admin_DailyPred,MATCH($F67,Rango_Admin_DailyPred_Primera,0)+1,0),"-")</f>
        <v>-</v>
      </c>
      <c r="AM67" s="717" t="str">
        <f ca="1">IFERROR(VLOOKUP(AM$2,Rango_Admin_DailyPred,MATCH($F67,Rango_Admin_DailyPred_Primera,0)+1,0),"-")</f>
        <v>-</v>
      </c>
    </row>
    <row r="68" spans="3:39">
      <c r="C68" s="8">
        <v>65</v>
      </c>
      <c r="E68" s="781" t="str">
        <f ca="1">IFERROR(HLOOKUP(C68,Rango_Admin_DailyClas,3,FALSE),"-")</f>
        <v>-</v>
      </c>
      <c r="F68" s="772" t="str">
        <f ca="1">IFERROR(HLOOKUP(C68,Rango_Admin_DailyClas,5,FALSE),"-")</f>
        <v>-</v>
      </c>
      <c r="G68" s="768" t="str">
        <f ca="1">IFERROR(HLOOKUP(C68,Rango_Admin_DailyClas,4,FALSE),"-")</f>
        <v>-</v>
      </c>
      <c r="H68" s="717" t="str">
        <f ca="1">IFERROR(VLOOKUP(H$2,Rango_Admin_DailyPred,MATCH($F68,Rango_Admin_DailyPred_Primera,0)+1,0),"-")</f>
        <v>-</v>
      </c>
      <c r="I68" s="717" t="str">
        <f ca="1">IFERROR(VLOOKUP(I$2,Rango_Admin_DailyPred,MATCH($F68,Rango_Admin_DailyPred_Primera,0)+1,0),"-")</f>
        <v>-</v>
      </c>
      <c r="J68" s="717" t="str">
        <f ca="1">IFERROR(VLOOKUP(J$2,Rango_Admin_DailyPred,MATCH($F68,Rango_Admin_DailyPred_Primera,0)+1,0),"-")</f>
        <v>-</v>
      </c>
      <c r="K68" s="717" t="str">
        <f ca="1">IFERROR(VLOOKUP(K$2,Rango_Admin_DailyPred,MATCH($F68,Rango_Admin_DailyPred_Primera,0)+1,0),"-")</f>
        <v>-</v>
      </c>
      <c r="L68" s="717" t="str">
        <f ca="1">IFERROR(VLOOKUP(L$2,Rango_Admin_DailyPred,MATCH($F68,Rango_Admin_DailyPred_Primera,0)+1,0),"-")</f>
        <v>-</v>
      </c>
      <c r="M68" s="717" t="str">
        <f ca="1">IFERROR(VLOOKUP(M$2,Rango_Admin_DailyPred,MATCH($F68,Rango_Admin_DailyPred_Primera,0)+1,0),"-")</f>
        <v>-</v>
      </c>
      <c r="N68" s="717" t="str">
        <f ca="1">IFERROR(VLOOKUP(N$2,Rango_Admin_DailyPred,MATCH($F68,Rango_Admin_DailyPred_Primera,0)+1,0),"-")</f>
        <v>-</v>
      </c>
      <c r="O68" s="717" t="str">
        <f ca="1">IFERROR(VLOOKUP(O$2,Rango_Admin_DailyPred,MATCH($F68,Rango_Admin_DailyPred_Primera,0)+1,0),"-")</f>
        <v>-</v>
      </c>
      <c r="P68" s="717" t="str">
        <f ca="1">IFERROR(VLOOKUP(P$2,Rango_Admin_DailyPred,MATCH($F68,Rango_Admin_DailyPred_Primera,0)+1,0),"-")</f>
        <v>-</v>
      </c>
      <c r="Q68" s="717" t="str">
        <f ca="1">IFERROR(VLOOKUP(Q$2,Rango_Admin_DailyPred,MATCH($F68,Rango_Admin_DailyPred_Primera,0)+1,0),"-")</f>
        <v>-</v>
      </c>
      <c r="R68" s="717" t="str">
        <f ca="1">IFERROR(VLOOKUP(R$2,Rango_Admin_DailyPred,MATCH($F68,Rango_Admin_DailyPred_Primera,0)+1,0),"-")</f>
        <v>-</v>
      </c>
      <c r="S68" s="717" t="str">
        <f ca="1">IFERROR(VLOOKUP(S$2,Rango_Admin_DailyPred,MATCH($F68,Rango_Admin_DailyPred_Primera,0)+1,0),"-")</f>
        <v>-</v>
      </c>
      <c r="T68" s="717" t="str">
        <f ca="1">IFERROR(VLOOKUP(T$2,Rango_Admin_DailyPred,MATCH($F68,Rango_Admin_DailyPred_Primera,0)+1,0),"-")</f>
        <v>-</v>
      </c>
      <c r="U68" s="717" t="str">
        <f ca="1">IFERROR(VLOOKUP(U$2,Rango_Admin_DailyPred,MATCH($F68,Rango_Admin_DailyPred_Primera,0)+1,0),"-")</f>
        <v>-</v>
      </c>
      <c r="V68" s="717" t="str">
        <f ca="1">IFERROR(VLOOKUP(V$2,Rango_Admin_DailyPred,MATCH($F68,Rango_Admin_DailyPred_Primera,0)+1,0),"-")</f>
        <v>-</v>
      </c>
      <c r="W68" s="717" t="str">
        <f ca="1">IFERROR(VLOOKUP(W$2,Rango_Admin_DailyPred,MATCH($F68,Rango_Admin_DailyPred_Primera,0)+1,0),"-")</f>
        <v>-</v>
      </c>
      <c r="X68" s="717" t="str">
        <f ca="1">IFERROR(VLOOKUP(X$2,Rango_Admin_DailyPred,MATCH($F68,Rango_Admin_DailyPred_Primera,0)+1,0),"-")</f>
        <v>-</v>
      </c>
      <c r="Y68" s="717" t="str">
        <f ca="1">IFERROR(VLOOKUP(Y$2,Rango_Admin_DailyPred,MATCH($F68,Rango_Admin_DailyPred_Primera,0)+1,0),"-")</f>
        <v>-</v>
      </c>
      <c r="Z68" s="717" t="str">
        <f ca="1">IFERROR(VLOOKUP(Z$2,Rango_Admin_DailyPred,MATCH($F68,Rango_Admin_DailyPred_Primera,0)+1,0),"-")</f>
        <v>-</v>
      </c>
      <c r="AA68" s="717" t="str">
        <f ca="1">IFERROR(VLOOKUP(AA$2,Rango_Admin_DailyPred,MATCH($F68,Rango_Admin_DailyPred_Primera,0)+1,0),"-")</f>
        <v>-</v>
      </c>
      <c r="AB68" s="717" t="str">
        <f ca="1">IFERROR(VLOOKUP(AB$2,Rango_Admin_DailyPred,MATCH($F68,Rango_Admin_DailyPred_Primera,0)+1,0),"-")</f>
        <v>-</v>
      </c>
      <c r="AC68" s="717" t="str">
        <f ca="1">IFERROR(VLOOKUP(AC$2,Rango_Admin_DailyPred,MATCH($F68,Rango_Admin_DailyPred_Primera,0)+1,0),"-")</f>
        <v>-</v>
      </c>
      <c r="AD68" s="717" t="str">
        <f ca="1">IFERROR(VLOOKUP(AD$2,Rango_Admin_DailyPred,MATCH($F68,Rango_Admin_DailyPred_Primera,0)+1,0),"-")</f>
        <v>-</v>
      </c>
      <c r="AE68" s="717" t="str">
        <f ca="1">IFERROR(VLOOKUP(AE$2,Rango_Admin_DailyPred,MATCH($F68,Rango_Admin_DailyPred_Primera,0)+1,0),"-")</f>
        <v>-</v>
      </c>
      <c r="AF68" s="717" t="str">
        <f ca="1">IFERROR(VLOOKUP(AF$2,Rango_Admin_DailyPred,MATCH($F68,Rango_Admin_DailyPred_Primera,0)+1,0),"-")</f>
        <v>-</v>
      </c>
      <c r="AG68" s="717" t="str">
        <f ca="1">IFERROR(VLOOKUP(AG$2,Rango_Admin_DailyPred,MATCH($F68,Rango_Admin_DailyPred_Primera,0)+1,0),"-")</f>
        <v>-</v>
      </c>
      <c r="AH68" s="717" t="str">
        <f ca="1">IFERROR(VLOOKUP(AH$2,Rango_Admin_DailyPred,MATCH($F68,Rango_Admin_DailyPred_Primera,0)+1,0),"-")</f>
        <v>-</v>
      </c>
      <c r="AI68" s="717" t="str">
        <f ca="1">IFERROR(VLOOKUP(AI$2,Rango_Admin_DailyPred,MATCH($F68,Rango_Admin_DailyPred_Primera,0)+1,0),"-")</f>
        <v>-</v>
      </c>
      <c r="AJ68" s="717" t="str">
        <f ca="1">IFERROR(VLOOKUP(AJ$2,Rango_Admin_DailyPred,MATCH($F68,Rango_Admin_DailyPred_Primera,0)+1,0),"-")</f>
        <v>-</v>
      </c>
      <c r="AK68" s="717" t="str">
        <f ca="1">IFERROR(VLOOKUP(AK$2,Rango_Admin_DailyPred,MATCH($F68,Rango_Admin_DailyPred_Primera,0)+1,0),"-")</f>
        <v>-</v>
      </c>
      <c r="AL68" s="717" t="str">
        <f ca="1">IFERROR(VLOOKUP(AL$2,Rango_Admin_DailyPred,MATCH($F68,Rango_Admin_DailyPred_Primera,0)+1,0),"-")</f>
        <v>-</v>
      </c>
      <c r="AM68" s="717" t="str">
        <f ca="1">IFERROR(VLOOKUP(AM$2,Rango_Admin_DailyPred,MATCH($F68,Rango_Admin_DailyPred_Primera,0)+1,0),"-")</f>
        <v>-</v>
      </c>
    </row>
    <row r="69" spans="3:39">
      <c r="C69" s="8">
        <v>66</v>
      </c>
      <c r="E69" s="781" t="str">
        <f ca="1">IFERROR(HLOOKUP(C69,Rango_Admin_DailyClas,3,FALSE),"-")</f>
        <v>-</v>
      </c>
      <c r="F69" s="772" t="str">
        <f ca="1">IFERROR(HLOOKUP(C69,Rango_Admin_DailyClas,5,FALSE),"-")</f>
        <v>-</v>
      </c>
      <c r="G69" s="768" t="str">
        <f ca="1">IFERROR(HLOOKUP(C69,Rango_Admin_DailyClas,4,FALSE),"-")</f>
        <v>-</v>
      </c>
      <c r="H69" s="717" t="str">
        <f ca="1">IFERROR(VLOOKUP(H$2,Rango_Admin_DailyPred,MATCH($F69,Rango_Admin_DailyPred_Primera,0)+1,0),"-")</f>
        <v>-</v>
      </c>
      <c r="I69" s="717" t="str">
        <f ca="1">IFERROR(VLOOKUP(I$2,Rango_Admin_DailyPred,MATCH($F69,Rango_Admin_DailyPred_Primera,0)+1,0),"-")</f>
        <v>-</v>
      </c>
      <c r="J69" s="717" t="str">
        <f ca="1">IFERROR(VLOOKUP(J$2,Rango_Admin_DailyPred,MATCH($F69,Rango_Admin_DailyPred_Primera,0)+1,0),"-")</f>
        <v>-</v>
      </c>
      <c r="K69" s="717" t="str">
        <f ca="1">IFERROR(VLOOKUP(K$2,Rango_Admin_DailyPred,MATCH($F69,Rango_Admin_DailyPred_Primera,0)+1,0),"-")</f>
        <v>-</v>
      </c>
      <c r="L69" s="717" t="str">
        <f ca="1">IFERROR(VLOOKUP(L$2,Rango_Admin_DailyPred,MATCH($F69,Rango_Admin_DailyPred_Primera,0)+1,0),"-")</f>
        <v>-</v>
      </c>
      <c r="M69" s="717" t="str">
        <f ca="1">IFERROR(VLOOKUP(M$2,Rango_Admin_DailyPred,MATCH($F69,Rango_Admin_DailyPred_Primera,0)+1,0),"-")</f>
        <v>-</v>
      </c>
      <c r="N69" s="717" t="str">
        <f ca="1">IFERROR(VLOOKUP(N$2,Rango_Admin_DailyPred,MATCH($F69,Rango_Admin_DailyPred_Primera,0)+1,0),"-")</f>
        <v>-</v>
      </c>
      <c r="O69" s="717" t="str">
        <f ca="1">IFERROR(VLOOKUP(O$2,Rango_Admin_DailyPred,MATCH($F69,Rango_Admin_DailyPred_Primera,0)+1,0),"-")</f>
        <v>-</v>
      </c>
      <c r="P69" s="717" t="str">
        <f ca="1">IFERROR(VLOOKUP(P$2,Rango_Admin_DailyPred,MATCH($F69,Rango_Admin_DailyPred_Primera,0)+1,0),"-")</f>
        <v>-</v>
      </c>
      <c r="Q69" s="717" t="str">
        <f ca="1">IFERROR(VLOOKUP(Q$2,Rango_Admin_DailyPred,MATCH($F69,Rango_Admin_DailyPred_Primera,0)+1,0),"-")</f>
        <v>-</v>
      </c>
      <c r="R69" s="717" t="str">
        <f ca="1">IFERROR(VLOOKUP(R$2,Rango_Admin_DailyPred,MATCH($F69,Rango_Admin_DailyPred_Primera,0)+1,0),"-")</f>
        <v>-</v>
      </c>
      <c r="S69" s="717" t="str">
        <f ca="1">IFERROR(VLOOKUP(S$2,Rango_Admin_DailyPred,MATCH($F69,Rango_Admin_DailyPred_Primera,0)+1,0),"-")</f>
        <v>-</v>
      </c>
      <c r="T69" s="717" t="str">
        <f ca="1">IFERROR(VLOOKUP(T$2,Rango_Admin_DailyPred,MATCH($F69,Rango_Admin_DailyPred_Primera,0)+1,0),"-")</f>
        <v>-</v>
      </c>
      <c r="U69" s="717" t="str">
        <f ca="1">IFERROR(VLOOKUP(U$2,Rango_Admin_DailyPred,MATCH($F69,Rango_Admin_DailyPred_Primera,0)+1,0),"-")</f>
        <v>-</v>
      </c>
      <c r="V69" s="717" t="str">
        <f ca="1">IFERROR(VLOOKUP(V$2,Rango_Admin_DailyPred,MATCH($F69,Rango_Admin_DailyPred_Primera,0)+1,0),"-")</f>
        <v>-</v>
      </c>
      <c r="W69" s="717" t="str">
        <f ca="1">IFERROR(VLOOKUP(W$2,Rango_Admin_DailyPred,MATCH($F69,Rango_Admin_DailyPred_Primera,0)+1,0),"-")</f>
        <v>-</v>
      </c>
      <c r="X69" s="717" t="str">
        <f ca="1">IFERROR(VLOOKUP(X$2,Rango_Admin_DailyPred,MATCH($F69,Rango_Admin_DailyPred_Primera,0)+1,0),"-")</f>
        <v>-</v>
      </c>
      <c r="Y69" s="717" t="str">
        <f ca="1">IFERROR(VLOOKUP(Y$2,Rango_Admin_DailyPred,MATCH($F69,Rango_Admin_DailyPred_Primera,0)+1,0),"-")</f>
        <v>-</v>
      </c>
      <c r="Z69" s="717" t="str">
        <f ca="1">IFERROR(VLOOKUP(Z$2,Rango_Admin_DailyPred,MATCH($F69,Rango_Admin_DailyPred_Primera,0)+1,0),"-")</f>
        <v>-</v>
      </c>
      <c r="AA69" s="717" t="str">
        <f ca="1">IFERROR(VLOOKUP(AA$2,Rango_Admin_DailyPred,MATCH($F69,Rango_Admin_DailyPred_Primera,0)+1,0),"-")</f>
        <v>-</v>
      </c>
      <c r="AB69" s="717" t="str">
        <f ca="1">IFERROR(VLOOKUP(AB$2,Rango_Admin_DailyPred,MATCH($F69,Rango_Admin_DailyPred_Primera,0)+1,0),"-")</f>
        <v>-</v>
      </c>
      <c r="AC69" s="717" t="str">
        <f ca="1">IFERROR(VLOOKUP(AC$2,Rango_Admin_DailyPred,MATCH($F69,Rango_Admin_DailyPred_Primera,0)+1,0),"-")</f>
        <v>-</v>
      </c>
      <c r="AD69" s="717" t="str">
        <f ca="1">IFERROR(VLOOKUP(AD$2,Rango_Admin_DailyPred,MATCH($F69,Rango_Admin_DailyPred_Primera,0)+1,0),"-")</f>
        <v>-</v>
      </c>
      <c r="AE69" s="717" t="str">
        <f ca="1">IFERROR(VLOOKUP(AE$2,Rango_Admin_DailyPred,MATCH($F69,Rango_Admin_DailyPred_Primera,0)+1,0),"-")</f>
        <v>-</v>
      </c>
      <c r="AF69" s="717" t="str">
        <f ca="1">IFERROR(VLOOKUP(AF$2,Rango_Admin_DailyPred,MATCH($F69,Rango_Admin_DailyPred_Primera,0)+1,0),"-")</f>
        <v>-</v>
      </c>
      <c r="AG69" s="717" t="str">
        <f ca="1">IFERROR(VLOOKUP(AG$2,Rango_Admin_DailyPred,MATCH($F69,Rango_Admin_DailyPred_Primera,0)+1,0),"-")</f>
        <v>-</v>
      </c>
      <c r="AH69" s="717" t="str">
        <f ca="1">IFERROR(VLOOKUP(AH$2,Rango_Admin_DailyPred,MATCH($F69,Rango_Admin_DailyPred_Primera,0)+1,0),"-")</f>
        <v>-</v>
      </c>
      <c r="AI69" s="717" t="str">
        <f ca="1">IFERROR(VLOOKUP(AI$2,Rango_Admin_DailyPred,MATCH($F69,Rango_Admin_DailyPred_Primera,0)+1,0),"-")</f>
        <v>-</v>
      </c>
      <c r="AJ69" s="717" t="str">
        <f ca="1">IFERROR(VLOOKUP(AJ$2,Rango_Admin_DailyPred,MATCH($F69,Rango_Admin_DailyPred_Primera,0)+1,0),"-")</f>
        <v>-</v>
      </c>
      <c r="AK69" s="717" t="str">
        <f ca="1">IFERROR(VLOOKUP(AK$2,Rango_Admin_DailyPred,MATCH($F69,Rango_Admin_DailyPred_Primera,0)+1,0),"-")</f>
        <v>-</v>
      </c>
      <c r="AL69" s="717" t="str">
        <f ca="1">IFERROR(VLOOKUP(AL$2,Rango_Admin_DailyPred,MATCH($F69,Rango_Admin_DailyPred_Primera,0)+1,0),"-")</f>
        <v>-</v>
      </c>
      <c r="AM69" s="717" t="str">
        <f ca="1">IFERROR(VLOOKUP(AM$2,Rango_Admin_DailyPred,MATCH($F69,Rango_Admin_DailyPred_Primera,0)+1,0),"-")</f>
        <v>-</v>
      </c>
    </row>
    <row r="70" spans="3:39">
      <c r="C70" s="8">
        <v>67</v>
      </c>
      <c r="E70" s="781" t="str">
        <f ca="1">IFERROR(HLOOKUP(C70,Rango_Admin_DailyClas,3,FALSE),"-")</f>
        <v>-</v>
      </c>
      <c r="F70" s="772" t="str">
        <f ca="1">IFERROR(HLOOKUP(C70,Rango_Admin_DailyClas,5,FALSE),"-")</f>
        <v>-</v>
      </c>
      <c r="G70" s="768" t="str">
        <f ca="1">IFERROR(HLOOKUP(C70,Rango_Admin_DailyClas,4,FALSE),"-")</f>
        <v>-</v>
      </c>
      <c r="H70" s="717" t="str">
        <f ca="1">IFERROR(VLOOKUP(H$2,Rango_Admin_DailyPred,MATCH($F70,Rango_Admin_DailyPred_Primera,0)+1,0),"-")</f>
        <v>-</v>
      </c>
      <c r="I70" s="717" t="str">
        <f ca="1">IFERROR(VLOOKUP(I$2,Rango_Admin_DailyPred,MATCH($F70,Rango_Admin_DailyPred_Primera,0)+1,0),"-")</f>
        <v>-</v>
      </c>
      <c r="J70" s="717" t="str">
        <f ca="1">IFERROR(VLOOKUP(J$2,Rango_Admin_DailyPred,MATCH($F70,Rango_Admin_DailyPred_Primera,0)+1,0),"-")</f>
        <v>-</v>
      </c>
      <c r="K70" s="717" t="str">
        <f ca="1">IFERROR(VLOOKUP(K$2,Rango_Admin_DailyPred,MATCH($F70,Rango_Admin_DailyPred_Primera,0)+1,0),"-")</f>
        <v>-</v>
      </c>
      <c r="L70" s="717" t="str">
        <f ca="1">IFERROR(VLOOKUP(L$2,Rango_Admin_DailyPred,MATCH($F70,Rango_Admin_DailyPred_Primera,0)+1,0),"-")</f>
        <v>-</v>
      </c>
      <c r="M70" s="717" t="str">
        <f ca="1">IFERROR(VLOOKUP(M$2,Rango_Admin_DailyPred,MATCH($F70,Rango_Admin_DailyPred_Primera,0)+1,0),"-")</f>
        <v>-</v>
      </c>
      <c r="N70" s="717" t="str">
        <f ca="1">IFERROR(VLOOKUP(N$2,Rango_Admin_DailyPred,MATCH($F70,Rango_Admin_DailyPred_Primera,0)+1,0),"-")</f>
        <v>-</v>
      </c>
      <c r="O70" s="717" t="str">
        <f ca="1">IFERROR(VLOOKUP(O$2,Rango_Admin_DailyPred,MATCH($F70,Rango_Admin_DailyPred_Primera,0)+1,0),"-")</f>
        <v>-</v>
      </c>
      <c r="P70" s="717" t="str">
        <f ca="1">IFERROR(VLOOKUP(P$2,Rango_Admin_DailyPred,MATCH($F70,Rango_Admin_DailyPred_Primera,0)+1,0),"-")</f>
        <v>-</v>
      </c>
      <c r="Q70" s="717" t="str">
        <f ca="1">IFERROR(VLOOKUP(Q$2,Rango_Admin_DailyPred,MATCH($F70,Rango_Admin_DailyPred_Primera,0)+1,0),"-")</f>
        <v>-</v>
      </c>
      <c r="R70" s="717" t="str">
        <f ca="1">IFERROR(VLOOKUP(R$2,Rango_Admin_DailyPred,MATCH($F70,Rango_Admin_DailyPred_Primera,0)+1,0),"-")</f>
        <v>-</v>
      </c>
      <c r="S70" s="717" t="str">
        <f ca="1">IFERROR(VLOOKUP(S$2,Rango_Admin_DailyPred,MATCH($F70,Rango_Admin_DailyPred_Primera,0)+1,0),"-")</f>
        <v>-</v>
      </c>
      <c r="T70" s="717" t="str">
        <f ca="1">IFERROR(VLOOKUP(T$2,Rango_Admin_DailyPred,MATCH($F70,Rango_Admin_DailyPred_Primera,0)+1,0),"-")</f>
        <v>-</v>
      </c>
      <c r="U70" s="717" t="str">
        <f ca="1">IFERROR(VLOOKUP(U$2,Rango_Admin_DailyPred,MATCH($F70,Rango_Admin_DailyPred_Primera,0)+1,0),"-")</f>
        <v>-</v>
      </c>
      <c r="V70" s="717" t="str">
        <f ca="1">IFERROR(VLOOKUP(V$2,Rango_Admin_DailyPred,MATCH($F70,Rango_Admin_DailyPred_Primera,0)+1,0),"-")</f>
        <v>-</v>
      </c>
      <c r="W70" s="717" t="str">
        <f ca="1">IFERROR(VLOOKUP(W$2,Rango_Admin_DailyPred,MATCH($F70,Rango_Admin_DailyPred_Primera,0)+1,0),"-")</f>
        <v>-</v>
      </c>
      <c r="X70" s="717" t="str">
        <f ca="1">IFERROR(VLOOKUP(X$2,Rango_Admin_DailyPred,MATCH($F70,Rango_Admin_DailyPred_Primera,0)+1,0),"-")</f>
        <v>-</v>
      </c>
      <c r="Y70" s="717" t="str">
        <f ca="1">IFERROR(VLOOKUP(Y$2,Rango_Admin_DailyPred,MATCH($F70,Rango_Admin_DailyPred_Primera,0)+1,0),"-")</f>
        <v>-</v>
      </c>
      <c r="Z70" s="717" t="str">
        <f ca="1">IFERROR(VLOOKUP(Z$2,Rango_Admin_DailyPred,MATCH($F70,Rango_Admin_DailyPred_Primera,0)+1,0),"-")</f>
        <v>-</v>
      </c>
      <c r="AA70" s="717" t="str">
        <f ca="1">IFERROR(VLOOKUP(AA$2,Rango_Admin_DailyPred,MATCH($F70,Rango_Admin_DailyPred_Primera,0)+1,0),"-")</f>
        <v>-</v>
      </c>
      <c r="AB70" s="717" t="str">
        <f ca="1">IFERROR(VLOOKUP(AB$2,Rango_Admin_DailyPred,MATCH($F70,Rango_Admin_DailyPred_Primera,0)+1,0),"-")</f>
        <v>-</v>
      </c>
      <c r="AC70" s="717" t="str">
        <f ca="1">IFERROR(VLOOKUP(AC$2,Rango_Admin_DailyPred,MATCH($F70,Rango_Admin_DailyPred_Primera,0)+1,0),"-")</f>
        <v>-</v>
      </c>
      <c r="AD70" s="717" t="str">
        <f ca="1">IFERROR(VLOOKUP(AD$2,Rango_Admin_DailyPred,MATCH($F70,Rango_Admin_DailyPred_Primera,0)+1,0),"-")</f>
        <v>-</v>
      </c>
      <c r="AE70" s="717" t="str">
        <f ca="1">IFERROR(VLOOKUP(AE$2,Rango_Admin_DailyPred,MATCH($F70,Rango_Admin_DailyPred_Primera,0)+1,0),"-")</f>
        <v>-</v>
      </c>
      <c r="AF70" s="717" t="str">
        <f ca="1">IFERROR(VLOOKUP(AF$2,Rango_Admin_DailyPred,MATCH($F70,Rango_Admin_DailyPred_Primera,0)+1,0),"-")</f>
        <v>-</v>
      </c>
      <c r="AG70" s="717" t="str">
        <f ca="1">IFERROR(VLOOKUP(AG$2,Rango_Admin_DailyPred,MATCH($F70,Rango_Admin_DailyPred_Primera,0)+1,0),"-")</f>
        <v>-</v>
      </c>
      <c r="AH70" s="717" t="str">
        <f ca="1">IFERROR(VLOOKUP(AH$2,Rango_Admin_DailyPred,MATCH($F70,Rango_Admin_DailyPred_Primera,0)+1,0),"-")</f>
        <v>-</v>
      </c>
      <c r="AI70" s="717" t="str">
        <f ca="1">IFERROR(VLOOKUP(AI$2,Rango_Admin_DailyPred,MATCH($F70,Rango_Admin_DailyPred_Primera,0)+1,0),"-")</f>
        <v>-</v>
      </c>
      <c r="AJ70" s="717" t="str">
        <f ca="1">IFERROR(VLOOKUP(AJ$2,Rango_Admin_DailyPred,MATCH($F70,Rango_Admin_DailyPred_Primera,0)+1,0),"-")</f>
        <v>-</v>
      </c>
      <c r="AK70" s="717" t="str">
        <f ca="1">IFERROR(VLOOKUP(AK$2,Rango_Admin_DailyPred,MATCH($F70,Rango_Admin_DailyPred_Primera,0)+1,0),"-")</f>
        <v>-</v>
      </c>
      <c r="AL70" s="717" t="str">
        <f ca="1">IFERROR(VLOOKUP(AL$2,Rango_Admin_DailyPred,MATCH($F70,Rango_Admin_DailyPred_Primera,0)+1,0),"-")</f>
        <v>-</v>
      </c>
      <c r="AM70" s="717" t="str">
        <f ca="1">IFERROR(VLOOKUP(AM$2,Rango_Admin_DailyPred,MATCH($F70,Rango_Admin_DailyPred_Primera,0)+1,0),"-")</f>
        <v>-</v>
      </c>
    </row>
    <row r="71" spans="3:39">
      <c r="C71" s="8">
        <v>68</v>
      </c>
      <c r="E71" s="781" t="str">
        <f ca="1">IFERROR(HLOOKUP(C71,Rango_Admin_DailyClas,3,FALSE),"-")</f>
        <v>-</v>
      </c>
      <c r="F71" s="772" t="str">
        <f ca="1">IFERROR(HLOOKUP(C71,Rango_Admin_DailyClas,5,FALSE),"-")</f>
        <v>-</v>
      </c>
      <c r="G71" s="768" t="str">
        <f ca="1">IFERROR(HLOOKUP(C71,Rango_Admin_DailyClas,4,FALSE),"-")</f>
        <v>-</v>
      </c>
      <c r="H71" s="717" t="str">
        <f ca="1">IFERROR(VLOOKUP(H$2,Rango_Admin_DailyPred,MATCH($F71,Rango_Admin_DailyPred_Primera,0)+1,0),"-")</f>
        <v>-</v>
      </c>
      <c r="I71" s="717" t="str">
        <f ca="1">IFERROR(VLOOKUP(I$2,Rango_Admin_DailyPred,MATCH($F71,Rango_Admin_DailyPred_Primera,0)+1,0),"-")</f>
        <v>-</v>
      </c>
      <c r="J71" s="717" t="str">
        <f ca="1">IFERROR(VLOOKUP(J$2,Rango_Admin_DailyPred,MATCH($F71,Rango_Admin_DailyPred_Primera,0)+1,0),"-")</f>
        <v>-</v>
      </c>
      <c r="K71" s="717" t="str">
        <f ca="1">IFERROR(VLOOKUP(K$2,Rango_Admin_DailyPred,MATCH($F71,Rango_Admin_DailyPred_Primera,0)+1,0),"-")</f>
        <v>-</v>
      </c>
      <c r="L71" s="717" t="str">
        <f ca="1">IFERROR(VLOOKUP(L$2,Rango_Admin_DailyPred,MATCH($F71,Rango_Admin_DailyPred_Primera,0)+1,0),"-")</f>
        <v>-</v>
      </c>
      <c r="M71" s="717" t="str">
        <f ca="1">IFERROR(VLOOKUP(M$2,Rango_Admin_DailyPred,MATCH($F71,Rango_Admin_DailyPred_Primera,0)+1,0),"-")</f>
        <v>-</v>
      </c>
      <c r="N71" s="717" t="str">
        <f ca="1">IFERROR(VLOOKUP(N$2,Rango_Admin_DailyPred,MATCH($F71,Rango_Admin_DailyPred_Primera,0)+1,0),"-")</f>
        <v>-</v>
      </c>
      <c r="O71" s="717" t="str">
        <f ca="1">IFERROR(VLOOKUP(O$2,Rango_Admin_DailyPred,MATCH($F71,Rango_Admin_DailyPred_Primera,0)+1,0),"-")</f>
        <v>-</v>
      </c>
      <c r="P71" s="717" t="str">
        <f ca="1">IFERROR(VLOOKUP(P$2,Rango_Admin_DailyPred,MATCH($F71,Rango_Admin_DailyPred_Primera,0)+1,0),"-")</f>
        <v>-</v>
      </c>
      <c r="Q71" s="717" t="str">
        <f ca="1">IFERROR(VLOOKUP(Q$2,Rango_Admin_DailyPred,MATCH($F71,Rango_Admin_DailyPred_Primera,0)+1,0),"-")</f>
        <v>-</v>
      </c>
      <c r="R71" s="717" t="str">
        <f ca="1">IFERROR(VLOOKUP(R$2,Rango_Admin_DailyPred,MATCH($F71,Rango_Admin_DailyPred_Primera,0)+1,0),"-")</f>
        <v>-</v>
      </c>
      <c r="S71" s="717" t="str">
        <f ca="1">IFERROR(VLOOKUP(S$2,Rango_Admin_DailyPred,MATCH($F71,Rango_Admin_DailyPred_Primera,0)+1,0),"-")</f>
        <v>-</v>
      </c>
      <c r="T71" s="717" t="str">
        <f ca="1">IFERROR(VLOOKUP(T$2,Rango_Admin_DailyPred,MATCH($F71,Rango_Admin_DailyPred_Primera,0)+1,0),"-")</f>
        <v>-</v>
      </c>
      <c r="U71" s="717" t="str">
        <f ca="1">IFERROR(VLOOKUP(U$2,Rango_Admin_DailyPred,MATCH($F71,Rango_Admin_DailyPred_Primera,0)+1,0),"-")</f>
        <v>-</v>
      </c>
      <c r="V71" s="717" t="str">
        <f ca="1">IFERROR(VLOOKUP(V$2,Rango_Admin_DailyPred,MATCH($F71,Rango_Admin_DailyPred_Primera,0)+1,0),"-")</f>
        <v>-</v>
      </c>
      <c r="W71" s="717" t="str">
        <f ca="1">IFERROR(VLOOKUP(W$2,Rango_Admin_DailyPred,MATCH($F71,Rango_Admin_DailyPred_Primera,0)+1,0),"-")</f>
        <v>-</v>
      </c>
      <c r="X71" s="717" t="str">
        <f ca="1">IFERROR(VLOOKUP(X$2,Rango_Admin_DailyPred,MATCH($F71,Rango_Admin_DailyPred_Primera,0)+1,0),"-")</f>
        <v>-</v>
      </c>
      <c r="Y71" s="717" t="str">
        <f ca="1">IFERROR(VLOOKUP(Y$2,Rango_Admin_DailyPred,MATCH($F71,Rango_Admin_DailyPred_Primera,0)+1,0),"-")</f>
        <v>-</v>
      </c>
      <c r="Z71" s="717" t="str">
        <f ca="1">IFERROR(VLOOKUP(Z$2,Rango_Admin_DailyPred,MATCH($F71,Rango_Admin_DailyPred_Primera,0)+1,0),"-")</f>
        <v>-</v>
      </c>
      <c r="AA71" s="717" t="str">
        <f ca="1">IFERROR(VLOOKUP(AA$2,Rango_Admin_DailyPred,MATCH($F71,Rango_Admin_DailyPred_Primera,0)+1,0),"-")</f>
        <v>-</v>
      </c>
      <c r="AB71" s="717" t="str">
        <f ca="1">IFERROR(VLOOKUP(AB$2,Rango_Admin_DailyPred,MATCH($F71,Rango_Admin_DailyPred_Primera,0)+1,0),"-")</f>
        <v>-</v>
      </c>
      <c r="AC71" s="717" t="str">
        <f ca="1">IFERROR(VLOOKUP(AC$2,Rango_Admin_DailyPred,MATCH($F71,Rango_Admin_DailyPred_Primera,0)+1,0),"-")</f>
        <v>-</v>
      </c>
      <c r="AD71" s="717" t="str">
        <f ca="1">IFERROR(VLOOKUP(AD$2,Rango_Admin_DailyPred,MATCH($F71,Rango_Admin_DailyPred_Primera,0)+1,0),"-")</f>
        <v>-</v>
      </c>
      <c r="AE71" s="717" t="str">
        <f ca="1">IFERROR(VLOOKUP(AE$2,Rango_Admin_DailyPred,MATCH($F71,Rango_Admin_DailyPred_Primera,0)+1,0),"-")</f>
        <v>-</v>
      </c>
      <c r="AF71" s="717" t="str">
        <f ca="1">IFERROR(VLOOKUP(AF$2,Rango_Admin_DailyPred,MATCH($F71,Rango_Admin_DailyPred_Primera,0)+1,0),"-")</f>
        <v>-</v>
      </c>
      <c r="AG71" s="717" t="str">
        <f ca="1">IFERROR(VLOOKUP(AG$2,Rango_Admin_DailyPred,MATCH($F71,Rango_Admin_DailyPred_Primera,0)+1,0),"-")</f>
        <v>-</v>
      </c>
      <c r="AH71" s="717" t="str">
        <f ca="1">IFERROR(VLOOKUP(AH$2,Rango_Admin_DailyPred,MATCH($F71,Rango_Admin_DailyPred_Primera,0)+1,0),"-")</f>
        <v>-</v>
      </c>
      <c r="AI71" s="717" t="str">
        <f ca="1">IFERROR(VLOOKUP(AI$2,Rango_Admin_DailyPred,MATCH($F71,Rango_Admin_DailyPred_Primera,0)+1,0),"-")</f>
        <v>-</v>
      </c>
      <c r="AJ71" s="717" t="str">
        <f ca="1">IFERROR(VLOOKUP(AJ$2,Rango_Admin_DailyPred,MATCH($F71,Rango_Admin_DailyPred_Primera,0)+1,0),"-")</f>
        <v>-</v>
      </c>
      <c r="AK71" s="717" t="str">
        <f ca="1">IFERROR(VLOOKUP(AK$2,Rango_Admin_DailyPred,MATCH($F71,Rango_Admin_DailyPred_Primera,0)+1,0),"-")</f>
        <v>-</v>
      </c>
      <c r="AL71" s="717" t="str">
        <f ca="1">IFERROR(VLOOKUP(AL$2,Rango_Admin_DailyPred,MATCH($F71,Rango_Admin_DailyPred_Primera,0)+1,0),"-")</f>
        <v>-</v>
      </c>
      <c r="AM71" s="717" t="str">
        <f ca="1">IFERROR(VLOOKUP(AM$2,Rango_Admin_DailyPred,MATCH($F71,Rango_Admin_DailyPred_Primera,0)+1,0),"-")</f>
        <v>-</v>
      </c>
    </row>
    <row r="72" spans="3:39">
      <c r="C72" s="8">
        <v>69</v>
      </c>
      <c r="E72" s="781" t="str">
        <f ca="1">IFERROR(HLOOKUP(C72,Rango_Admin_DailyClas,3,FALSE),"-")</f>
        <v>-</v>
      </c>
      <c r="F72" s="772" t="str">
        <f ca="1">IFERROR(HLOOKUP(C72,Rango_Admin_DailyClas,5,FALSE),"-")</f>
        <v>-</v>
      </c>
      <c r="G72" s="768" t="str">
        <f ca="1">IFERROR(HLOOKUP(C72,Rango_Admin_DailyClas,4,FALSE),"-")</f>
        <v>-</v>
      </c>
      <c r="H72" s="717" t="str">
        <f ca="1">IFERROR(VLOOKUP(H$2,Rango_Admin_DailyPred,MATCH($F72,Rango_Admin_DailyPred_Primera,0)+1,0),"-")</f>
        <v>-</v>
      </c>
      <c r="I72" s="717" t="str">
        <f ca="1">IFERROR(VLOOKUP(I$2,Rango_Admin_DailyPred,MATCH($F72,Rango_Admin_DailyPred_Primera,0)+1,0),"-")</f>
        <v>-</v>
      </c>
      <c r="J72" s="717" t="str">
        <f ca="1">IFERROR(VLOOKUP(J$2,Rango_Admin_DailyPred,MATCH($F72,Rango_Admin_DailyPred_Primera,0)+1,0),"-")</f>
        <v>-</v>
      </c>
      <c r="K72" s="717" t="str">
        <f ca="1">IFERROR(VLOOKUP(K$2,Rango_Admin_DailyPred,MATCH($F72,Rango_Admin_DailyPred_Primera,0)+1,0),"-")</f>
        <v>-</v>
      </c>
      <c r="L72" s="717" t="str">
        <f ca="1">IFERROR(VLOOKUP(L$2,Rango_Admin_DailyPred,MATCH($F72,Rango_Admin_DailyPred_Primera,0)+1,0),"-")</f>
        <v>-</v>
      </c>
      <c r="M72" s="717" t="str">
        <f ca="1">IFERROR(VLOOKUP(M$2,Rango_Admin_DailyPred,MATCH($F72,Rango_Admin_DailyPred_Primera,0)+1,0),"-")</f>
        <v>-</v>
      </c>
      <c r="N72" s="717" t="str">
        <f ca="1">IFERROR(VLOOKUP(N$2,Rango_Admin_DailyPred,MATCH($F72,Rango_Admin_DailyPred_Primera,0)+1,0),"-")</f>
        <v>-</v>
      </c>
      <c r="O72" s="717" t="str">
        <f ca="1">IFERROR(VLOOKUP(O$2,Rango_Admin_DailyPred,MATCH($F72,Rango_Admin_DailyPred_Primera,0)+1,0),"-")</f>
        <v>-</v>
      </c>
      <c r="P72" s="717" t="str">
        <f ca="1">IFERROR(VLOOKUP(P$2,Rango_Admin_DailyPred,MATCH($F72,Rango_Admin_DailyPred_Primera,0)+1,0),"-")</f>
        <v>-</v>
      </c>
      <c r="Q72" s="717" t="str">
        <f ca="1">IFERROR(VLOOKUP(Q$2,Rango_Admin_DailyPred,MATCH($F72,Rango_Admin_DailyPred_Primera,0)+1,0),"-")</f>
        <v>-</v>
      </c>
      <c r="R72" s="717" t="str">
        <f ca="1">IFERROR(VLOOKUP(R$2,Rango_Admin_DailyPred,MATCH($F72,Rango_Admin_DailyPred_Primera,0)+1,0),"-")</f>
        <v>-</v>
      </c>
      <c r="S72" s="717" t="str">
        <f ca="1">IFERROR(VLOOKUP(S$2,Rango_Admin_DailyPred,MATCH($F72,Rango_Admin_DailyPred_Primera,0)+1,0),"-")</f>
        <v>-</v>
      </c>
      <c r="T72" s="717" t="str">
        <f ca="1">IFERROR(VLOOKUP(T$2,Rango_Admin_DailyPred,MATCH($F72,Rango_Admin_DailyPred_Primera,0)+1,0),"-")</f>
        <v>-</v>
      </c>
      <c r="U72" s="717" t="str">
        <f ca="1">IFERROR(VLOOKUP(U$2,Rango_Admin_DailyPred,MATCH($F72,Rango_Admin_DailyPred_Primera,0)+1,0),"-")</f>
        <v>-</v>
      </c>
      <c r="V72" s="717" t="str">
        <f ca="1">IFERROR(VLOOKUP(V$2,Rango_Admin_DailyPred,MATCH($F72,Rango_Admin_DailyPred_Primera,0)+1,0),"-")</f>
        <v>-</v>
      </c>
      <c r="W72" s="717" t="str">
        <f ca="1">IFERROR(VLOOKUP(W$2,Rango_Admin_DailyPred,MATCH($F72,Rango_Admin_DailyPred_Primera,0)+1,0),"-")</f>
        <v>-</v>
      </c>
      <c r="X72" s="717" t="str">
        <f ca="1">IFERROR(VLOOKUP(X$2,Rango_Admin_DailyPred,MATCH($F72,Rango_Admin_DailyPred_Primera,0)+1,0),"-")</f>
        <v>-</v>
      </c>
      <c r="Y72" s="717" t="str">
        <f ca="1">IFERROR(VLOOKUP(Y$2,Rango_Admin_DailyPred,MATCH($F72,Rango_Admin_DailyPred_Primera,0)+1,0),"-")</f>
        <v>-</v>
      </c>
      <c r="Z72" s="717" t="str">
        <f ca="1">IFERROR(VLOOKUP(Z$2,Rango_Admin_DailyPred,MATCH($F72,Rango_Admin_DailyPred_Primera,0)+1,0),"-")</f>
        <v>-</v>
      </c>
      <c r="AA72" s="717" t="str">
        <f ca="1">IFERROR(VLOOKUP(AA$2,Rango_Admin_DailyPred,MATCH($F72,Rango_Admin_DailyPred_Primera,0)+1,0),"-")</f>
        <v>-</v>
      </c>
      <c r="AB72" s="717" t="str">
        <f ca="1">IFERROR(VLOOKUP(AB$2,Rango_Admin_DailyPred,MATCH($F72,Rango_Admin_DailyPred_Primera,0)+1,0),"-")</f>
        <v>-</v>
      </c>
      <c r="AC72" s="717" t="str">
        <f ca="1">IFERROR(VLOOKUP(AC$2,Rango_Admin_DailyPred,MATCH($F72,Rango_Admin_DailyPred_Primera,0)+1,0),"-")</f>
        <v>-</v>
      </c>
      <c r="AD72" s="717" t="str">
        <f ca="1">IFERROR(VLOOKUP(AD$2,Rango_Admin_DailyPred,MATCH($F72,Rango_Admin_DailyPred_Primera,0)+1,0),"-")</f>
        <v>-</v>
      </c>
      <c r="AE72" s="717" t="str">
        <f ca="1">IFERROR(VLOOKUP(AE$2,Rango_Admin_DailyPred,MATCH($F72,Rango_Admin_DailyPred_Primera,0)+1,0),"-")</f>
        <v>-</v>
      </c>
      <c r="AF72" s="717" t="str">
        <f ca="1">IFERROR(VLOOKUP(AF$2,Rango_Admin_DailyPred,MATCH($F72,Rango_Admin_DailyPred_Primera,0)+1,0),"-")</f>
        <v>-</v>
      </c>
      <c r="AG72" s="717" t="str">
        <f ca="1">IFERROR(VLOOKUP(AG$2,Rango_Admin_DailyPred,MATCH($F72,Rango_Admin_DailyPred_Primera,0)+1,0),"-")</f>
        <v>-</v>
      </c>
      <c r="AH72" s="717" t="str">
        <f ca="1">IFERROR(VLOOKUP(AH$2,Rango_Admin_DailyPred,MATCH($F72,Rango_Admin_DailyPred_Primera,0)+1,0),"-")</f>
        <v>-</v>
      </c>
      <c r="AI72" s="717" t="str">
        <f ca="1">IFERROR(VLOOKUP(AI$2,Rango_Admin_DailyPred,MATCH($F72,Rango_Admin_DailyPred_Primera,0)+1,0),"-")</f>
        <v>-</v>
      </c>
      <c r="AJ72" s="717" t="str">
        <f ca="1">IFERROR(VLOOKUP(AJ$2,Rango_Admin_DailyPred,MATCH($F72,Rango_Admin_DailyPred_Primera,0)+1,0),"-")</f>
        <v>-</v>
      </c>
      <c r="AK72" s="717" t="str">
        <f ca="1">IFERROR(VLOOKUP(AK$2,Rango_Admin_DailyPred,MATCH($F72,Rango_Admin_DailyPred_Primera,0)+1,0),"-")</f>
        <v>-</v>
      </c>
      <c r="AL72" s="717" t="str">
        <f ca="1">IFERROR(VLOOKUP(AL$2,Rango_Admin_DailyPred,MATCH($F72,Rango_Admin_DailyPred_Primera,0)+1,0),"-")</f>
        <v>-</v>
      </c>
      <c r="AM72" s="717" t="str">
        <f ca="1">IFERROR(VLOOKUP(AM$2,Rango_Admin_DailyPred,MATCH($F72,Rango_Admin_DailyPred_Primera,0)+1,0),"-")</f>
        <v>-</v>
      </c>
    </row>
    <row r="73" spans="3:39">
      <c r="C73" s="8">
        <v>70</v>
      </c>
      <c r="E73" s="781" t="str">
        <f ca="1">IFERROR(HLOOKUP(C73,Rango_Admin_DailyClas,3,FALSE),"-")</f>
        <v>-</v>
      </c>
      <c r="F73" s="772" t="str">
        <f ca="1">IFERROR(HLOOKUP(C73,Rango_Admin_DailyClas,5,FALSE),"-")</f>
        <v>-</v>
      </c>
      <c r="G73" s="768" t="str">
        <f ca="1">IFERROR(HLOOKUP(C73,Rango_Admin_DailyClas,4,FALSE),"-")</f>
        <v>-</v>
      </c>
      <c r="H73" s="717" t="str">
        <f ca="1">IFERROR(VLOOKUP(H$2,Rango_Admin_DailyPred,MATCH($F73,Rango_Admin_DailyPred_Primera,0)+1,0),"-")</f>
        <v>-</v>
      </c>
      <c r="I73" s="717" t="str">
        <f ca="1">IFERROR(VLOOKUP(I$2,Rango_Admin_DailyPred,MATCH($F73,Rango_Admin_DailyPred_Primera,0)+1,0),"-")</f>
        <v>-</v>
      </c>
      <c r="J73" s="717" t="str">
        <f ca="1">IFERROR(VLOOKUP(J$2,Rango_Admin_DailyPred,MATCH($F73,Rango_Admin_DailyPred_Primera,0)+1,0),"-")</f>
        <v>-</v>
      </c>
      <c r="K73" s="717" t="str">
        <f ca="1">IFERROR(VLOOKUP(K$2,Rango_Admin_DailyPred,MATCH($F73,Rango_Admin_DailyPred_Primera,0)+1,0),"-")</f>
        <v>-</v>
      </c>
      <c r="L73" s="717" t="str">
        <f ca="1">IFERROR(VLOOKUP(L$2,Rango_Admin_DailyPred,MATCH($F73,Rango_Admin_DailyPred_Primera,0)+1,0),"-")</f>
        <v>-</v>
      </c>
      <c r="M73" s="717" t="str">
        <f ca="1">IFERROR(VLOOKUP(M$2,Rango_Admin_DailyPred,MATCH($F73,Rango_Admin_DailyPred_Primera,0)+1,0),"-")</f>
        <v>-</v>
      </c>
      <c r="N73" s="717" t="str">
        <f ca="1">IFERROR(VLOOKUP(N$2,Rango_Admin_DailyPred,MATCH($F73,Rango_Admin_DailyPred_Primera,0)+1,0),"-")</f>
        <v>-</v>
      </c>
      <c r="O73" s="717" t="str">
        <f ca="1">IFERROR(VLOOKUP(O$2,Rango_Admin_DailyPred,MATCH($F73,Rango_Admin_DailyPred_Primera,0)+1,0),"-")</f>
        <v>-</v>
      </c>
      <c r="P73" s="717" t="str">
        <f ca="1">IFERROR(VLOOKUP(P$2,Rango_Admin_DailyPred,MATCH($F73,Rango_Admin_DailyPred_Primera,0)+1,0),"-")</f>
        <v>-</v>
      </c>
      <c r="Q73" s="717" t="str">
        <f ca="1">IFERROR(VLOOKUP(Q$2,Rango_Admin_DailyPred,MATCH($F73,Rango_Admin_DailyPred_Primera,0)+1,0),"-")</f>
        <v>-</v>
      </c>
      <c r="R73" s="717" t="str">
        <f ca="1">IFERROR(VLOOKUP(R$2,Rango_Admin_DailyPred,MATCH($F73,Rango_Admin_DailyPred_Primera,0)+1,0),"-")</f>
        <v>-</v>
      </c>
      <c r="S73" s="717" t="str">
        <f ca="1">IFERROR(VLOOKUP(S$2,Rango_Admin_DailyPred,MATCH($F73,Rango_Admin_DailyPred_Primera,0)+1,0),"-")</f>
        <v>-</v>
      </c>
      <c r="T73" s="717" t="str">
        <f ca="1">IFERROR(VLOOKUP(T$2,Rango_Admin_DailyPred,MATCH($F73,Rango_Admin_DailyPred_Primera,0)+1,0),"-")</f>
        <v>-</v>
      </c>
      <c r="U73" s="717" t="str">
        <f ca="1">IFERROR(VLOOKUP(U$2,Rango_Admin_DailyPred,MATCH($F73,Rango_Admin_DailyPred_Primera,0)+1,0),"-")</f>
        <v>-</v>
      </c>
      <c r="V73" s="717" t="str">
        <f ca="1">IFERROR(VLOOKUP(V$2,Rango_Admin_DailyPred,MATCH($F73,Rango_Admin_DailyPred_Primera,0)+1,0),"-")</f>
        <v>-</v>
      </c>
      <c r="W73" s="717" t="str">
        <f ca="1">IFERROR(VLOOKUP(W$2,Rango_Admin_DailyPred,MATCH($F73,Rango_Admin_DailyPred_Primera,0)+1,0),"-")</f>
        <v>-</v>
      </c>
      <c r="X73" s="717" t="str">
        <f ca="1">IFERROR(VLOOKUP(X$2,Rango_Admin_DailyPred,MATCH($F73,Rango_Admin_DailyPred_Primera,0)+1,0),"-")</f>
        <v>-</v>
      </c>
      <c r="Y73" s="717" t="str">
        <f ca="1">IFERROR(VLOOKUP(Y$2,Rango_Admin_DailyPred,MATCH($F73,Rango_Admin_DailyPred_Primera,0)+1,0),"-")</f>
        <v>-</v>
      </c>
      <c r="Z73" s="717" t="str">
        <f ca="1">IFERROR(VLOOKUP(Z$2,Rango_Admin_DailyPred,MATCH($F73,Rango_Admin_DailyPred_Primera,0)+1,0),"-")</f>
        <v>-</v>
      </c>
      <c r="AA73" s="717" t="str">
        <f ca="1">IFERROR(VLOOKUP(AA$2,Rango_Admin_DailyPred,MATCH($F73,Rango_Admin_DailyPred_Primera,0)+1,0),"-")</f>
        <v>-</v>
      </c>
      <c r="AB73" s="717" t="str">
        <f ca="1">IFERROR(VLOOKUP(AB$2,Rango_Admin_DailyPred,MATCH($F73,Rango_Admin_DailyPred_Primera,0)+1,0),"-")</f>
        <v>-</v>
      </c>
      <c r="AC73" s="717" t="str">
        <f ca="1">IFERROR(VLOOKUP(AC$2,Rango_Admin_DailyPred,MATCH($F73,Rango_Admin_DailyPred_Primera,0)+1,0),"-")</f>
        <v>-</v>
      </c>
      <c r="AD73" s="717" t="str">
        <f ca="1">IFERROR(VLOOKUP(AD$2,Rango_Admin_DailyPred,MATCH($F73,Rango_Admin_DailyPred_Primera,0)+1,0),"-")</f>
        <v>-</v>
      </c>
      <c r="AE73" s="717" t="str">
        <f ca="1">IFERROR(VLOOKUP(AE$2,Rango_Admin_DailyPred,MATCH($F73,Rango_Admin_DailyPred_Primera,0)+1,0),"-")</f>
        <v>-</v>
      </c>
      <c r="AF73" s="717" t="str">
        <f ca="1">IFERROR(VLOOKUP(AF$2,Rango_Admin_DailyPred,MATCH($F73,Rango_Admin_DailyPred_Primera,0)+1,0),"-")</f>
        <v>-</v>
      </c>
      <c r="AG73" s="717" t="str">
        <f ca="1">IFERROR(VLOOKUP(AG$2,Rango_Admin_DailyPred,MATCH($F73,Rango_Admin_DailyPred_Primera,0)+1,0),"-")</f>
        <v>-</v>
      </c>
      <c r="AH73" s="717" t="str">
        <f ca="1">IFERROR(VLOOKUP(AH$2,Rango_Admin_DailyPred,MATCH($F73,Rango_Admin_DailyPred_Primera,0)+1,0),"-")</f>
        <v>-</v>
      </c>
      <c r="AI73" s="717" t="str">
        <f ca="1">IFERROR(VLOOKUP(AI$2,Rango_Admin_DailyPred,MATCH($F73,Rango_Admin_DailyPred_Primera,0)+1,0),"-")</f>
        <v>-</v>
      </c>
      <c r="AJ73" s="717" t="str">
        <f ca="1">IFERROR(VLOOKUP(AJ$2,Rango_Admin_DailyPred,MATCH($F73,Rango_Admin_DailyPred_Primera,0)+1,0),"-")</f>
        <v>-</v>
      </c>
      <c r="AK73" s="717" t="str">
        <f ca="1">IFERROR(VLOOKUP(AK$2,Rango_Admin_DailyPred,MATCH($F73,Rango_Admin_DailyPred_Primera,0)+1,0),"-")</f>
        <v>-</v>
      </c>
      <c r="AL73" s="717" t="str">
        <f ca="1">IFERROR(VLOOKUP(AL$2,Rango_Admin_DailyPred,MATCH($F73,Rango_Admin_DailyPred_Primera,0)+1,0),"-")</f>
        <v>-</v>
      </c>
      <c r="AM73" s="717" t="str">
        <f ca="1">IFERROR(VLOOKUP(AM$2,Rango_Admin_DailyPred,MATCH($F73,Rango_Admin_DailyPred_Primera,0)+1,0),"-")</f>
        <v>-</v>
      </c>
    </row>
    <row r="74" spans="3:39">
      <c r="C74" s="8">
        <v>71</v>
      </c>
      <c r="E74" s="781" t="str">
        <f ca="1">IFERROR(HLOOKUP(C74,Rango_Admin_DailyClas,3,FALSE),"-")</f>
        <v>-</v>
      </c>
      <c r="F74" s="772" t="str">
        <f ca="1">IFERROR(HLOOKUP(C74,Rango_Admin_DailyClas,5,FALSE),"-")</f>
        <v>-</v>
      </c>
      <c r="G74" s="768" t="str">
        <f ca="1">IFERROR(HLOOKUP(C74,Rango_Admin_DailyClas,4,FALSE),"-")</f>
        <v>-</v>
      </c>
      <c r="H74" s="717" t="str">
        <f ca="1">IFERROR(VLOOKUP(H$2,Rango_Admin_DailyPred,MATCH($F74,Rango_Admin_DailyPred_Primera,0)+1,0),"-")</f>
        <v>-</v>
      </c>
      <c r="I74" s="717" t="str">
        <f ca="1">IFERROR(VLOOKUP(I$2,Rango_Admin_DailyPred,MATCH($F74,Rango_Admin_DailyPred_Primera,0)+1,0),"-")</f>
        <v>-</v>
      </c>
      <c r="J74" s="717" t="str">
        <f ca="1">IFERROR(VLOOKUP(J$2,Rango_Admin_DailyPred,MATCH($F74,Rango_Admin_DailyPred_Primera,0)+1,0),"-")</f>
        <v>-</v>
      </c>
      <c r="K74" s="717" t="str">
        <f ca="1">IFERROR(VLOOKUP(K$2,Rango_Admin_DailyPred,MATCH($F74,Rango_Admin_DailyPred_Primera,0)+1,0),"-")</f>
        <v>-</v>
      </c>
      <c r="L74" s="717" t="str">
        <f ca="1">IFERROR(VLOOKUP(L$2,Rango_Admin_DailyPred,MATCH($F74,Rango_Admin_DailyPred_Primera,0)+1,0),"-")</f>
        <v>-</v>
      </c>
      <c r="M74" s="717" t="str">
        <f ca="1">IFERROR(VLOOKUP(M$2,Rango_Admin_DailyPred,MATCH($F74,Rango_Admin_DailyPred_Primera,0)+1,0),"-")</f>
        <v>-</v>
      </c>
      <c r="N74" s="717" t="str">
        <f ca="1">IFERROR(VLOOKUP(N$2,Rango_Admin_DailyPred,MATCH($F74,Rango_Admin_DailyPred_Primera,0)+1,0),"-")</f>
        <v>-</v>
      </c>
      <c r="O74" s="717" t="str">
        <f ca="1">IFERROR(VLOOKUP(O$2,Rango_Admin_DailyPred,MATCH($F74,Rango_Admin_DailyPred_Primera,0)+1,0),"-")</f>
        <v>-</v>
      </c>
      <c r="P74" s="717" t="str">
        <f ca="1">IFERROR(VLOOKUP(P$2,Rango_Admin_DailyPred,MATCH($F74,Rango_Admin_DailyPred_Primera,0)+1,0),"-")</f>
        <v>-</v>
      </c>
      <c r="Q74" s="717" t="str">
        <f ca="1">IFERROR(VLOOKUP(Q$2,Rango_Admin_DailyPred,MATCH($F74,Rango_Admin_DailyPred_Primera,0)+1,0),"-")</f>
        <v>-</v>
      </c>
      <c r="R74" s="717" t="str">
        <f ca="1">IFERROR(VLOOKUP(R$2,Rango_Admin_DailyPred,MATCH($F74,Rango_Admin_DailyPred_Primera,0)+1,0),"-")</f>
        <v>-</v>
      </c>
      <c r="S74" s="717" t="str">
        <f ca="1">IFERROR(VLOOKUP(S$2,Rango_Admin_DailyPred,MATCH($F74,Rango_Admin_DailyPred_Primera,0)+1,0),"-")</f>
        <v>-</v>
      </c>
      <c r="T74" s="717" t="str">
        <f ca="1">IFERROR(VLOOKUP(T$2,Rango_Admin_DailyPred,MATCH($F74,Rango_Admin_DailyPred_Primera,0)+1,0),"-")</f>
        <v>-</v>
      </c>
      <c r="U74" s="717" t="str">
        <f ca="1">IFERROR(VLOOKUP(U$2,Rango_Admin_DailyPred,MATCH($F74,Rango_Admin_DailyPred_Primera,0)+1,0),"-")</f>
        <v>-</v>
      </c>
      <c r="V74" s="717" t="str">
        <f ca="1">IFERROR(VLOOKUP(V$2,Rango_Admin_DailyPred,MATCH($F74,Rango_Admin_DailyPred_Primera,0)+1,0),"-")</f>
        <v>-</v>
      </c>
      <c r="W74" s="717" t="str">
        <f ca="1">IFERROR(VLOOKUP(W$2,Rango_Admin_DailyPred,MATCH($F74,Rango_Admin_DailyPred_Primera,0)+1,0),"-")</f>
        <v>-</v>
      </c>
      <c r="X74" s="717" t="str">
        <f ca="1">IFERROR(VLOOKUP(X$2,Rango_Admin_DailyPred,MATCH($F74,Rango_Admin_DailyPred_Primera,0)+1,0),"-")</f>
        <v>-</v>
      </c>
      <c r="Y74" s="717" t="str">
        <f ca="1">IFERROR(VLOOKUP(Y$2,Rango_Admin_DailyPred,MATCH($F74,Rango_Admin_DailyPred_Primera,0)+1,0),"-")</f>
        <v>-</v>
      </c>
      <c r="Z74" s="717" t="str">
        <f ca="1">IFERROR(VLOOKUP(Z$2,Rango_Admin_DailyPred,MATCH($F74,Rango_Admin_DailyPred_Primera,0)+1,0),"-")</f>
        <v>-</v>
      </c>
      <c r="AA74" s="717" t="str">
        <f ca="1">IFERROR(VLOOKUP(AA$2,Rango_Admin_DailyPred,MATCH($F74,Rango_Admin_DailyPred_Primera,0)+1,0),"-")</f>
        <v>-</v>
      </c>
      <c r="AB74" s="717" t="str">
        <f ca="1">IFERROR(VLOOKUP(AB$2,Rango_Admin_DailyPred,MATCH($F74,Rango_Admin_DailyPred_Primera,0)+1,0),"-")</f>
        <v>-</v>
      </c>
      <c r="AC74" s="717" t="str">
        <f ca="1">IFERROR(VLOOKUP(AC$2,Rango_Admin_DailyPred,MATCH($F74,Rango_Admin_DailyPred_Primera,0)+1,0),"-")</f>
        <v>-</v>
      </c>
      <c r="AD74" s="717" t="str">
        <f ca="1">IFERROR(VLOOKUP(AD$2,Rango_Admin_DailyPred,MATCH($F74,Rango_Admin_DailyPred_Primera,0)+1,0),"-")</f>
        <v>-</v>
      </c>
      <c r="AE74" s="717" t="str">
        <f ca="1">IFERROR(VLOOKUP(AE$2,Rango_Admin_DailyPred,MATCH($F74,Rango_Admin_DailyPred_Primera,0)+1,0),"-")</f>
        <v>-</v>
      </c>
      <c r="AF74" s="717" t="str">
        <f ca="1">IFERROR(VLOOKUP(AF$2,Rango_Admin_DailyPred,MATCH($F74,Rango_Admin_DailyPred_Primera,0)+1,0),"-")</f>
        <v>-</v>
      </c>
      <c r="AG74" s="717" t="str">
        <f ca="1">IFERROR(VLOOKUP(AG$2,Rango_Admin_DailyPred,MATCH($F74,Rango_Admin_DailyPred_Primera,0)+1,0),"-")</f>
        <v>-</v>
      </c>
      <c r="AH74" s="717" t="str">
        <f ca="1">IFERROR(VLOOKUP(AH$2,Rango_Admin_DailyPred,MATCH($F74,Rango_Admin_DailyPred_Primera,0)+1,0),"-")</f>
        <v>-</v>
      </c>
      <c r="AI74" s="717" t="str">
        <f ca="1">IFERROR(VLOOKUP(AI$2,Rango_Admin_DailyPred,MATCH($F74,Rango_Admin_DailyPred_Primera,0)+1,0),"-")</f>
        <v>-</v>
      </c>
      <c r="AJ74" s="717" t="str">
        <f ca="1">IFERROR(VLOOKUP(AJ$2,Rango_Admin_DailyPred,MATCH($F74,Rango_Admin_DailyPred_Primera,0)+1,0),"-")</f>
        <v>-</v>
      </c>
      <c r="AK74" s="717" t="str">
        <f ca="1">IFERROR(VLOOKUP(AK$2,Rango_Admin_DailyPred,MATCH($F74,Rango_Admin_DailyPred_Primera,0)+1,0),"-")</f>
        <v>-</v>
      </c>
      <c r="AL74" s="717" t="str">
        <f ca="1">IFERROR(VLOOKUP(AL$2,Rango_Admin_DailyPred,MATCH($F74,Rango_Admin_DailyPred_Primera,0)+1,0),"-")</f>
        <v>-</v>
      </c>
      <c r="AM74" s="717" t="str">
        <f ca="1">IFERROR(VLOOKUP(AM$2,Rango_Admin_DailyPred,MATCH($F74,Rango_Admin_DailyPred_Primera,0)+1,0),"-")</f>
        <v>-</v>
      </c>
    </row>
    <row r="75" spans="3:39">
      <c r="C75" s="8">
        <v>72</v>
      </c>
      <c r="E75" s="781" t="str">
        <f ca="1">IFERROR(HLOOKUP(C75,Rango_Admin_DailyClas,3,FALSE),"-")</f>
        <v>-</v>
      </c>
      <c r="F75" s="772" t="str">
        <f ca="1">IFERROR(HLOOKUP(C75,Rango_Admin_DailyClas,5,FALSE),"-")</f>
        <v>-</v>
      </c>
      <c r="G75" s="768" t="str">
        <f ca="1">IFERROR(HLOOKUP(C75,Rango_Admin_DailyClas,4,FALSE),"-")</f>
        <v>-</v>
      </c>
      <c r="H75" s="717" t="str">
        <f ca="1">IFERROR(VLOOKUP(H$2,Rango_Admin_DailyPred,MATCH($F75,Rango_Admin_DailyPred_Primera,0)+1,0),"-")</f>
        <v>-</v>
      </c>
      <c r="I75" s="717" t="str">
        <f ca="1">IFERROR(VLOOKUP(I$2,Rango_Admin_DailyPred,MATCH($F75,Rango_Admin_DailyPred_Primera,0)+1,0),"-")</f>
        <v>-</v>
      </c>
      <c r="J75" s="717" t="str">
        <f ca="1">IFERROR(VLOOKUP(J$2,Rango_Admin_DailyPred,MATCH($F75,Rango_Admin_DailyPred_Primera,0)+1,0),"-")</f>
        <v>-</v>
      </c>
      <c r="K75" s="717" t="str">
        <f ca="1">IFERROR(VLOOKUP(K$2,Rango_Admin_DailyPred,MATCH($F75,Rango_Admin_DailyPred_Primera,0)+1,0),"-")</f>
        <v>-</v>
      </c>
      <c r="L75" s="717" t="str">
        <f ca="1">IFERROR(VLOOKUP(L$2,Rango_Admin_DailyPred,MATCH($F75,Rango_Admin_DailyPred_Primera,0)+1,0),"-")</f>
        <v>-</v>
      </c>
      <c r="M75" s="717" t="str">
        <f ca="1">IFERROR(VLOOKUP(M$2,Rango_Admin_DailyPred,MATCH($F75,Rango_Admin_DailyPred_Primera,0)+1,0),"-")</f>
        <v>-</v>
      </c>
      <c r="N75" s="717" t="str">
        <f ca="1">IFERROR(VLOOKUP(N$2,Rango_Admin_DailyPred,MATCH($F75,Rango_Admin_DailyPred_Primera,0)+1,0),"-")</f>
        <v>-</v>
      </c>
      <c r="O75" s="717" t="str">
        <f ca="1">IFERROR(VLOOKUP(O$2,Rango_Admin_DailyPred,MATCH($F75,Rango_Admin_DailyPred_Primera,0)+1,0),"-")</f>
        <v>-</v>
      </c>
      <c r="P75" s="717" t="str">
        <f ca="1">IFERROR(VLOOKUP(P$2,Rango_Admin_DailyPred,MATCH($F75,Rango_Admin_DailyPred_Primera,0)+1,0),"-")</f>
        <v>-</v>
      </c>
      <c r="Q75" s="717" t="str">
        <f ca="1">IFERROR(VLOOKUP(Q$2,Rango_Admin_DailyPred,MATCH($F75,Rango_Admin_DailyPred_Primera,0)+1,0),"-")</f>
        <v>-</v>
      </c>
      <c r="R75" s="717" t="str">
        <f ca="1">IFERROR(VLOOKUP(R$2,Rango_Admin_DailyPred,MATCH($F75,Rango_Admin_DailyPred_Primera,0)+1,0),"-")</f>
        <v>-</v>
      </c>
      <c r="S75" s="717" t="str">
        <f ca="1">IFERROR(VLOOKUP(S$2,Rango_Admin_DailyPred,MATCH($F75,Rango_Admin_DailyPred_Primera,0)+1,0),"-")</f>
        <v>-</v>
      </c>
      <c r="T75" s="717" t="str">
        <f ca="1">IFERROR(VLOOKUP(T$2,Rango_Admin_DailyPred,MATCH($F75,Rango_Admin_DailyPred_Primera,0)+1,0),"-")</f>
        <v>-</v>
      </c>
      <c r="U75" s="717" t="str">
        <f ca="1">IFERROR(VLOOKUP(U$2,Rango_Admin_DailyPred,MATCH($F75,Rango_Admin_DailyPred_Primera,0)+1,0),"-")</f>
        <v>-</v>
      </c>
      <c r="V75" s="717" t="str">
        <f ca="1">IFERROR(VLOOKUP(V$2,Rango_Admin_DailyPred,MATCH($F75,Rango_Admin_DailyPred_Primera,0)+1,0),"-")</f>
        <v>-</v>
      </c>
      <c r="W75" s="717" t="str">
        <f ca="1">IFERROR(VLOOKUP(W$2,Rango_Admin_DailyPred,MATCH($F75,Rango_Admin_DailyPred_Primera,0)+1,0),"-")</f>
        <v>-</v>
      </c>
      <c r="X75" s="717" t="str">
        <f ca="1">IFERROR(VLOOKUP(X$2,Rango_Admin_DailyPred,MATCH($F75,Rango_Admin_DailyPred_Primera,0)+1,0),"-")</f>
        <v>-</v>
      </c>
      <c r="Y75" s="717" t="str">
        <f ca="1">IFERROR(VLOOKUP(Y$2,Rango_Admin_DailyPred,MATCH($F75,Rango_Admin_DailyPred_Primera,0)+1,0),"-")</f>
        <v>-</v>
      </c>
      <c r="Z75" s="717" t="str">
        <f ca="1">IFERROR(VLOOKUP(Z$2,Rango_Admin_DailyPred,MATCH($F75,Rango_Admin_DailyPred_Primera,0)+1,0),"-")</f>
        <v>-</v>
      </c>
      <c r="AA75" s="717" t="str">
        <f ca="1">IFERROR(VLOOKUP(AA$2,Rango_Admin_DailyPred,MATCH($F75,Rango_Admin_DailyPred_Primera,0)+1,0),"-")</f>
        <v>-</v>
      </c>
      <c r="AB75" s="717" t="str">
        <f ca="1">IFERROR(VLOOKUP(AB$2,Rango_Admin_DailyPred,MATCH($F75,Rango_Admin_DailyPred_Primera,0)+1,0),"-")</f>
        <v>-</v>
      </c>
      <c r="AC75" s="717" t="str">
        <f ca="1">IFERROR(VLOOKUP(AC$2,Rango_Admin_DailyPred,MATCH($F75,Rango_Admin_DailyPred_Primera,0)+1,0),"-")</f>
        <v>-</v>
      </c>
      <c r="AD75" s="717" t="str">
        <f ca="1">IFERROR(VLOOKUP(AD$2,Rango_Admin_DailyPred,MATCH($F75,Rango_Admin_DailyPred_Primera,0)+1,0),"-")</f>
        <v>-</v>
      </c>
      <c r="AE75" s="717" t="str">
        <f ca="1">IFERROR(VLOOKUP(AE$2,Rango_Admin_DailyPred,MATCH($F75,Rango_Admin_DailyPred_Primera,0)+1,0),"-")</f>
        <v>-</v>
      </c>
      <c r="AF75" s="717" t="str">
        <f ca="1">IFERROR(VLOOKUP(AF$2,Rango_Admin_DailyPred,MATCH($F75,Rango_Admin_DailyPred_Primera,0)+1,0),"-")</f>
        <v>-</v>
      </c>
      <c r="AG75" s="717" t="str">
        <f ca="1">IFERROR(VLOOKUP(AG$2,Rango_Admin_DailyPred,MATCH($F75,Rango_Admin_DailyPred_Primera,0)+1,0),"-")</f>
        <v>-</v>
      </c>
      <c r="AH75" s="717" t="str">
        <f ca="1">IFERROR(VLOOKUP(AH$2,Rango_Admin_DailyPred,MATCH($F75,Rango_Admin_DailyPred_Primera,0)+1,0),"-")</f>
        <v>-</v>
      </c>
      <c r="AI75" s="717" t="str">
        <f ca="1">IFERROR(VLOOKUP(AI$2,Rango_Admin_DailyPred,MATCH($F75,Rango_Admin_DailyPred_Primera,0)+1,0),"-")</f>
        <v>-</v>
      </c>
      <c r="AJ75" s="717" t="str">
        <f ca="1">IFERROR(VLOOKUP(AJ$2,Rango_Admin_DailyPred,MATCH($F75,Rango_Admin_DailyPred_Primera,0)+1,0),"-")</f>
        <v>-</v>
      </c>
      <c r="AK75" s="717" t="str">
        <f ca="1">IFERROR(VLOOKUP(AK$2,Rango_Admin_DailyPred,MATCH($F75,Rango_Admin_DailyPred_Primera,0)+1,0),"-")</f>
        <v>-</v>
      </c>
      <c r="AL75" s="717" t="str">
        <f ca="1">IFERROR(VLOOKUP(AL$2,Rango_Admin_DailyPred,MATCH($F75,Rango_Admin_DailyPred_Primera,0)+1,0),"-")</f>
        <v>-</v>
      </c>
      <c r="AM75" s="717" t="str">
        <f ca="1">IFERROR(VLOOKUP(AM$2,Rango_Admin_DailyPred,MATCH($F75,Rango_Admin_DailyPred_Primera,0)+1,0),"-")</f>
        <v>-</v>
      </c>
    </row>
    <row r="76" spans="3:39">
      <c r="C76" s="8">
        <v>73</v>
      </c>
      <c r="E76" s="781" t="str">
        <f ca="1">IFERROR(HLOOKUP(C76,Rango_Admin_DailyClas,3,FALSE),"-")</f>
        <v>-</v>
      </c>
      <c r="F76" s="772" t="str">
        <f ca="1">IFERROR(HLOOKUP(C76,Rango_Admin_DailyClas,5,FALSE),"-")</f>
        <v>-</v>
      </c>
      <c r="G76" s="768" t="str">
        <f ca="1">IFERROR(HLOOKUP(C76,Rango_Admin_DailyClas,4,FALSE),"-")</f>
        <v>-</v>
      </c>
      <c r="H76" s="717" t="str">
        <f ca="1">IFERROR(VLOOKUP(H$2,Rango_Admin_DailyPred,MATCH($F76,Rango_Admin_DailyPred_Primera,0)+1,0),"-")</f>
        <v>-</v>
      </c>
      <c r="I76" s="717" t="str">
        <f ca="1">IFERROR(VLOOKUP(I$2,Rango_Admin_DailyPred,MATCH($F76,Rango_Admin_DailyPred_Primera,0)+1,0),"-")</f>
        <v>-</v>
      </c>
      <c r="J76" s="717" t="str">
        <f ca="1">IFERROR(VLOOKUP(J$2,Rango_Admin_DailyPred,MATCH($F76,Rango_Admin_DailyPred_Primera,0)+1,0),"-")</f>
        <v>-</v>
      </c>
      <c r="K76" s="717" t="str">
        <f ca="1">IFERROR(VLOOKUP(K$2,Rango_Admin_DailyPred,MATCH($F76,Rango_Admin_DailyPred_Primera,0)+1,0),"-")</f>
        <v>-</v>
      </c>
      <c r="L76" s="717" t="str">
        <f ca="1">IFERROR(VLOOKUP(L$2,Rango_Admin_DailyPred,MATCH($F76,Rango_Admin_DailyPred_Primera,0)+1,0),"-")</f>
        <v>-</v>
      </c>
      <c r="M76" s="717" t="str">
        <f ca="1">IFERROR(VLOOKUP(M$2,Rango_Admin_DailyPred,MATCH($F76,Rango_Admin_DailyPred_Primera,0)+1,0),"-")</f>
        <v>-</v>
      </c>
      <c r="N76" s="717" t="str">
        <f ca="1">IFERROR(VLOOKUP(N$2,Rango_Admin_DailyPred,MATCH($F76,Rango_Admin_DailyPred_Primera,0)+1,0),"-")</f>
        <v>-</v>
      </c>
      <c r="O76" s="717" t="str">
        <f ca="1">IFERROR(VLOOKUP(O$2,Rango_Admin_DailyPred,MATCH($F76,Rango_Admin_DailyPred_Primera,0)+1,0),"-")</f>
        <v>-</v>
      </c>
      <c r="P76" s="717" t="str">
        <f ca="1">IFERROR(VLOOKUP(P$2,Rango_Admin_DailyPred,MATCH($F76,Rango_Admin_DailyPred_Primera,0)+1,0),"-")</f>
        <v>-</v>
      </c>
      <c r="Q76" s="717" t="str">
        <f ca="1">IFERROR(VLOOKUP(Q$2,Rango_Admin_DailyPred,MATCH($F76,Rango_Admin_DailyPred_Primera,0)+1,0),"-")</f>
        <v>-</v>
      </c>
      <c r="R76" s="717" t="str">
        <f ca="1">IFERROR(VLOOKUP(R$2,Rango_Admin_DailyPred,MATCH($F76,Rango_Admin_DailyPred_Primera,0)+1,0),"-")</f>
        <v>-</v>
      </c>
      <c r="S76" s="717" t="str">
        <f ca="1">IFERROR(VLOOKUP(S$2,Rango_Admin_DailyPred,MATCH($F76,Rango_Admin_DailyPred_Primera,0)+1,0),"-")</f>
        <v>-</v>
      </c>
      <c r="T76" s="717" t="str">
        <f ca="1">IFERROR(VLOOKUP(T$2,Rango_Admin_DailyPred,MATCH($F76,Rango_Admin_DailyPred_Primera,0)+1,0),"-")</f>
        <v>-</v>
      </c>
      <c r="U76" s="717" t="str">
        <f ca="1">IFERROR(VLOOKUP(U$2,Rango_Admin_DailyPred,MATCH($F76,Rango_Admin_DailyPred_Primera,0)+1,0),"-")</f>
        <v>-</v>
      </c>
      <c r="V76" s="717" t="str">
        <f ca="1">IFERROR(VLOOKUP(V$2,Rango_Admin_DailyPred,MATCH($F76,Rango_Admin_DailyPred_Primera,0)+1,0),"-")</f>
        <v>-</v>
      </c>
      <c r="W76" s="717" t="str">
        <f ca="1">IFERROR(VLOOKUP(W$2,Rango_Admin_DailyPred,MATCH($F76,Rango_Admin_DailyPred_Primera,0)+1,0),"-")</f>
        <v>-</v>
      </c>
      <c r="X76" s="717" t="str">
        <f ca="1">IFERROR(VLOOKUP(X$2,Rango_Admin_DailyPred,MATCH($F76,Rango_Admin_DailyPred_Primera,0)+1,0),"-")</f>
        <v>-</v>
      </c>
      <c r="Y76" s="717" t="str">
        <f ca="1">IFERROR(VLOOKUP(Y$2,Rango_Admin_DailyPred,MATCH($F76,Rango_Admin_DailyPred_Primera,0)+1,0),"-")</f>
        <v>-</v>
      </c>
      <c r="Z76" s="717" t="str">
        <f ca="1">IFERROR(VLOOKUP(Z$2,Rango_Admin_DailyPred,MATCH($F76,Rango_Admin_DailyPred_Primera,0)+1,0),"-")</f>
        <v>-</v>
      </c>
      <c r="AA76" s="717" t="str">
        <f ca="1">IFERROR(VLOOKUP(AA$2,Rango_Admin_DailyPred,MATCH($F76,Rango_Admin_DailyPred_Primera,0)+1,0),"-")</f>
        <v>-</v>
      </c>
      <c r="AB76" s="717" t="str">
        <f ca="1">IFERROR(VLOOKUP(AB$2,Rango_Admin_DailyPred,MATCH($F76,Rango_Admin_DailyPred_Primera,0)+1,0),"-")</f>
        <v>-</v>
      </c>
      <c r="AC76" s="717" t="str">
        <f ca="1">IFERROR(VLOOKUP(AC$2,Rango_Admin_DailyPred,MATCH($F76,Rango_Admin_DailyPred_Primera,0)+1,0),"-")</f>
        <v>-</v>
      </c>
      <c r="AD76" s="717" t="str">
        <f ca="1">IFERROR(VLOOKUP(AD$2,Rango_Admin_DailyPred,MATCH($F76,Rango_Admin_DailyPred_Primera,0)+1,0),"-")</f>
        <v>-</v>
      </c>
      <c r="AE76" s="717" t="str">
        <f ca="1">IFERROR(VLOOKUP(AE$2,Rango_Admin_DailyPred,MATCH($F76,Rango_Admin_DailyPred_Primera,0)+1,0),"-")</f>
        <v>-</v>
      </c>
      <c r="AF76" s="717" t="str">
        <f ca="1">IFERROR(VLOOKUP(AF$2,Rango_Admin_DailyPred,MATCH($F76,Rango_Admin_DailyPred_Primera,0)+1,0),"-")</f>
        <v>-</v>
      </c>
      <c r="AG76" s="717" t="str">
        <f ca="1">IFERROR(VLOOKUP(AG$2,Rango_Admin_DailyPred,MATCH($F76,Rango_Admin_DailyPred_Primera,0)+1,0),"-")</f>
        <v>-</v>
      </c>
      <c r="AH76" s="717" t="str">
        <f ca="1">IFERROR(VLOOKUP(AH$2,Rango_Admin_DailyPred,MATCH($F76,Rango_Admin_DailyPred_Primera,0)+1,0),"-")</f>
        <v>-</v>
      </c>
      <c r="AI76" s="717" t="str">
        <f ca="1">IFERROR(VLOOKUP(AI$2,Rango_Admin_DailyPred,MATCH($F76,Rango_Admin_DailyPred_Primera,0)+1,0),"-")</f>
        <v>-</v>
      </c>
      <c r="AJ76" s="717" t="str">
        <f ca="1">IFERROR(VLOOKUP(AJ$2,Rango_Admin_DailyPred,MATCH($F76,Rango_Admin_DailyPred_Primera,0)+1,0),"-")</f>
        <v>-</v>
      </c>
      <c r="AK76" s="717" t="str">
        <f ca="1">IFERROR(VLOOKUP(AK$2,Rango_Admin_DailyPred,MATCH($F76,Rango_Admin_DailyPred_Primera,0)+1,0),"-")</f>
        <v>-</v>
      </c>
      <c r="AL76" s="717" t="str">
        <f ca="1">IFERROR(VLOOKUP(AL$2,Rango_Admin_DailyPred,MATCH($F76,Rango_Admin_DailyPred_Primera,0)+1,0),"-")</f>
        <v>-</v>
      </c>
      <c r="AM76" s="717" t="str">
        <f ca="1">IFERROR(VLOOKUP(AM$2,Rango_Admin_DailyPred,MATCH($F76,Rango_Admin_DailyPred_Primera,0)+1,0),"-")</f>
        <v>-</v>
      </c>
    </row>
    <row r="77" spans="3:39">
      <c r="C77" s="8"/>
    </row>
  </sheetData>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E4:AM76</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2:P1420"/>
  <sheetViews>
    <sheetView showGridLines="0" zoomScaleNormal="100" workbookViewId="0">
      <selection activeCell="G364" sqref="G364"/>
    </sheetView>
  </sheetViews>
  <sheetFormatPr baseColWidth="10" defaultRowHeight="14.4"/>
  <cols>
    <col min="1" max="3" width="11.5546875" style="9"/>
    <col min="4" max="4" width="19.6640625" style="9" customWidth="1"/>
    <col min="5" max="6" width="11.5546875" style="9"/>
    <col min="7" max="7" width="17.33203125" style="9" bestFit="1" customWidth="1"/>
    <col min="8" max="10" width="13" style="9" bestFit="1" customWidth="1"/>
    <col min="11" max="12" width="12.33203125" style="9" bestFit="1" customWidth="1"/>
    <col min="13" max="16384" width="11.5546875" style="9"/>
  </cols>
  <sheetData>
    <row r="2" spans="1:12">
      <c r="A2" s="9" t="s">
        <v>216</v>
      </c>
      <c r="B2" s="9">
        <f>IF(Home!$C$6=Idiomas!A2,1,0)</f>
        <v>1</v>
      </c>
    </row>
    <row r="3" spans="1:12">
      <c r="A3" s="9" t="s">
        <v>348</v>
      </c>
      <c r="B3" s="9">
        <f>IF(Home!$C$6=Idiomas!A3,1,0)</f>
        <v>0</v>
      </c>
      <c r="E3" s="9" t="s">
        <v>174</v>
      </c>
      <c r="F3" s="9" t="s">
        <v>176</v>
      </c>
      <c r="G3" s="9" t="s">
        <v>216</v>
      </c>
      <c r="H3" s="9" t="s">
        <v>184</v>
      </c>
    </row>
    <row r="4" spans="1:12">
      <c r="D4" s="9" t="str">
        <f>IF($B$2,G4,H4)</f>
        <v>Introducir resultados</v>
      </c>
      <c r="E4" s="9" t="s">
        <v>21</v>
      </c>
      <c r="F4" s="9" t="s">
        <v>177</v>
      </c>
      <c r="G4" s="9" t="s">
        <v>175</v>
      </c>
      <c r="H4" s="9" t="s">
        <v>187</v>
      </c>
    </row>
    <row r="5" spans="1:12">
      <c r="B5" s="757"/>
      <c r="D5" s="9" t="str">
        <f t="shared" ref="D5:D13" si="0">IF($B$2,G5,H5)</f>
        <v>Esta versión es para un maximo de 5 participantes. Puedes descargar versiones para más participantes desde el enlace de abajo</v>
      </c>
      <c r="E5" s="9" t="s">
        <v>21</v>
      </c>
      <c r="F5" s="9" t="s">
        <v>178</v>
      </c>
      <c r="G5" s="9" t="s">
        <v>1737</v>
      </c>
      <c r="H5" s="9" t="s">
        <v>1738</v>
      </c>
      <c r="K5" s="758"/>
      <c r="L5" s="758"/>
    </row>
    <row r="6" spans="1:12">
      <c r="B6" s="757"/>
      <c r="D6" s="9" t="str">
        <f t="shared" si="0"/>
        <v>Predictor Equipos</v>
      </c>
      <c r="G6" s="758" t="s">
        <v>1297</v>
      </c>
      <c r="H6" s="758" t="s">
        <v>1298</v>
      </c>
    </row>
    <row r="7" spans="1:12">
      <c r="D7" s="9" t="str">
        <f t="shared" si="0"/>
        <v>Selecciona idioma</v>
      </c>
      <c r="E7" s="9" t="s">
        <v>21</v>
      </c>
      <c r="F7" s="9" t="s">
        <v>347</v>
      </c>
      <c r="G7" s="9" t="s">
        <v>1308</v>
      </c>
      <c r="H7" s="9" t="s">
        <v>1309</v>
      </c>
    </row>
    <row r="8" spans="1:12">
      <c r="D8" s="9" t="str">
        <f t="shared" si="0"/>
        <v>XXIII Mundial USA/MEX/CAN 2026</v>
      </c>
      <c r="E8" s="9" t="s">
        <v>21</v>
      </c>
      <c r="F8" s="9" t="s">
        <v>349</v>
      </c>
      <c r="G8" s="9" t="s">
        <v>494</v>
      </c>
      <c r="H8" s="9" t="s">
        <v>495</v>
      </c>
    </row>
    <row r="9" spans="1:12">
      <c r="D9" s="9" t="str">
        <f t="shared" si="0"/>
        <v>Versiones para más participantes</v>
      </c>
      <c r="E9" s="9" t="s">
        <v>21</v>
      </c>
      <c r="F9" s="9" t="s">
        <v>350</v>
      </c>
      <c r="G9" s="9" t="s">
        <v>1575</v>
      </c>
      <c r="H9" s="9" t="s">
        <v>1576</v>
      </c>
    </row>
    <row r="10" spans="1:12">
      <c r="D10" s="9" t="str">
        <f t="shared" si="0"/>
        <v>https://matejero.es/administrador-excel-mundial-2026/</v>
      </c>
      <c r="E10" s="9" t="s">
        <v>21</v>
      </c>
      <c r="F10" s="9" t="s">
        <v>434</v>
      </c>
      <c r="G10" s="9" t="s">
        <v>1921</v>
      </c>
      <c r="H10" s="9" t="s">
        <v>1922</v>
      </c>
    </row>
    <row r="11" spans="1:12">
      <c r="D11" s="9" t="str">
        <f t="shared" si="0"/>
        <v>Si en la hoja WorldCup no ves las banderas, puedes usar el otro archivo que venia en el .zip</v>
      </c>
      <c r="G11" s="9" t="s">
        <v>1338</v>
      </c>
      <c r="H11" s="9" t="s">
        <v>1337</v>
      </c>
    </row>
    <row r="12" spans="1:12">
      <c r="D12" s="9" t="str">
        <f t="shared" si="0"/>
        <v>Donar</v>
      </c>
      <c r="G12" s="9" t="s">
        <v>1313</v>
      </c>
      <c r="H12" s="9" t="s">
        <v>1312</v>
      </c>
    </row>
    <row r="13" spans="1:12">
      <c r="D13" s="9" t="str">
        <f t="shared" si="0"/>
        <v>https://matejero.es/faq-porra-mundial-2026-excel/</v>
      </c>
      <c r="G13" s="9" t="s">
        <v>1920</v>
      </c>
      <c r="H13" s="9" t="s">
        <v>1919</v>
      </c>
    </row>
    <row r="14" spans="1:12">
      <c r="B14" s="757"/>
    </row>
    <row r="15" spans="1:12">
      <c r="D15" s="9" t="str">
        <f t="shared" ref="D15:D68" si="1">IF($B$2,G15,H15)</f>
        <v>Selecciona horario</v>
      </c>
      <c r="E15" s="9" t="s">
        <v>480</v>
      </c>
      <c r="F15" s="9" t="s">
        <v>116</v>
      </c>
      <c r="G15" s="9" t="s">
        <v>1307</v>
      </c>
      <c r="H15" s="9" t="s">
        <v>1306</v>
      </c>
    </row>
    <row r="16" spans="1:12">
      <c r="D16" s="9" t="str">
        <f t="shared" si="1"/>
        <v>Fecha</v>
      </c>
      <c r="E16" s="9" t="s">
        <v>480</v>
      </c>
      <c r="F16" s="9" t="s">
        <v>129</v>
      </c>
      <c r="G16" s="9" t="s">
        <v>10</v>
      </c>
      <c r="H16" s="9" t="s">
        <v>217</v>
      </c>
    </row>
    <row r="17" spans="4:8">
      <c r="D17" s="9" t="str">
        <f t="shared" si="1"/>
        <v>Hora</v>
      </c>
      <c r="E17" s="9" t="s">
        <v>480</v>
      </c>
      <c r="F17" s="9" t="s">
        <v>180</v>
      </c>
      <c r="G17" s="9" t="s">
        <v>29</v>
      </c>
      <c r="H17" s="9" t="s">
        <v>183</v>
      </c>
    </row>
    <row r="18" spans="4:8">
      <c r="D18" s="9" t="str">
        <f t="shared" si="1"/>
        <v>Jor.</v>
      </c>
      <c r="E18" s="9" t="s">
        <v>480</v>
      </c>
      <c r="F18" s="9" t="s">
        <v>181</v>
      </c>
      <c r="G18" s="9" t="s">
        <v>31</v>
      </c>
      <c r="H18" s="9" t="s">
        <v>185</v>
      </c>
    </row>
    <row r="19" spans="4:8">
      <c r="D19" s="9" t="str">
        <f t="shared" si="1"/>
        <v>Casa</v>
      </c>
      <c r="E19" s="9" t="s">
        <v>480</v>
      </c>
      <c r="F19" s="9" t="s">
        <v>182</v>
      </c>
      <c r="G19" s="9" t="s">
        <v>15</v>
      </c>
      <c r="H19" s="9" t="s">
        <v>186</v>
      </c>
    </row>
    <row r="20" spans="4:8">
      <c r="D20" s="9" t="str">
        <f t="shared" si="1"/>
        <v>Gol</v>
      </c>
      <c r="E20" s="9" t="s">
        <v>480</v>
      </c>
      <c r="F20" s="9" t="s">
        <v>188</v>
      </c>
      <c r="G20" s="9" t="s">
        <v>17</v>
      </c>
      <c r="H20" s="9" t="s">
        <v>189</v>
      </c>
    </row>
    <row r="21" spans="4:8">
      <c r="D21" s="9" t="str">
        <f t="shared" si="1"/>
        <v>Fuera</v>
      </c>
      <c r="E21" s="9" t="s">
        <v>480</v>
      </c>
      <c r="F21" s="9" t="s">
        <v>190</v>
      </c>
      <c r="G21" s="9" t="s">
        <v>16</v>
      </c>
      <c r="H21" s="9" t="s">
        <v>191</v>
      </c>
    </row>
    <row r="22" spans="4:8">
      <c r="D22" s="9" t="str">
        <f t="shared" si="1"/>
        <v>Grupo</v>
      </c>
      <c r="E22" s="9" t="s">
        <v>480</v>
      </c>
      <c r="F22" s="9" t="s">
        <v>192</v>
      </c>
      <c r="G22" s="9" t="s">
        <v>71</v>
      </c>
      <c r="H22" s="9" t="s">
        <v>193</v>
      </c>
    </row>
    <row r="23" spans="4:8">
      <c r="D23" s="9" t="str">
        <f t="shared" si="1"/>
        <v>¡EMPATE! Puedes seleccionar el orden de los empatados.</v>
      </c>
      <c r="E23" s="9" t="s">
        <v>480</v>
      </c>
      <c r="F23" s="9" t="s">
        <v>194</v>
      </c>
      <c r="G23" s="9" t="s">
        <v>22</v>
      </c>
      <c r="H23" s="9" t="s">
        <v>224</v>
      </c>
    </row>
    <row r="24" spans="4:8">
      <c r="D24" s="9" t="str">
        <f t="shared" si="1"/>
        <v>Mejores terceros</v>
      </c>
      <c r="E24" s="9" t="s">
        <v>480</v>
      </c>
      <c r="F24" s="9" t="s">
        <v>195</v>
      </c>
      <c r="G24" s="9" t="s">
        <v>67</v>
      </c>
      <c r="H24" s="9" t="s">
        <v>225</v>
      </c>
    </row>
    <row r="25" spans="4:8">
      <c r="D25" s="9" t="str">
        <f t="shared" si="1"/>
        <v>Dieciseisavos de final</v>
      </c>
      <c r="E25" s="9" t="s">
        <v>480</v>
      </c>
      <c r="G25" s="9" t="s">
        <v>481</v>
      </c>
      <c r="H25" s="9" t="s">
        <v>482</v>
      </c>
    </row>
    <row r="26" spans="4:8">
      <c r="D26" s="9" t="str">
        <f t="shared" si="1"/>
        <v>Octavos de final</v>
      </c>
      <c r="E26" s="9" t="s">
        <v>480</v>
      </c>
      <c r="F26" s="9" t="s">
        <v>196</v>
      </c>
      <c r="G26" s="9" t="s">
        <v>87</v>
      </c>
      <c r="H26" s="9" t="s">
        <v>218</v>
      </c>
    </row>
    <row r="27" spans="4:8">
      <c r="D27" s="9" t="str">
        <f t="shared" si="1"/>
        <v>Cuartos de final</v>
      </c>
      <c r="E27" s="9" t="s">
        <v>480</v>
      </c>
      <c r="F27" s="9" t="s">
        <v>197</v>
      </c>
      <c r="G27" s="9" t="s">
        <v>69</v>
      </c>
      <c r="H27" s="9" t="s">
        <v>219</v>
      </c>
    </row>
    <row r="28" spans="4:8">
      <c r="D28" s="9" t="str">
        <f t="shared" si="1"/>
        <v>Semifinales</v>
      </c>
      <c r="E28" s="9" t="s">
        <v>480</v>
      </c>
      <c r="F28" s="9" t="s">
        <v>198</v>
      </c>
      <c r="G28" s="9" t="s">
        <v>36</v>
      </c>
      <c r="H28" s="9" t="s">
        <v>220</v>
      </c>
    </row>
    <row r="29" spans="4:8">
      <c r="D29" s="9" t="str">
        <f t="shared" si="1"/>
        <v>3º y 4º puesto</v>
      </c>
      <c r="E29" s="9" t="s">
        <v>480</v>
      </c>
      <c r="G29" s="9" t="s">
        <v>491</v>
      </c>
      <c r="H29" s="9" t="s">
        <v>492</v>
      </c>
    </row>
    <row r="30" spans="4:8">
      <c r="D30" s="9" t="str">
        <f t="shared" si="1"/>
        <v>Final</v>
      </c>
      <c r="E30" s="9" t="s">
        <v>480</v>
      </c>
      <c r="F30" s="9" t="s">
        <v>199</v>
      </c>
      <c r="G30" s="9" t="s">
        <v>37</v>
      </c>
      <c r="H30" s="9" t="s">
        <v>37</v>
      </c>
    </row>
    <row r="31" spans="4:8">
      <c r="D31" s="9" t="str">
        <f t="shared" si="1"/>
        <v>Cuadro de honor</v>
      </c>
      <c r="E31" s="9" t="s">
        <v>480</v>
      </c>
      <c r="F31" s="9" t="s">
        <v>200</v>
      </c>
      <c r="G31" s="9" t="s">
        <v>1310</v>
      </c>
      <c r="H31" s="9" t="s">
        <v>1311</v>
      </c>
    </row>
    <row r="32" spans="4:8">
      <c r="D32" s="9" t="str">
        <f t="shared" si="1"/>
        <v>Campeón</v>
      </c>
      <c r="E32" s="9" t="s">
        <v>480</v>
      </c>
      <c r="F32" s="9" t="s">
        <v>201</v>
      </c>
      <c r="G32" s="9" t="s">
        <v>18</v>
      </c>
      <c r="H32" s="9" t="s">
        <v>222</v>
      </c>
    </row>
    <row r="33" spans="4:8">
      <c r="D33" s="9" t="str">
        <f t="shared" si="1"/>
        <v>Subcampeón</v>
      </c>
      <c r="E33" s="9" t="s">
        <v>480</v>
      </c>
      <c r="F33" s="9" t="s">
        <v>202</v>
      </c>
      <c r="G33" s="9" t="s">
        <v>19</v>
      </c>
      <c r="H33" s="9" t="s">
        <v>223</v>
      </c>
    </row>
    <row r="34" spans="4:8">
      <c r="D34" s="9" t="str">
        <f t="shared" si="1"/>
        <v>3º puesto</v>
      </c>
      <c r="E34" s="9" t="s">
        <v>480</v>
      </c>
      <c r="G34" s="9" t="s">
        <v>1234</v>
      </c>
      <c r="H34" s="9" t="s">
        <v>1235</v>
      </c>
    </row>
    <row r="35" spans="4:8">
      <c r="D35" s="9" t="str">
        <f t="shared" si="1"/>
        <v>Bota de Oro  (máximo goleador)</v>
      </c>
      <c r="E35" s="9" t="s">
        <v>480</v>
      </c>
      <c r="F35" s="9" t="s">
        <v>203</v>
      </c>
      <c r="G35" s="5" t="s">
        <v>499</v>
      </c>
      <c r="H35" s="9" t="s">
        <v>505</v>
      </c>
    </row>
    <row r="36" spans="4:8">
      <c r="D36" s="9" t="str">
        <f t="shared" si="1"/>
        <v>Bota de Plata (2º máximo goleador)</v>
      </c>
      <c r="E36" s="9" t="s">
        <v>480</v>
      </c>
      <c r="F36" s="9" t="s">
        <v>204</v>
      </c>
      <c r="G36" s="5" t="s">
        <v>500</v>
      </c>
      <c r="H36" s="9" t="s">
        <v>506</v>
      </c>
    </row>
    <row r="37" spans="4:8">
      <c r="D37" s="9" t="str">
        <f t="shared" si="1"/>
        <v>Bota de Bronce (3º máximo goleador)</v>
      </c>
      <c r="G37" s="5" t="s">
        <v>501</v>
      </c>
      <c r="H37" s="9" t="s">
        <v>507</v>
      </c>
    </row>
    <row r="38" spans="4:8">
      <c r="D38" s="9" t="str">
        <f t="shared" si="1"/>
        <v>Balón de Oro  (mejor jugador)</v>
      </c>
      <c r="G38" s="5" t="s">
        <v>502</v>
      </c>
      <c r="H38" s="9" t="s">
        <v>508</v>
      </c>
    </row>
    <row r="39" spans="4:8">
      <c r="D39" s="9" t="str">
        <f t="shared" si="1"/>
        <v>Balón de Plata (2º mejor jugador)</v>
      </c>
      <c r="G39" s="5" t="s">
        <v>503</v>
      </c>
      <c r="H39" s="9" t="s">
        <v>509</v>
      </c>
    </row>
    <row r="40" spans="4:8">
      <c r="D40" s="9" t="str">
        <f t="shared" si="1"/>
        <v>Balón de Bronce (3º mejor jugador)</v>
      </c>
      <c r="G40" s="5" t="s">
        <v>504</v>
      </c>
      <c r="H40" s="9" t="s">
        <v>1747</v>
      </c>
    </row>
    <row r="41" spans="4:8">
      <c r="D41" s="9" t="str">
        <f t="shared" si="1"/>
        <v>Escribe el jugador Bota de Oro</v>
      </c>
      <c r="E41" s="9" t="s">
        <v>480</v>
      </c>
      <c r="F41" s="9" t="s">
        <v>205</v>
      </c>
      <c r="G41" s="5" t="s">
        <v>1740</v>
      </c>
      <c r="H41" s="9" t="s">
        <v>1746</v>
      </c>
    </row>
    <row r="42" spans="4:8">
      <c r="D42" s="9" t="str">
        <f t="shared" si="1"/>
        <v>Escribe el jugador Bota de Plata</v>
      </c>
      <c r="E42" s="9" t="s">
        <v>480</v>
      </c>
      <c r="F42" s="9" t="s">
        <v>206</v>
      </c>
      <c r="G42" s="5" t="s">
        <v>1741</v>
      </c>
      <c r="H42" s="9" t="s">
        <v>1749</v>
      </c>
    </row>
    <row r="43" spans="4:8">
      <c r="D43" s="9" t="str">
        <f t="shared" si="1"/>
        <v>Escribe el jugador Bota de Bronce</v>
      </c>
      <c r="G43" s="5" t="s">
        <v>1742</v>
      </c>
      <c r="H43" s="9" t="s">
        <v>1750</v>
      </c>
    </row>
    <row r="44" spans="4:8">
      <c r="D44" s="9" t="str">
        <f t="shared" si="1"/>
        <v>Escribe el jugador Balón de Oro</v>
      </c>
      <c r="G44" s="5" t="s">
        <v>1743</v>
      </c>
      <c r="H44" s="9" t="s">
        <v>1751</v>
      </c>
    </row>
    <row r="45" spans="4:8">
      <c r="D45" s="9" t="str">
        <f t="shared" si="1"/>
        <v>Escribe el jugador Balón de Plata</v>
      </c>
      <c r="G45" s="5" t="s">
        <v>1744</v>
      </c>
      <c r="H45" s="9" t="s">
        <v>1752</v>
      </c>
    </row>
    <row r="46" spans="4:8">
      <c r="D46" s="9" t="str">
        <f t="shared" si="1"/>
        <v>Escribe el jugador Balón de Bronce</v>
      </c>
      <c r="G46" s="5" t="s">
        <v>1745</v>
      </c>
      <c r="H46" s="9" t="s">
        <v>1748</v>
      </c>
    </row>
    <row r="47" spans="4:8">
      <c r="D47" s="9" t="str">
        <f t="shared" si="1"/>
        <v>NombreGrupo</v>
      </c>
      <c r="E47" s="9" t="s">
        <v>186</v>
      </c>
      <c r="F47" s="9" t="s">
        <v>207</v>
      </c>
      <c r="G47" s="9" t="s">
        <v>1900</v>
      </c>
      <c r="H47" s="9" t="s">
        <v>1901</v>
      </c>
    </row>
    <row r="48" spans="4:8">
      <c r="D48" s="9" t="str">
        <f t="shared" si="1"/>
        <v>Escribe el nombre del grupo</v>
      </c>
      <c r="E48" s="9" t="s">
        <v>1907</v>
      </c>
      <c r="F48" s="9" t="s">
        <v>208</v>
      </c>
      <c r="G48" s="9" t="s">
        <v>1856</v>
      </c>
      <c r="H48" s="9" t="s">
        <v>1857</v>
      </c>
    </row>
    <row r="49" spans="4:11">
      <c r="D49" s="9" t="str">
        <f t="shared" si="1"/>
        <v>MUNDIAL EN CURSO</v>
      </c>
      <c r="E49" s="9" t="s">
        <v>480</v>
      </c>
      <c r="F49" s="9" t="s">
        <v>209</v>
      </c>
      <c r="G49" s="9" t="s">
        <v>1909</v>
      </c>
      <c r="H49" s="9" t="s">
        <v>1908</v>
      </c>
    </row>
    <row r="50" spans="4:11">
      <c r="D50" s="9" t="str">
        <f t="shared" si="1"/>
        <v>Todavía hay emoción</v>
      </c>
      <c r="E50" s="9" t="s">
        <v>480</v>
      </c>
      <c r="F50" s="9" t="s">
        <v>210</v>
      </c>
      <c r="G50" s="9" t="s">
        <v>1912</v>
      </c>
      <c r="H50" s="9" t="s">
        <v>1913</v>
      </c>
    </row>
    <row r="51" spans="4:11">
      <c r="D51" s="9" t="str">
        <f t="shared" si="1"/>
        <v>MUNDIAL FINALIZADO</v>
      </c>
      <c r="E51" s="9" t="s">
        <v>480</v>
      </c>
      <c r="F51" s="9" t="s">
        <v>211</v>
      </c>
      <c r="G51" s="9" t="s">
        <v>1910</v>
      </c>
      <c r="H51" s="9" t="s">
        <v>1911</v>
      </c>
    </row>
    <row r="52" spans="4:11">
      <c r="D52" s="9" t="str">
        <f t="shared" si="1"/>
        <v>¿Quién habrá ganado?</v>
      </c>
      <c r="E52" s="9" t="s">
        <v>480</v>
      </c>
      <c r="F52" s="9" t="s">
        <v>212</v>
      </c>
      <c r="G52" s="9" t="s">
        <v>1914</v>
      </c>
      <c r="H52" s="9" t="s">
        <v>1915</v>
      </c>
    </row>
    <row r="53" spans="4:11">
      <c r="D53" s="9" t="str">
        <f t="shared" si="1"/>
        <v>Pos</v>
      </c>
      <c r="E53" s="9" t="s">
        <v>480</v>
      </c>
      <c r="F53" s="9" t="s">
        <v>226</v>
      </c>
      <c r="G53" s="9" t="s">
        <v>14</v>
      </c>
      <c r="H53" s="9" t="s">
        <v>14</v>
      </c>
    </row>
    <row r="54" spans="4:11">
      <c r="D54" s="9" t="str">
        <f t="shared" si="1"/>
        <v>Selección</v>
      </c>
      <c r="E54" s="9" t="s">
        <v>480</v>
      </c>
      <c r="F54" s="9" t="s">
        <v>227</v>
      </c>
      <c r="G54" s="9" t="s">
        <v>68</v>
      </c>
      <c r="H54" s="9" t="s">
        <v>236</v>
      </c>
    </row>
    <row r="55" spans="4:11">
      <c r="D55" s="9" t="str">
        <f t="shared" si="1"/>
        <v>Pts</v>
      </c>
      <c r="E55" s="9" t="s">
        <v>480</v>
      </c>
      <c r="F55" s="9" t="s">
        <v>228</v>
      </c>
      <c r="G55" s="9" t="s">
        <v>32</v>
      </c>
      <c r="H55" s="9" t="s">
        <v>32</v>
      </c>
    </row>
    <row r="56" spans="4:11">
      <c r="D56" s="9" t="str">
        <f t="shared" si="1"/>
        <v>J</v>
      </c>
      <c r="E56" s="9" t="s">
        <v>480</v>
      </c>
      <c r="F56" s="9" t="s">
        <v>229</v>
      </c>
      <c r="G56" s="9" t="s">
        <v>5</v>
      </c>
      <c r="H56" s="9" t="s">
        <v>7</v>
      </c>
    </row>
    <row r="57" spans="4:11">
      <c r="D57" s="9" t="str">
        <f t="shared" si="1"/>
        <v>G</v>
      </c>
      <c r="E57" s="9" t="s">
        <v>480</v>
      </c>
      <c r="F57" s="9" t="s">
        <v>230</v>
      </c>
      <c r="G57" s="9" t="s">
        <v>6</v>
      </c>
      <c r="H57" s="9" t="s">
        <v>237</v>
      </c>
    </row>
    <row r="58" spans="4:11">
      <c r="D58" s="9" t="str">
        <f t="shared" si="1"/>
        <v>E</v>
      </c>
      <c r="E58" s="9" t="s">
        <v>480</v>
      </c>
      <c r="F58" s="9" t="s">
        <v>231</v>
      </c>
      <c r="G58" s="9" t="s">
        <v>3</v>
      </c>
      <c r="H58" s="9" t="s">
        <v>73</v>
      </c>
      <c r="K58" s="5"/>
    </row>
    <row r="59" spans="4:11">
      <c r="D59" s="9" t="str">
        <f t="shared" si="1"/>
        <v>P</v>
      </c>
      <c r="E59" s="9" t="s">
        <v>480</v>
      </c>
      <c r="F59" s="9" t="s">
        <v>232</v>
      </c>
      <c r="G59" s="9" t="s">
        <v>7</v>
      </c>
      <c r="H59" s="9" t="s">
        <v>238</v>
      </c>
      <c r="K59" s="5"/>
    </row>
    <row r="60" spans="4:11">
      <c r="D60" s="9" t="str">
        <f t="shared" si="1"/>
        <v>GF</v>
      </c>
      <c r="E60" s="9" t="s">
        <v>480</v>
      </c>
      <c r="F60" s="9" t="s">
        <v>233</v>
      </c>
      <c r="G60" s="9" t="s">
        <v>8</v>
      </c>
      <c r="H60" s="9" t="s">
        <v>4</v>
      </c>
      <c r="K60" s="5"/>
    </row>
    <row r="61" spans="4:11">
      <c r="D61" s="9" t="str">
        <f t="shared" si="1"/>
        <v>GC</v>
      </c>
      <c r="E61" s="9" t="s">
        <v>480</v>
      </c>
      <c r="F61" s="9" t="s">
        <v>234</v>
      </c>
      <c r="G61" s="9" t="s">
        <v>9</v>
      </c>
      <c r="H61" s="9" t="s">
        <v>0</v>
      </c>
      <c r="K61" s="5"/>
    </row>
    <row r="62" spans="4:11">
      <c r="D62" s="9" t="str">
        <f t="shared" si="1"/>
        <v>DG</v>
      </c>
      <c r="E62" s="9" t="s">
        <v>480</v>
      </c>
      <c r="F62" s="9" t="s">
        <v>235</v>
      </c>
      <c r="G62" s="9" t="s">
        <v>66</v>
      </c>
      <c r="H62" s="9" t="s">
        <v>81</v>
      </c>
      <c r="K62" s="5"/>
    </row>
    <row r="63" spans="4:11">
      <c r="D63" s="9" t="str">
        <f t="shared" si="1"/>
        <v>J1</v>
      </c>
      <c r="E63" s="9" t="s">
        <v>480</v>
      </c>
      <c r="G63" s="9" t="s">
        <v>26</v>
      </c>
      <c r="H63" s="9" t="s">
        <v>273</v>
      </c>
      <c r="K63" s="5"/>
    </row>
    <row r="64" spans="4:11">
      <c r="D64" s="9" t="str">
        <f t="shared" si="1"/>
        <v>J2</v>
      </c>
      <c r="E64" s="9" t="s">
        <v>480</v>
      </c>
      <c r="G64" s="9" t="s">
        <v>27</v>
      </c>
      <c r="H64" s="9" t="s">
        <v>274</v>
      </c>
    </row>
    <row r="65" spans="3:8">
      <c r="D65" s="9" t="str">
        <f t="shared" si="1"/>
        <v>J3</v>
      </c>
      <c r="E65" s="9" t="s">
        <v>480</v>
      </c>
      <c r="G65" s="9" t="s">
        <v>28</v>
      </c>
      <c r="H65" s="9" t="s">
        <v>275</v>
      </c>
    </row>
    <row r="66" spans="3:8">
      <c r="C66" s="9" t="s">
        <v>1906</v>
      </c>
      <c r="D66" s="9" t="str">
        <f t="shared" si="1"/>
        <v>Instrucciones en video</v>
      </c>
      <c r="E66" s="9" t="s">
        <v>480</v>
      </c>
      <c r="F66" s="9" t="s">
        <v>1222</v>
      </c>
      <c r="G66" s="759" t="s">
        <v>1334</v>
      </c>
      <c r="H66" s="9" t="s">
        <v>1223</v>
      </c>
    </row>
    <row r="67" spans="3:8">
      <c r="D67" s="9" t="str">
        <f t="shared" si="1"/>
        <v>Sí</v>
      </c>
      <c r="E67" s="9" t="s">
        <v>480</v>
      </c>
      <c r="G67" s="9" t="s">
        <v>1219</v>
      </c>
      <c r="H67" s="9" t="s">
        <v>1221</v>
      </c>
    </row>
    <row r="68" spans="3:8">
      <c r="D68" s="9" t="str">
        <f t="shared" si="1"/>
        <v>No</v>
      </c>
      <c r="E68" s="9" t="s">
        <v>480</v>
      </c>
      <c r="G68" s="9" t="s">
        <v>1220</v>
      </c>
      <c r="H68" s="9" t="s">
        <v>1220</v>
      </c>
    </row>
    <row r="69" spans="3:8">
      <c r="D69" s="9" t="str">
        <f t="shared" ref="D69:D78" si="2">IF($B$2,G69,H69)</f>
        <v>Puntos penalizados</v>
      </c>
      <c r="E69" s="9" t="s">
        <v>480</v>
      </c>
      <c r="G69" s="758" t="s">
        <v>1232</v>
      </c>
      <c r="H69" s="758" t="s">
        <v>1233</v>
      </c>
    </row>
    <row r="70" spans="3:8">
      <c r="D70" s="9" t="str">
        <f t="shared" si="2"/>
        <v xml:space="preserve">Grupos mejores 3ºs: </v>
      </c>
      <c r="G70" s="758" t="s">
        <v>1331</v>
      </c>
      <c r="H70" s="758" t="s">
        <v>1330</v>
      </c>
    </row>
    <row r="71" spans="3:8">
      <c r="D71" s="9" t="str">
        <f t="shared" si="2"/>
        <v>La clasificación de los mejores terceros aparece al final de la J1</v>
      </c>
      <c r="G71" s="9" t="s">
        <v>1366</v>
      </c>
      <c r="H71" s="9" t="s">
        <v>1367</v>
      </c>
    </row>
    <row r="72" spans="3:8">
      <c r="D72" s="9" t="str">
        <f t="shared" si="2"/>
        <v>Sí</v>
      </c>
      <c r="G72" s="9" t="s">
        <v>1219</v>
      </c>
      <c r="H72" s="9" t="s">
        <v>1221</v>
      </c>
    </row>
    <row r="73" spans="3:8">
      <c r="D73" s="9" t="str">
        <f t="shared" si="2"/>
        <v>No</v>
      </c>
      <c r="G73" s="9" t="s">
        <v>1220</v>
      </c>
      <c r="H73" s="9" t="s">
        <v>1220</v>
      </c>
    </row>
    <row r="74" spans="3:8">
      <c r="D74" s="9" t="str">
        <f t="shared" si="2"/>
        <v>¿Hay equipos penalizados?</v>
      </c>
      <c r="G74" s="9" t="s">
        <v>1735</v>
      </c>
      <c r="H74" s="9" t="s">
        <v>1736</v>
      </c>
    </row>
    <row r="75" spans="3:8">
      <c r="C75" s="9">
        <v>1</v>
      </c>
      <c r="D75" s="9" t="str">
        <f t="shared" si="2"/>
        <v>Normal</v>
      </c>
      <c r="G75" s="9" t="s">
        <v>1808</v>
      </c>
      <c r="H75" s="9" t="s">
        <v>1808</v>
      </c>
    </row>
    <row r="76" spans="3:8">
      <c r="C76" s="9">
        <v>2</v>
      </c>
      <c r="D76" s="9" t="str">
        <f t="shared" si="2"/>
        <v>No cuenta el partido contra el último</v>
      </c>
      <c r="G76" s="9" t="s">
        <v>1809</v>
      </c>
      <c r="H76" s="9" t="s">
        <v>1810</v>
      </c>
    </row>
    <row r="77" spans="3:8">
      <c r="C77" s="9">
        <v>3</v>
      </c>
      <c r="D77" s="9" t="str">
        <f t="shared" si="2"/>
        <v>Media por partido</v>
      </c>
      <c r="G77" s="9" t="s">
        <v>1811</v>
      </c>
      <c r="H77" s="9" t="s">
        <v>1812</v>
      </c>
    </row>
    <row r="78" spans="3:8">
      <c r="D78" s="9" t="str">
        <f t="shared" si="2"/>
        <v>Selecciona criterio:</v>
      </c>
      <c r="G78" s="9" t="s">
        <v>1813</v>
      </c>
      <c r="H78" s="9" t="s">
        <v>1814</v>
      </c>
    </row>
    <row r="81" spans="4:8" ht="15" customHeight="1">
      <c r="D81" s="9"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9" t="s">
        <v>1903</v>
      </c>
      <c r="F81" s="9" t="s">
        <v>125</v>
      </c>
      <c r="G81" s="9" t="s">
        <v>72</v>
      </c>
      <c r="H81" s="760" t="s">
        <v>286</v>
      </c>
    </row>
    <row r="82" spans="4:8">
      <c r="D82" s="9" t="str">
        <f t="shared" si="3"/>
        <v>Autor:</v>
      </c>
      <c r="E82" s="9" t="s">
        <v>1903</v>
      </c>
      <c r="F82" s="9" t="s">
        <v>214</v>
      </c>
      <c r="G82" s="9" t="s">
        <v>24</v>
      </c>
      <c r="H82" s="9" t="s">
        <v>287</v>
      </c>
    </row>
    <row r="83" spans="4:8">
      <c r="D83" s="9" t="str">
        <f t="shared" si="3"/>
        <v>Útima versión</v>
      </c>
      <c r="E83" s="9" t="s">
        <v>1903</v>
      </c>
      <c r="F83" s="9" t="s">
        <v>215</v>
      </c>
      <c r="G83" s="9" t="s">
        <v>289</v>
      </c>
      <c r="H83" s="9" t="s">
        <v>288</v>
      </c>
    </row>
    <row r="84" spans="4:8">
      <c r="D84" s="9" t="str">
        <f t="shared" si="3"/>
        <v>Limitación de responsabilidad:</v>
      </c>
      <c r="E84" s="9" t="s">
        <v>1903</v>
      </c>
      <c r="F84" s="9" t="s">
        <v>119</v>
      </c>
      <c r="G84" s="9" t="s">
        <v>23</v>
      </c>
      <c r="H84" s="9" t="s">
        <v>351</v>
      </c>
    </row>
    <row r="85" spans="4:8">
      <c r="D85" s="9" t="str">
        <f t="shared" si="3"/>
        <v>PARA DESCARGAR, CLICK EN</v>
      </c>
      <c r="E85" s="9" t="s">
        <v>1903</v>
      </c>
      <c r="G85" s="9" t="s">
        <v>1369</v>
      </c>
      <c r="H85" s="9" t="s">
        <v>1368</v>
      </c>
    </row>
    <row r="86" spans="4:8">
      <c r="D86" s="9" t="str">
        <f t="shared" si="3"/>
        <v>· Selecciona el idioma en el que quieras hacer la porra y la zona horaria</v>
      </c>
      <c r="E86" s="9" t="s">
        <v>1903</v>
      </c>
      <c r="G86" s="9" t="s">
        <v>1918</v>
      </c>
      <c r="H86" s="9" t="s">
        <v>1849</v>
      </c>
    </row>
    <row r="87" spans="4:8">
      <c r="D87" s="9" t="str">
        <f t="shared" si="3"/>
        <v>· Escribe el nombre del grupo de la porra/quiniela</v>
      </c>
      <c r="E87" s="9" t="s">
        <v>1903</v>
      </c>
      <c r="G87" s="9" t="s">
        <v>1858</v>
      </c>
      <c r="H87" s="9" t="s">
        <v>1859</v>
      </c>
    </row>
    <row r="88" spans="4:8">
      <c r="D88" s="9" t="str">
        <f t="shared" si="3"/>
        <v>· El archivo de participante lo puedes descargar desde aquí</v>
      </c>
      <c r="E88" s="9" t="s">
        <v>1903</v>
      </c>
      <c r="G88" s="9" t="s">
        <v>1862</v>
      </c>
      <c r="H88" s="9" t="s">
        <v>1863</v>
      </c>
    </row>
    <row r="89" spans="4:8">
      <c r="D89" s="9" t="str">
        <f t="shared" si="3"/>
        <v>(Antes de empezar el mundial)</v>
      </c>
      <c r="E89" s="9" t="s">
        <v>1903</v>
      </c>
      <c r="G89" s="9" t="s">
        <v>1874</v>
      </c>
      <c r="H89" s="9" t="s">
        <v>1875</v>
      </c>
    </row>
    <row r="90" spans="4:8">
      <c r="D90" s="9" t="str">
        <f>IF($B$2,G90,H90)</f>
        <v>· Las instrucciones de uso de esta hoja se encuentran en la misma hoja</v>
      </c>
      <c r="E90" s="9" t="s">
        <v>1903</v>
      </c>
      <c r="G90" s="9" t="s">
        <v>1854</v>
      </c>
      <c r="H90" s="9" t="s">
        <v>1855</v>
      </c>
    </row>
    <row r="91" spans="4:8">
      <c r="D91" s="9" t="str">
        <f>IF($B$2,G91,H91)</f>
        <v>· Esta hoja sirve para administrar la porra/quiniela</v>
      </c>
      <c r="E91" s="9" t="s">
        <v>1903</v>
      </c>
      <c r="G91" s="9" t="s">
        <v>1868</v>
      </c>
      <c r="H91" s="9" t="s">
        <v>1869</v>
      </c>
    </row>
    <row r="92" spans="4:8">
      <c r="D92" s="9" t="str">
        <f>IF($B$2,G92,H92)</f>
        <v>· Lo primero, establece la puntuación para cada criterio y comparte la puntuación con los participantes</v>
      </c>
      <c r="E92" s="9" t="s">
        <v>1903</v>
      </c>
      <c r="G92" s="9" t="s">
        <v>1872</v>
      </c>
      <c r="H92" s="9" t="s">
        <v>1870</v>
      </c>
    </row>
    <row r="93" spans="4:8">
      <c r="D93" s="9" t="str">
        <f t="shared" ref="D93:D96" si="4">IF($B$2,G93,H93)</f>
        <v>· Aquí explicamos cada criterio de puntuación</v>
      </c>
      <c r="E93" s="9" t="s">
        <v>1903</v>
      </c>
      <c r="G93" s="9" t="s">
        <v>1871</v>
      </c>
      <c r="H93" s="9" t="s">
        <v>1883</v>
      </c>
    </row>
    <row r="94" spans="4:8">
      <c r="D94" s="9" t="str">
        <f t="shared" si="4"/>
        <v>· Cuando los participantes te envíen su archivo, copia sus pronósticos de la hoja “Pool”, en esta hoja ADMIN</v>
      </c>
      <c r="E94" s="9" t="s">
        <v>1903</v>
      </c>
      <c r="G94" s="9" t="s">
        <v>1884</v>
      </c>
      <c r="H94" s="9" t="s">
        <v>1882</v>
      </c>
    </row>
    <row r="95" spans="4:8">
      <c r="D95" s="9" t="str">
        <f t="shared" si="4"/>
        <v>· Cuando tengas todos los pronósticos, selecciona el número de jugadores en la hoja ADMIN</v>
      </c>
      <c r="E95" s="9" t="s">
        <v>1903</v>
      </c>
      <c r="G95" s="9" t="s">
        <v>1885</v>
      </c>
      <c r="H95" s="9" t="s">
        <v>1881</v>
      </c>
    </row>
    <row r="96" spans="4:8">
      <c r="D96" s="9" t="str">
        <f t="shared" si="4"/>
        <v>(Una vez ha empezado el mundial)</v>
      </c>
      <c r="E96" s="9" t="s">
        <v>1903</v>
      </c>
      <c r="G96" s="9" t="s">
        <v>1876</v>
      </c>
      <c r="H96" s="9" t="s">
        <v>1877</v>
      </c>
    </row>
    <row r="97" spans="4:8">
      <c r="D97" s="9" t="str">
        <f>IF($B$2,G97,H97)</f>
        <v>· Cuando empiece el mundial, rellena los cuadros grises con los resultados reales de la fase de grupos</v>
      </c>
      <c r="E97" s="9" t="s">
        <v>1903</v>
      </c>
      <c r="G97" s="9" t="s">
        <v>1873</v>
      </c>
      <c r="H97" s="9" t="s">
        <v>1880</v>
      </c>
    </row>
    <row r="98" spans="4:8">
      <c r="D98" s="9" t="str">
        <f>IF($B$2,G98,H98)</f>
        <v>· En caso de empate en la posición de un grupo o en los mejores terceros, selcciona el orden de los empatados</v>
      </c>
      <c r="E98" s="9" t="s">
        <v>1903</v>
      </c>
      <c r="G98" s="9" t="s">
        <v>1864</v>
      </c>
      <c r="H98" s="9" t="s">
        <v>1865</v>
      </c>
    </row>
    <row r="99" spans="4:8">
      <c r="D99" s="9" t="str">
        <f>IF($B$2,G99,H99)</f>
        <v>· Las eliminatorias se establecen de forma automática</v>
      </c>
      <c r="E99" s="9" t="s">
        <v>1903</v>
      </c>
      <c r="G99" s="9" t="s">
        <v>1850</v>
      </c>
      <c r="H99" s="9" t="s">
        <v>1851</v>
      </c>
    </row>
    <row r="100" spans="4:8">
      <c r="D100" s="9" t="str">
        <f>IF($B$2,G100,H100)</f>
        <v>· Rellena los resultados de las fases eliminatorias. En caso de empate, se abren dos celdas a los lados para poner el resultado de los penaltis</v>
      </c>
      <c r="E100" s="9" t="s">
        <v>1903</v>
      </c>
      <c r="G100" s="9" t="s">
        <v>1852</v>
      </c>
      <c r="H100" s="9" t="s">
        <v>1853</v>
      </c>
    </row>
    <row r="101" spans="4:8">
      <c r="D101" s="9" t="str">
        <f>IF($B$2,G101,H101)</f>
        <v>· Rellenar los mejores jugadores y los máximos goleadores</v>
      </c>
      <c r="E101" s="9" t="s">
        <v>1903</v>
      </c>
      <c r="G101" s="9" t="s">
        <v>1866</v>
      </c>
      <c r="H101" s="9" t="s">
        <v>1867</v>
      </c>
    </row>
    <row r="102" spans="4:8">
      <c r="D102" s="9" t="str">
        <f t="shared" si="3"/>
        <v>· En esta hoja se muestran de un vistazo todos los resultados introducidos en la hoja WORLDCUP, en esta hoja no se rellena nada</v>
      </c>
      <c r="E102" s="9" t="s">
        <v>1903</v>
      </c>
      <c r="G102" s="9" t="s">
        <v>1886</v>
      </c>
      <c r="H102" s="9" t="s">
        <v>1879</v>
      </c>
    </row>
    <row r="103" spans="4:8">
      <c r="D103" s="9" t="str">
        <f t="shared" si="3"/>
        <v>https://matejero.es/download/excel-mundial-2026/</v>
      </c>
      <c r="E103" s="9" t="s">
        <v>1903</v>
      </c>
      <c r="G103" s="761" t="s">
        <v>1860</v>
      </c>
      <c r="H103" s="9" t="s">
        <v>1861</v>
      </c>
    </row>
    <row r="104" spans="4:8">
      <c r="D104" s="9" t="str">
        <f t="shared" si="3"/>
        <v>· En esta hoja se puede ver la clasificación general según se vayan introduciendo los resultados de los partidos</v>
      </c>
      <c r="E104" s="9" t="s">
        <v>1903</v>
      </c>
      <c r="G104" s="9" t="s">
        <v>1898</v>
      </c>
      <c r="H104" s="9" t="s">
        <v>1899</v>
      </c>
    </row>
    <row r="105" spans="4:8">
      <c r="D105" s="9" t="str">
        <f t="shared" si="3"/>
        <v>· Esta hoja permite filtrar los pronósticos por día de la fase de grupos o por eliminatoria.</v>
      </c>
      <c r="E105" s="9" t="s">
        <v>1903</v>
      </c>
      <c r="G105" s="9" t="s">
        <v>1887</v>
      </c>
      <c r="H105" s="9" t="s">
        <v>1891</v>
      </c>
    </row>
    <row r="106" spans="4:8">
      <c r="D106" s="9" t="str">
        <f t="shared" si="3"/>
        <v xml:space="preserve"> · Aquí puedes ver la clasificación del dia/ronda seleccionado en la hoja "DailyPredcition"</v>
      </c>
      <c r="E106" s="9" t="s">
        <v>1903</v>
      </c>
      <c r="G106" s="9" t="s">
        <v>1889</v>
      </c>
      <c r="H106" s="9" t="s">
        <v>1890</v>
      </c>
    </row>
    <row r="107" spans="4:8">
      <c r="D107" s="9"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9" t="s">
        <v>1903</v>
      </c>
      <c r="G107" s="9" t="s">
        <v>1805</v>
      </c>
      <c r="H107" s="9" t="s">
        <v>1806</v>
      </c>
    </row>
    <row r="108" spans="4:8">
      <c r="D108" s="9" t="str">
        <f t="shared" si="3"/>
        <v>· En estas hoja podrás ver diferentes estadísticas generales y por partido</v>
      </c>
      <c r="E108" s="9" t="s">
        <v>1903</v>
      </c>
      <c r="G108" s="9" t="s">
        <v>1892</v>
      </c>
      <c r="H108" s="9" t="s">
        <v>1895</v>
      </c>
    </row>
    <row r="109" spans="4:8">
      <c r="D109" s="9" t="str">
        <f t="shared" si="3"/>
        <v>· Para verlas correctamente necesitas una versión posterior a excel 2021</v>
      </c>
      <c r="E109" s="9" t="s">
        <v>1903</v>
      </c>
      <c r="G109" s="9" t="s">
        <v>1894</v>
      </c>
      <c r="H109" s="9" t="s">
        <v>1893</v>
      </c>
    </row>
    <row r="110" spans="4:8">
      <c r="D110" s="9" t="str">
        <f>IF($B$2,G110,H110)</f>
        <v xml:space="preserve">· En esta hoja puedes ver de un vistazo el cuadro del mundial </v>
      </c>
      <c r="E110" s="9" t="s">
        <v>1903</v>
      </c>
      <c r="G110" s="9" t="s">
        <v>1896</v>
      </c>
      <c r="H110" s="9" t="s">
        <v>1897</v>
      </c>
    </row>
    <row r="112" spans="4:8">
      <c r="D112" s="9" t="str">
        <f t="shared" ref="D112:D203" si="6">IF($B$2,G112,H112)</f>
        <v>Para el administrador de la porra</v>
      </c>
      <c r="E112" s="9" t="s">
        <v>433</v>
      </c>
      <c r="F112" s="9" t="s">
        <v>114</v>
      </c>
      <c r="G112" s="9" t="s">
        <v>130</v>
      </c>
      <c r="H112" s="9" t="s">
        <v>266</v>
      </c>
    </row>
    <row r="113" spans="4:16">
      <c r="D113" s="9" t="str">
        <f t="shared" si="6"/>
        <v>PARTICIPANTE</v>
      </c>
      <c r="E113" s="9" t="s">
        <v>433</v>
      </c>
      <c r="F113" s="9" t="s">
        <v>119</v>
      </c>
      <c r="G113" s="9" t="s">
        <v>70</v>
      </c>
      <c r="H113" s="9" t="s">
        <v>267</v>
      </c>
    </row>
    <row r="114" spans="4:16">
      <c r="D114" s="9" t="str">
        <f t="shared" si="6"/>
        <v>Nombre</v>
      </c>
      <c r="E114" s="9" t="s">
        <v>433</v>
      </c>
      <c r="F114" s="9" t="s">
        <v>125</v>
      </c>
      <c r="G114" s="9" t="s">
        <v>42</v>
      </c>
      <c r="H114" s="9" t="s">
        <v>268</v>
      </c>
    </row>
    <row r="115" spans="4:16">
      <c r="D115" s="9" t="str">
        <f t="shared" si="6"/>
        <v>¡No tocar nada, se rellena solo!</v>
      </c>
      <c r="E115" s="9" t="s">
        <v>433</v>
      </c>
      <c r="F115" s="9" t="s">
        <v>239</v>
      </c>
      <c r="G115" s="9" t="s">
        <v>43</v>
      </c>
      <c r="H115" s="9" t="s">
        <v>269</v>
      </c>
    </row>
    <row r="116" spans="4:16" ht="15" customHeight="1">
      <c r="D116" s="9" t="str">
        <f t="shared" si="6"/>
        <v>EL ADMINISTRADOR DE LA PORRA SEGUIRÁ LAS INSTRUCCIONES DE AQUÍ ABAJO</v>
      </c>
      <c r="E116" s="9" t="s">
        <v>433</v>
      </c>
      <c r="F116" s="9" t="s">
        <v>116</v>
      </c>
      <c r="G116" s="9" t="s">
        <v>131</v>
      </c>
      <c r="H116" s="9" t="s">
        <v>270</v>
      </c>
      <c r="I116" s="762"/>
      <c r="K116" s="762"/>
      <c r="L116" s="762"/>
      <c r="M116" s="762"/>
      <c r="N116" s="762"/>
      <c r="O116" s="762"/>
      <c r="P116" s="762"/>
    </row>
    <row r="117" spans="4:16" ht="15" customHeight="1">
      <c r="D117" s="9" t="str">
        <f t="shared" si="6"/>
        <v>·Si haceis todo el Mundial de golpe, incluido el predictor, copiar de la C5 a la C308 y pegar valores en la plantilla de Administrador.</v>
      </c>
      <c r="E117" s="9" t="s">
        <v>433</v>
      </c>
      <c r="F117" s="9" t="s">
        <v>128</v>
      </c>
      <c r="G117" s="760" t="s">
        <v>1939</v>
      </c>
      <c r="H117" s="9" t="s">
        <v>1346</v>
      </c>
      <c r="I117" s="762"/>
      <c r="K117" s="762"/>
      <c r="L117" s="762"/>
      <c r="M117" s="762"/>
      <c r="N117" s="762"/>
      <c r="O117" s="762"/>
      <c r="P117" s="762"/>
    </row>
    <row r="118" spans="4:16">
      <c r="D118" s="9"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9" t="s">
        <v>433</v>
      </c>
      <c r="F118" s="9" t="s">
        <v>240</v>
      </c>
      <c r="G118" s="9" t="s">
        <v>1347</v>
      </c>
      <c r="H118" s="9" t="s">
        <v>1348</v>
      </c>
    </row>
    <row r="119" spans="4:16" ht="15" customHeight="1">
      <c r="D119" s="9" t="str">
        <f t="shared" si="6"/>
        <v>·Si haceis jornada a jornada seguir las instrucciones de cada jornada</v>
      </c>
      <c r="E119" s="9" t="s">
        <v>433</v>
      </c>
      <c r="F119" s="9" t="s">
        <v>241</v>
      </c>
      <c r="G119" s="9" t="s">
        <v>132</v>
      </c>
      <c r="H119" s="9" t="s">
        <v>271</v>
      </c>
      <c r="I119" s="763"/>
      <c r="K119" s="763"/>
      <c r="L119" s="763"/>
    </row>
    <row r="120" spans="4:16">
      <c r="D120" s="9" t="str">
        <f t="shared" si="6"/>
        <v>·Para la primera jornada copiar de la C5 a la C29 y pega valores en la plantilla de administrador. ¡OJO! COPIAR TAMBIÉN de la C253 a la C308.</v>
      </c>
      <c r="E120" s="9" t="s">
        <v>433</v>
      </c>
      <c r="F120" s="9" t="s">
        <v>242</v>
      </c>
      <c r="G120" s="9" t="s">
        <v>1349</v>
      </c>
      <c r="H120" s="9" t="s">
        <v>1352</v>
      </c>
    </row>
    <row r="121" spans="4:16">
      <c r="D121" s="9" t="str">
        <f t="shared" si="6"/>
        <v>·Para la segunda jornada copiar de la C30 a la C53 y pega valores en la plantilla de administrador.</v>
      </c>
      <c r="E121" s="9" t="s">
        <v>433</v>
      </c>
      <c r="F121" s="9" t="s">
        <v>243</v>
      </c>
      <c r="G121" s="9" t="s">
        <v>1350</v>
      </c>
      <c r="H121" s="9" t="s">
        <v>1353</v>
      </c>
    </row>
    <row r="122" spans="4:16">
      <c r="D122" s="9" t="str">
        <f t="shared" si="6"/>
        <v>·Para la tercera jornada copiar de la C54 a la C161 y pega valores en la plantilla de administrador.</v>
      </c>
      <c r="E122" s="9" t="s">
        <v>433</v>
      </c>
      <c r="F122" s="9" t="s">
        <v>244</v>
      </c>
      <c r="G122" s="9" t="s">
        <v>1351</v>
      </c>
      <c r="H122" s="9" t="s">
        <v>1354</v>
      </c>
    </row>
    <row r="123" spans="4:16">
      <c r="D123" s="9" t="str">
        <f t="shared" si="6"/>
        <v>·Si haceis todas las eliminatorias de golpe, copiar de la C164 a la C252 y pegar valores en la plantilla de Administrador.</v>
      </c>
      <c r="E123" s="9" t="s">
        <v>433</v>
      </c>
      <c r="F123" s="9" t="s">
        <v>245</v>
      </c>
      <c r="G123" s="9" t="s">
        <v>577</v>
      </c>
      <c r="H123" s="9" t="s">
        <v>1355</v>
      </c>
    </row>
    <row r="124" spans="4:16">
      <c r="D124" s="9" t="str">
        <f t="shared" si="6"/>
        <v>·Si haceis eliminatoria a eliminatoria seguir las instrucciones de cada eliminatoria.</v>
      </c>
      <c r="E124" s="9" t="s">
        <v>433</v>
      </c>
      <c r="F124" s="9" t="s">
        <v>246</v>
      </c>
      <c r="G124" s="9" t="s">
        <v>133</v>
      </c>
      <c r="H124" s="9" t="s">
        <v>272</v>
      </c>
    </row>
    <row r="125" spans="4:16">
      <c r="D125" s="9" t="str">
        <f t="shared" si="6"/>
        <v>·Para los dieciseisavos copiar de la C164 a la C197 y pega valores en la plantilla de administrador.</v>
      </c>
      <c r="E125" s="9" t="s">
        <v>433</v>
      </c>
      <c r="F125" s="9" t="s">
        <v>247</v>
      </c>
      <c r="G125" s="9" t="s">
        <v>1356</v>
      </c>
      <c r="H125" s="9" t="s">
        <v>572</v>
      </c>
    </row>
    <row r="126" spans="4:16">
      <c r="D126" s="9" t="str">
        <f t="shared" si="6"/>
        <v>·Para los octavos de final copiar de la C200 a la C217 y pega valores en la plantilla de administrador.</v>
      </c>
      <c r="E126" s="9" t="s">
        <v>433</v>
      </c>
      <c r="F126" s="9" t="s">
        <v>248</v>
      </c>
      <c r="G126" s="9" t="s">
        <v>1357</v>
      </c>
      <c r="H126" s="9" t="s">
        <v>574</v>
      </c>
    </row>
    <row r="127" spans="4:16">
      <c r="D127" s="9" t="str">
        <f t="shared" si="6"/>
        <v>·Para los cuartos de final copiar de la C220 a la C229 y pega valores en la plantilla de administrador.</v>
      </c>
      <c r="E127" s="9" t="s">
        <v>433</v>
      </c>
      <c r="G127" s="9" t="s">
        <v>1358</v>
      </c>
      <c r="H127" s="9" t="s">
        <v>573</v>
      </c>
    </row>
    <row r="128" spans="4:16">
      <c r="D128" s="9" t="str">
        <f t="shared" si="6"/>
        <v>·Para las semifinales copiar de la C232 a la C241 y pega valores en la plantilla de administrador.</v>
      </c>
      <c r="E128" s="9" t="s">
        <v>433</v>
      </c>
      <c r="F128" s="9" t="s">
        <v>249</v>
      </c>
      <c r="G128" s="9" t="s">
        <v>1359</v>
      </c>
      <c r="H128" s="9" t="s">
        <v>575</v>
      </c>
    </row>
    <row r="129" spans="4:9">
      <c r="D129" s="9" t="str">
        <f t="shared" si="6"/>
        <v>·Para el 3º y 4º puesto y la Final copiar de la C244 a la C252 y pega valores en la plantilla de administrador.</v>
      </c>
      <c r="E129" s="9" t="s">
        <v>433</v>
      </c>
      <c r="F129" s="9" t="s">
        <v>250</v>
      </c>
      <c r="G129" s="9" t="s">
        <v>1360</v>
      </c>
      <c r="H129" s="9" t="s">
        <v>576</v>
      </c>
    </row>
    <row r="130" spans="4:9">
      <c r="D130" s="9" t="str">
        <f t="shared" si="6"/>
        <v>·Al inicio de la competición si se hace por fases copiar de la C253 a la C308 y pegarla al final del jugador en el archivo de administrador.</v>
      </c>
      <c r="E130" s="9" t="s">
        <v>433</v>
      </c>
      <c r="F130" s="9" t="s">
        <v>251</v>
      </c>
      <c r="G130" s="9" t="s">
        <v>1361</v>
      </c>
      <c r="H130" s="9" t="s">
        <v>1362</v>
      </c>
    </row>
    <row r="131" spans="4:9">
      <c r="D131" s="9" t="str">
        <f t="shared" si="6"/>
        <v>·Copiar de la C261 a la C308 y pegar valores en el administrador donde el Predictor</v>
      </c>
      <c r="E131" s="9" t="s">
        <v>433</v>
      </c>
      <c r="G131" s="758" t="s">
        <v>1373</v>
      </c>
      <c r="H131" s="758" t="s">
        <v>1372</v>
      </c>
    </row>
    <row r="132" spans="4:9">
      <c r="D132" s="9" t="str">
        <f t="shared" si="6"/>
        <v>J1</v>
      </c>
      <c r="E132" s="9" t="s">
        <v>433</v>
      </c>
      <c r="F132" s="9" t="s">
        <v>252</v>
      </c>
      <c r="G132" s="9" t="s">
        <v>26</v>
      </c>
      <c r="H132" s="9" t="s">
        <v>273</v>
      </c>
      <c r="I132" s="758"/>
    </row>
    <row r="133" spans="4:9">
      <c r="D133" s="9" t="str">
        <f t="shared" si="6"/>
        <v>J2</v>
      </c>
      <c r="E133" s="9" t="s">
        <v>433</v>
      </c>
      <c r="F133" s="9" t="s">
        <v>253</v>
      </c>
      <c r="G133" s="9" t="s">
        <v>27</v>
      </c>
      <c r="H133" s="9" t="s">
        <v>274</v>
      </c>
    </row>
    <row r="134" spans="4:9">
      <c r="D134" s="9" t="str">
        <f t="shared" si="6"/>
        <v>J3</v>
      </c>
      <c r="E134" s="9" t="s">
        <v>433</v>
      </c>
      <c r="F134" s="9" t="s">
        <v>254</v>
      </c>
      <c r="G134" s="9" t="s">
        <v>28</v>
      </c>
      <c r="H134" s="9" t="s">
        <v>275</v>
      </c>
    </row>
    <row r="135" spans="4:9">
      <c r="D135" s="9" t="str">
        <f t="shared" si="6"/>
        <v>FASE DE GRUPOS</v>
      </c>
      <c r="E135" s="9" t="s">
        <v>433</v>
      </c>
      <c r="F135" s="9" t="s">
        <v>255</v>
      </c>
      <c r="G135" s="9" t="s">
        <v>12</v>
      </c>
      <c r="H135" s="9" t="s">
        <v>276</v>
      </c>
    </row>
    <row r="136" spans="4:9">
      <c r="D136" s="9" t="str">
        <f t="shared" si="6"/>
        <v>POSICIÓN GRUPOS</v>
      </c>
      <c r="E136" s="9" t="s">
        <v>433</v>
      </c>
      <c r="F136" s="9" t="s">
        <v>256</v>
      </c>
      <c r="G136" s="9" t="s">
        <v>44</v>
      </c>
      <c r="H136" s="9" t="s">
        <v>277</v>
      </c>
    </row>
    <row r="137" spans="4:9">
      <c r="D137" s="9" t="str">
        <f t="shared" si="6"/>
        <v>CLASIFICADOS PARA DIECISEISAVOS</v>
      </c>
      <c r="E137" s="9" t="s">
        <v>433</v>
      </c>
      <c r="F137" s="9" t="s">
        <v>257</v>
      </c>
      <c r="G137" s="9" t="s">
        <v>564</v>
      </c>
      <c r="H137" s="9" t="s">
        <v>565</v>
      </c>
    </row>
    <row r="138" spans="4:9">
      <c r="D138" s="9" t="str">
        <f t="shared" si="6"/>
        <v>ENFRENTAMIENTOS DIECISEISAVOS</v>
      </c>
      <c r="E138" s="9" t="s">
        <v>433</v>
      </c>
      <c r="F138" s="9" t="s">
        <v>258</v>
      </c>
      <c r="G138" s="9" t="s">
        <v>568</v>
      </c>
      <c r="H138" s="9" t="s">
        <v>569</v>
      </c>
    </row>
    <row r="139" spans="4:9">
      <c r="D139" s="9" t="str">
        <f t="shared" si="6"/>
        <v>CLASIFICADOS PARA OCTAVOS</v>
      </c>
      <c r="E139" s="9" t="s">
        <v>433</v>
      </c>
      <c r="G139" s="9" t="s">
        <v>108</v>
      </c>
      <c r="H139" s="9" t="s">
        <v>278</v>
      </c>
    </row>
    <row r="140" spans="4:9">
      <c r="D140" s="9" t="str">
        <f t="shared" si="6"/>
        <v>ENFRENTAMIENTOS OCTAVOS</v>
      </c>
      <c r="E140" s="9" t="s">
        <v>433</v>
      </c>
      <c r="G140" s="9" t="s">
        <v>109</v>
      </c>
      <c r="H140" s="9" t="s">
        <v>279</v>
      </c>
    </row>
    <row r="141" spans="4:9">
      <c r="D141" s="9" t="str">
        <f t="shared" si="6"/>
        <v>CLASIFICADOS PARA CUARTOS</v>
      </c>
      <c r="E141" s="9" t="s">
        <v>433</v>
      </c>
      <c r="F141" s="9" t="s">
        <v>259</v>
      </c>
      <c r="G141" s="9" t="s">
        <v>57</v>
      </c>
      <c r="H141" s="9" t="s">
        <v>280</v>
      </c>
    </row>
    <row r="142" spans="4:9">
      <c r="D142" s="9" t="str">
        <f t="shared" si="6"/>
        <v>ENFRENTAMIENTOS CUARTOS</v>
      </c>
      <c r="E142" s="9" t="s">
        <v>433</v>
      </c>
      <c r="F142" s="9" t="s">
        <v>261</v>
      </c>
      <c r="G142" s="9" t="s">
        <v>59</v>
      </c>
      <c r="H142" s="9" t="s">
        <v>281</v>
      </c>
    </row>
    <row r="143" spans="4:9">
      <c r="D143" s="9" t="str">
        <f t="shared" si="6"/>
        <v>CLASIFICADOS PARA SEMIFINALES</v>
      </c>
      <c r="E143" s="9" t="s">
        <v>433</v>
      </c>
      <c r="F143" s="9" t="s">
        <v>260</v>
      </c>
      <c r="G143" s="9" t="s">
        <v>60</v>
      </c>
      <c r="H143" s="9" t="s">
        <v>282</v>
      </c>
    </row>
    <row r="144" spans="4:9">
      <c r="D144" s="9" t="str">
        <f t="shared" si="6"/>
        <v>ENFRENTAMIENTOS SEMIFINALES</v>
      </c>
      <c r="E144" s="9" t="s">
        <v>433</v>
      </c>
      <c r="F144" s="9" t="s">
        <v>262</v>
      </c>
      <c r="G144" s="9" t="s">
        <v>62</v>
      </c>
      <c r="H144" s="9" t="s">
        <v>283</v>
      </c>
    </row>
    <row r="145" spans="4:8">
      <c r="D145" s="9" t="str">
        <f t="shared" si="6"/>
        <v>CLASIFICADOS PARA EL 3º y 4º PUESTO</v>
      </c>
      <c r="E145" s="9" t="s">
        <v>433</v>
      </c>
      <c r="G145" s="9" t="s">
        <v>570</v>
      </c>
      <c r="H145" s="9" t="s">
        <v>571</v>
      </c>
    </row>
    <row r="146" spans="4:8">
      <c r="D146" s="9" t="str">
        <f t="shared" si="6"/>
        <v>CLASIFICADOS PARA LA FINAL</v>
      </c>
      <c r="E146" s="9" t="s">
        <v>433</v>
      </c>
      <c r="F146" s="9" t="s">
        <v>263</v>
      </c>
      <c r="G146" s="9" t="s">
        <v>63</v>
      </c>
      <c r="H146" s="9" t="s">
        <v>284</v>
      </c>
    </row>
    <row r="147" spans="4:8">
      <c r="D147" s="9" t="str">
        <f t="shared" si="6"/>
        <v>3º-4º puesto</v>
      </c>
      <c r="E147" s="9" t="s">
        <v>433</v>
      </c>
      <c r="G147" s="9" t="s">
        <v>496</v>
      </c>
      <c r="H147" s="9" t="s">
        <v>492</v>
      </c>
    </row>
    <row r="148" spans="4:8">
      <c r="D148" s="9" t="str">
        <f t="shared" si="6"/>
        <v>ENFRENTAMIENTO FINAL</v>
      </c>
      <c r="E148" s="9" t="s">
        <v>433</v>
      </c>
      <c r="F148" s="9" t="s">
        <v>264</v>
      </c>
      <c r="G148" s="9" t="s">
        <v>65</v>
      </c>
      <c r="H148" s="9" t="s">
        <v>285</v>
      </c>
    </row>
    <row r="149" spans="4:8">
      <c r="D149" s="9" t="str">
        <f t="shared" si="6"/>
        <v>CUADRO DE HONOR</v>
      </c>
      <c r="E149" s="9" t="s">
        <v>433</v>
      </c>
      <c r="F149" s="9" t="s">
        <v>265</v>
      </c>
      <c r="G149" s="9" t="s">
        <v>20</v>
      </c>
      <c r="H149" s="9" t="s">
        <v>221</v>
      </c>
    </row>
    <row r="150" spans="4:8">
      <c r="D150" s="9" t="str">
        <f t="shared" ref="D150:D173" si="7">IF($B$2,G150,H150)</f>
        <v>1º GRUPO A</v>
      </c>
      <c r="E150" s="9" t="s">
        <v>433</v>
      </c>
      <c r="F150" s="9" t="s">
        <v>405</v>
      </c>
      <c r="G150" s="9" t="s">
        <v>45</v>
      </c>
      <c r="H150" s="5" t="s">
        <v>377</v>
      </c>
    </row>
    <row r="151" spans="4:8">
      <c r="D151" s="9" t="str">
        <f t="shared" si="7"/>
        <v>2º GRUPO A</v>
      </c>
      <c r="E151" s="9" t="s">
        <v>433</v>
      </c>
      <c r="F151" s="9" t="s">
        <v>406</v>
      </c>
      <c r="G151" s="9" t="s">
        <v>46</v>
      </c>
      <c r="H151" s="5" t="s">
        <v>378</v>
      </c>
    </row>
    <row r="152" spans="4:8">
      <c r="D152" s="9" t="str">
        <f t="shared" si="7"/>
        <v>3º GRUPO A</v>
      </c>
      <c r="E152" s="9" t="s">
        <v>433</v>
      </c>
      <c r="F152" s="9" t="s">
        <v>407</v>
      </c>
      <c r="G152" s="9" t="s">
        <v>47</v>
      </c>
      <c r="H152" s="5" t="s">
        <v>379</v>
      </c>
    </row>
    <row r="153" spans="4:8">
      <c r="D153" s="9" t="str">
        <f t="shared" si="7"/>
        <v>4º GRUPO A</v>
      </c>
      <c r="E153" s="9" t="s">
        <v>433</v>
      </c>
      <c r="F153" s="9" t="s">
        <v>408</v>
      </c>
      <c r="G153" s="9" t="s">
        <v>48</v>
      </c>
      <c r="H153" s="5" t="s">
        <v>380</v>
      </c>
    </row>
    <row r="154" spans="4:8">
      <c r="D154" s="9" t="str">
        <f t="shared" si="7"/>
        <v>1º GRUPO B</v>
      </c>
      <c r="E154" s="9" t="s">
        <v>433</v>
      </c>
      <c r="F154" s="9" t="s">
        <v>409</v>
      </c>
      <c r="G154" s="9" t="s">
        <v>49</v>
      </c>
      <c r="H154" s="5" t="s">
        <v>381</v>
      </c>
    </row>
    <row r="155" spans="4:8">
      <c r="D155" s="9" t="str">
        <f t="shared" si="7"/>
        <v>2º GRUPO B</v>
      </c>
      <c r="E155" s="9" t="s">
        <v>433</v>
      </c>
      <c r="F155" s="9" t="s">
        <v>410</v>
      </c>
      <c r="G155" s="9" t="s">
        <v>50</v>
      </c>
      <c r="H155" s="5" t="s">
        <v>382</v>
      </c>
    </row>
    <row r="156" spans="4:8">
      <c r="D156" s="9" t="str">
        <f t="shared" si="7"/>
        <v>3º GRUPO B</v>
      </c>
      <c r="E156" s="9" t="s">
        <v>433</v>
      </c>
      <c r="F156" s="9" t="s">
        <v>411</v>
      </c>
      <c r="G156" s="9" t="s">
        <v>51</v>
      </c>
      <c r="H156" s="5" t="s">
        <v>383</v>
      </c>
    </row>
    <row r="157" spans="4:8">
      <c r="D157" s="9" t="str">
        <f t="shared" si="7"/>
        <v>4º GRUPO B</v>
      </c>
      <c r="E157" s="9" t="s">
        <v>433</v>
      </c>
      <c r="F157" s="9" t="s">
        <v>412</v>
      </c>
      <c r="G157" s="9" t="s">
        <v>52</v>
      </c>
      <c r="H157" s="5" t="s">
        <v>384</v>
      </c>
    </row>
    <row r="158" spans="4:8">
      <c r="D158" s="9" t="str">
        <f t="shared" si="7"/>
        <v>1º GRUPO C</v>
      </c>
      <c r="E158" s="9" t="s">
        <v>433</v>
      </c>
      <c r="F158" s="9" t="s">
        <v>413</v>
      </c>
      <c r="G158" s="9" t="s">
        <v>53</v>
      </c>
      <c r="H158" s="5" t="s">
        <v>385</v>
      </c>
    </row>
    <row r="159" spans="4:8">
      <c r="D159" s="9" t="str">
        <f t="shared" si="7"/>
        <v>2º GRUPO C</v>
      </c>
      <c r="E159" s="9" t="s">
        <v>433</v>
      </c>
      <c r="F159" s="9" t="s">
        <v>414</v>
      </c>
      <c r="G159" s="9" t="s">
        <v>54</v>
      </c>
      <c r="H159" s="5" t="s">
        <v>386</v>
      </c>
    </row>
    <row r="160" spans="4:8">
      <c r="D160" s="9" t="str">
        <f t="shared" si="7"/>
        <v>3º GRUPO C</v>
      </c>
      <c r="E160" s="9" t="s">
        <v>433</v>
      </c>
      <c r="F160" s="9" t="s">
        <v>415</v>
      </c>
      <c r="G160" s="9" t="s">
        <v>55</v>
      </c>
      <c r="H160" s="5" t="s">
        <v>387</v>
      </c>
    </row>
    <row r="161" spans="4:8">
      <c r="D161" s="9" t="str">
        <f t="shared" si="7"/>
        <v>4º GRUPO C</v>
      </c>
      <c r="E161" s="9" t="s">
        <v>433</v>
      </c>
      <c r="F161" s="9" t="s">
        <v>416</v>
      </c>
      <c r="G161" s="9" t="s">
        <v>56</v>
      </c>
      <c r="H161" s="5" t="s">
        <v>388</v>
      </c>
    </row>
    <row r="162" spans="4:8">
      <c r="D162" s="9" t="str">
        <f t="shared" si="7"/>
        <v>1º GRUPO D</v>
      </c>
      <c r="E162" s="9" t="s">
        <v>433</v>
      </c>
      <c r="F162" s="9" t="s">
        <v>417</v>
      </c>
      <c r="G162" s="9" t="s">
        <v>96</v>
      </c>
      <c r="H162" s="5" t="s">
        <v>389</v>
      </c>
    </row>
    <row r="163" spans="4:8">
      <c r="D163" s="9" t="str">
        <f t="shared" si="7"/>
        <v>2º GRUPO D</v>
      </c>
      <c r="E163" s="9" t="s">
        <v>433</v>
      </c>
      <c r="F163" s="9" t="s">
        <v>418</v>
      </c>
      <c r="G163" s="9" t="s">
        <v>97</v>
      </c>
      <c r="H163" s="5" t="s">
        <v>390</v>
      </c>
    </row>
    <row r="164" spans="4:8">
      <c r="D164" s="9" t="str">
        <f t="shared" si="7"/>
        <v>3º GRUPO D</v>
      </c>
      <c r="E164" s="9" t="s">
        <v>433</v>
      </c>
      <c r="F164" s="9" t="s">
        <v>419</v>
      </c>
      <c r="G164" s="9" t="s">
        <v>98</v>
      </c>
      <c r="H164" s="5" t="s">
        <v>391</v>
      </c>
    </row>
    <row r="165" spans="4:8">
      <c r="D165" s="9" t="str">
        <f t="shared" si="7"/>
        <v>4º GRUPO D</v>
      </c>
      <c r="E165" s="9" t="s">
        <v>433</v>
      </c>
      <c r="F165" s="9" t="s">
        <v>420</v>
      </c>
      <c r="G165" s="9" t="s">
        <v>99</v>
      </c>
      <c r="H165" s="5" t="s">
        <v>392</v>
      </c>
    </row>
    <row r="166" spans="4:8">
      <c r="D166" s="9" t="str">
        <f t="shared" si="7"/>
        <v>1º GRUPO E</v>
      </c>
      <c r="E166" s="9" t="s">
        <v>433</v>
      </c>
      <c r="F166" s="9" t="s">
        <v>421</v>
      </c>
      <c r="G166" s="9" t="s">
        <v>100</v>
      </c>
      <c r="H166" s="5" t="s">
        <v>393</v>
      </c>
    </row>
    <row r="167" spans="4:8">
      <c r="D167" s="9" t="str">
        <f t="shared" si="7"/>
        <v>2º GRUPO E</v>
      </c>
      <c r="E167" s="9" t="s">
        <v>433</v>
      </c>
      <c r="F167" s="9" t="s">
        <v>422</v>
      </c>
      <c r="G167" s="9" t="s">
        <v>101</v>
      </c>
      <c r="H167" s="5" t="s">
        <v>394</v>
      </c>
    </row>
    <row r="168" spans="4:8">
      <c r="D168" s="9" t="str">
        <f t="shared" si="7"/>
        <v>3º GRUPO E</v>
      </c>
      <c r="E168" s="9" t="s">
        <v>433</v>
      </c>
      <c r="F168" s="9" t="s">
        <v>423</v>
      </c>
      <c r="G168" s="9" t="s">
        <v>102</v>
      </c>
      <c r="H168" s="5" t="s">
        <v>395</v>
      </c>
    </row>
    <row r="169" spans="4:8">
      <c r="D169" s="9" t="str">
        <f t="shared" si="7"/>
        <v>4º GRUPO E</v>
      </c>
      <c r="E169" s="9" t="s">
        <v>433</v>
      </c>
      <c r="F169" s="9" t="s">
        <v>424</v>
      </c>
      <c r="G169" s="9" t="s">
        <v>103</v>
      </c>
      <c r="H169" s="5" t="s">
        <v>396</v>
      </c>
    </row>
    <row r="170" spans="4:8">
      <c r="D170" s="9" t="str">
        <f t="shared" si="7"/>
        <v>1º GRUPO F</v>
      </c>
      <c r="E170" s="9" t="s">
        <v>433</v>
      </c>
      <c r="F170" s="9" t="s">
        <v>425</v>
      </c>
      <c r="G170" s="9" t="s">
        <v>104</v>
      </c>
      <c r="H170" s="5" t="s">
        <v>397</v>
      </c>
    </row>
    <row r="171" spans="4:8">
      <c r="D171" s="9" t="str">
        <f t="shared" si="7"/>
        <v>2º GRUPO F</v>
      </c>
      <c r="E171" s="9" t="s">
        <v>433</v>
      </c>
      <c r="F171" s="9" t="s">
        <v>426</v>
      </c>
      <c r="G171" s="9" t="s">
        <v>105</v>
      </c>
      <c r="H171" s="5" t="s">
        <v>398</v>
      </c>
    </row>
    <row r="172" spans="4:8">
      <c r="D172" s="9" t="str">
        <f t="shared" si="7"/>
        <v>3º GRUPO F</v>
      </c>
      <c r="E172" s="9" t="s">
        <v>433</v>
      </c>
      <c r="F172" s="9" t="s">
        <v>427</v>
      </c>
      <c r="G172" s="9" t="s">
        <v>106</v>
      </c>
      <c r="H172" s="5" t="s">
        <v>399</v>
      </c>
    </row>
    <row r="173" spans="4:8">
      <c r="D173" s="9" t="str">
        <f t="shared" si="7"/>
        <v>4º GRUPO F</v>
      </c>
      <c r="E173" s="9" t="s">
        <v>433</v>
      </c>
      <c r="F173" s="9" t="s">
        <v>428</v>
      </c>
      <c r="G173" s="9" t="s">
        <v>107</v>
      </c>
      <c r="H173" s="5" t="s">
        <v>400</v>
      </c>
    </row>
    <row r="174" spans="4:8">
      <c r="D174" s="9" t="str">
        <f t="shared" ref="D174:D197" si="8">IF($B$2,G174,H174)</f>
        <v>1º GRUPO G</v>
      </c>
      <c r="E174" s="9" t="s">
        <v>433</v>
      </c>
      <c r="G174" s="9" t="s">
        <v>516</v>
      </c>
      <c r="H174" s="5" t="s">
        <v>520</v>
      </c>
    </row>
    <row r="175" spans="4:8">
      <c r="D175" s="9" t="str">
        <f t="shared" si="8"/>
        <v>2º GRUPO G</v>
      </c>
      <c r="E175" s="9" t="s">
        <v>433</v>
      </c>
      <c r="G175" s="9" t="s">
        <v>517</v>
      </c>
      <c r="H175" s="5" t="s">
        <v>521</v>
      </c>
    </row>
    <row r="176" spans="4:8">
      <c r="D176" s="9" t="str">
        <f t="shared" si="8"/>
        <v>3º GRUPO G</v>
      </c>
      <c r="E176" s="9" t="s">
        <v>433</v>
      </c>
      <c r="G176" s="9" t="s">
        <v>518</v>
      </c>
      <c r="H176" s="5" t="s">
        <v>522</v>
      </c>
    </row>
    <row r="177" spans="4:8">
      <c r="D177" s="9" t="str">
        <f t="shared" si="8"/>
        <v>4º GRUPO G</v>
      </c>
      <c r="E177" s="9" t="s">
        <v>433</v>
      </c>
      <c r="G177" s="9" t="s">
        <v>519</v>
      </c>
      <c r="H177" s="5" t="s">
        <v>523</v>
      </c>
    </row>
    <row r="178" spans="4:8">
      <c r="D178" s="9" t="str">
        <f t="shared" si="8"/>
        <v>1º GRUPO H</v>
      </c>
      <c r="E178" s="9" t="s">
        <v>433</v>
      </c>
      <c r="G178" s="9" t="s">
        <v>524</v>
      </c>
      <c r="H178" s="5" t="s">
        <v>528</v>
      </c>
    </row>
    <row r="179" spans="4:8">
      <c r="D179" s="9" t="str">
        <f t="shared" si="8"/>
        <v>2º GRUPO H</v>
      </c>
      <c r="E179" s="9" t="s">
        <v>433</v>
      </c>
      <c r="G179" s="9" t="s">
        <v>525</v>
      </c>
      <c r="H179" s="5" t="s">
        <v>529</v>
      </c>
    </row>
    <row r="180" spans="4:8">
      <c r="D180" s="9" t="str">
        <f t="shared" si="8"/>
        <v>3º GRUPO H</v>
      </c>
      <c r="E180" s="9" t="s">
        <v>433</v>
      </c>
      <c r="G180" s="9" t="s">
        <v>526</v>
      </c>
      <c r="H180" s="5" t="s">
        <v>530</v>
      </c>
    </row>
    <row r="181" spans="4:8">
      <c r="D181" s="9" t="str">
        <f t="shared" si="8"/>
        <v>4º GRUPO H</v>
      </c>
      <c r="E181" s="9" t="s">
        <v>433</v>
      </c>
      <c r="G181" s="9" t="s">
        <v>527</v>
      </c>
      <c r="H181" s="5" t="s">
        <v>531</v>
      </c>
    </row>
    <row r="182" spans="4:8">
      <c r="D182" s="9" t="str">
        <f t="shared" si="8"/>
        <v>1º GRUPO I</v>
      </c>
      <c r="E182" s="9" t="s">
        <v>433</v>
      </c>
      <c r="G182" s="9" t="s">
        <v>532</v>
      </c>
      <c r="H182" s="5" t="s">
        <v>536</v>
      </c>
    </row>
    <row r="183" spans="4:8">
      <c r="D183" s="9" t="str">
        <f t="shared" si="8"/>
        <v>2º GRUPO I</v>
      </c>
      <c r="E183" s="9" t="s">
        <v>433</v>
      </c>
      <c r="G183" s="9" t="s">
        <v>533</v>
      </c>
      <c r="H183" s="5" t="s">
        <v>537</v>
      </c>
    </row>
    <row r="184" spans="4:8">
      <c r="D184" s="9" t="str">
        <f t="shared" si="8"/>
        <v>3º GRUPO I</v>
      </c>
      <c r="E184" s="9" t="s">
        <v>433</v>
      </c>
      <c r="G184" s="9" t="s">
        <v>534</v>
      </c>
      <c r="H184" s="5" t="s">
        <v>538</v>
      </c>
    </row>
    <row r="185" spans="4:8">
      <c r="D185" s="9" t="str">
        <f t="shared" si="8"/>
        <v>4º GRUPO I</v>
      </c>
      <c r="E185" s="9" t="s">
        <v>433</v>
      </c>
      <c r="G185" s="9" t="s">
        <v>535</v>
      </c>
      <c r="H185" s="5" t="s">
        <v>539</v>
      </c>
    </row>
    <row r="186" spans="4:8">
      <c r="D186" s="9" t="str">
        <f t="shared" si="8"/>
        <v>1º GRUPO J</v>
      </c>
      <c r="E186" s="9" t="s">
        <v>433</v>
      </c>
      <c r="G186" s="9" t="s">
        <v>540</v>
      </c>
      <c r="H186" s="5" t="s">
        <v>544</v>
      </c>
    </row>
    <row r="187" spans="4:8">
      <c r="D187" s="9" t="str">
        <f t="shared" si="8"/>
        <v>2º GRUPO J</v>
      </c>
      <c r="E187" s="9" t="s">
        <v>433</v>
      </c>
      <c r="G187" s="9" t="s">
        <v>541</v>
      </c>
      <c r="H187" s="5" t="s">
        <v>545</v>
      </c>
    </row>
    <row r="188" spans="4:8">
      <c r="D188" s="9" t="str">
        <f t="shared" si="8"/>
        <v>3º GRUPO J</v>
      </c>
      <c r="E188" s="9" t="s">
        <v>433</v>
      </c>
      <c r="G188" s="9" t="s">
        <v>542</v>
      </c>
      <c r="H188" s="5" t="s">
        <v>546</v>
      </c>
    </row>
    <row r="189" spans="4:8">
      <c r="D189" s="9" t="str">
        <f t="shared" si="8"/>
        <v>4º GRUPO J</v>
      </c>
      <c r="E189" s="9" t="s">
        <v>433</v>
      </c>
      <c r="G189" s="9" t="s">
        <v>543</v>
      </c>
      <c r="H189" s="5" t="s">
        <v>547</v>
      </c>
    </row>
    <row r="190" spans="4:8">
      <c r="D190" s="9" t="str">
        <f t="shared" si="8"/>
        <v>1º GRUPO K</v>
      </c>
      <c r="E190" s="9" t="s">
        <v>433</v>
      </c>
      <c r="G190" s="9" t="s">
        <v>548</v>
      </c>
      <c r="H190" s="5" t="s">
        <v>552</v>
      </c>
    </row>
    <row r="191" spans="4:8">
      <c r="D191" s="9" t="str">
        <f t="shared" si="8"/>
        <v>2º GRUPO K</v>
      </c>
      <c r="E191" s="9" t="s">
        <v>433</v>
      </c>
      <c r="G191" s="9" t="s">
        <v>549</v>
      </c>
      <c r="H191" s="5" t="s">
        <v>553</v>
      </c>
    </row>
    <row r="192" spans="4:8">
      <c r="D192" s="9" t="str">
        <f t="shared" si="8"/>
        <v>3º GRUPO K</v>
      </c>
      <c r="E192" s="9" t="s">
        <v>433</v>
      </c>
      <c r="G192" s="9" t="s">
        <v>550</v>
      </c>
      <c r="H192" s="5" t="s">
        <v>554</v>
      </c>
    </row>
    <row r="193" spans="4:11">
      <c r="D193" s="9" t="str">
        <f t="shared" si="8"/>
        <v>4º GRUPO K</v>
      </c>
      <c r="E193" s="9" t="s">
        <v>433</v>
      </c>
      <c r="G193" s="9" t="s">
        <v>551</v>
      </c>
      <c r="H193" s="5" t="s">
        <v>555</v>
      </c>
    </row>
    <row r="194" spans="4:11">
      <c r="D194" s="9" t="str">
        <f t="shared" si="8"/>
        <v>1º GRUPO L</v>
      </c>
      <c r="E194" s="9" t="s">
        <v>433</v>
      </c>
      <c r="G194" s="9" t="s">
        <v>556</v>
      </c>
      <c r="H194" s="5" t="s">
        <v>560</v>
      </c>
    </row>
    <row r="195" spans="4:11">
      <c r="D195" s="9" t="str">
        <f t="shared" si="8"/>
        <v>2º GRUPO L</v>
      </c>
      <c r="E195" s="9" t="s">
        <v>433</v>
      </c>
      <c r="G195" s="9" t="s">
        <v>557</v>
      </c>
      <c r="H195" s="5" t="s">
        <v>561</v>
      </c>
    </row>
    <row r="196" spans="4:11">
      <c r="D196" s="9" t="str">
        <f t="shared" si="8"/>
        <v>3º GRUPO L</v>
      </c>
      <c r="E196" s="9" t="s">
        <v>433</v>
      </c>
      <c r="G196" s="9" t="s">
        <v>558</v>
      </c>
      <c r="H196" s="5" t="s">
        <v>562</v>
      </c>
    </row>
    <row r="197" spans="4:11">
      <c r="D197" s="9" t="str">
        <f t="shared" si="8"/>
        <v>4º GRUPO L</v>
      </c>
      <c r="E197" s="9" t="s">
        <v>433</v>
      </c>
      <c r="G197" s="9" t="s">
        <v>559</v>
      </c>
      <c r="H197" s="5" t="s">
        <v>563</v>
      </c>
    </row>
    <row r="198" spans="4:11">
      <c r="D198" s="9" t="str">
        <f t="shared" si="6"/>
        <v>Dieciseisavofinalista</v>
      </c>
      <c r="E198" s="9" t="s">
        <v>433</v>
      </c>
      <c r="F198" s="9" t="s">
        <v>429</v>
      </c>
      <c r="G198" s="9" t="s">
        <v>566</v>
      </c>
      <c r="H198" s="5" t="s">
        <v>567</v>
      </c>
    </row>
    <row r="199" spans="4:11">
      <c r="D199" s="9" t="str">
        <f t="shared" si="6"/>
        <v>Octavofinalista</v>
      </c>
      <c r="E199" s="9" t="s">
        <v>433</v>
      </c>
      <c r="G199" s="9" t="s">
        <v>1296</v>
      </c>
      <c r="H199" s="5" t="s">
        <v>401</v>
      </c>
    </row>
    <row r="200" spans="4:11">
      <c r="D200" s="9" t="str">
        <f t="shared" si="6"/>
        <v>Cuartofinalista</v>
      </c>
      <c r="E200" s="9" t="s">
        <v>433</v>
      </c>
      <c r="F200" s="9" t="s">
        <v>430</v>
      </c>
      <c r="G200" s="9" t="s">
        <v>58</v>
      </c>
      <c r="H200" s="5" t="s">
        <v>402</v>
      </c>
    </row>
    <row r="201" spans="4:11">
      <c r="D201" s="9" t="str">
        <f t="shared" si="6"/>
        <v>Semifinalista</v>
      </c>
      <c r="E201" s="9" t="s">
        <v>433</v>
      </c>
      <c r="F201" s="9" t="s">
        <v>431</v>
      </c>
      <c r="G201" s="9" t="s">
        <v>61</v>
      </c>
      <c r="H201" s="5" t="s">
        <v>403</v>
      </c>
    </row>
    <row r="202" spans="4:11">
      <c r="D202" s="9" t="str">
        <f t="shared" si="6"/>
        <v>3º y 4º puesto</v>
      </c>
      <c r="E202" s="9" t="s">
        <v>433</v>
      </c>
      <c r="G202" s="9" t="s">
        <v>491</v>
      </c>
      <c r="H202" s="5" t="s">
        <v>492</v>
      </c>
    </row>
    <row r="203" spans="4:11">
      <c r="D203" s="9" t="str">
        <f t="shared" si="6"/>
        <v>Finalista</v>
      </c>
      <c r="E203" s="9" t="s">
        <v>433</v>
      </c>
      <c r="F203" s="9" t="s">
        <v>432</v>
      </c>
      <c r="G203" s="9" t="s">
        <v>64</v>
      </c>
      <c r="H203" s="5" t="s">
        <v>404</v>
      </c>
    </row>
    <row r="207" spans="4:11">
      <c r="J207" s="757"/>
      <c r="K207" s="704"/>
    </row>
    <row r="209" spans="2:16">
      <c r="J209" s="757"/>
    </row>
    <row r="211" spans="2:16">
      <c r="C211" s="9" t="s">
        <v>1374</v>
      </c>
      <c r="J211" s="757"/>
      <c r="O211" s="724" t="s">
        <v>1934</v>
      </c>
      <c r="P211" s="724"/>
    </row>
    <row r="212" spans="2:16">
      <c r="B212" s="9">
        <v>1</v>
      </c>
      <c r="C212" s="9">
        <v>17</v>
      </c>
      <c r="D212" s="9" t="str">
        <f t="shared" ref="D212:D259" ca="1" si="9">IF($B$2,G212,H212)</f>
        <v>Alemania</v>
      </c>
      <c r="E212" s="9" t="s">
        <v>213</v>
      </c>
      <c r="F212" s="9" t="s">
        <v>300</v>
      </c>
      <c r="G212" s="9" t="str">
        <f t="shared" ref="G212:G259" ca="1" si="10">J212</f>
        <v>Alemania</v>
      </c>
      <c r="H212" s="9" t="str">
        <f t="shared" ref="H212:H259" ca="1" si="11">K212</f>
        <v>Germany</v>
      </c>
      <c r="I212" s="9" t="s">
        <v>27</v>
      </c>
      <c r="J212" s="724" t="str">
        <f ca="1">IF(Home!$K$23=$D$1419,O212,
IF(AND(Home!$K$23&lt;&gt;$D$1419,TODAY()&lt;=Horarios!$A$4),O212,$D$1420))</f>
        <v>Alemania</v>
      </c>
      <c r="K212" s="724" t="str">
        <f ca="1">IF(Home!$K$23=$D$1419,P212,
IF(AND(Home!$K$23&lt;&gt;$D$1419,TODAY()&lt;=Horarios!$A$4),P212,$D$1420))</f>
        <v>Germany</v>
      </c>
      <c r="O212" s="723" t="s">
        <v>77</v>
      </c>
      <c r="P212" s="723" t="s">
        <v>297</v>
      </c>
    </row>
    <row r="213" spans="2:16">
      <c r="B213" s="9">
        <v>2</v>
      </c>
      <c r="C213" s="9">
        <v>31</v>
      </c>
      <c r="D213" s="9" t="str">
        <f t="shared" ca="1" si="9"/>
        <v>Arabia Saudita</v>
      </c>
      <c r="E213" s="9" t="s">
        <v>213</v>
      </c>
      <c r="F213" s="9" t="s">
        <v>188</v>
      </c>
      <c r="G213" s="9" t="str">
        <f t="shared" ca="1" si="10"/>
        <v>Arabia Saudita</v>
      </c>
      <c r="H213" s="9" t="str">
        <f t="shared" ca="1" si="11"/>
        <v>Saudi Arabia</v>
      </c>
      <c r="I213" s="9" t="s">
        <v>28</v>
      </c>
      <c r="J213" s="724" t="str">
        <f ca="1">IF(Home!$K$23=$D$1419,O213,
IF(AND(Home!$K$23&lt;&gt;$D$1419,TODAY()&lt;=Horarios!$A$4),O213,$D$1420))</f>
        <v>Arabia Saudita</v>
      </c>
      <c r="K213" s="724" t="str">
        <f ca="1">IF(Home!$K$23=$D$1419,P213,
IF(AND(Home!$K$23&lt;&gt;$D$1419,TODAY()&lt;=Horarios!$A$4),P213,$D$1420))</f>
        <v>Saudi Arabia</v>
      </c>
      <c r="O213" s="723" t="s">
        <v>1632</v>
      </c>
      <c r="P213" s="723" t="s">
        <v>1639</v>
      </c>
    </row>
    <row r="214" spans="2:16">
      <c r="B214" s="9">
        <v>3</v>
      </c>
      <c r="C214" s="9">
        <v>38</v>
      </c>
      <c r="D214" s="9" t="str">
        <f t="shared" ca="1" si="9"/>
        <v>Argelia</v>
      </c>
      <c r="E214" s="9" t="s">
        <v>213</v>
      </c>
      <c r="F214" s="9" t="s">
        <v>301</v>
      </c>
      <c r="G214" s="9" t="str">
        <f t="shared" ca="1" si="10"/>
        <v>Argelia</v>
      </c>
      <c r="H214" s="9" t="str">
        <f t="shared" ca="1" si="11"/>
        <v>Algeria</v>
      </c>
      <c r="I214" s="9" t="s">
        <v>112</v>
      </c>
      <c r="J214" s="724" t="str">
        <f ca="1">IF(Home!$K$23=$D$1419,O214,
IF(AND(Home!$K$23&lt;&gt;$D$1419,TODAY()&lt;=Horarios!$A$4),O214,$D$1420))</f>
        <v>Argelia</v>
      </c>
      <c r="K214" s="724" t="str">
        <f ca="1">IF(Home!$K$23=$D$1419,P214,
IF(AND(Home!$K$23&lt;&gt;$D$1419,TODAY()&lt;=Horarios!$A$4),P214,$D$1420))</f>
        <v>Algeria</v>
      </c>
      <c r="O214" s="723" t="s">
        <v>1558</v>
      </c>
      <c r="P214" s="723" t="s">
        <v>1559</v>
      </c>
    </row>
    <row r="215" spans="2:16">
      <c r="B215" s="9">
        <v>4</v>
      </c>
      <c r="C215" s="9">
        <v>37</v>
      </c>
      <c r="D215" s="9" t="str">
        <f t="shared" ca="1" si="9"/>
        <v>Argentina</v>
      </c>
      <c r="E215" s="9" t="s">
        <v>213</v>
      </c>
      <c r="F215" s="9" t="s">
        <v>302</v>
      </c>
      <c r="G215" s="9" t="str">
        <f t="shared" ca="1" si="10"/>
        <v>Argentina</v>
      </c>
      <c r="H215" s="9" t="str">
        <f t="shared" ca="1" si="11"/>
        <v>Argentina</v>
      </c>
      <c r="I215" s="9" t="s">
        <v>118</v>
      </c>
      <c r="J215" s="724" t="str">
        <f ca="1">IF(Home!$K$23=$D$1419,O215,
IF(AND(Home!$K$23&lt;&gt;$D$1419,TODAY()&lt;=Horarios!$A$4),O215,$D$1420))</f>
        <v>Argentina</v>
      </c>
      <c r="K215" s="724" t="str">
        <f ca="1">IF(Home!$K$23=$D$1419,P215,
IF(AND(Home!$K$23&lt;&gt;$D$1419,TODAY()&lt;=Horarios!$A$4),P215,$D$1420))</f>
        <v>Argentina</v>
      </c>
      <c r="O215" s="723" t="s">
        <v>1256</v>
      </c>
      <c r="P215" s="723" t="s">
        <v>1256</v>
      </c>
    </row>
    <row r="216" spans="2:16">
      <c r="B216" s="9">
        <v>5</v>
      </c>
      <c r="C216" s="9">
        <v>15</v>
      </c>
      <c r="D216" s="9" t="str">
        <f t="shared" ca="1" si="9"/>
        <v>Australia</v>
      </c>
      <c r="E216" s="9" t="s">
        <v>213</v>
      </c>
      <c r="F216" s="9" t="s">
        <v>303</v>
      </c>
      <c r="G216" s="9" t="str">
        <f t="shared" ca="1" si="10"/>
        <v>Australia</v>
      </c>
      <c r="H216" s="9" t="str">
        <f t="shared" ca="1" si="11"/>
        <v>Australia</v>
      </c>
      <c r="I216" s="9" t="s">
        <v>124</v>
      </c>
      <c r="J216" s="724" t="str">
        <f ca="1">IF(Home!$K$23=$D$1419,O216,
IF(AND(Home!$K$23&lt;&gt;$D$1419,TODAY()&lt;=Horarios!$A$4),O216,$D$1420))</f>
        <v>Australia</v>
      </c>
      <c r="K216" s="724" t="str">
        <f ca="1">IF(Home!$K$23=$D$1419,P216,
IF(AND(Home!$K$23&lt;&gt;$D$1419,TODAY()&lt;=Horarios!$A$4),P216,$D$1420))</f>
        <v>Australia</v>
      </c>
      <c r="O216" s="723" t="s">
        <v>1257</v>
      </c>
      <c r="P216" s="723" t="s">
        <v>1257</v>
      </c>
    </row>
    <row r="217" spans="2:16">
      <c r="B217" s="9">
        <v>6</v>
      </c>
      <c r="C217" s="9">
        <v>39</v>
      </c>
      <c r="D217" s="9" t="str">
        <f t="shared" ca="1" si="9"/>
        <v>Austria</v>
      </c>
      <c r="E217" s="9" t="s">
        <v>213</v>
      </c>
      <c r="F217" s="9" t="s">
        <v>304</v>
      </c>
      <c r="G217" s="9" t="str">
        <f t="shared" ca="1" si="10"/>
        <v>Austria</v>
      </c>
      <c r="H217" s="9" t="str">
        <f t="shared" ca="1" si="11"/>
        <v>Austria</v>
      </c>
      <c r="I217" s="9" t="s">
        <v>1224</v>
      </c>
      <c r="J217" s="724" t="str">
        <f ca="1">IF(Home!$K$23=$D$1419,O217,
IF(AND(Home!$K$23&lt;&gt;$D$1419,TODAY()&lt;=Horarios!$A$4),O217,$D$1420))</f>
        <v>Austria</v>
      </c>
      <c r="K217" s="724" t="str">
        <f ca="1">IF(Home!$K$23=$D$1419,P217,
IF(AND(Home!$K$23&lt;&gt;$D$1419,TODAY()&lt;=Horarios!$A$4),P217,$D$1420))</f>
        <v>Austria</v>
      </c>
      <c r="O217" s="723" t="s">
        <v>80</v>
      </c>
      <c r="P217" s="723" t="s">
        <v>80</v>
      </c>
    </row>
    <row r="218" spans="2:16">
      <c r="B218" s="9">
        <v>7</v>
      </c>
      <c r="C218" s="9">
        <v>25</v>
      </c>
      <c r="D218" s="9" t="str">
        <f t="shared" ca="1" si="9"/>
        <v>Bélgica</v>
      </c>
      <c r="E218" s="9" t="s">
        <v>213</v>
      </c>
      <c r="F218" s="9" t="s">
        <v>305</v>
      </c>
      <c r="G218" s="9" t="str">
        <f t="shared" ca="1" si="10"/>
        <v>Bélgica</v>
      </c>
      <c r="H218" s="9" t="str">
        <f t="shared" ca="1" si="11"/>
        <v>Belgium</v>
      </c>
      <c r="I218" s="9" t="s">
        <v>113</v>
      </c>
      <c r="J218" s="724" t="str">
        <f ca="1">IF(Home!$K$23=$D$1419,O218,
IF(AND(Home!$K$23&lt;&gt;$D$1419,TODAY()&lt;=Horarios!$A$4),O218,$D$1420))</f>
        <v>Bélgica</v>
      </c>
      <c r="K218" s="724" t="str">
        <f ca="1">IF(Home!$K$23=$D$1419,P218,
IF(AND(Home!$K$23&lt;&gt;$D$1419,TODAY()&lt;=Horarios!$A$4),P218,$D$1420))</f>
        <v>Belgium</v>
      </c>
      <c r="O218" s="723" t="s">
        <v>110</v>
      </c>
      <c r="P218" s="723" t="s">
        <v>293</v>
      </c>
    </row>
    <row r="219" spans="2:16">
      <c r="B219" s="9">
        <v>8</v>
      </c>
      <c r="C219" s="9">
        <v>9</v>
      </c>
      <c r="D219" s="9" t="str">
        <f t="shared" ca="1" si="9"/>
        <v>Brasil</v>
      </c>
      <c r="E219" s="9" t="s">
        <v>213</v>
      </c>
      <c r="F219" s="9" t="s">
        <v>306</v>
      </c>
      <c r="G219" s="9" t="str">
        <f t="shared" ca="1" si="10"/>
        <v>Brasil</v>
      </c>
      <c r="H219" s="9" t="str">
        <f t="shared" ca="1" si="11"/>
        <v>Brazil</v>
      </c>
      <c r="I219" s="9" t="s">
        <v>1230</v>
      </c>
      <c r="J219" s="724" t="str">
        <f ca="1">IF(Home!$K$23=$D$1419,O219,
IF(AND(Home!$K$23&lt;&gt;$D$1419,TODAY()&lt;=Horarios!$A$4),O219,$D$1420))</f>
        <v>Brasil</v>
      </c>
      <c r="K219" s="724" t="str">
        <f ca="1">IF(Home!$K$23=$D$1419,P219,
IF(AND(Home!$K$23&lt;&gt;$D$1419,TODAY()&lt;=Horarios!$A$4),P219,$D$1420))</f>
        <v>Brazil</v>
      </c>
      <c r="O219" s="723" t="s">
        <v>1258</v>
      </c>
      <c r="P219" s="723" t="s">
        <v>1274</v>
      </c>
    </row>
    <row r="220" spans="2:16">
      <c r="B220" s="9">
        <v>9</v>
      </c>
      <c r="C220" s="9">
        <v>30</v>
      </c>
      <c r="D220" s="9" t="str">
        <f t="shared" ca="1" si="9"/>
        <v>Cabo Verde</v>
      </c>
      <c r="E220" s="9" t="s">
        <v>213</v>
      </c>
      <c r="F220" s="9" t="s">
        <v>307</v>
      </c>
      <c r="G220" s="9" t="str">
        <f t="shared" ca="1" si="10"/>
        <v>Cabo Verde</v>
      </c>
      <c r="H220" s="9" t="str">
        <f t="shared" ca="1" si="11"/>
        <v>Cape Verde</v>
      </c>
      <c r="I220" s="9" t="s">
        <v>515</v>
      </c>
      <c r="J220" s="724" t="str">
        <f ca="1">IF(Home!$K$23=$D$1419,O220,
IF(AND(Home!$K$23&lt;&gt;$D$1419,TODAY()&lt;=Horarios!$A$4),O220,$D$1420))</f>
        <v>Cabo Verde</v>
      </c>
      <c r="K220" s="724" t="str">
        <f ca="1">IF(Home!$K$23=$D$1419,P220,
IF(AND(Home!$K$23&lt;&gt;$D$1419,TODAY()&lt;=Horarios!$A$4),P220,$D$1420))</f>
        <v>Cape Verde</v>
      </c>
      <c r="O220" s="723" t="s">
        <v>1552</v>
      </c>
      <c r="P220" s="723" t="s">
        <v>1556</v>
      </c>
    </row>
    <row r="221" spans="2:16">
      <c r="B221" s="9">
        <v>10</v>
      </c>
      <c r="C221" s="9">
        <v>5</v>
      </c>
      <c r="D221" s="9" t="str">
        <f t="shared" ca="1" si="9"/>
        <v>Canadá</v>
      </c>
      <c r="E221" s="9" t="s">
        <v>213</v>
      </c>
      <c r="F221" s="9" t="s">
        <v>308</v>
      </c>
      <c r="G221" s="9" t="str">
        <f t="shared" ca="1" si="10"/>
        <v>Canadá</v>
      </c>
      <c r="H221" s="9" t="str">
        <f t="shared" ca="1" si="11"/>
        <v>Canada</v>
      </c>
      <c r="I221" s="9" t="s">
        <v>300</v>
      </c>
      <c r="J221" s="724" t="str">
        <f ca="1">IF(Home!$K$23=$D$1419,O221,
IF(AND(Home!$K$23&lt;&gt;$D$1419,TODAY()&lt;=Horarios!$A$4),O221,$D$1420))</f>
        <v>Canadá</v>
      </c>
      <c r="K221" s="724" t="str">
        <f ca="1">IF(Home!$K$23=$D$1419,P221,
IF(AND(Home!$K$23&lt;&gt;$D$1419,TODAY()&lt;=Horarios!$A$4),P221,$D$1420))</f>
        <v>Canada</v>
      </c>
      <c r="O221" s="723" t="s">
        <v>1259</v>
      </c>
      <c r="P221" s="723" t="s">
        <v>1276</v>
      </c>
    </row>
    <row r="222" spans="2:16">
      <c r="B222" s="9">
        <v>11</v>
      </c>
      <c r="C222" s="9">
        <v>7</v>
      </c>
      <c r="D222" s="9" t="str">
        <f t="shared" ca="1" si="9"/>
        <v>Catar</v>
      </c>
      <c r="E222" s="9" t="s">
        <v>213</v>
      </c>
      <c r="F222" s="9" t="s">
        <v>309</v>
      </c>
      <c r="G222" s="9" t="str">
        <f t="shared" ca="1" si="10"/>
        <v>Catar</v>
      </c>
      <c r="H222" s="9" t="str">
        <f t="shared" ca="1" si="11"/>
        <v>Qatar</v>
      </c>
      <c r="I222" s="9" t="s">
        <v>188</v>
      </c>
      <c r="J222" s="724" t="str">
        <f ca="1">IF(Home!$K$23=$D$1419,O222,
IF(AND(Home!$K$23&lt;&gt;$D$1419,TODAY()&lt;=Horarios!$A$4),O222,$D$1420))</f>
        <v>Catar</v>
      </c>
      <c r="K222" s="724" t="str">
        <f ca="1">IF(Home!$K$23=$D$1419,P222,
IF(AND(Home!$K$23&lt;&gt;$D$1419,TODAY()&lt;=Horarios!$A$4),P222,$D$1420))</f>
        <v>Qatar</v>
      </c>
      <c r="O222" s="723" t="s">
        <v>1631</v>
      </c>
      <c r="P222" s="723" t="s">
        <v>1637</v>
      </c>
    </row>
    <row r="223" spans="2:16">
      <c r="B223" s="9">
        <v>12</v>
      </c>
      <c r="C223" s="9">
        <v>44</v>
      </c>
      <c r="D223" s="9" t="str">
        <f t="shared" ca="1" si="9"/>
        <v>Colombia</v>
      </c>
      <c r="E223" s="9" t="s">
        <v>213</v>
      </c>
      <c r="F223" s="9" t="s">
        <v>310</v>
      </c>
      <c r="G223" s="9" t="str">
        <f t="shared" ca="1" si="10"/>
        <v>Colombia</v>
      </c>
      <c r="H223" s="9" t="str">
        <f t="shared" ca="1" si="11"/>
        <v>Colombia</v>
      </c>
      <c r="I223" s="9" t="s">
        <v>301</v>
      </c>
      <c r="J223" s="724" t="str">
        <f ca="1">IF(Home!$K$23=$D$1419,O223,
IF(AND(Home!$K$23&lt;&gt;$D$1419,TODAY()&lt;=Horarios!$A$4),O223,$D$1420))</f>
        <v>Colombia</v>
      </c>
      <c r="K223" s="724" t="str">
        <f ca="1">IF(Home!$K$23=$D$1419,P223,
IF(AND(Home!$K$23&lt;&gt;$D$1419,TODAY()&lt;=Horarios!$A$4),P223,$D$1420))</f>
        <v>Colombia</v>
      </c>
      <c r="O223" s="723" t="s">
        <v>1320</v>
      </c>
      <c r="P223" s="723" t="s">
        <v>1320</v>
      </c>
    </row>
    <row r="224" spans="2:16">
      <c r="B224" s="9">
        <v>13</v>
      </c>
      <c r="C224" s="9">
        <v>3</v>
      </c>
      <c r="D224" s="9" t="str">
        <f t="shared" ca="1" si="9"/>
        <v>Corea del Sur</v>
      </c>
      <c r="E224" s="9" t="s">
        <v>213</v>
      </c>
      <c r="F224" s="9" t="s">
        <v>311</v>
      </c>
      <c r="G224" s="9" t="str">
        <f t="shared" ca="1" si="10"/>
        <v>Corea del Sur</v>
      </c>
      <c r="H224" s="9" t="str">
        <f t="shared" ca="1" si="11"/>
        <v>South Korea</v>
      </c>
      <c r="I224" s="9" t="s">
        <v>1196</v>
      </c>
      <c r="J224" s="724" t="str">
        <f ca="1">IF(Home!$K$23=$D$1419,O224,
IF(AND(Home!$K$23&lt;&gt;$D$1419,TODAY()&lt;=Horarios!$A$4),O224,$D$1420))</f>
        <v>Corea del Sur</v>
      </c>
      <c r="K224" s="724" t="str">
        <f ca="1">IF(Home!$K$23=$D$1419,P224,
IF(AND(Home!$K$23&lt;&gt;$D$1419,TODAY()&lt;=Horarios!$A$4),P224,$D$1420))</f>
        <v>South Korea</v>
      </c>
      <c r="O224" s="723" t="s">
        <v>1260</v>
      </c>
      <c r="P224" s="723" t="s">
        <v>1278</v>
      </c>
    </row>
    <row r="225" spans="2:16">
      <c r="B225" s="9">
        <v>14</v>
      </c>
      <c r="C225" s="9">
        <v>19</v>
      </c>
      <c r="D225" s="9" t="str">
        <f t="shared" ca="1" si="9"/>
        <v>Costa de Marfil</v>
      </c>
      <c r="E225" s="9" t="s">
        <v>213</v>
      </c>
      <c r="F225" s="9" t="s">
        <v>312</v>
      </c>
      <c r="G225" s="9" t="str">
        <f t="shared" ca="1" si="10"/>
        <v>Costa de Marfil</v>
      </c>
      <c r="H225" s="9" t="str">
        <f t="shared" ca="1" si="11"/>
        <v>Ivory Coast</v>
      </c>
      <c r="I225" s="9" t="s">
        <v>1197</v>
      </c>
      <c r="J225" s="724" t="str">
        <f ca="1">IF(Home!$K$23=$D$1419,O225,
IF(AND(Home!$K$23&lt;&gt;$D$1419,TODAY()&lt;=Horarios!$A$4),O225,$D$1420))</f>
        <v>Costa de Marfil</v>
      </c>
      <c r="K225" s="724" t="str">
        <f ca="1">IF(Home!$K$23=$D$1419,P225,
IF(AND(Home!$K$23&lt;&gt;$D$1419,TODAY()&lt;=Horarios!$A$4),P225,$D$1420))</f>
        <v>Ivory Coast</v>
      </c>
      <c r="O225" s="724" t="s">
        <v>1633</v>
      </c>
      <c r="P225" s="723" t="s">
        <v>1641</v>
      </c>
    </row>
    <row r="226" spans="2:16">
      <c r="B226" s="9">
        <v>15</v>
      </c>
      <c r="C226" s="9">
        <v>46</v>
      </c>
      <c r="D226" s="9" t="str">
        <f t="shared" ca="1" si="9"/>
        <v>Croacia</v>
      </c>
      <c r="E226" s="9" t="s">
        <v>213</v>
      </c>
      <c r="F226" s="9" t="s">
        <v>313</v>
      </c>
      <c r="G226" s="9" t="str">
        <f t="shared" ca="1" si="10"/>
        <v>Croacia</v>
      </c>
      <c r="H226" s="9" t="str">
        <f t="shared" ca="1" si="11"/>
        <v>Croatia</v>
      </c>
      <c r="I226" s="9" t="s">
        <v>1198</v>
      </c>
      <c r="J226" s="724" t="str">
        <f ca="1">IF(Home!$K$23=$D$1419,O226,
IF(AND(Home!$K$23&lt;&gt;$D$1419,TODAY()&lt;=Horarios!$A$4),O226,$D$1420))</f>
        <v>Croacia</v>
      </c>
      <c r="K226" s="724" t="str">
        <f ca="1">IF(Home!$K$23=$D$1419,P226,
IF(AND(Home!$K$23&lt;&gt;$D$1419,TODAY()&lt;=Horarios!$A$4),P226,$D$1420))</f>
        <v>Croatia</v>
      </c>
      <c r="O226" s="723" t="s">
        <v>78</v>
      </c>
      <c r="P226" s="723" t="s">
        <v>296</v>
      </c>
    </row>
    <row r="227" spans="2:16">
      <c r="B227" s="9">
        <v>16</v>
      </c>
      <c r="C227" s="9">
        <v>18</v>
      </c>
      <c r="D227" s="9" t="str">
        <f t="shared" ca="1" si="9"/>
        <v>Curazao</v>
      </c>
      <c r="E227" s="9" t="s">
        <v>213</v>
      </c>
      <c r="F227" s="9" t="s">
        <v>314</v>
      </c>
      <c r="G227" s="9" t="str">
        <f t="shared" ca="1" si="10"/>
        <v>Curazao</v>
      </c>
      <c r="H227" s="9" t="str">
        <f t="shared" ca="1" si="11"/>
        <v>Curaçao</v>
      </c>
      <c r="I227" s="9" t="s">
        <v>1231</v>
      </c>
      <c r="J227" s="724" t="str">
        <f ca="1">IF(Home!$K$23=$D$1419,O227,
IF(AND(Home!$K$23&lt;&gt;$D$1419,TODAY()&lt;=Horarios!$A$4),O227,$D$1420))</f>
        <v>Curazao</v>
      </c>
      <c r="K227" s="724" t="str">
        <f ca="1">IF(Home!$K$23=$D$1419,P227,
IF(AND(Home!$K$23&lt;&gt;$D$1419,TODAY()&lt;=Horarios!$A$4),P227,$D$1420))</f>
        <v>Curaçao</v>
      </c>
      <c r="O227" s="723" t="s">
        <v>1726</v>
      </c>
      <c r="P227" s="723" t="s">
        <v>1727</v>
      </c>
    </row>
    <row r="228" spans="2:16">
      <c r="B228" s="9">
        <v>17</v>
      </c>
      <c r="C228" s="9">
        <v>20</v>
      </c>
      <c r="D228" s="9" t="str">
        <f t="shared" ca="1" si="9"/>
        <v>Ecuador</v>
      </c>
      <c r="E228" s="9" t="s">
        <v>213</v>
      </c>
      <c r="F228" s="9" t="s">
        <v>315</v>
      </c>
      <c r="G228" s="9" t="str">
        <f t="shared" ca="1" si="10"/>
        <v>Ecuador</v>
      </c>
      <c r="H228" s="9" t="str">
        <f t="shared" ca="1" si="11"/>
        <v>Ecuador</v>
      </c>
      <c r="I228" s="9" t="s">
        <v>119</v>
      </c>
      <c r="J228" s="724" t="str">
        <f ca="1">IF(Home!$K$23=$D$1419,O228,
IF(AND(Home!$K$23&lt;&gt;$D$1419,TODAY()&lt;=Horarios!$A$4),O228,$D$1420))</f>
        <v>Ecuador</v>
      </c>
      <c r="K228" s="724" t="str">
        <f ca="1">IF(Home!$K$23=$D$1419,P228,
IF(AND(Home!$K$23&lt;&gt;$D$1419,TODAY()&lt;=Horarios!$A$4),P228,$D$1420))</f>
        <v>Ecuador</v>
      </c>
      <c r="O228" s="723" t="s">
        <v>1261</v>
      </c>
      <c r="P228" s="723" t="s">
        <v>1261</v>
      </c>
    </row>
    <row r="229" spans="2:16">
      <c r="B229" s="9">
        <v>18</v>
      </c>
      <c r="C229" s="9">
        <v>26</v>
      </c>
      <c r="D229" s="9" t="str">
        <f t="shared" ca="1" si="9"/>
        <v>Egipto</v>
      </c>
      <c r="E229" s="9" t="s">
        <v>213</v>
      </c>
      <c r="F229" s="9" t="s">
        <v>316</v>
      </c>
      <c r="G229" s="9" t="str">
        <f t="shared" ca="1" si="10"/>
        <v>Egipto</v>
      </c>
      <c r="H229" s="9" t="str">
        <f t="shared" ca="1" si="11"/>
        <v>Egypt</v>
      </c>
      <c r="I229" s="9" t="s">
        <v>125</v>
      </c>
      <c r="J229" s="724" t="str">
        <f ca="1">IF(Home!$K$23=$D$1419,O229,
IF(AND(Home!$K$23&lt;&gt;$D$1419,TODAY()&lt;=Horarios!$A$4),O229,$D$1420))</f>
        <v>Egipto</v>
      </c>
      <c r="K229" s="724" t="str">
        <f ca="1">IF(Home!$K$23=$D$1419,P229,
IF(AND(Home!$K$23&lt;&gt;$D$1419,TODAY()&lt;=Horarios!$A$4),P229,$D$1420))</f>
        <v>Egypt</v>
      </c>
      <c r="O229" s="723" t="s">
        <v>1550</v>
      </c>
      <c r="P229" s="723" t="s">
        <v>1553</v>
      </c>
    </row>
    <row r="230" spans="2:16">
      <c r="B230" s="9">
        <v>19</v>
      </c>
      <c r="C230" s="9">
        <v>12</v>
      </c>
      <c r="D230" s="9" t="str">
        <f t="shared" ca="1" si="9"/>
        <v>Escocia</v>
      </c>
      <c r="E230" s="9" t="s">
        <v>213</v>
      </c>
      <c r="F230" s="9" t="s">
        <v>317</v>
      </c>
      <c r="G230" s="9" t="str">
        <f t="shared" ca="1" si="10"/>
        <v>Escocia</v>
      </c>
      <c r="H230" s="9" t="str">
        <f t="shared" ca="1" si="11"/>
        <v>Scotland</v>
      </c>
      <c r="I230" s="9" t="s">
        <v>1225</v>
      </c>
      <c r="J230" s="724" t="str">
        <f ca="1">IF(Home!$K$23=$D$1419,O230,
IF(AND(Home!$K$23&lt;&gt;$D$1419,TODAY()&lt;=Horarios!$A$4),O230,$D$1420))</f>
        <v>Escocia</v>
      </c>
      <c r="K230" s="724" t="str">
        <f ca="1">IF(Home!$K$23=$D$1419,P230,
IF(AND(Home!$K$23&lt;&gt;$D$1419,TODAY()&lt;=Horarios!$A$4),P230,$D$1420))</f>
        <v>Scotland</v>
      </c>
      <c r="O230" s="723" t="s">
        <v>134</v>
      </c>
      <c r="P230" s="723" t="s">
        <v>298</v>
      </c>
    </row>
    <row r="231" spans="2:16">
      <c r="B231" s="9">
        <v>20</v>
      </c>
      <c r="C231" s="9">
        <v>29</v>
      </c>
      <c r="D231" s="9" t="str">
        <f t="shared" ca="1" si="9"/>
        <v>España</v>
      </c>
      <c r="E231" s="9" t="s">
        <v>213</v>
      </c>
      <c r="F231" s="9" t="s">
        <v>318</v>
      </c>
      <c r="G231" s="9" t="str">
        <f t="shared" ca="1" si="10"/>
        <v>España</v>
      </c>
      <c r="H231" s="9" t="str">
        <f t="shared" ca="1" si="11"/>
        <v>Spain</v>
      </c>
      <c r="I231" s="9" t="s">
        <v>114</v>
      </c>
      <c r="J231" s="724" t="str">
        <f ca="1">IF(Home!$K$23=$D$1419,O231,
IF(AND(Home!$K$23&lt;&gt;$D$1419,TODAY()&lt;=Horarios!$A$4),O231,$D$1420))</f>
        <v>España</v>
      </c>
      <c r="K231" s="724" t="str">
        <f ca="1">IF(Home!$K$23=$D$1419,P231,
IF(AND(Home!$K$23&lt;&gt;$D$1419,TODAY()&lt;=Horarios!$A$4),P231,$D$1420))</f>
        <v>Spain</v>
      </c>
      <c r="O231" s="723" t="s">
        <v>38</v>
      </c>
      <c r="P231" s="723" t="s">
        <v>295</v>
      </c>
    </row>
    <row r="232" spans="2:16">
      <c r="B232" s="9">
        <v>21</v>
      </c>
      <c r="C232" s="9">
        <v>13</v>
      </c>
      <c r="D232" s="9" t="str">
        <f t="shared" ca="1" si="9"/>
        <v>Estados Unidos</v>
      </c>
      <c r="E232" s="9" t="s">
        <v>213</v>
      </c>
      <c r="F232" s="9" t="s">
        <v>319</v>
      </c>
      <c r="G232" s="9" t="str">
        <f t="shared" ca="1" si="10"/>
        <v>Estados Unidos</v>
      </c>
      <c r="H232" s="9" t="str">
        <f t="shared" ca="1" si="11"/>
        <v>United States</v>
      </c>
      <c r="I232" s="9" t="s">
        <v>120</v>
      </c>
      <c r="J232" s="724" t="str">
        <f ca="1">IF(Home!$K$23=$D$1419,O232,
IF(AND(Home!$K$23&lt;&gt;$D$1419,TODAY()&lt;=Horarios!$A$4),O232,$D$1420))</f>
        <v>Estados Unidos</v>
      </c>
      <c r="K232" s="724" t="str">
        <f ca="1">IF(Home!$K$23=$D$1419,P232,
IF(AND(Home!$K$23&lt;&gt;$D$1419,TODAY()&lt;=Horarios!$A$4),P232,$D$1420))</f>
        <v>United States</v>
      </c>
      <c r="O232" s="723" t="s">
        <v>497</v>
      </c>
      <c r="P232" s="723" t="s">
        <v>498</v>
      </c>
    </row>
    <row r="233" spans="2:16">
      <c r="B233" s="9">
        <v>22</v>
      </c>
      <c r="C233" s="9">
        <v>33</v>
      </c>
      <c r="D233" s="9" t="str">
        <f t="shared" ca="1" si="9"/>
        <v>Francia</v>
      </c>
      <c r="E233" s="9" t="s">
        <v>213</v>
      </c>
      <c r="F233" s="9" t="s">
        <v>320</v>
      </c>
      <c r="G233" s="9" t="str">
        <f t="shared" ca="1" si="10"/>
        <v>Francia</v>
      </c>
      <c r="H233" s="9" t="str">
        <f t="shared" ca="1" si="11"/>
        <v>France</v>
      </c>
      <c r="I233" s="9" t="s">
        <v>126</v>
      </c>
      <c r="J233" s="724" t="str">
        <f ca="1">IF(Home!$K$23=$D$1419,O233,
IF(AND(Home!$K$23&lt;&gt;$D$1419,TODAY()&lt;=Horarios!$A$4),O233,$D$1420))</f>
        <v>Francia</v>
      </c>
      <c r="K233" s="724" t="str">
        <f ca="1">IF(Home!$K$23=$D$1419,P233,
IF(AND(Home!$K$23&lt;&gt;$D$1419,TODAY()&lt;=Horarios!$A$4),P233,$D$1420))</f>
        <v>France</v>
      </c>
      <c r="O233" s="723" t="s">
        <v>74</v>
      </c>
      <c r="P233" s="723" t="s">
        <v>294</v>
      </c>
    </row>
    <row r="234" spans="2:16">
      <c r="B234" s="9">
        <v>23</v>
      </c>
      <c r="C234" s="9">
        <v>47</v>
      </c>
      <c r="D234" s="9" t="str">
        <f t="shared" ca="1" si="9"/>
        <v>Ghana</v>
      </c>
      <c r="E234" s="9" t="s">
        <v>213</v>
      </c>
      <c r="F234" s="9" t="s">
        <v>321</v>
      </c>
      <c r="G234" s="9" t="str">
        <f t="shared" ca="1" si="10"/>
        <v>Ghana</v>
      </c>
      <c r="H234" s="9" t="str">
        <f t="shared" ca="1" si="11"/>
        <v>Ghana</v>
      </c>
      <c r="I234" s="9" t="s">
        <v>239</v>
      </c>
      <c r="J234" s="724" t="str">
        <f ca="1">IF(Home!$K$23=$D$1419,O234,
IF(AND(Home!$K$23&lt;&gt;$D$1419,TODAY()&lt;=Horarios!$A$4),O234,$D$1420))</f>
        <v>Ghana</v>
      </c>
      <c r="K234" s="724" t="str">
        <f ca="1">IF(Home!$K$23=$D$1419,P234,
IF(AND(Home!$K$23&lt;&gt;$D$1419,TODAY()&lt;=Horarios!$A$4),P234,$D$1420))</f>
        <v>Ghana</v>
      </c>
      <c r="O234" s="723" t="s">
        <v>1551</v>
      </c>
      <c r="P234" s="723" t="s">
        <v>1551</v>
      </c>
    </row>
    <row r="235" spans="2:16">
      <c r="B235" s="9">
        <v>24</v>
      </c>
      <c r="C235" s="9">
        <v>11</v>
      </c>
      <c r="D235" s="9" t="str">
        <f t="shared" ca="1" si="9"/>
        <v>Haití</v>
      </c>
      <c r="E235" s="9" t="s">
        <v>213</v>
      </c>
      <c r="F235" s="9" t="s">
        <v>322</v>
      </c>
      <c r="G235" s="9" t="str">
        <f t="shared" ca="1" si="10"/>
        <v>Haití</v>
      </c>
      <c r="H235" s="9" t="str">
        <f t="shared" ca="1" si="11"/>
        <v>Haiti</v>
      </c>
      <c r="I235" s="9" t="s">
        <v>115</v>
      </c>
      <c r="J235" s="724" t="str">
        <f ca="1">IF(Home!$K$23=$D$1419,O235,
IF(AND(Home!$K$23&lt;&gt;$D$1419,TODAY()&lt;=Horarios!$A$4),O235,$D$1420))</f>
        <v>Haití</v>
      </c>
      <c r="K235" s="724" t="str">
        <f ca="1">IF(Home!$K$23=$D$1419,P235,
IF(AND(Home!$K$23&lt;&gt;$D$1419,TODAY()&lt;=Horarios!$A$4),P235,$D$1420))</f>
        <v>Haiti</v>
      </c>
      <c r="O235" s="723" t="s">
        <v>1728</v>
      </c>
      <c r="P235" s="723" t="s">
        <v>1729</v>
      </c>
    </row>
    <row r="236" spans="2:16">
      <c r="B236" s="9">
        <v>25</v>
      </c>
      <c r="C236" s="9">
        <v>45</v>
      </c>
      <c r="D236" s="9" t="str">
        <f t="shared" ca="1" si="9"/>
        <v>Inglaterra</v>
      </c>
      <c r="E236" s="9" t="s">
        <v>213</v>
      </c>
      <c r="F236" s="9" t="s">
        <v>323</v>
      </c>
      <c r="G236" s="9" t="str">
        <f t="shared" ca="1" si="10"/>
        <v>Inglaterra</v>
      </c>
      <c r="H236" s="9" t="str">
        <f t="shared" ca="1" si="11"/>
        <v>England</v>
      </c>
      <c r="I236" s="9" t="s">
        <v>121</v>
      </c>
      <c r="J236" s="724" t="str">
        <f ca="1">IF(Home!$K$23=$D$1419,O236,
IF(AND(Home!$K$23&lt;&gt;$D$1419,TODAY()&lt;=Horarios!$A$4),O236,$D$1420))</f>
        <v>Inglaterra</v>
      </c>
      <c r="K236" s="724" t="str">
        <f ca="1">IF(Home!$K$23=$D$1419,P236,
IF(AND(Home!$K$23&lt;&gt;$D$1419,TODAY()&lt;=Horarios!$A$4),P236,$D$1420))</f>
        <v>England</v>
      </c>
      <c r="O236" s="723" t="s">
        <v>76</v>
      </c>
      <c r="P236" s="723" t="s">
        <v>292</v>
      </c>
    </row>
    <row r="237" spans="2:16">
      <c r="B237" s="9">
        <v>26</v>
      </c>
      <c r="C237" s="9">
        <v>27</v>
      </c>
      <c r="D237" s="9" t="str">
        <f t="shared" ca="1" si="9"/>
        <v>Irán</v>
      </c>
      <c r="E237" s="9" t="s">
        <v>213</v>
      </c>
      <c r="F237" s="9" t="s">
        <v>324</v>
      </c>
      <c r="G237" s="9" t="str">
        <f t="shared" ca="1" si="10"/>
        <v>Irán</v>
      </c>
      <c r="H237" s="9" t="str">
        <f t="shared" ca="1" si="11"/>
        <v>Iran</v>
      </c>
      <c r="I237" s="9" t="s">
        <v>127</v>
      </c>
      <c r="J237" s="724" t="str">
        <f ca="1">IF(Home!$K$23=$D$1419,O237,
IF(AND(Home!$K$23&lt;&gt;$D$1419,TODAY()&lt;=Horarios!$A$4),O237,$D$1420))</f>
        <v>Irán</v>
      </c>
      <c r="K237" s="724" t="str">
        <f ca="1">IF(Home!$K$23=$D$1419,P237,
IF(AND(Home!$K$23&lt;&gt;$D$1419,TODAY()&lt;=Horarios!$A$4),P237,$D$1420))</f>
        <v>Iran</v>
      </c>
      <c r="O237" s="723" t="str">
        <f>Credits!N87</f>
        <v>Irán</v>
      </c>
      <c r="P237" s="723" t="str">
        <f>Credits!O87</f>
        <v>Iran</v>
      </c>
    </row>
    <row r="238" spans="2:16">
      <c r="B238" s="9">
        <v>27</v>
      </c>
      <c r="C238" s="9">
        <v>22</v>
      </c>
      <c r="D238" s="9" t="str">
        <f t="shared" ca="1" si="9"/>
        <v>Japón</v>
      </c>
      <c r="E238" s="9" t="s">
        <v>213</v>
      </c>
      <c r="F238" s="9" t="s">
        <v>325</v>
      </c>
      <c r="G238" s="9" t="str">
        <f t="shared" ca="1" si="10"/>
        <v>Japón</v>
      </c>
      <c r="H238" s="9" t="str">
        <f t="shared" ca="1" si="11"/>
        <v>Japan</v>
      </c>
      <c r="I238" s="9" t="s">
        <v>1226</v>
      </c>
      <c r="J238" s="724" t="str">
        <f ca="1">IF(Home!$K$23=$D$1419,O238,
IF(AND(Home!$K$23&lt;&gt;$D$1419,TODAY()&lt;=Horarios!$A$4),O238,$D$1420))</f>
        <v>Japón</v>
      </c>
      <c r="K238" s="724" t="str">
        <f ca="1">IF(Home!$K$23=$D$1419,P238,
IF(AND(Home!$K$23&lt;&gt;$D$1419,TODAY()&lt;=Horarios!$A$4),P238,$D$1420))</f>
        <v>Japan</v>
      </c>
      <c r="O238" s="723" t="s">
        <v>1263</v>
      </c>
      <c r="P238" s="723" t="s">
        <v>1284</v>
      </c>
    </row>
    <row r="239" spans="2:16">
      <c r="B239" s="9">
        <v>28</v>
      </c>
      <c r="C239" s="9">
        <v>40</v>
      </c>
      <c r="D239" s="9" t="str">
        <f t="shared" ca="1" si="9"/>
        <v>Jordania</v>
      </c>
      <c r="E239" s="9" t="s">
        <v>213</v>
      </c>
      <c r="F239" s="9" t="s">
        <v>326</v>
      </c>
      <c r="G239" s="9" t="str">
        <f t="shared" ca="1" si="10"/>
        <v>Jordania</v>
      </c>
      <c r="H239" s="9" t="str">
        <f t="shared" ca="1" si="11"/>
        <v>Jordan</v>
      </c>
      <c r="I239" s="9" t="s">
        <v>116</v>
      </c>
      <c r="J239" s="724" t="str">
        <f ca="1">IF(Home!$K$23=$D$1419,O239,
IF(AND(Home!$K$23&lt;&gt;$D$1419,TODAY()&lt;=Horarios!$A$4),O239,$D$1420))</f>
        <v>Jordania</v>
      </c>
      <c r="K239" s="724" t="str">
        <f ca="1">IF(Home!$K$23=$D$1419,P239,
IF(AND(Home!$K$23&lt;&gt;$D$1419,TODAY()&lt;=Horarios!$A$4),P239,$D$1420))</f>
        <v>Jordan</v>
      </c>
      <c r="O239" s="723" t="s">
        <v>1264</v>
      </c>
      <c r="P239" s="723" t="s">
        <v>1286</v>
      </c>
    </row>
    <row r="240" spans="2:16">
      <c r="B240" s="9">
        <v>29</v>
      </c>
      <c r="C240" s="9">
        <v>10</v>
      </c>
      <c r="D240" s="9" t="str">
        <f t="shared" ca="1" si="9"/>
        <v>Marruecos</v>
      </c>
      <c r="E240" s="9" t="s">
        <v>213</v>
      </c>
      <c r="F240" s="9" t="s">
        <v>327</v>
      </c>
      <c r="G240" s="9" t="str">
        <f t="shared" ca="1" si="10"/>
        <v>Marruecos</v>
      </c>
      <c r="H240" s="9" t="str">
        <f t="shared" ca="1" si="11"/>
        <v>Morocco</v>
      </c>
      <c r="I240" s="9" t="s">
        <v>122</v>
      </c>
      <c r="J240" s="724" t="str">
        <f ca="1">IF(Home!$K$23=$D$1419,O240,
IF(AND(Home!$K$23&lt;&gt;$D$1419,TODAY()&lt;=Horarios!$A$4),O240,$D$1420))</f>
        <v>Marruecos</v>
      </c>
      <c r="K240" s="724" t="str">
        <f ca="1">IF(Home!$K$23=$D$1419,P240,
IF(AND(Home!$K$23&lt;&gt;$D$1419,TODAY()&lt;=Horarios!$A$4),P240,$D$1420))</f>
        <v>Morocco</v>
      </c>
      <c r="O240" s="723" t="s">
        <v>1321</v>
      </c>
      <c r="P240" s="723" t="s">
        <v>1326</v>
      </c>
    </row>
    <row r="241" spans="2:16">
      <c r="B241" s="9">
        <v>30</v>
      </c>
      <c r="C241" s="9">
        <v>1</v>
      </c>
      <c r="D241" s="9" t="str">
        <f t="shared" ca="1" si="9"/>
        <v>México</v>
      </c>
      <c r="E241" s="9" t="s">
        <v>213</v>
      </c>
      <c r="F241" s="9" t="s">
        <v>328</v>
      </c>
      <c r="G241" s="9" t="str">
        <f t="shared" ca="1" si="10"/>
        <v>México</v>
      </c>
      <c r="H241" s="9" t="str">
        <f t="shared" ca="1" si="11"/>
        <v>Mexico</v>
      </c>
      <c r="I241" s="9" t="s">
        <v>128</v>
      </c>
      <c r="J241" s="724" t="str">
        <f ca="1">IF(Home!$K$23=$D$1419,O241,
IF(AND(Home!$K$23&lt;&gt;$D$1419,TODAY()&lt;=Horarios!$A$4),O241,$D$1420))</f>
        <v>México</v>
      </c>
      <c r="K241" s="724" t="str">
        <f ca="1">IF(Home!$K$23=$D$1419,P241,
IF(AND(Home!$K$23&lt;&gt;$D$1419,TODAY()&lt;=Horarios!$A$4),P241,$D$1420))</f>
        <v>Mexico</v>
      </c>
      <c r="O241" s="723" t="s">
        <v>1265</v>
      </c>
      <c r="P241" s="723" t="s">
        <v>1288</v>
      </c>
    </row>
    <row r="242" spans="2:16">
      <c r="B242" s="9">
        <v>31</v>
      </c>
      <c r="C242" s="9">
        <v>36</v>
      </c>
      <c r="D242" s="9" t="str">
        <f t="shared" ca="1" si="9"/>
        <v>Noruega</v>
      </c>
      <c r="E242" s="9" t="s">
        <v>213</v>
      </c>
      <c r="F242" s="9" t="s">
        <v>329</v>
      </c>
      <c r="G242" s="9" t="str">
        <f t="shared" ca="1" si="10"/>
        <v>Noruega</v>
      </c>
      <c r="H242" s="9" t="str">
        <f t="shared" ca="1" si="11"/>
        <v>Norway</v>
      </c>
      <c r="I242" s="9" t="s">
        <v>240</v>
      </c>
      <c r="J242" s="724" t="str">
        <f ca="1">IF(Home!$K$23=$D$1419,O242,
IF(AND(Home!$K$23&lt;&gt;$D$1419,TODAY()&lt;=Horarios!$A$4),O242,$D$1420))</f>
        <v>Noruega</v>
      </c>
      <c r="K242" s="724" t="str">
        <f ca="1">IF(Home!$K$23=$D$1419,P242,
IF(AND(Home!$K$23&lt;&gt;$D$1419,TODAY()&lt;=Horarios!$A$4),P242,$D$1420))</f>
        <v>Norway</v>
      </c>
      <c r="O242" s="723" t="s">
        <v>135</v>
      </c>
      <c r="P242" s="723" t="s">
        <v>299</v>
      </c>
    </row>
    <row r="243" spans="2:16">
      <c r="B243" s="9">
        <v>32</v>
      </c>
      <c r="C243" s="9">
        <v>28</v>
      </c>
      <c r="D243" s="9" t="str">
        <f t="shared" ca="1" si="9"/>
        <v>Nueva Zelanda</v>
      </c>
      <c r="E243" s="9" t="s">
        <v>213</v>
      </c>
      <c r="F243" s="9" t="s">
        <v>330</v>
      </c>
      <c r="G243" s="9" t="str">
        <f t="shared" ca="1" si="10"/>
        <v>Nueva Zelanda</v>
      </c>
      <c r="H243" s="9" t="str">
        <f t="shared" ca="1" si="11"/>
        <v>New Zealand</v>
      </c>
      <c r="I243" s="9" t="s">
        <v>117</v>
      </c>
      <c r="J243" s="724" t="str">
        <f ca="1">IF(Home!$K$23=$D$1419,O243,
IF(AND(Home!$K$23&lt;&gt;$D$1419,TODAY()&lt;=Horarios!$A$4),O243,$D$1420))</f>
        <v>Nueva Zelanda</v>
      </c>
      <c r="K243" s="724" t="str">
        <f ca="1">IF(Home!$K$23=$D$1419,P243,
IF(AND(Home!$K$23&lt;&gt;$D$1419,TODAY()&lt;=Horarios!$A$4),P243,$D$1420))</f>
        <v>New Zealand</v>
      </c>
      <c r="O243" s="723" t="s">
        <v>1266</v>
      </c>
      <c r="P243" s="723" t="s">
        <v>1290</v>
      </c>
    </row>
    <row r="244" spans="2:16">
      <c r="B244" s="9">
        <v>33</v>
      </c>
      <c r="C244" s="9">
        <v>21</v>
      </c>
      <c r="D244" s="9" t="str">
        <f t="shared" ca="1" si="9"/>
        <v>Países Bajos</v>
      </c>
      <c r="E244" s="9" t="s">
        <v>213</v>
      </c>
      <c r="F244" s="9" t="s">
        <v>331</v>
      </c>
      <c r="G244" s="9" t="str">
        <f t="shared" ca="1" si="10"/>
        <v>Países Bajos</v>
      </c>
      <c r="H244" s="9" t="str">
        <f t="shared" ca="1" si="11"/>
        <v>Netherlands</v>
      </c>
      <c r="I244" s="9" t="s">
        <v>123</v>
      </c>
      <c r="J244" s="724" t="str">
        <f ca="1">IF(Home!$K$23=$D$1419,O244,
IF(AND(Home!$K$23&lt;&gt;$D$1419,TODAY()&lt;=Horarios!$A$4),O244,$D$1420))</f>
        <v>Países Bajos</v>
      </c>
      <c r="K244" s="724" t="str">
        <f ca="1">IF(Home!$K$23=$D$1419,P244,
IF(AND(Home!$K$23&lt;&gt;$D$1419,TODAY()&lt;=Horarios!$A$4),P244,$D$1420))</f>
        <v>Netherlands</v>
      </c>
      <c r="O244" s="723" t="s">
        <v>111</v>
      </c>
      <c r="P244" s="723" t="s">
        <v>291</v>
      </c>
    </row>
    <row r="245" spans="2:16">
      <c r="B245" s="9">
        <v>34</v>
      </c>
      <c r="C245" s="9">
        <v>48</v>
      </c>
      <c r="D245" s="9" t="str">
        <f t="shared" ca="1" si="9"/>
        <v>Panamá</v>
      </c>
      <c r="E245" s="9" t="s">
        <v>213</v>
      </c>
      <c r="F245" s="9" t="s">
        <v>332</v>
      </c>
      <c r="G245" s="9" t="str">
        <f t="shared" ca="1" si="10"/>
        <v>Panamá</v>
      </c>
      <c r="H245" s="9" t="str">
        <f t="shared" ca="1" si="11"/>
        <v>Panama</v>
      </c>
      <c r="I245" s="9" t="s">
        <v>129</v>
      </c>
      <c r="J245" s="724" t="str">
        <f ca="1">IF(Home!$K$23=$D$1419,O245,
IF(AND(Home!$K$23&lt;&gt;$D$1419,TODAY()&lt;=Horarios!$A$4),O245,$D$1420))</f>
        <v>Panamá</v>
      </c>
      <c r="K245" s="724" t="str">
        <f ca="1">IF(Home!$K$23=$D$1419,P245,
IF(AND(Home!$K$23&lt;&gt;$D$1419,TODAY()&lt;=Horarios!$A$4),P245,$D$1420))</f>
        <v>Panama</v>
      </c>
      <c r="O245" s="723" t="s">
        <v>1730</v>
      </c>
      <c r="P245" s="723" t="s">
        <v>1731</v>
      </c>
    </row>
    <row r="246" spans="2:16">
      <c r="B246" s="9">
        <v>35</v>
      </c>
      <c r="C246" s="9">
        <v>14</v>
      </c>
      <c r="D246" s="9" t="str">
        <f t="shared" ca="1" si="9"/>
        <v>Paraguay</v>
      </c>
      <c r="E246" s="9" t="s">
        <v>213</v>
      </c>
      <c r="F246" s="9" t="s">
        <v>333</v>
      </c>
      <c r="G246" s="9" t="str">
        <f t="shared" ca="1" si="10"/>
        <v>Paraguay</v>
      </c>
      <c r="H246" s="9" t="str">
        <f t="shared" ca="1" si="11"/>
        <v>Paraguay</v>
      </c>
      <c r="I246" s="9" t="s">
        <v>1227</v>
      </c>
      <c r="J246" s="724" t="str">
        <f ca="1">IF(Home!$K$23=$D$1419,O246,
IF(AND(Home!$K$23&lt;&gt;$D$1419,TODAY()&lt;=Horarios!$A$4),O246,$D$1420))</f>
        <v>Paraguay</v>
      </c>
      <c r="K246" s="724" t="str">
        <f ca="1">IF(Home!$K$23=$D$1419,P246,
IF(AND(Home!$K$23&lt;&gt;$D$1419,TODAY()&lt;=Horarios!$A$4),P246,$D$1420))</f>
        <v>Paraguay</v>
      </c>
      <c r="O246" s="723" t="s">
        <v>1319</v>
      </c>
      <c r="P246" s="723" t="s">
        <v>1319</v>
      </c>
    </row>
    <row r="247" spans="2:16">
      <c r="B247" s="9">
        <v>36</v>
      </c>
      <c r="C247" s="9">
        <v>41</v>
      </c>
      <c r="D247" s="9" t="str">
        <f t="shared" ca="1" si="9"/>
        <v>Portugal</v>
      </c>
      <c r="E247" s="9" t="s">
        <v>213</v>
      </c>
      <c r="F247" s="9" t="s">
        <v>334</v>
      </c>
      <c r="G247" s="9" t="str">
        <f t="shared" ca="1" si="10"/>
        <v>Portugal</v>
      </c>
      <c r="H247" s="9" t="str">
        <f t="shared" ca="1" si="11"/>
        <v>Portugal</v>
      </c>
      <c r="I247" s="9" t="s">
        <v>510</v>
      </c>
      <c r="J247" s="724" t="str">
        <f ca="1">IF(Home!$K$23=$D$1419,O247,
IF(AND(Home!$K$23&lt;&gt;$D$1419,TODAY()&lt;=Horarios!$A$4),O247,$D$1420))</f>
        <v>Portugal</v>
      </c>
      <c r="K247" s="724" t="str">
        <f ca="1">IF(Home!$K$23=$D$1419,P247,
IF(AND(Home!$K$23&lt;&gt;$D$1419,TODAY()&lt;=Horarios!$A$4),P247,$D$1420))</f>
        <v>Portugal</v>
      </c>
      <c r="O247" s="723" t="s">
        <v>79</v>
      </c>
      <c r="P247" s="723" t="s">
        <v>79</v>
      </c>
    </row>
    <row r="248" spans="2:16">
      <c r="B248" s="9">
        <v>37</v>
      </c>
      <c r="C248" s="9">
        <v>34</v>
      </c>
      <c r="D248" s="9" t="str">
        <f t="shared" ca="1" si="9"/>
        <v>Senegal</v>
      </c>
      <c r="E248" s="9" t="s">
        <v>213</v>
      </c>
      <c r="F248" s="9" t="s">
        <v>335</v>
      </c>
      <c r="G248" s="9" t="str">
        <f t="shared" ca="1" si="10"/>
        <v>Senegal</v>
      </c>
      <c r="H248" s="9" t="str">
        <f t="shared" ca="1" si="11"/>
        <v>Senegal</v>
      </c>
      <c r="I248" s="9" t="s">
        <v>511</v>
      </c>
      <c r="J248" s="724" t="str">
        <f ca="1">IF(Home!$K$23=$D$1419,O248,
IF(AND(Home!$K$23&lt;&gt;$D$1419,TODAY()&lt;=Horarios!$A$4),O248,$D$1420))</f>
        <v>Senegal</v>
      </c>
      <c r="K248" s="724" t="str">
        <f ca="1">IF(Home!$K$23=$D$1419,P248,
IF(AND(Home!$K$23&lt;&gt;$D$1419,TODAY()&lt;=Horarios!$A$4),P248,$D$1420))</f>
        <v>Senegal</v>
      </c>
      <c r="O248" s="723" t="s">
        <v>1634</v>
      </c>
      <c r="P248" s="723" t="s">
        <v>1634</v>
      </c>
    </row>
    <row r="249" spans="2:16">
      <c r="B249" s="9">
        <v>38</v>
      </c>
      <c r="C249" s="9">
        <v>2</v>
      </c>
      <c r="D249" s="9" t="str">
        <f t="shared" ca="1" si="9"/>
        <v>Sudáfrica</v>
      </c>
      <c r="E249" s="9" t="s">
        <v>213</v>
      </c>
      <c r="F249" s="9" t="s">
        <v>336</v>
      </c>
      <c r="G249" s="9" t="str">
        <f t="shared" ca="1" si="10"/>
        <v>Sudáfrica</v>
      </c>
      <c r="H249" s="9" t="str">
        <f t="shared" ca="1" si="11"/>
        <v>South Africa</v>
      </c>
      <c r="I249" s="9" t="s">
        <v>180</v>
      </c>
      <c r="J249" s="724" t="str">
        <f ca="1">IF(Home!$K$23=$D$1419,O249,
IF(AND(Home!$K$23&lt;&gt;$D$1419,TODAY()&lt;=Horarios!$A$4),O249,$D$1420))</f>
        <v>Sudáfrica</v>
      </c>
      <c r="K249" s="724" t="str">
        <f ca="1">IF(Home!$K$23=$D$1419,P249,
IF(AND(Home!$K$23&lt;&gt;$D$1419,TODAY()&lt;=Horarios!$A$4),P249,$D$1420))</f>
        <v>South Africa</v>
      </c>
      <c r="O249" s="723" t="s">
        <v>1630</v>
      </c>
      <c r="P249" s="723" t="s">
        <v>1635</v>
      </c>
    </row>
    <row r="250" spans="2:16">
      <c r="B250" s="9">
        <v>39</v>
      </c>
      <c r="C250" s="9">
        <v>8</v>
      </c>
      <c r="D250" s="9" t="str">
        <f t="shared" ca="1" si="9"/>
        <v>Suiza</v>
      </c>
      <c r="E250" s="9" t="s">
        <v>213</v>
      </c>
      <c r="F250" s="9" t="s">
        <v>337</v>
      </c>
      <c r="G250" s="9" t="str">
        <f t="shared" ca="1" si="10"/>
        <v>Suiza</v>
      </c>
      <c r="H250" s="9" t="str">
        <f t="shared" ca="1" si="11"/>
        <v>Switzerland</v>
      </c>
      <c r="I250" s="9" t="s">
        <v>177</v>
      </c>
      <c r="J250" s="724" t="str">
        <f ca="1">IF(Home!$K$23=$D$1419,O250,
IF(AND(Home!$K$23&lt;&gt;$D$1419,TODAY()&lt;=Horarios!$A$4),O250,$D$1420))</f>
        <v>Suiza</v>
      </c>
      <c r="K250" s="724" t="str">
        <f ca="1">IF(Home!$K$23=$D$1419,P250,
IF(AND(Home!$K$23&lt;&gt;$D$1419,TODAY()&lt;=Horarios!$A$4),P250,$D$1420))</f>
        <v>Switzerland</v>
      </c>
      <c r="O250" s="723" t="s">
        <v>75</v>
      </c>
      <c r="P250" s="723" t="s">
        <v>290</v>
      </c>
    </row>
    <row r="251" spans="2:16">
      <c r="B251" s="9">
        <v>40</v>
      </c>
      <c r="C251" s="9">
        <v>24</v>
      </c>
      <c r="D251" s="9" t="str">
        <f t="shared" ca="1" si="9"/>
        <v>Túnez</v>
      </c>
      <c r="E251" s="9" t="s">
        <v>213</v>
      </c>
      <c r="F251" s="9" t="s">
        <v>338</v>
      </c>
      <c r="G251" s="9" t="str">
        <f t="shared" ca="1" si="10"/>
        <v>Túnez</v>
      </c>
      <c r="H251" s="9" t="str">
        <f t="shared" ca="1" si="11"/>
        <v>Tunisia</v>
      </c>
      <c r="I251" s="9" t="s">
        <v>512</v>
      </c>
      <c r="J251" s="724" t="str">
        <f ca="1">IF(Home!$K$23=$D$1419,O251,
IF(AND(Home!$K$23&lt;&gt;$D$1419,TODAY()&lt;=Horarios!$A$4),O251,$D$1420))</f>
        <v>Túnez</v>
      </c>
      <c r="K251" s="724" t="str">
        <f ca="1">IF(Home!$K$23=$D$1419,P251,
IF(AND(Home!$K$23&lt;&gt;$D$1419,TODAY()&lt;=Horarios!$A$4),P251,$D$1420))</f>
        <v>Tunisia</v>
      </c>
      <c r="O251" s="723" t="s">
        <v>1322</v>
      </c>
      <c r="P251" s="723" t="s">
        <v>1328</v>
      </c>
    </row>
    <row r="252" spans="2:16">
      <c r="B252" s="9">
        <v>41</v>
      </c>
      <c r="C252" s="9">
        <v>32</v>
      </c>
      <c r="D252" s="9" t="str">
        <f t="shared" ca="1" si="9"/>
        <v>Uruguay</v>
      </c>
      <c r="E252" s="9" t="s">
        <v>213</v>
      </c>
      <c r="F252" s="9" t="s">
        <v>339</v>
      </c>
      <c r="G252" s="9" t="str">
        <f t="shared" ca="1" si="10"/>
        <v>Uruguay</v>
      </c>
      <c r="H252" s="9" t="str">
        <f t="shared" ca="1" si="11"/>
        <v>Uruguay</v>
      </c>
      <c r="I252" s="9" t="s">
        <v>513</v>
      </c>
      <c r="J252" s="724" t="str">
        <f ca="1">IF(Home!$K$23=$D$1419,O252,
IF(AND(Home!$K$23&lt;&gt;$D$1419,TODAY()&lt;=Horarios!$A$4),O252,$D$1420))</f>
        <v>Uruguay</v>
      </c>
      <c r="K252" s="724" t="str">
        <f ca="1">IF(Home!$K$23=$D$1419,P252,
IF(AND(Home!$K$23&lt;&gt;$D$1419,TODAY()&lt;=Horarios!$A$4),P252,$D$1420))</f>
        <v>Uruguay</v>
      </c>
      <c r="O252" s="723" t="s">
        <v>1318</v>
      </c>
      <c r="P252" s="723" t="s">
        <v>1318</v>
      </c>
    </row>
    <row r="253" spans="2:16">
      <c r="B253" s="9">
        <v>42</v>
      </c>
      <c r="C253" s="9">
        <v>43</v>
      </c>
      <c r="D253" s="9" t="str">
        <f t="shared" ca="1" si="9"/>
        <v>Uzbekistán</v>
      </c>
      <c r="E253" s="9" t="s">
        <v>213</v>
      </c>
      <c r="F253" s="9" t="s">
        <v>340</v>
      </c>
      <c r="G253" s="9" t="str">
        <f t="shared" ca="1" si="10"/>
        <v>Uzbekistán</v>
      </c>
      <c r="H253" s="9" t="str">
        <f t="shared" ca="1" si="11"/>
        <v>Uzbekistan</v>
      </c>
      <c r="I253" s="9" t="s">
        <v>181</v>
      </c>
      <c r="J253" s="724" t="str">
        <f ca="1">IF(Home!$K$23=$D$1419,O253,
IF(AND(Home!$K$23&lt;&gt;$D$1419,TODAY()&lt;=Horarios!$A$4),O253,$D$1420))</f>
        <v>Uzbekistán</v>
      </c>
      <c r="K253" s="724" t="str">
        <f ca="1">IF(Home!$K$23=$D$1419,P253,
IF(AND(Home!$K$23&lt;&gt;$D$1419,TODAY()&lt;=Horarios!$A$4),P253,$D$1420))</f>
        <v>Uzbekistan</v>
      </c>
      <c r="O253" s="723" t="s">
        <v>1267</v>
      </c>
      <c r="P253" s="723" t="s">
        <v>1292</v>
      </c>
    </row>
    <row r="254" spans="2:16">
      <c r="B254" s="9">
        <v>43</v>
      </c>
      <c r="C254" s="9">
        <v>42</v>
      </c>
      <c r="D254" s="9" t="str">
        <f t="shared" ca="1" si="9"/>
        <v>RD Congo</v>
      </c>
      <c r="E254" s="9" t="s">
        <v>213</v>
      </c>
      <c r="F254" s="9" t="s">
        <v>341</v>
      </c>
      <c r="G254" s="9" t="str">
        <f t="shared" ca="1" si="10"/>
        <v>RD Congo</v>
      </c>
      <c r="H254" s="9" t="str">
        <f t="shared" ca="1" si="11"/>
        <v>DR Congo</v>
      </c>
      <c r="I254" s="9" t="s">
        <v>1228</v>
      </c>
      <c r="J254" s="724" t="str">
        <f ca="1">IF(Home!$K$23=$D$1419,O254,
IF(AND(Home!$K$23&lt;&gt;$D$1419,TODAY()&lt;=Horarios!$A$4),O254,$D$1420))</f>
        <v>RD Congo</v>
      </c>
      <c r="K254" s="724" t="str">
        <f ca="1">IF(Home!$K$23=$D$1419,P254,
IF(AND(Home!$K$23&lt;&gt;$D$1419,TODAY()&lt;=Horarios!$A$4),P254,$D$1420))</f>
        <v>DR Congo</v>
      </c>
      <c r="O254" s="724" t="s">
        <v>1839</v>
      </c>
      <c r="P254" s="724" t="s">
        <v>1840</v>
      </c>
    </row>
    <row r="255" spans="2:16">
      <c r="B255" s="9">
        <v>44</v>
      </c>
      <c r="C255" s="9">
        <v>35</v>
      </c>
      <c r="D255" s="9" t="str">
        <f t="shared" ca="1" si="9"/>
        <v>Irak</v>
      </c>
      <c r="E255" s="9" t="s">
        <v>213</v>
      </c>
      <c r="F255" s="9" t="s">
        <v>342</v>
      </c>
      <c r="G255" s="9" t="str">
        <f t="shared" ca="1" si="10"/>
        <v>Irak</v>
      </c>
      <c r="H255" s="9" t="str">
        <f t="shared" ca="1" si="11"/>
        <v>Iraq</v>
      </c>
      <c r="I255" s="9" t="s">
        <v>179</v>
      </c>
      <c r="J255" s="724" t="str">
        <f ca="1">IF(Home!$K$23=$D$1419,O255,
IF(AND(Home!$K$23&lt;&gt;$D$1419,TODAY()&lt;=Horarios!$A$4),O255,$D$1420))</f>
        <v>Irak</v>
      </c>
      <c r="K255" s="724" t="str">
        <f ca="1">IF(Home!$K$23=$D$1419,P255,
IF(AND(Home!$K$23&lt;&gt;$D$1419,TODAY()&lt;=Horarios!$A$4),P255,$D$1420))</f>
        <v>Iraq</v>
      </c>
      <c r="O255" s="724" t="s">
        <v>1757</v>
      </c>
      <c r="P255" s="724" t="s">
        <v>1758</v>
      </c>
    </row>
    <row r="256" spans="2:16">
      <c r="B256" s="9">
        <v>45</v>
      </c>
      <c r="C256" s="9">
        <v>6</v>
      </c>
      <c r="D256" s="9" t="str">
        <f t="shared" ca="1" si="9"/>
        <v>Bosnia y Herzegovina</v>
      </c>
      <c r="E256" s="9" t="s">
        <v>213</v>
      </c>
      <c r="F256" s="9" t="s">
        <v>343</v>
      </c>
      <c r="G256" s="9" t="str">
        <f t="shared" ca="1" si="10"/>
        <v>Bosnia y Herzegovina</v>
      </c>
      <c r="H256" s="9" t="str">
        <f t="shared" ca="1" si="11"/>
        <v>Bosnia and Herzegovina</v>
      </c>
      <c r="I256" s="9" t="s">
        <v>514</v>
      </c>
      <c r="J256" s="724" t="str">
        <f ca="1">IF(Home!$K$23=$D$1419,O256,
IF(AND(Home!$K$23&lt;&gt;$D$1419,TODAY()&lt;=Horarios!$A$4),O256,$D$1420))</f>
        <v>Bosnia y Herzegovina</v>
      </c>
      <c r="K256" s="724" t="str">
        <f ca="1">IF(Home!$K$23=$D$1419,P256,
IF(AND(Home!$K$23&lt;&gt;$D$1419,TODAY()&lt;=Horarios!$A$4),P256,$D$1420))</f>
        <v>Bosnia and Herzegovina</v>
      </c>
      <c r="O256" s="724" t="s">
        <v>1841</v>
      </c>
      <c r="P256" s="724" t="s">
        <v>1842</v>
      </c>
    </row>
    <row r="257" spans="1:16">
      <c r="B257" s="9">
        <v>46</v>
      </c>
      <c r="C257" s="9">
        <v>23</v>
      </c>
      <c r="D257" s="9" t="str">
        <f t="shared" ca="1" si="9"/>
        <v>Suecia</v>
      </c>
      <c r="E257" s="9" t="s">
        <v>213</v>
      </c>
      <c r="F257" s="9" t="s">
        <v>344</v>
      </c>
      <c r="G257" s="9" t="str">
        <f t="shared" ca="1" si="10"/>
        <v>Suecia</v>
      </c>
      <c r="H257" s="9" t="str">
        <f t="shared" ca="1" si="11"/>
        <v>Sweden</v>
      </c>
      <c r="I257" s="9" t="s">
        <v>182</v>
      </c>
      <c r="J257" s="724" t="str">
        <f ca="1">IF(Home!$K$23=$D$1419,O257,
IF(AND(Home!$K$23&lt;&gt;$D$1419,TODAY()&lt;=Horarios!$A$4),O257,$D$1420))</f>
        <v>Suecia</v>
      </c>
      <c r="K257" s="724" t="str">
        <f ca="1">IF(Home!$K$23=$D$1419,P257,
IF(AND(Home!$K$23&lt;&gt;$D$1419,TODAY()&lt;=Horarios!$A$4),P257,$D$1420))</f>
        <v>Sweden</v>
      </c>
      <c r="O257" s="724" t="s">
        <v>1833</v>
      </c>
      <c r="P257" s="724" t="s">
        <v>1834</v>
      </c>
    </row>
    <row r="258" spans="1:16">
      <c r="B258" s="9">
        <v>47</v>
      </c>
      <c r="C258" s="9">
        <v>16</v>
      </c>
      <c r="D258" s="9" t="str">
        <f t="shared" ca="1" si="9"/>
        <v>Turquía</v>
      </c>
      <c r="E258" s="9" t="s">
        <v>213</v>
      </c>
      <c r="F258" s="9" t="s">
        <v>345</v>
      </c>
      <c r="G258" s="9" t="str">
        <f t="shared" ca="1" si="10"/>
        <v>Turquía</v>
      </c>
      <c r="H258" s="9" t="str">
        <f t="shared" ca="1" si="11"/>
        <v>Turkey</v>
      </c>
      <c r="I258" s="9" t="s">
        <v>1229</v>
      </c>
      <c r="J258" s="724" t="str">
        <f ca="1">IF(Home!$K$23=$D$1419,O258,
IF(AND(Home!$K$23&lt;&gt;$D$1419,TODAY()&lt;=Horarios!$A$4),O258,$D$1420))</f>
        <v>Turquía</v>
      </c>
      <c r="K258" s="724" t="str">
        <f ca="1">IF(Home!$K$23=$D$1419,P258,
IF(AND(Home!$K$23&lt;&gt;$D$1419,TODAY()&lt;=Horarios!$A$4),P258,$D$1420))</f>
        <v>Turkey</v>
      </c>
      <c r="O258" s="724" t="s">
        <v>1835</v>
      </c>
      <c r="P258" s="724" t="s">
        <v>1836</v>
      </c>
    </row>
    <row r="259" spans="1:16">
      <c r="B259" s="9">
        <v>48</v>
      </c>
      <c r="C259" s="9">
        <v>4</v>
      </c>
      <c r="D259" s="9" t="str">
        <f t="shared" ca="1" si="9"/>
        <v>República Checa</v>
      </c>
      <c r="E259" s="9" t="s">
        <v>213</v>
      </c>
      <c r="F259" s="9" t="s">
        <v>346</v>
      </c>
      <c r="G259" s="9" t="str">
        <f t="shared" ca="1" si="10"/>
        <v>República Checa</v>
      </c>
      <c r="H259" s="9" t="str">
        <f t="shared" ca="1" si="11"/>
        <v>Czech Republic</v>
      </c>
      <c r="I259" s="9" t="s">
        <v>26</v>
      </c>
      <c r="J259" s="724" t="str">
        <f ca="1">IF(Home!$K$23=$D$1419,O259,
IF(AND(Home!$K$23&lt;&gt;$D$1419,TODAY()&lt;=Horarios!$A$4),O259,$D$1420))</f>
        <v>República Checa</v>
      </c>
      <c r="K259" s="724" t="str">
        <f ca="1">IF(Home!$K$23=$D$1419,P259,
IF(AND(Home!$K$23&lt;&gt;$D$1419,TODAY()&lt;=Horarios!$A$4),P259,$D$1420))</f>
        <v>Czech Republic</v>
      </c>
      <c r="O259" s="724" t="s">
        <v>1843</v>
      </c>
      <c r="P259" s="724" t="s">
        <v>1844</v>
      </c>
    </row>
    <row r="260" spans="1:16">
      <c r="D260" s="9" t="str">
        <f t="shared" ref="D260:D264" si="12">IF($B$2,G260,H260)</f>
        <v>Dieciseisavos de final</v>
      </c>
      <c r="G260" s="9" t="s">
        <v>481</v>
      </c>
      <c r="H260" s="9" t="s">
        <v>482</v>
      </c>
    </row>
    <row r="261" spans="1:16">
      <c r="D261" s="9" t="str">
        <f t="shared" si="12"/>
        <v>Octavos de final</v>
      </c>
      <c r="G261" s="9" t="s">
        <v>87</v>
      </c>
      <c r="H261" s="9" t="s">
        <v>1452</v>
      </c>
    </row>
    <row r="262" spans="1:16">
      <c r="D262" s="9" t="str">
        <f t="shared" si="12"/>
        <v>Cuartos de final</v>
      </c>
      <c r="G262" s="9" t="s">
        <v>69</v>
      </c>
      <c r="H262" s="9" t="s">
        <v>219</v>
      </c>
    </row>
    <row r="263" spans="1:16">
      <c r="D263" s="9" t="str">
        <f t="shared" si="12"/>
        <v>Semifinales</v>
      </c>
      <c r="G263" s="9" t="s">
        <v>36</v>
      </c>
      <c r="H263" s="9" t="s">
        <v>220</v>
      </c>
    </row>
    <row r="264" spans="1:16">
      <c r="D264" s="9" t="str">
        <f t="shared" si="12"/>
        <v>3-4 &amp; Final</v>
      </c>
      <c r="G264" s="9" t="s">
        <v>1629</v>
      </c>
      <c r="H264" s="9" t="s">
        <v>1629</v>
      </c>
    </row>
    <row r="266" spans="1:16">
      <c r="A266" s="9" t="s">
        <v>375</v>
      </c>
      <c r="D266" s="9" t="str">
        <f t="shared" ref="D266" si="13">IF($B$2,G266,H266)</f>
        <v>Estados Unidos</v>
      </c>
      <c r="E266" s="9" t="s">
        <v>373</v>
      </c>
      <c r="F266" s="9" t="s">
        <v>374</v>
      </c>
      <c r="G266" s="9" t="s">
        <v>497</v>
      </c>
      <c r="H266" s="9" t="s">
        <v>498</v>
      </c>
    </row>
    <row r="269" spans="1:16">
      <c r="D269" s="9" t="str">
        <f t="shared" ref="D269:D284" si="14">IF($B$2,G269,H269)</f>
        <v>Campeón</v>
      </c>
      <c r="E269" s="9" t="s">
        <v>1242</v>
      </c>
      <c r="G269" s="9" t="s">
        <v>18</v>
      </c>
      <c r="H269" s="758" t="s">
        <v>222</v>
      </c>
    </row>
    <row r="270" spans="1:16">
      <c r="D270" s="9" t="str">
        <f t="shared" si="14"/>
        <v>Subcampeón</v>
      </c>
      <c r="E270" s="9" t="s">
        <v>1242</v>
      </c>
      <c r="G270" s="9" t="s">
        <v>19</v>
      </c>
      <c r="H270" s="9" t="s">
        <v>223</v>
      </c>
    </row>
    <row r="271" spans="1:16">
      <c r="D271" s="9" t="str">
        <f t="shared" si="14"/>
        <v>3º puesto</v>
      </c>
      <c r="E271" s="9" t="s">
        <v>1242</v>
      </c>
      <c r="G271" s="9" t="s">
        <v>1234</v>
      </c>
      <c r="H271" s="9" t="s">
        <v>1235</v>
      </c>
    </row>
    <row r="272" spans="1:16">
      <c r="D272" s="9" t="str">
        <f t="shared" si="14"/>
        <v>Semifinales</v>
      </c>
      <c r="E272" s="9" t="s">
        <v>1242</v>
      </c>
      <c r="G272" s="9" t="s">
        <v>36</v>
      </c>
      <c r="H272" s="758" t="s">
        <v>220</v>
      </c>
    </row>
    <row r="273" spans="4:8">
      <c r="D273" s="9" t="str">
        <f t="shared" si="14"/>
        <v>Cuartos de final</v>
      </c>
      <c r="E273" s="9" t="s">
        <v>1242</v>
      </c>
      <c r="G273" s="9" t="s">
        <v>69</v>
      </c>
      <c r="H273" s="758" t="s">
        <v>219</v>
      </c>
    </row>
    <row r="274" spans="4:8">
      <c r="D274" s="9" t="str">
        <f t="shared" si="14"/>
        <v>Octavos de final</v>
      </c>
      <c r="E274" s="9" t="s">
        <v>1242</v>
      </c>
      <c r="G274" s="9" t="s">
        <v>87</v>
      </c>
      <c r="H274" s="758" t="s">
        <v>218</v>
      </c>
    </row>
    <row r="275" spans="4:8">
      <c r="D275" s="9" t="str">
        <f t="shared" si="14"/>
        <v>Dieciseisavos de final</v>
      </c>
      <c r="E275" s="9" t="s">
        <v>1242</v>
      </c>
      <c r="G275" s="9" t="s">
        <v>481</v>
      </c>
      <c r="H275" s="9" t="s">
        <v>482</v>
      </c>
    </row>
    <row r="276" spans="4:8">
      <c r="D276" s="9" t="str">
        <f t="shared" si="14"/>
        <v>Fase de grupos</v>
      </c>
      <c r="E276" s="9" t="s">
        <v>1242</v>
      </c>
      <c r="G276" s="9" t="s">
        <v>1243</v>
      </c>
      <c r="H276" s="758" t="s">
        <v>1244</v>
      </c>
    </row>
    <row r="277" spans="4:8">
      <c r="D277" s="9" t="str">
        <f t="shared" si="14"/>
        <v>Pronóstica la ronda</v>
      </c>
      <c r="E277" s="9" t="s">
        <v>1242</v>
      </c>
      <c r="G277" s="758" t="s">
        <v>1236</v>
      </c>
      <c r="H277" s="758" t="s">
        <v>1237</v>
      </c>
    </row>
    <row r="278" spans="4:8">
      <c r="D278" s="9" t="str">
        <f t="shared" si="14"/>
        <v>Predice la selección</v>
      </c>
      <c r="E278" s="9" t="s">
        <v>1242</v>
      </c>
      <c r="G278" s="758" t="s">
        <v>1245</v>
      </c>
      <c r="H278" s="758" t="s">
        <v>1246</v>
      </c>
    </row>
    <row r="279" spans="4:8">
      <c r="D279" s="9" t="str">
        <f t="shared" si="14"/>
        <v>Ronda</v>
      </c>
      <c r="E279" s="9" t="s">
        <v>1242</v>
      </c>
      <c r="G279" s="758" t="s">
        <v>1238</v>
      </c>
      <c r="H279" s="758" t="s">
        <v>1239</v>
      </c>
    </row>
    <row r="280" spans="4:8">
      <c r="D280" s="9" t="str">
        <f t="shared" si="14"/>
        <v>·Selecciona para cada ronda el la selección o selecciones que crees que van a llegar hasta esa ronda.</v>
      </c>
      <c r="E280" s="9" t="s">
        <v>1242</v>
      </c>
      <c r="G280" s="9" t="s">
        <v>1247</v>
      </c>
      <c r="H280" s="758" t="s">
        <v>1253</v>
      </c>
    </row>
    <row r="281" spans="4:8">
      <c r="D281" s="9" t="str">
        <f t="shared" si="14"/>
        <v>·Una vez elijas una selección, dejará de aparecer en la lista</v>
      </c>
      <c r="E281" s="9" t="s">
        <v>1242</v>
      </c>
      <c r="G281" s="9" t="s">
        <v>1254</v>
      </c>
      <c r="H281" s="758" t="s">
        <v>1252</v>
      </c>
    </row>
    <row r="282" spans="4:8">
      <c r="D282" s="9" t="str">
        <f t="shared" si="14"/>
        <v xml:space="preserve">·Si has rellenado todos y quieres hacer un cambio, </v>
      </c>
      <c r="E282" s="9" t="s">
        <v>1242</v>
      </c>
      <c r="G282" s="9" t="s">
        <v>1240</v>
      </c>
      <c r="H282" s="758" t="s">
        <v>1241</v>
      </c>
    </row>
    <row r="283" spans="4:8">
      <c r="D283" s="9" t="str">
        <f t="shared" si="14"/>
        <v xml:space="preserve"> borra las selecciones que quieras cambiar y podrás volver a elegirlas</v>
      </c>
      <c r="E283" s="9" t="s">
        <v>1242</v>
      </c>
      <c r="G283" s="9" t="s">
        <v>1248</v>
      </c>
      <c r="H283" s="758" t="s">
        <v>1251</v>
      </c>
    </row>
    <row r="284" spans="4:8">
      <c r="D284" s="9" t="str">
        <f t="shared" si="14"/>
        <v>Rellenar antes del comienzo del Mundial</v>
      </c>
      <c r="E284" s="9" t="s">
        <v>1242</v>
      </c>
      <c r="G284" s="9" t="s">
        <v>1249</v>
      </c>
      <c r="H284" s="758" t="s">
        <v>1250</v>
      </c>
    </row>
    <row r="285" spans="4:8">
      <c r="D285" s="9" t="str">
        <f t="shared" ref="D285" si="15">IF($B$2,G285,H285)</f>
        <v>·Si en tu grupo no vais a usar el predictor, puedes dejarlo sin rellenar</v>
      </c>
      <c r="E285" s="9" t="s">
        <v>1242</v>
      </c>
      <c r="G285" s="9" t="s">
        <v>1363</v>
      </c>
      <c r="H285" s="9" t="s">
        <v>1364</v>
      </c>
    </row>
    <row r="299" spans="4:8">
      <c r="D299" s="9" t="str">
        <f t="shared" ref="D299:D363" si="16">IF($B$2,G299,H299)</f>
        <v>Selecciona el Nº de Jugadores</v>
      </c>
      <c r="E299" s="764" t="s">
        <v>1375</v>
      </c>
      <c r="F299" s="764" t="s">
        <v>126</v>
      </c>
      <c r="G299" s="764" t="s">
        <v>1376</v>
      </c>
      <c r="H299" s="764" t="s">
        <v>1516</v>
      </c>
    </row>
    <row r="300" spans="4:8">
      <c r="D300" s="9" t="str">
        <f t="shared" si="16"/>
        <v>↓↓ Resultados reales ↓↓</v>
      </c>
      <c r="E300" s="764" t="s">
        <v>1375</v>
      </c>
      <c r="F300" s="764" t="s">
        <v>181</v>
      </c>
      <c r="G300" s="764" t="s">
        <v>1377</v>
      </c>
      <c r="H300" s="764" t="s">
        <v>1378</v>
      </c>
    </row>
    <row r="301" spans="4:8">
      <c r="D301" s="9" t="str">
        <f t="shared" si="16"/>
        <v>Regla* (Click para ver la explicación)</v>
      </c>
      <c r="E301" s="764" t="s">
        <v>1375</v>
      </c>
      <c r="F301" s="764" t="s">
        <v>1379</v>
      </c>
      <c r="G301" s="764" t="s">
        <v>1829</v>
      </c>
      <c r="H301" s="764" t="s">
        <v>1830</v>
      </c>
    </row>
    <row r="302" spans="4:8">
      <c r="D302" s="9" t="str">
        <f t="shared" si="16"/>
        <v>https://matejero.es/puntuaciones-excel-mundial-2026/</v>
      </c>
      <c r="E302" s="764" t="s">
        <v>1375</v>
      </c>
      <c r="F302" s="764"/>
      <c r="G302" s="765" t="s">
        <v>1828</v>
      </c>
      <c r="H302" s="765" t="s">
        <v>1917</v>
      </c>
    </row>
    <row r="303" spans="4:8">
      <c r="D303" s="9" t="str">
        <f t="shared" si="16"/>
        <v>Puntos</v>
      </c>
      <c r="E303" s="764" t="s">
        <v>1375</v>
      </c>
      <c r="F303" s="764" t="s">
        <v>1380</v>
      </c>
      <c r="G303" s="764" t="s">
        <v>1381</v>
      </c>
      <c r="H303" s="764" t="s">
        <v>1382</v>
      </c>
    </row>
    <row r="304" spans="4:8">
      <c r="D304" s="9" t="str">
        <f t="shared" si="16"/>
        <v>FASE DE GRUPOS - Signo 1X2 (local, empate, visitante)</v>
      </c>
      <c r="E304" s="764" t="s">
        <v>1375</v>
      </c>
      <c r="F304" s="764" t="s">
        <v>1383</v>
      </c>
      <c r="G304" s="764" t="s">
        <v>1774</v>
      </c>
      <c r="H304" s="764" t="s">
        <v>1775</v>
      </c>
    </row>
    <row r="305" spans="4:8">
      <c r="D305" s="9" t="str">
        <f t="shared" si="16"/>
        <v>FASE DE GRUPOS - Diferencia/Distancia de goles (Con 1X2 acertado)</v>
      </c>
      <c r="E305" s="764" t="s">
        <v>1375</v>
      </c>
      <c r="F305" s="764" t="s">
        <v>1384</v>
      </c>
      <c r="G305" s="764" t="s">
        <v>1766</v>
      </c>
      <c r="H305" s="764" t="s">
        <v>1385</v>
      </c>
    </row>
    <row r="306" spans="4:8">
      <c r="D306" s="9" t="str">
        <f t="shared" si="16"/>
        <v>FASE DE GRUPOS - Resultado exacto</v>
      </c>
      <c r="E306" s="764" t="s">
        <v>1375</v>
      </c>
      <c r="F306" s="764" t="s">
        <v>1386</v>
      </c>
      <c r="G306" s="764" t="s">
        <v>1387</v>
      </c>
      <c r="H306" s="764" t="s">
        <v>1388</v>
      </c>
    </row>
    <row r="307" spans="4:8">
      <c r="D307" s="9" t="str">
        <f t="shared" si="16"/>
        <v>FASE DE GRUPOS - Posición exacta (1º)</v>
      </c>
      <c r="E307" s="764" t="s">
        <v>1375</v>
      </c>
      <c r="F307" s="764" t="s">
        <v>1389</v>
      </c>
      <c r="G307" s="764" t="s">
        <v>1390</v>
      </c>
      <c r="H307" s="764" t="s">
        <v>1391</v>
      </c>
    </row>
    <row r="308" spans="4:8">
      <c r="D308" s="9" t="str">
        <f t="shared" si="16"/>
        <v>FASE DE GRUPOS - Posición exacta (2º)</v>
      </c>
      <c r="E308" s="764" t="s">
        <v>1375</v>
      </c>
      <c r="F308" s="764" t="s">
        <v>1398</v>
      </c>
      <c r="G308" s="764" t="s">
        <v>1392</v>
      </c>
      <c r="H308" s="764" t="s">
        <v>1393</v>
      </c>
    </row>
    <row r="309" spans="4:8">
      <c r="D309" s="9" t="str">
        <f t="shared" si="16"/>
        <v>FASE DE GRUPOS - Posición exacta (3º)</v>
      </c>
      <c r="E309" s="764" t="s">
        <v>1375</v>
      </c>
      <c r="F309" s="764" t="s">
        <v>1398</v>
      </c>
      <c r="G309" s="764" t="s">
        <v>1394</v>
      </c>
      <c r="H309" s="764" t="s">
        <v>1395</v>
      </c>
    </row>
    <row r="310" spans="4:8">
      <c r="D310" s="9" t="str">
        <f t="shared" si="16"/>
        <v>FASE DE GRUPOS - Posición exacta (4º)</v>
      </c>
      <c r="E310" s="764" t="s">
        <v>1375</v>
      </c>
      <c r="F310" s="764" t="s">
        <v>1400</v>
      </c>
      <c r="G310" s="764" t="s">
        <v>1396</v>
      </c>
      <c r="H310" s="764" t="s">
        <v>1397</v>
      </c>
    </row>
    <row r="311" spans="4:8">
      <c r="D311" s="9" t="str">
        <f t="shared" si="16"/>
        <v>Equipo clasificado para DIECISEISAVOS</v>
      </c>
      <c r="E311" s="764" t="s">
        <v>1375</v>
      </c>
      <c r="F311" s="764" t="s">
        <v>1403</v>
      </c>
      <c r="G311" s="764" t="s">
        <v>1540</v>
      </c>
      <c r="H311" s="764" t="s">
        <v>1572</v>
      </c>
    </row>
    <row r="312" spans="4:8">
      <c r="D312" s="9" t="str">
        <f t="shared" si="16"/>
        <v>DIECISEISAVOS - Signo 1X2 (local, empate, visitante)</v>
      </c>
      <c r="E312" s="764" t="s">
        <v>1375</v>
      </c>
      <c r="F312" s="764" t="s">
        <v>1405</v>
      </c>
      <c r="G312" s="764" t="s">
        <v>1542</v>
      </c>
      <c r="H312" s="764" t="s">
        <v>1547</v>
      </c>
    </row>
    <row r="313" spans="4:8">
      <c r="D313" s="9" t="str">
        <f t="shared" si="16"/>
        <v>DIECISEISAVOS - Diferencia/Distancia de goles (Con 1X2 acertado)</v>
      </c>
      <c r="E313" s="764" t="s">
        <v>1375</v>
      </c>
      <c r="F313" s="764" t="s">
        <v>1400</v>
      </c>
      <c r="G313" s="764" t="s">
        <v>1767</v>
      </c>
      <c r="H313" s="764" t="s">
        <v>1548</v>
      </c>
    </row>
    <row r="314" spans="4:8">
      <c r="D314" s="9" t="str">
        <f t="shared" si="16"/>
        <v>DIECISEISAVOS - Resultado exacto</v>
      </c>
      <c r="E314" s="764" t="s">
        <v>1375</v>
      </c>
      <c r="F314" s="764" t="s">
        <v>1403</v>
      </c>
      <c r="G314" s="764" t="s">
        <v>1541</v>
      </c>
      <c r="H314" s="764" t="s">
        <v>1549</v>
      </c>
    </row>
    <row r="315" spans="4:8">
      <c r="D315" s="9" t="str">
        <f t="shared" si="16"/>
        <v>Equipo clasificado para OCTAVOS</v>
      </c>
      <c r="E315" s="764" t="s">
        <v>1375</v>
      </c>
      <c r="F315" s="764" t="s">
        <v>1405</v>
      </c>
      <c r="G315" s="764" t="s">
        <v>1399</v>
      </c>
      <c r="H315" s="764" t="s">
        <v>1561</v>
      </c>
    </row>
    <row r="316" spans="4:8">
      <c r="D316" s="9" t="str">
        <f t="shared" si="16"/>
        <v>OCTAVOS - Signo 1X2  (local, empate, visitante)</v>
      </c>
      <c r="E316" s="764" t="s">
        <v>1375</v>
      </c>
      <c r="F316" s="764" t="s">
        <v>1407</v>
      </c>
      <c r="G316" s="764" t="s">
        <v>1401</v>
      </c>
      <c r="H316" s="764" t="s">
        <v>1402</v>
      </c>
    </row>
    <row r="317" spans="4:8">
      <c r="D317" s="9" t="str">
        <f t="shared" si="16"/>
        <v>OCTAVOS -Diferencia/Distancia de goles (Con 1X2 acertado)</v>
      </c>
      <c r="E317" s="764" t="s">
        <v>1375</v>
      </c>
      <c r="F317" s="764" t="s">
        <v>1409</v>
      </c>
      <c r="G317" s="764" t="s">
        <v>1768</v>
      </c>
      <c r="H317" s="764" t="s">
        <v>1404</v>
      </c>
    </row>
    <row r="318" spans="4:8">
      <c r="D318" s="9" t="str">
        <f t="shared" si="16"/>
        <v>OCTAVOS - Resultado exacto</v>
      </c>
      <c r="E318" s="764" t="s">
        <v>1375</v>
      </c>
      <c r="F318" s="764" t="s">
        <v>1412</v>
      </c>
      <c r="G318" s="764" t="s">
        <v>1406</v>
      </c>
      <c r="H318" s="764" t="s">
        <v>1517</v>
      </c>
    </row>
    <row r="319" spans="4:8">
      <c r="D319" s="9" t="str">
        <f t="shared" si="16"/>
        <v>Equipo clasificado para CUARTOS</v>
      </c>
      <c r="E319" s="764" t="s">
        <v>1375</v>
      </c>
      <c r="F319" s="764" t="s">
        <v>1414</v>
      </c>
      <c r="G319" s="764" t="s">
        <v>1408</v>
      </c>
      <c r="H319" s="764" t="s">
        <v>1518</v>
      </c>
    </row>
    <row r="320" spans="4:8">
      <c r="D320" s="9" t="str">
        <f t="shared" si="16"/>
        <v>CUARTOS - Signo 1X2  (local, empate, visitante)</v>
      </c>
      <c r="E320" s="764" t="s">
        <v>1375</v>
      </c>
      <c r="F320" s="764" t="s">
        <v>1416</v>
      </c>
      <c r="G320" s="764" t="s">
        <v>1410</v>
      </c>
      <c r="H320" s="764" t="s">
        <v>1411</v>
      </c>
    </row>
    <row r="321" spans="4:8">
      <c r="D321" s="9" t="str">
        <f t="shared" si="16"/>
        <v>CUARTOS -Diferencia/Distancia de goles (Con 1X2 acertado)</v>
      </c>
      <c r="E321" s="764" t="s">
        <v>1375</v>
      </c>
      <c r="F321" s="764" t="s">
        <v>1418</v>
      </c>
      <c r="G321" s="764" t="s">
        <v>1769</v>
      </c>
      <c r="H321" s="764" t="s">
        <v>1413</v>
      </c>
    </row>
    <row r="322" spans="4:8">
      <c r="D322" s="9" t="str">
        <f t="shared" si="16"/>
        <v>CUARTOS - Resultado exacto</v>
      </c>
      <c r="E322" s="764" t="s">
        <v>1375</v>
      </c>
      <c r="F322" s="764" t="s">
        <v>1421</v>
      </c>
      <c r="G322" s="764" t="s">
        <v>1415</v>
      </c>
      <c r="H322" s="764" t="s">
        <v>1519</v>
      </c>
    </row>
    <row r="323" spans="4:8">
      <c r="D323" s="9" t="str">
        <f t="shared" si="16"/>
        <v>Equipo clasificado para SEMIFINALES</v>
      </c>
      <c r="E323" s="764" t="s">
        <v>1375</v>
      </c>
      <c r="F323" s="764" t="s">
        <v>1423</v>
      </c>
      <c r="G323" s="764" t="s">
        <v>1417</v>
      </c>
      <c r="H323" s="764" t="s">
        <v>1562</v>
      </c>
    </row>
    <row r="324" spans="4:8">
      <c r="D324" s="9" t="str">
        <f t="shared" si="16"/>
        <v>SEMIFINALES - Signo 1X2  (local, empate, visitante)</v>
      </c>
      <c r="E324" s="764" t="s">
        <v>1375</v>
      </c>
      <c r="F324" s="764" t="s">
        <v>1426</v>
      </c>
      <c r="G324" s="764" t="s">
        <v>1419</v>
      </c>
      <c r="H324" s="764" t="s">
        <v>1420</v>
      </c>
    </row>
    <row r="325" spans="4:8">
      <c r="D325" s="9" t="str">
        <f t="shared" si="16"/>
        <v>SEMIFINALES -Diferencia/Distancia de goles (Con 1X2 acertado)</v>
      </c>
      <c r="E325" s="764" t="s">
        <v>1375</v>
      </c>
      <c r="F325" s="764" t="s">
        <v>1426</v>
      </c>
      <c r="G325" s="764" t="s">
        <v>1770</v>
      </c>
      <c r="H325" s="764" t="s">
        <v>1422</v>
      </c>
    </row>
    <row r="326" spans="4:8">
      <c r="D326" s="9" t="str">
        <f t="shared" si="16"/>
        <v>SEMIFINALES - Resultado exacto</v>
      </c>
      <c r="E326" s="764" t="s">
        <v>1375</v>
      </c>
      <c r="F326" s="764" t="s">
        <v>1427</v>
      </c>
      <c r="G326" s="764" t="s">
        <v>1424</v>
      </c>
      <c r="H326" s="764" t="s">
        <v>1425</v>
      </c>
    </row>
    <row r="327" spans="4:8">
      <c r="D327" s="9" t="str">
        <f t="shared" si="16"/>
        <v>Equipo clasificado para 3º y 4º puesto</v>
      </c>
      <c r="E327" s="764" t="s">
        <v>1375</v>
      </c>
      <c r="F327" s="764" t="s">
        <v>1430</v>
      </c>
      <c r="G327" s="764" t="s">
        <v>1544</v>
      </c>
      <c r="H327" s="764" t="s">
        <v>1710</v>
      </c>
    </row>
    <row r="328" spans="4:8">
      <c r="D328" s="9" t="str">
        <f t="shared" si="16"/>
        <v>Equipo clasificado para FINAL</v>
      </c>
      <c r="E328" s="764" t="s">
        <v>1375</v>
      </c>
      <c r="F328" s="764" t="s">
        <v>1432</v>
      </c>
      <c r="G328" s="764" t="s">
        <v>1543</v>
      </c>
      <c r="H328" s="764" t="s">
        <v>1520</v>
      </c>
    </row>
    <row r="329" spans="4:8">
      <c r="D329" s="9" t="str">
        <f t="shared" si="16"/>
        <v>3ºy4º PUESTO - Signo 1X2  (local, empate, visitante)</v>
      </c>
      <c r="E329" s="764" t="s">
        <v>1375</v>
      </c>
      <c r="F329" s="764" t="s">
        <v>1435</v>
      </c>
      <c r="G329" s="764" t="s">
        <v>1545</v>
      </c>
      <c r="H329" s="764" t="s">
        <v>1563</v>
      </c>
    </row>
    <row r="330" spans="4:8">
      <c r="D330" s="9" t="str">
        <f t="shared" si="16"/>
        <v>3ºy4º PUESTO - Diferencia/Distancia de goles (Con 1X2 acertado)</v>
      </c>
      <c r="E330" s="764" t="s">
        <v>1375</v>
      </c>
      <c r="F330" s="764" t="s">
        <v>1436</v>
      </c>
      <c r="G330" s="764" t="s">
        <v>1771</v>
      </c>
      <c r="H330" s="764" t="s">
        <v>1564</v>
      </c>
    </row>
    <row r="331" spans="4:8">
      <c r="D331" s="9" t="str">
        <f t="shared" si="16"/>
        <v>3ºy4º PUESTO - Resultado exacto</v>
      </c>
      <c r="E331" s="764" t="s">
        <v>1375</v>
      </c>
      <c r="F331" s="764" t="s">
        <v>1437</v>
      </c>
      <c r="G331" s="764" t="s">
        <v>1546</v>
      </c>
      <c r="H331" s="764" t="s">
        <v>1565</v>
      </c>
    </row>
    <row r="332" spans="4:8">
      <c r="D332" s="9" t="str">
        <f t="shared" si="16"/>
        <v>FINAL - Signo 1X2  (local, empate, visitante)</v>
      </c>
      <c r="E332" s="764" t="s">
        <v>1375</v>
      </c>
      <c r="F332" s="764" t="s">
        <v>1439</v>
      </c>
      <c r="G332" s="764" t="s">
        <v>1428</v>
      </c>
      <c r="H332" s="764" t="s">
        <v>1429</v>
      </c>
    </row>
    <row r="333" spans="4:8">
      <c r="D333" s="9" t="str">
        <f t="shared" si="16"/>
        <v>FINAL - Diferencia/Distancia de goles (Con 1X2 acertado)</v>
      </c>
      <c r="E333" s="764" t="s">
        <v>1375</v>
      </c>
      <c r="F333" s="764" t="s">
        <v>1441</v>
      </c>
      <c r="G333" s="764" t="s">
        <v>1772</v>
      </c>
      <c r="H333" s="764" t="s">
        <v>1431</v>
      </c>
    </row>
    <row r="334" spans="4:8">
      <c r="D334" s="9" t="str">
        <f t="shared" si="16"/>
        <v>FINAL - Resultado exacto</v>
      </c>
      <c r="E334" s="764" t="s">
        <v>1375</v>
      </c>
      <c r="F334" s="764" t="s">
        <v>1443</v>
      </c>
      <c r="G334" s="764" t="s">
        <v>1433</v>
      </c>
      <c r="H334" s="764" t="s">
        <v>1434</v>
      </c>
    </row>
    <row r="335" spans="4:8">
      <c r="D335" s="9" t="str">
        <f t="shared" si="16"/>
        <v>Campeón</v>
      </c>
      <c r="E335" s="764"/>
      <c r="F335" s="764"/>
      <c r="G335" s="764" t="s">
        <v>18</v>
      </c>
      <c r="H335" s="764" t="s">
        <v>222</v>
      </c>
    </row>
    <row r="336" spans="4:8">
      <c r="D336" s="9" t="str">
        <f t="shared" si="16"/>
        <v>Subcampeón</v>
      </c>
      <c r="E336" s="764"/>
      <c r="F336" s="764"/>
      <c r="G336" s="764" t="s">
        <v>19</v>
      </c>
      <c r="H336" s="764" t="s">
        <v>223</v>
      </c>
    </row>
    <row r="337" spans="4:8">
      <c r="D337" s="9" t="str">
        <f t="shared" si="16"/>
        <v>3º puesto</v>
      </c>
      <c r="E337" s="764"/>
      <c r="F337" s="764"/>
      <c r="G337" s="764" t="s">
        <v>1234</v>
      </c>
      <c r="H337" s="764" t="s">
        <v>1235</v>
      </c>
    </row>
    <row r="338" spans="4:8">
      <c r="D338" s="9" t="str">
        <f t="shared" si="16"/>
        <v>Bota de Oro  (máximo goleador)</v>
      </c>
      <c r="E338" s="764" t="s">
        <v>1375</v>
      </c>
      <c r="F338" s="764" t="s">
        <v>1446</v>
      </c>
      <c r="G338" s="764" t="s">
        <v>499</v>
      </c>
      <c r="H338" s="764" t="s">
        <v>1566</v>
      </c>
    </row>
    <row r="339" spans="4:8">
      <c r="D339" s="9" t="str">
        <f t="shared" si="16"/>
        <v>Bota de Plata (2º máximo goleador)</v>
      </c>
      <c r="E339" s="764" t="s">
        <v>1449</v>
      </c>
      <c r="F339" s="764" t="s">
        <v>1450</v>
      </c>
      <c r="G339" s="764" t="s">
        <v>500</v>
      </c>
      <c r="H339" s="764" t="s">
        <v>1567</v>
      </c>
    </row>
    <row r="340" spans="4:8">
      <c r="D340" s="9" t="str">
        <f t="shared" si="16"/>
        <v>Bota de Bronce (3º máximo goleador)</v>
      </c>
      <c r="E340" s="764" t="s">
        <v>1375</v>
      </c>
      <c r="F340" s="764" t="s">
        <v>1458</v>
      </c>
      <c r="G340" s="764" t="s">
        <v>501</v>
      </c>
      <c r="H340" s="764" t="s">
        <v>1568</v>
      </c>
    </row>
    <row r="341" spans="4:8">
      <c r="D341" s="9" t="str">
        <f t="shared" si="16"/>
        <v>Balón de Oro  (mejor jugador)</v>
      </c>
      <c r="E341" s="764" t="s">
        <v>1375</v>
      </c>
      <c r="F341" s="764" t="s">
        <v>1453</v>
      </c>
      <c r="G341" s="764" t="s">
        <v>502</v>
      </c>
      <c r="H341" s="764" t="s">
        <v>1569</v>
      </c>
    </row>
    <row r="342" spans="4:8">
      <c r="D342" s="9" t="str">
        <f t="shared" si="16"/>
        <v>Balón de Plata (2º mejor jugador)</v>
      </c>
      <c r="E342" s="764" t="s">
        <v>1449</v>
      </c>
      <c r="F342" s="764" t="s">
        <v>1456</v>
      </c>
      <c r="G342" s="764" t="s">
        <v>503</v>
      </c>
      <c r="H342" s="764" t="s">
        <v>1570</v>
      </c>
    </row>
    <row r="343" spans="4:8">
      <c r="D343" s="9" t="str">
        <f t="shared" si="16"/>
        <v>Balón de Bronce (3º mejor jugador)</v>
      </c>
      <c r="E343" s="764" t="s">
        <v>1375</v>
      </c>
      <c r="F343" s="764" t="s">
        <v>1458</v>
      </c>
      <c r="G343" s="764" t="s">
        <v>504</v>
      </c>
      <c r="H343" s="764" t="s">
        <v>1571</v>
      </c>
    </row>
    <row r="344" spans="4:8">
      <c r="D344" s="9" t="str">
        <f t="shared" si="16"/>
        <v>Fase de grupos</v>
      </c>
      <c r="E344" s="764" t="s">
        <v>1449</v>
      </c>
      <c r="F344" s="764" t="s">
        <v>1461</v>
      </c>
      <c r="G344" s="764" t="s">
        <v>1243</v>
      </c>
      <c r="H344" s="764" t="s">
        <v>1442</v>
      </c>
    </row>
    <row r="345" spans="4:8">
      <c r="D345" s="9" t="str">
        <f t="shared" si="16"/>
        <v>Posición grupos</v>
      </c>
      <c r="E345" s="764" t="s">
        <v>1375</v>
      </c>
      <c r="F345" s="764" t="s">
        <v>1463</v>
      </c>
      <c r="G345" s="764" t="s">
        <v>1444</v>
      </c>
      <c r="H345" s="764" t="s">
        <v>1445</v>
      </c>
    </row>
    <row r="346" spans="4:8">
      <c r="D346" s="9" t="str">
        <f t="shared" si="16"/>
        <v>CLASIFICADOS PARA PLAYOFFS</v>
      </c>
      <c r="E346" s="764" t="s">
        <v>1449</v>
      </c>
      <c r="F346" s="764" t="s">
        <v>1466</v>
      </c>
      <c r="G346" s="764" t="s">
        <v>1521</v>
      </c>
      <c r="H346" s="764" t="s">
        <v>1522</v>
      </c>
    </row>
    <row r="347" spans="4:8">
      <c r="D347" s="9" t="str">
        <f t="shared" si="16"/>
        <v>CLASIFICADOS PARA OCTAVOS (Desde Fase Liga)</v>
      </c>
      <c r="E347" s="764" t="s">
        <v>1375</v>
      </c>
      <c r="F347" s="764" t="s">
        <v>1468</v>
      </c>
      <c r="G347" s="764" t="s">
        <v>1523</v>
      </c>
      <c r="H347" s="764" t="s">
        <v>1524</v>
      </c>
    </row>
    <row r="348" spans="4:8">
      <c r="D348" s="9" t="str">
        <f t="shared" si="16"/>
        <v>CLASIFICADOS PARA OCTAVOS (DESDE PLAYOFFS)</v>
      </c>
      <c r="E348" s="764" t="s">
        <v>1375</v>
      </c>
      <c r="F348" s="764" t="s">
        <v>1470</v>
      </c>
      <c r="G348" s="764" t="s">
        <v>1525</v>
      </c>
      <c r="H348" s="764" t="s">
        <v>1526</v>
      </c>
    </row>
    <row r="349" spans="4:8">
      <c r="D349" s="9" t="str">
        <f t="shared" si="16"/>
        <v>Clasificados para Octavos de Final</v>
      </c>
      <c r="E349" s="764" t="s">
        <v>1375</v>
      </c>
      <c r="F349" s="764" t="s">
        <v>1471</v>
      </c>
      <c r="G349" s="764" t="s">
        <v>1447</v>
      </c>
      <c r="H349" s="764" t="s">
        <v>1448</v>
      </c>
    </row>
    <row r="350" spans="4:8">
      <c r="D350" s="9" t="str">
        <f t="shared" si="16"/>
        <v>Enfrentamientos Octavos de Final</v>
      </c>
      <c r="E350" s="764" t="s">
        <v>1375</v>
      </c>
      <c r="F350" s="764" t="s">
        <v>1472</v>
      </c>
      <c r="G350" s="764" t="s">
        <v>1451</v>
      </c>
      <c r="H350" s="764" t="s">
        <v>1452</v>
      </c>
    </row>
    <row r="351" spans="4:8">
      <c r="D351" s="9" t="str">
        <f t="shared" si="16"/>
        <v>Clasificados para Cuartos de Final</v>
      </c>
      <c r="E351" s="764" t="s">
        <v>1375</v>
      </c>
      <c r="F351" s="764" t="s">
        <v>1474</v>
      </c>
      <c r="G351" s="764" t="s">
        <v>1454</v>
      </c>
      <c r="H351" s="764" t="s">
        <v>1527</v>
      </c>
    </row>
    <row r="352" spans="4:8">
      <c r="D352" s="9" t="str">
        <f t="shared" si="16"/>
        <v>Clasificados para Cuartos de Final</v>
      </c>
      <c r="E352" s="764" t="s">
        <v>1375</v>
      </c>
      <c r="F352" s="764" t="s">
        <v>28</v>
      </c>
      <c r="G352" s="764" t="s">
        <v>1454</v>
      </c>
      <c r="H352" s="764" t="s">
        <v>1455</v>
      </c>
    </row>
    <row r="353" spans="4:8">
      <c r="D353" s="9" t="str">
        <f t="shared" si="16"/>
        <v>Enfrentamientos Cuartos de Final</v>
      </c>
      <c r="E353" s="764" t="s">
        <v>1375</v>
      </c>
      <c r="F353" s="764"/>
      <c r="G353" s="764" t="s">
        <v>1457</v>
      </c>
      <c r="H353" s="764" t="s">
        <v>219</v>
      </c>
    </row>
    <row r="354" spans="4:8">
      <c r="D354" s="9" t="str">
        <f t="shared" si="16"/>
        <v>Clasificados para Semifinales</v>
      </c>
      <c r="E354" s="764" t="s">
        <v>1375</v>
      </c>
      <c r="F354" s="764"/>
      <c r="G354" s="764" t="s">
        <v>1459</v>
      </c>
      <c r="H354" s="764" t="s">
        <v>1460</v>
      </c>
    </row>
    <row r="355" spans="4:8">
      <c r="D355" s="9" t="str">
        <f t="shared" si="16"/>
        <v>Enfrentamientos Semifinales</v>
      </c>
      <c r="E355" s="764" t="s">
        <v>1375</v>
      </c>
      <c r="F355" s="764"/>
      <c r="G355" s="764" t="s">
        <v>1462</v>
      </c>
      <c r="H355" s="764" t="s">
        <v>220</v>
      </c>
    </row>
    <row r="356" spans="4:8">
      <c r="D356" s="9" t="str">
        <f t="shared" si="16"/>
        <v>Clasificados para la Final</v>
      </c>
      <c r="E356" s="764" t="s">
        <v>1375</v>
      </c>
      <c r="F356" s="764"/>
      <c r="G356" s="764" t="s">
        <v>1464</v>
      </c>
      <c r="H356" s="764" t="s">
        <v>1465</v>
      </c>
    </row>
    <row r="357" spans="4:8">
      <c r="D357" s="9" t="str">
        <f t="shared" si="16"/>
        <v>Partido Final</v>
      </c>
      <c r="E357" s="764" t="s">
        <v>1375</v>
      </c>
      <c r="F357" s="764"/>
      <c r="G357" s="764" t="s">
        <v>1467</v>
      </c>
      <c r="H357" s="764" t="s">
        <v>37</v>
      </c>
    </row>
    <row r="358" spans="4:8">
      <c r="D358" s="9" t="str">
        <f t="shared" si="16"/>
        <v>Cuadro de honor</v>
      </c>
      <c r="E358" s="764" t="s">
        <v>1375</v>
      </c>
      <c r="F358" s="764"/>
      <c r="G358" s="764" t="s">
        <v>1310</v>
      </c>
      <c r="H358" s="764" t="s">
        <v>1469</v>
      </c>
    </row>
    <row r="359" spans="4:8">
      <c r="D359" s="9" t="str">
        <f t="shared" si="16"/>
        <v>Campeón</v>
      </c>
      <c r="E359" s="764" t="s">
        <v>1375</v>
      </c>
      <c r="F359" s="764"/>
      <c r="G359" s="764" t="s">
        <v>18</v>
      </c>
      <c r="H359" s="764" t="s">
        <v>222</v>
      </c>
    </row>
    <row r="360" spans="4:8">
      <c r="D360" s="9" t="str">
        <f t="shared" si="16"/>
        <v>Subcampeón</v>
      </c>
      <c r="E360" s="764" t="s">
        <v>1375</v>
      </c>
      <c r="F360" s="764"/>
      <c r="G360" s="764" t="s">
        <v>19</v>
      </c>
      <c r="H360" s="764" t="s">
        <v>223</v>
      </c>
    </row>
    <row r="361" spans="4:8">
      <c r="D361" s="9" t="str">
        <f t="shared" si="16"/>
        <v>Goleador del torneo</v>
      </c>
      <c r="E361" s="764" t="s">
        <v>1375</v>
      </c>
      <c r="F361" s="764"/>
      <c r="G361" s="764" t="s">
        <v>1438</v>
      </c>
      <c r="H361" s="764" t="s">
        <v>1473</v>
      </c>
    </row>
    <row r="362" spans="4:8">
      <c r="D362" s="9" t="str">
        <f t="shared" si="16"/>
        <v>Mejor jugador del torneo</v>
      </c>
      <c r="E362" s="764" t="s">
        <v>1375</v>
      </c>
      <c r="F362" s="764"/>
      <c r="G362" s="764" t="s">
        <v>1440</v>
      </c>
      <c r="H362" s="764" t="s">
        <v>1475</v>
      </c>
    </row>
    <row r="363" spans="4:8">
      <c r="D363" s="9" t="str">
        <f t="shared" si="16"/>
        <v>Pegar Valores Nombre J</v>
      </c>
      <c r="E363" s="764" t="s">
        <v>1375</v>
      </c>
      <c r="F363" s="764"/>
      <c r="G363" s="764" t="s">
        <v>1925</v>
      </c>
      <c r="H363" s="764" t="s">
        <v>1926</v>
      </c>
    </row>
    <row r="364" spans="4:8">
      <c r="D364" s="9" t="str">
        <f t="shared" ref="D364:D423" si="17">IF($B$2,G364,H364)</f>
        <v>Pegar Valores (J1)</v>
      </c>
      <c r="E364" s="764" t="s">
        <v>1375</v>
      </c>
      <c r="F364" s="764"/>
      <c r="G364" s="764" t="s">
        <v>1476</v>
      </c>
      <c r="H364" s="764" t="s">
        <v>1477</v>
      </c>
    </row>
    <row r="365" spans="4:8">
      <c r="D365" s="9" t="str">
        <f t="shared" si="17"/>
        <v>Pegar Valores (J2)</v>
      </c>
      <c r="E365" s="764" t="s">
        <v>1375</v>
      </c>
      <c r="F365" s="764"/>
      <c r="G365" s="764" t="s">
        <v>1478</v>
      </c>
      <c r="H365" s="764" t="s">
        <v>1479</v>
      </c>
    </row>
    <row r="366" spans="4:8">
      <c r="D366" s="9" t="str">
        <f t="shared" si="17"/>
        <v>Pegar Valores (J3)</v>
      </c>
      <c r="E366" s="764" t="s">
        <v>1375</v>
      </c>
      <c r="F366" s="764"/>
      <c r="G366" s="764" t="s">
        <v>1480</v>
      </c>
      <c r="H366" s="764" t="s">
        <v>1481</v>
      </c>
    </row>
    <row r="367" spans="4:8">
      <c r="D367" s="9" t="str">
        <f t="shared" si="17"/>
        <v>Pegar Valores Dieciseisavos</v>
      </c>
      <c r="E367" s="764" t="s">
        <v>1375</v>
      </c>
      <c r="F367" s="764" t="s">
        <v>1488</v>
      </c>
      <c r="G367" s="764" t="s">
        <v>1583</v>
      </c>
      <c r="H367" s="764" t="s">
        <v>1584</v>
      </c>
    </row>
    <row r="368" spans="4:8">
      <c r="D368" s="9" t="str">
        <f t="shared" si="17"/>
        <v>Pegar Valores Octavos</v>
      </c>
      <c r="E368" s="764" t="s">
        <v>1375</v>
      </c>
      <c r="F368" s="764" t="s">
        <v>1489</v>
      </c>
      <c r="G368" s="764" t="s">
        <v>1482</v>
      </c>
      <c r="H368" s="764" t="s">
        <v>1483</v>
      </c>
    </row>
    <row r="369" spans="4:8">
      <c r="D369" s="9" t="str">
        <f t="shared" si="17"/>
        <v>Pegar valores Cuartos</v>
      </c>
      <c r="E369" s="764" t="s">
        <v>1375</v>
      </c>
      <c r="F369" s="764" t="s">
        <v>1490</v>
      </c>
      <c r="G369" s="764" t="s">
        <v>1484</v>
      </c>
      <c r="H369" s="764" t="s">
        <v>1485</v>
      </c>
    </row>
    <row r="370" spans="4:8">
      <c r="D370" s="9" t="str">
        <f t="shared" si="17"/>
        <v>Pegar valores Semifinales</v>
      </c>
      <c r="E370" s="764" t="s">
        <v>1375</v>
      </c>
      <c r="F370" s="764" t="s">
        <v>1491</v>
      </c>
      <c r="G370" s="764" t="s">
        <v>1486</v>
      </c>
      <c r="H370" s="764" t="s">
        <v>1487</v>
      </c>
    </row>
    <row r="371" spans="4:8">
      <c r="D371" s="9" t="str">
        <f t="shared" si="17"/>
        <v>Pegar valores 3º-4º puesto y Final</v>
      </c>
      <c r="E371" s="764" t="s">
        <v>1375</v>
      </c>
      <c r="F371" s="764" t="s">
        <v>1492</v>
      </c>
      <c r="G371" s="764" t="s">
        <v>1585</v>
      </c>
      <c r="H371" s="764" t="s">
        <v>1586</v>
      </c>
    </row>
    <row r="372" spans="4:8">
      <c r="D372" s="9" t="str">
        <f t="shared" si="17"/>
        <v>Pegar valores Predictor</v>
      </c>
      <c r="E372" s="764" t="s">
        <v>1375</v>
      </c>
      <c r="F372" s="764" t="s">
        <v>1493</v>
      </c>
      <c r="G372" s="764" t="s">
        <v>1528</v>
      </c>
      <c r="H372" s="764" t="s">
        <v>1529</v>
      </c>
    </row>
    <row r="373" spans="4:8">
      <c r="D373" s="9" t="str">
        <f t="shared" si="17"/>
        <v>Pegar Valores Cuadro de Honor</v>
      </c>
      <c r="E373" s="764"/>
      <c r="F373" s="764"/>
      <c r="G373" s="764" t="s">
        <v>1587</v>
      </c>
      <c r="H373" s="764" t="s">
        <v>1588</v>
      </c>
    </row>
    <row r="374" spans="4:8">
      <c r="D374" s="9" t="str">
        <f t="shared" si="17"/>
        <v>1º GRUPO A</v>
      </c>
      <c r="E374" s="764" t="s">
        <v>1375</v>
      </c>
      <c r="F374" s="764" t="s">
        <v>1494</v>
      </c>
      <c r="G374" s="764" t="s">
        <v>45</v>
      </c>
      <c r="H374" s="764" t="s">
        <v>377</v>
      </c>
    </row>
    <row r="375" spans="4:8">
      <c r="D375" s="9" t="str">
        <f t="shared" si="17"/>
        <v>2º GRUPO A</v>
      </c>
      <c r="E375" s="764" t="s">
        <v>1375</v>
      </c>
      <c r="F375" s="764" t="s">
        <v>1495</v>
      </c>
      <c r="G375" s="764" t="s">
        <v>46</v>
      </c>
      <c r="H375" s="764" t="s">
        <v>378</v>
      </c>
    </row>
    <row r="376" spans="4:8">
      <c r="D376" s="9" t="str">
        <f t="shared" si="17"/>
        <v>3º GRUPO A</v>
      </c>
      <c r="E376" s="764" t="s">
        <v>1375</v>
      </c>
      <c r="F376" s="764" t="s">
        <v>1496</v>
      </c>
      <c r="G376" s="764" t="s">
        <v>47</v>
      </c>
      <c r="H376" s="764" t="s">
        <v>379</v>
      </c>
    </row>
    <row r="377" spans="4:8">
      <c r="D377" s="9" t="str">
        <f t="shared" si="17"/>
        <v>4º GRUPO A</v>
      </c>
      <c r="E377" s="764" t="s">
        <v>1375</v>
      </c>
      <c r="F377" s="764" t="s">
        <v>1497</v>
      </c>
      <c r="G377" s="764" t="s">
        <v>48</v>
      </c>
      <c r="H377" s="764" t="s">
        <v>380</v>
      </c>
    </row>
    <row r="378" spans="4:8">
      <c r="D378" s="9" t="str">
        <f t="shared" si="17"/>
        <v>1º GRUPO B</v>
      </c>
      <c r="E378" s="764" t="s">
        <v>1375</v>
      </c>
      <c r="F378" s="764" t="s">
        <v>1498</v>
      </c>
      <c r="G378" s="764" t="s">
        <v>49</v>
      </c>
      <c r="H378" s="764" t="s">
        <v>381</v>
      </c>
    </row>
    <row r="379" spans="4:8">
      <c r="D379" s="9" t="str">
        <f t="shared" si="17"/>
        <v>2º GRUPO B</v>
      </c>
      <c r="E379" s="764" t="s">
        <v>1375</v>
      </c>
      <c r="F379" s="764" t="s">
        <v>1499</v>
      </c>
      <c r="G379" s="764" t="s">
        <v>50</v>
      </c>
      <c r="H379" s="764" t="s">
        <v>382</v>
      </c>
    </row>
    <row r="380" spans="4:8">
      <c r="D380" s="9" t="str">
        <f t="shared" si="17"/>
        <v>3º GRUPO B</v>
      </c>
      <c r="E380" s="764" t="s">
        <v>1375</v>
      </c>
      <c r="F380" s="764" t="s">
        <v>1500</v>
      </c>
      <c r="G380" s="764" t="s">
        <v>51</v>
      </c>
      <c r="H380" s="764" t="s">
        <v>383</v>
      </c>
    </row>
    <row r="381" spans="4:8">
      <c r="D381" s="9" t="str">
        <f t="shared" si="17"/>
        <v>4º GRUPO B</v>
      </c>
      <c r="E381" s="764" t="s">
        <v>1375</v>
      </c>
      <c r="F381" s="764" t="s">
        <v>1501</v>
      </c>
      <c r="G381" s="764" t="s">
        <v>52</v>
      </c>
      <c r="H381" s="764" t="s">
        <v>384</v>
      </c>
    </row>
    <row r="382" spans="4:8">
      <c r="D382" s="9" t="str">
        <f t="shared" si="17"/>
        <v>1º GRUPO C</v>
      </c>
      <c r="E382" s="764" t="s">
        <v>1375</v>
      </c>
      <c r="F382" s="764" t="s">
        <v>1502</v>
      </c>
      <c r="G382" s="764" t="s">
        <v>53</v>
      </c>
      <c r="H382" s="764" t="s">
        <v>385</v>
      </c>
    </row>
    <row r="383" spans="4:8">
      <c r="D383" s="9" t="str">
        <f t="shared" si="17"/>
        <v>2º GRUPO C</v>
      </c>
      <c r="E383" s="764" t="s">
        <v>1375</v>
      </c>
      <c r="F383" s="764" t="s">
        <v>1503</v>
      </c>
      <c r="G383" s="764" t="s">
        <v>54</v>
      </c>
      <c r="H383" s="764" t="s">
        <v>386</v>
      </c>
    </row>
    <row r="384" spans="4:8">
      <c r="D384" s="9" t="str">
        <f t="shared" si="17"/>
        <v>3º GRUPO C</v>
      </c>
      <c r="E384" s="764" t="s">
        <v>1375</v>
      </c>
      <c r="F384" s="764" t="s">
        <v>1504</v>
      </c>
      <c r="G384" s="764" t="s">
        <v>55</v>
      </c>
      <c r="H384" s="764" t="s">
        <v>387</v>
      </c>
    </row>
    <row r="385" spans="4:8">
      <c r="D385" s="9" t="str">
        <f t="shared" si="17"/>
        <v>4º GRUPO C</v>
      </c>
      <c r="E385" s="764" t="s">
        <v>1375</v>
      </c>
      <c r="F385" s="764" t="s">
        <v>1505</v>
      </c>
      <c r="G385" s="764" t="s">
        <v>56</v>
      </c>
      <c r="H385" s="764" t="s">
        <v>388</v>
      </c>
    </row>
    <row r="386" spans="4:8">
      <c r="D386" s="9" t="str">
        <f t="shared" si="17"/>
        <v>1º GRUPO D</v>
      </c>
      <c r="E386" s="764" t="s">
        <v>1375</v>
      </c>
      <c r="F386" s="764" t="s">
        <v>1506</v>
      </c>
      <c r="G386" s="764" t="s">
        <v>96</v>
      </c>
      <c r="H386" s="764" t="s">
        <v>389</v>
      </c>
    </row>
    <row r="387" spans="4:8">
      <c r="D387" s="9" t="str">
        <f t="shared" si="17"/>
        <v>2º GRUPO D</v>
      </c>
      <c r="E387" s="764" t="s">
        <v>1375</v>
      </c>
      <c r="F387" s="764" t="s">
        <v>1507</v>
      </c>
      <c r="G387" s="764" t="s">
        <v>97</v>
      </c>
      <c r="H387" s="764" t="s">
        <v>390</v>
      </c>
    </row>
    <row r="388" spans="4:8">
      <c r="D388" s="9" t="str">
        <f t="shared" si="17"/>
        <v>3º GRUPO D</v>
      </c>
      <c r="E388" s="764" t="s">
        <v>1375</v>
      </c>
      <c r="F388" s="764" t="s">
        <v>1508</v>
      </c>
      <c r="G388" s="764" t="s">
        <v>98</v>
      </c>
      <c r="H388" s="764" t="s">
        <v>391</v>
      </c>
    </row>
    <row r="389" spans="4:8">
      <c r="D389" s="9" t="str">
        <f t="shared" si="17"/>
        <v>4º GRUPO D</v>
      </c>
      <c r="E389" s="764" t="s">
        <v>1375</v>
      </c>
      <c r="F389" s="764" t="s">
        <v>1509</v>
      </c>
      <c r="G389" s="764" t="s">
        <v>99</v>
      </c>
      <c r="H389" s="764" t="s">
        <v>392</v>
      </c>
    </row>
    <row r="390" spans="4:8">
      <c r="D390" s="9" t="str">
        <f t="shared" si="17"/>
        <v>1º GRUPO E</v>
      </c>
      <c r="E390" s="764" t="s">
        <v>1375</v>
      </c>
      <c r="F390" s="764" t="s">
        <v>1510</v>
      </c>
      <c r="G390" s="764" t="s">
        <v>100</v>
      </c>
      <c r="H390" s="764" t="s">
        <v>393</v>
      </c>
    </row>
    <row r="391" spans="4:8">
      <c r="D391" s="9" t="str">
        <f t="shared" si="17"/>
        <v>2º GRUPO E</v>
      </c>
      <c r="E391" s="764" t="s">
        <v>1375</v>
      </c>
      <c r="F391" s="764" t="s">
        <v>1511</v>
      </c>
      <c r="G391" s="764" t="s">
        <v>101</v>
      </c>
      <c r="H391" s="764" t="s">
        <v>394</v>
      </c>
    </row>
    <row r="392" spans="4:8">
      <c r="D392" s="9" t="str">
        <f t="shared" si="17"/>
        <v>3º GRUPO E</v>
      </c>
      <c r="E392" s="764" t="s">
        <v>1375</v>
      </c>
      <c r="F392" s="764" t="s">
        <v>1512</v>
      </c>
      <c r="G392" s="764" t="s">
        <v>102</v>
      </c>
      <c r="H392" s="764" t="s">
        <v>395</v>
      </c>
    </row>
    <row r="393" spans="4:8">
      <c r="D393" s="9" t="str">
        <f t="shared" si="17"/>
        <v>4º GRUPO E</v>
      </c>
      <c r="E393" s="764" t="s">
        <v>1375</v>
      </c>
      <c r="F393" s="764" t="s">
        <v>1513</v>
      </c>
      <c r="G393" s="764" t="s">
        <v>103</v>
      </c>
      <c r="H393" s="764" t="s">
        <v>396</v>
      </c>
    </row>
    <row r="394" spans="4:8">
      <c r="D394" s="9" t="str">
        <f t="shared" si="17"/>
        <v>1º GRUPO F</v>
      </c>
      <c r="E394" s="764" t="s">
        <v>1375</v>
      </c>
      <c r="F394" s="764" t="s">
        <v>1514</v>
      </c>
      <c r="G394" s="764" t="s">
        <v>104</v>
      </c>
      <c r="H394" s="764" t="s">
        <v>397</v>
      </c>
    </row>
    <row r="395" spans="4:8">
      <c r="D395" s="9" t="str">
        <f t="shared" si="17"/>
        <v>2º GRUPO F</v>
      </c>
      <c r="E395" s="764" t="s">
        <v>1375</v>
      </c>
      <c r="F395" s="764" t="s">
        <v>1515</v>
      </c>
      <c r="G395" s="764" t="s">
        <v>105</v>
      </c>
      <c r="H395" s="764" t="s">
        <v>398</v>
      </c>
    </row>
    <row r="396" spans="4:8">
      <c r="D396" s="9" t="str">
        <f t="shared" si="17"/>
        <v>3º GRUPO F</v>
      </c>
      <c r="E396" s="764" t="s">
        <v>1375</v>
      </c>
      <c r="F396" s="764"/>
      <c r="G396" s="764" t="s">
        <v>106</v>
      </c>
      <c r="H396" s="764" t="s">
        <v>399</v>
      </c>
    </row>
    <row r="397" spans="4:8">
      <c r="D397" s="9" t="str">
        <f t="shared" si="17"/>
        <v>4º GRUPO F</v>
      </c>
      <c r="E397" s="764" t="s">
        <v>1375</v>
      </c>
      <c r="F397" s="764"/>
      <c r="G397" s="764" t="s">
        <v>107</v>
      </c>
      <c r="H397" s="764" t="s">
        <v>400</v>
      </c>
    </row>
    <row r="398" spans="4:8">
      <c r="D398" s="9" t="str">
        <f t="shared" si="17"/>
        <v>1º GRUPO G</v>
      </c>
      <c r="E398" s="764" t="s">
        <v>1375</v>
      </c>
      <c r="F398" s="764"/>
      <c r="G398" s="764" t="s">
        <v>516</v>
      </c>
      <c r="H398" s="764" t="s">
        <v>520</v>
      </c>
    </row>
    <row r="399" spans="4:8">
      <c r="D399" s="9" t="str">
        <f t="shared" si="17"/>
        <v>2º GRUPO G</v>
      </c>
      <c r="E399" s="764" t="s">
        <v>1375</v>
      </c>
      <c r="F399" s="764"/>
      <c r="G399" s="764" t="s">
        <v>517</v>
      </c>
      <c r="H399" s="764" t="s">
        <v>521</v>
      </c>
    </row>
    <row r="400" spans="4:8">
      <c r="D400" s="9" t="str">
        <f t="shared" si="17"/>
        <v>3º GRUPO G</v>
      </c>
      <c r="E400" s="764" t="s">
        <v>1375</v>
      </c>
      <c r="F400" s="764"/>
      <c r="G400" s="764" t="s">
        <v>518</v>
      </c>
      <c r="H400" s="764" t="s">
        <v>522</v>
      </c>
    </row>
    <row r="401" spans="4:8">
      <c r="D401" s="9" t="str">
        <f t="shared" si="17"/>
        <v>4º GRUPO G</v>
      </c>
      <c r="E401" s="764" t="s">
        <v>1375</v>
      </c>
      <c r="F401" s="764"/>
      <c r="G401" s="764" t="s">
        <v>519</v>
      </c>
      <c r="H401" s="764" t="s">
        <v>523</v>
      </c>
    </row>
    <row r="402" spans="4:8">
      <c r="D402" s="9" t="str">
        <f t="shared" si="17"/>
        <v>1º GRUPO H</v>
      </c>
      <c r="E402" s="764" t="s">
        <v>1375</v>
      </c>
      <c r="F402" s="764"/>
      <c r="G402" s="764" t="s">
        <v>524</v>
      </c>
      <c r="H402" s="764" t="s">
        <v>528</v>
      </c>
    </row>
    <row r="403" spans="4:8">
      <c r="D403" s="9" t="str">
        <f t="shared" si="17"/>
        <v>2º GRUPO H</v>
      </c>
      <c r="E403" s="764" t="s">
        <v>1375</v>
      </c>
      <c r="G403" s="764" t="s">
        <v>525</v>
      </c>
      <c r="H403" s="764" t="s">
        <v>529</v>
      </c>
    </row>
    <row r="404" spans="4:8">
      <c r="D404" s="9" t="str">
        <f t="shared" si="17"/>
        <v>3º GRUPO H</v>
      </c>
      <c r="E404" s="764" t="s">
        <v>1375</v>
      </c>
      <c r="G404" s="764" t="s">
        <v>526</v>
      </c>
      <c r="H404" s="764" t="s">
        <v>530</v>
      </c>
    </row>
    <row r="405" spans="4:8">
      <c r="D405" s="9" t="str">
        <f t="shared" si="17"/>
        <v>4º GRUPO H</v>
      </c>
      <c r="E405" s="764" t="s">
        <v>1375</v>
      </c>
      <c r="G405" s="764" t="s">
        <v>527</v>
      </c>
      <c r="H405" s="764" t="s">
        <v>531</v>
      </c>
    </row>
    <row r="406" spans="4:8">
      <c r="D406" s="9" t="str">
        <f t="shared" si="17"/>
        <v>1º GRUPO I</v>
      </c>
      <c r="E406" s="764" t="s">
        <v>1375</v>
      </c>
      <c r="G406" s="764" t="s">
        <v>532</v>
      </c>
      <c r="H406" s="764" t="s">
        <v>536</v>
      </c>
    </row>
    <row r="407" spans="4:8">
      <c r="D407" s="9" t="str">
        <f t="shared" si="17"/>
        <v>2º GRUPO I</v>
      </c>
      <c r="E407" s="764" t="s">
        <v>1375</v>
      </c>
      <c r="G407" s="764" t="s">
        <v>533</v>
      </c>
      <c r="H407" s="764" t="s">
        <v>537</v>
      </c>
    </row>
    <row r="408" spans="4:8">
      <c r="D408" s="9" t="str">
        <f t="shared" si="17"/>
        <v>3º GRUPO I</v>
      </c>
      <c r="E408" s="764" t="s">
        <v>1375</v>
      </c>
      <c r="G408" s="764" t="s">
        <v>534</v>
      </c>
      <c r="H408" s="764" t="s">
        <v>538</v>
      </c>
    </row>
    <row r="409" spans="4:8">
      <c r="D409" s="9" t="str">
        <f t="shared" si="17"/>
        <v>4º GRUPO I</v>
      </c>
      <c r="E409" s="764" t="s">
        <v>1375</v>
      </c>
      <c r="G409" s="764" t="s">
        <v>535</v>
      </c>
      <c r="H409" s="764" t="s">
        <v>539</v>
      </c>
    </row>
    <row r="410" spans="4:8">
      <c r="D410" s="9" t="str">
        <f t="shared" si="17"/>
        <v>1º GRUPO J</v>
      </c>
      <c r="E410" s="764" t="s">
        <v>1375</v>
      </c>
      <c r="G410" s="764" t="s">
        <v>540</v>
      </c>
      <c r="H410" s="764" t="s">
        <v>544</v>
      </c>
    </row>
    <row r="411" spans="4:8">
      <c r="D411" s="9" t="str">
        <f t="shared" si="17"/>
        <v>2º GRUPO J</v>
      </c>
      <c r="E411" s="764" t="s">
        <v>1375</v>
      </c>
      <c r="G411" s="764" t="s">
        <v>541</v>
      </c>
      <c r="H411" s="764" t="s">
        <v>545</v>
      </c>
    </row>
    <row r="412" spans="4:8">
      <c r="D412" s="9" t="str">
        <f t="shared" si="17"/>
        <v>3º GRUPO J</v>
      </c>
      <c r="E412" s="764" t="s">
        <v>1375</v>
      </c>
      <c r="G412" s="764" t="s">
        <v>542</v>
      </c>
      <c r="H412" s="764" t="s">
        <v>546</v>
      </c>
    </row>
    <row r="413" spans="4:8">
      <c r="D413" s="9" t="str">
        <f t="shared" si="17"/>
        <v>4º GRUPO J</v>
      </c>
      <c r="E413" s="764" t="s">
        <v>1375</v>
      </c>
      <c r="G413" s="764" t="s">
        <v>543</v>
      </c>
      <c r="H413" s="764" t="s">
        <v>547</v>
      </c>
    </row>
    <row r="414" spans="4:8">
      <c r="D414" s="9" t="str">
        <f t="shared" si="17"/>
        <v>1º GRUPO K</v>
      </c>
      <c r="E414" s="764" t="s">
        <v>1375</v>
      </c>
      <c r="G414" s="764" t="s">
        <v>548</v>
      </c>
      <c r="H414" s="764" t="s">
        <v>552</v>
      </c>
    </row>
    <row r="415" spans="4:8">
      <c r="D415" s="9" t="str">
        <f t="shared" si="17"/>
        <v>2º GRUPO K</v>
      </c>
      <c r="E415" s="764" t="s">
        <v>1375</v>
      </c>
      <c r="G415" s="764" t="s">
        <v>549</v>
      </c>
      <c r="H415" s="764" t="s">
        <v>553</v>
      </c>
    </row>
    <row r="416" spans="4:8">
      <c r="D416" s="9" t="str">
        <f t="shared" si="17"/>
        <v>3º GRUPO K</v>
      </c>
      <c r="E416" s="764" t="s">
        <v>1375</v>
      </c>
      <c r="G416" s="764" t="s">
        <v>550</v>
      </c>
      <c r="H416" s="764" t="s">
        <v>554</v>
      </c>
    </row>
    <row r="417" spans="4:8">
      <c r="D417" s="9" t="str">
        <f t="shared" si="17"/>
        <v>4º GRUPO K</v>
      </c>
      <c r="E417" s="764" t="s">
        <v>1375</v>
      </c>
      <c r="G417" s="764" t="s">
        <v>551</v>
      </c>
      <c r="H417" s="764" t="s">
        <v>555</v>
      </c>
    </row>
    <row r="418" spans="4:8">
      <c r="D418" s="9" t="str">
        <f t="shared" si="17"/>
        <v>1º GRUPO L</v>
      </c>
      <c r="E418" s="764" t="s">
        <v>1375</v>
      </c>
      <c r="G418" s="764" t="s">
        <v>556</v>
      </c>
      <c r="H418" s="764" t="s">
        <v>560</v>
      </c>
    </row>
    <row r="419" spans="4:8">
      <c r="D419" s="9" t="str">
        <f t="shared" si="17"/>
        <v>2º GRUPO L</v>
      </c>
      <c r="E419" s="764" t="s">
        <v>1375</v>
      </c>
      <c r="G419" s="764" t="s">
        <v>557</v>
      </c>
      <c r="H419" s="764" t="s">
        <v>561</v>
      </c>
    </row>
    <row r="420" spans="4:8">
      <c r="D420" s="9" t="str">
        <f t="shared" si="17"/>
        <v>3º GRUPO L</v>
      </c>
      <c r="E420" s="764" t="s">
        <v>1375</v>
      </c>
      <c r="G420" s="764" t="s">
        <v>558</v>
      </c>
      <c r="H420" s="764" t="s">
        <v>562</v>
      </c>
    </row>
    <row r="421" spans="4:8">
      <c r="D421" s="9" t="str">
        <f t="shared" si="17"/>
        <v>4º GRUPO L</v>
      </c>
      <c r="E421" s="764" t="s">
        <v>1375</v>
      </c>
      <c r="G421" s="764" t="s">
        <v>559</v>
      </c>
      <c r="H421" s="764" t="s">
        <v>563</v>
      </c>
    </row>
    <row r="422" spans="4:8">
      <c r="D422" s="9" t="str">
        <f t="shared" si="17"/>
        <v>Dieciseisavofinalista</v>
      </c>
      <c r="E422" s="764" t="s">
        <v>1375</v>
      </c>
      <c r="G422" s="764" t="s">
        <v>566</v>
      </c>
      <c r="H422" s="764" t="s">
        <v>567</v>
      </c>
    </row>
    <row r="423" spans="4:8">
      <c r="D423" s="9" t="str">
        <f t="shared" si="17"/>
        <v>Octavofinalista</v>
      </c>
      <c r="E423" s="764" t="s">
        <v>1375</v>
      </c>
      <c r="G423" s="764" t="s">
        <v>1296</v>
      </c>
      <c r="H423" s="764" t="s">
        <v>401</v>
      </c>
    </row>
    <row r="424" spans="4:8">
      <c r="D424" s="9" t="str">
        <f t="shared" ref="D424:D446" si="18">IF($B$2,G424,H424)</f>
        <v>Cuartofinalista</v>
      </c>
      <c r="E424" s="764" t="s">
        <v>1375</v>
      </c>
      <c r="G424" s="764" t="s">
        <v>58</v>
      </c>
      <c r="H424" s="764" t="s">
        <v>402</v>
      </c>
    </row>
    <row r="425" spans="4:8">
      <c r="D425" s="9" t="str">
        <f t="shared" si="18"/>
        <v>Semifinalista</v>
      </c>
      <c r="E425" s="764" t="s">
        <v>1375</v>
      </c>
      <c r="G425" s="764" t="s">
        <v>61</v>
      </c>
      <c r="H425" s="764" t="s">
        <v>403</v>
      </c>
    </row>
    <row r="426" spans="4:8">
      <c r="D426" s="9" t="str">
        <f t="shared" si="18"/>
        <v>3º y 4º puesto</v>
      </c>
      <c r="E426" s="764" t="s">
        <v>1375</v>
      </c>
      <c r="G426" s="764" t="s">
        <v>491</v>
      </c>
      <c r="H426" s="764" t="s">
        <v>492</v>
      </c>
    </row>
    <row r="427" spans="4:8">
      <c r="D427" s="9" t="str">
        <f t="shared" si="18"/>
        <v>Finalista</v>
      </c>
      <c r="E427" s="764" t="s">
        <v>1375</v>
      </c>
      <c r="G427" s="764" t="s">
        <v>64</v>
      </c>
      <c r="H427" s="764" t="s">
        <v>404</v>
      </c>
    </row>
    <row r="428" spans="4:8">
      <c r="D428" s="9" t="str">
        <f t="shared" si="18"/>
        <v>J1</v>
      </c>
      <c r="E428" s="764" t="s">
        <v>1375</v>
      </c>
      <c r="G428" s="764" t="s">
        <v>26</v>
      </c>
      <c r="H428" s="764" t="s">
        <v>273</v>
      </c>
    </row>
    <row r="429" spans="4:8">
      <c r="D429" s="9" t="str">
        <f t="shared" si="18"/>
        <v>J2</v>
      </c>
      <c r="E429" s="764" t="s">
        <v>1375</v>
      </c>
      <c r="G429" s="764" t="s">
        <v>27</v>
      </c>
      <c r="H429" s="764" t="s">
        <v>274</v>
      </c>
    </row>
    <row r="430" spans="4:8">
      <c r="D430" s="9" t="str">
        <f t="shared" si="18"/>
        <v>J3</v>
      </c>
      <c r="E430" s="764" t="s">
        <v>1375</v>
      </c>
      <c r="G430" s="764" t="s">
        <v>28</v>
      </c>
      <c r="H430" s="764" t="s">
        <v>275</v>
      </c>
    </row>
    <row r="431" spans="4:8">
      <c r="D431" s="9" t="str">
        <f t="shared" si="18"/>
        <v>Sistema de puntuación</v>
      </c>
      <c r="E431" s="764" t="s">
        <v>1375</v>
      </c>
      <c r="G431" s="764" t="s">
        <v>1937</v>
      </c>
      <c r="H431" s="764" t="s">
        <v>1938</v>
      </c>
    </row>
    <row r="432" spans="4:8">
      <c r="D432" s="9">
        <f t="shared" si="18"/>
        <v>0</v>
      </c>
      <c r="E432" s="764" t="s">
        <v>1375</v>
      </c>
      <c r="G432" s="764"/>
      <c r="H432" s="764"/>
    </row>
    <row r="433" spans="4:8">
      <c r="D433" s="9" t="str">
        <f t="shared" si="18"/>
        <v>PREDICTOR - Campeón</v>
      </c>
      <c r="E433" s="764" t="s">
        <v>1375</v>
      </c>
      <c r="G433" s="764" t="s">
        <v>1530</v>
      </c>
      <c r="H433" s="764" t="s">
        <v>1531</v>
      </c>
    </row>
    <row r="434" spans="4:8">
      <c r="D434" s="9" t="str">
        <f t="shared" si="18"/>
        <v>PREDICTOR - Subcampeón</v>
      </c>
      <c r="E434" s="764" t="s">
        <v>1375</v>
      </c>
      <c r="G434" s="764" t="s">
        <v>1581</v>
      </c>
      <c r="H434" s="764" t="s">
        <v>1582</v>
      </c>
    </row>
    <row r="435" spans="4:8">
      <c r="D435" s="9" t="str">
        <f t="shared" ref="D435" si="19">IF($B$2,G435,H435)</f>
        <v>PREDICTOR- 3º puesto</v>
      </c>
      <c r="E435" s="764" t="s">
        <v>1375</v>
      </c>
      <c r="G435" s="764" t="s">
        <v>1579</v>
      </c>
      <c r="H435" s="764" t="s">
        <v>1580</v>
      </c>
    </row>
    <row r="436" spans="4:8">
      <c r="D436" s="9" t="str">
        <f t="shared" si="18"/>
        <v>PREDICTOR - Semifinales</v>
      </c>
      <c r="E436" s="764" t="s">
        <v>1375</v>
      </c>
      <c r="G436" s="764" t="s">
        <v>1532</v>
      </c>
      <c r="H436" s="764" t="s">
        <v>1533</v>
      </c>
    </row>
    <row r="437" spans="4:8">
      <c r="D437" s="9" t="str">
        <f t="shared" si="18"/>
        <v>PREDICTOR - Cuartos de final</v>
      </c>
      <c r="E437" s="764" t="s">
        <v>1375</v>
      </c>
      <c r="G437" s="764" t="s">
        <v>1534</v>
      </c>
      <c r="H437" s="764" t="s">
        <v>1535</v>
      </c>
    </row>
    <row r="438" spans="4:8">
      <c r="D438" s="9" t="str">
        <f t="shared" si="18"/>
        <v>PREDICTOR - Octavos de final</v>
      </c>
      <c r="E438" s="764" t="s">
        <v>1375</v>
      </c>
      <c r="G438" s="764" t="s">
        <v>1536</v>
      </c>
      <c r="H438" s="764" t="s">
        <v>1537</v>
      </c>
    </row>
    <row r="439" spans="4:8">
      <c r="D439" s="9" t="str">
        <f t="shared" si="18"/>
        <v>PREDICTOR - Dieciseisavos de final</v>
      </c>
      <c r="E439" s="764" t="s">
        <v>1375</v>
      </c>
      <c r="G439" s="764" t="s">
        <v>1573</v>
      </c>
      <c r="H439" s="764" t="s">
        <v>1574</v>
      </c>
    </row>
    <row r="440" spans="4:8">
      <c r="D440" s="9" t="str">
        <f t="shared" si="18"/>
        <v>PREDICTOR- Fase de Liga</v>
      </c>
      <c r="E440" s="764" t="s">
        <v>1375</v>
      </c>
      <c r="G440" s="764" t="s">
        <v>1538</v>
      </c>
      <c r="H440" s="764" t="s">
        <v>1539</v>
      </c>
    </row>
    <row r="441" spans="4:8">
      <c r="D441" s="9" t="str">
        <f t="shared" si="18"/>
        <v>% Ajuste por desvío en Diferencia/Distancia de goles</v>
      </c>
      <c r="E441" s="764" t="s">
        <v>1375</v>
      </c>
      <c r="G441" s="764" t="s">
        <v>1739</v>
      </c>
      <c r="H441" s="764" t="s">
        <v>1776</v>
      </c>
    </row>
    <row r="442" spans="4:8">
      <c r="D442" s="9" t="str">
        <f t="shared" si="18"/>
        <v>None</v>
      </c>
      <c r="E442" s="764" t="s">
        <v>1449</v>
      </c>
      <c r="G442" s="764" t="s">
        <v>1927</v>
      </c>
      <c r="H442" s="9" t="s">
        <v>1927</v>
      </c>
    </row>
    <row r="443" spans="4:8">
      <c r="D443" s="9" t="str">
        <f t="shared" si="18"/>
        <v>**¿Qué es esto y cómo funciona?</v>
      </c>
      <c r="E443" s="764" t="s">
        <v>1375</v>
      </c>
      <c r="G443" s="764" t="s">
        <v>1826</v>
      </c>
      <c r="H443" s="764" t="s">
        <v>1827</v>
      </c>
    </row>
    <row r="444" spans="4:8">
      <c r="D444" s="9" t="str">
        <f t="shared" si="18"/>
        <v>https://matejero.es/puntuaciones-excel-mundial-2026/#%C2%BFQue_es_y_como_funciona_el_ajuste_por_desvio_en_diferenciadistancia_de_goles</v>
      </c>
      <c r="E444" s="764" t="s">
        <v>1375</v>
      </c>
      <c r="G444" s="766" t="s">
        <v>1825</v>
      </c>
      <c r="H444" s="766" t="s">
        <v>1929</v>
      </c>
    </row>
    <row r="445" spans="4:8">
      <c r="D445" s="9" t="str">
        <f t="shared" si="18"/>
        <v>?</v>
      </c>
      <c r="E445" s="764" t="s">
        <v>1375</v>
      </c>
      <c r="G445" s="764" t="s">
        <v>1831</v>
      </c>
      <c r="H445" s="764" t="s">
        <v>1831</v>
      </c>
    </row>
    <row r="446" spans="4:8">
      <c r="D446" s="9" t="str">
        <f t="shared" si="18"/>
        <v>https://matejero.es/puntuaciones-excel-mundial-2026/#%C2%BFQue_es_un_BONUS</v>
      </c>
      <c r="E446" s="764" t="s">
        <v>1375</v>
      </c>
      <c r="G446" s="766" t="s">
        <v>1832</v>
      </c>
      <c r="H446" s="766" t="s">
        <v>1928</v>
      </c>
    </row>
    <row r="447" spans="4:8">
      <c r="E447" s="764"/>
      <c r="G447" s="765"/>
      <c r="H447" s="765"/>
    </row>
    <row r="448" spans="4:8">
      <c r="E448" s="764"/>
      <c r="G448" s="765"/>
      <c r="H448" s="765"/>
    </row>
    <row r="451" spans="4:8">
      <c r="D451" s="9" t="str">
        <f t="shared" ref="D451:D470" si="20">IF($B$2,G451,H451)</f>
        <v>CLASIFICACIÓN MUNDIAL 2026</v>
      </c>
      <c r="E451" s="9" t="s">
        <v>1589</v>
      </c>
      <c r="F451" s="9" t="s">
        <v>1590</v>
      </c>
      <c r="G451" s="767" t="s">
        <v>1610</v>
      </c>
      <c r="H451" s="767" t="s">
        <v>1611</v>
      </c>
    </row>
    <row r="452" spans="4:8">
      <c r="D452" s="9" t="str">
        <f t="shared" si="20"/>
        <v>Pos</v>
      </c>
      <c r="E452" s="9" t="s">
        <v>1589</v>
      </c>
      <c r="F452" s="9" t="s">
        <v>125</v>
      </c>
      <c r="G452" s="767" t="s">
        <v>14</v>
      </c>
      <c r="H452" s="767" t="s">
        <v>14</v>
      </c>
    </row>
    <row r="453" spans="4:8">
      <c r="D453" s="9" t="str">
        <f t="shared" si="20"/>
        <v>Jugador</v>
      </c>
      <c r="E453" s="9" t="s">
        <v>1589</v>
      </c>
      <c r="F453" s="9" t="s">
        <v>126</v>
      </c>
      <c r="G453" s="767" t="s">
        <v>1591</v>
      </c>
      <c r="H453" s="767" t="s">
        <v>1592</v>
      </c>
    </row>
    <row r="454" spans="4:8">
      <c r="D454" s="9" t="str">
        <f t="shared" si="20"/>
        <v>Puntos Totales</v>
      </c>
      <c r="E454" s="9" t="s">
        <v>1589</v>
      </c>
      <c r="F454" s="9" t="s">
        <v>127</v>
      </c>
      <c r="G454" s="767" t="s">
        <v>1593</v>
      </c>
      <c r="H454" s="767" t="s">
        <v>1594</v>
      </c>
    </row>
    <row r="455" spans="4:8">
      <c r="D455" s="9" t="str">
        <f t="shared" si="20"/>
        <v>F. Grupos</v>
      </c>
      <c r="E455" s="9" t="s">
        <v>1589</v>
      </c>
      <c r="F455" s="9" t="s">
        <v>128</v>
      </c>
      <c r="G455" s="767" t="s">
        <v>1595</v>
      </c>
      <c r="H455" s="767" t="s">
        <v>1627</v>
      </c>
    </row>
    <row r="456" spans="4:8">
      <c r="D456" s="9" t="str">
        <f t="shared" si="20"/>
        <v>Pos. Grupos</v>
      </c>
      <c r="E456" s="9" t="s">
        <v>1589</v>
      </c>
      <c r="F456" s="9" t="s">
        <v>129</v>
      </c>
      <c r="G456" s="767" t="s">
        <v>1596</v>
      </c>
      <c r="H456" s="767" t="s">
        <v>1628</v>
      </c>
    </row>
    <row r="457" spans="4:8">
      <c r="D457" s="9" t="str">
        <f t="shared" ref="D457:D458" si="21">IF($B$2,G457,H457)</f>
        <v>Equipos 1/16</v>
      </c>
      <c r="E457" s="9" t="s">
        <v>1589</v>
      </c>
      <c r="F457" s="9" t="s">
        <v>180</v>
      </c>
      <c r="G457" s="767" t="s">
        <v>1612</v>
      </c>
      <c r="H457" s="767" t="s">
        <v>1617</v>
      </c>
    </row>
    <row r="458" spans="4:8">
      <c r="D458" s="9" t="str">
        <f t="shared" si="21"/>
        <v>Partidos 1/16</v>
      </c>
      <c r="E458" s="9" t="s">
        <v>1589</v>
      </c>
      <c r="F458" s="9" t="s">
        <v>181</v>
      </c>
      <c r="G458" s="767" t="s">
        <v>1613</v>
      </c>
      <c r="H458" s="767" t="s">
        <v>1614</v>
      </c>
    </row>
    <row r="459" spans="4:8">
      <c r="D459" s="9" t="str">
        <f t="shared" si="20"/>
        <v>Equipos 1/8</v>
      </c>
      <c r="E459" s="9" t="s">
        <v>1589</v>
      </c>
      <c r="F459" s="9" t="s">
        <v>180</v>
      </c>
      <c r="G459" s="767" t="s">
        <v>1597</v>
      </c>
      <c r="H459" s="767" t="s">
        <v>1618</v>
      </c>
    </row>
    <row r="460" spans="4:8">
      <c r="D460" s="9" t="str">
        <f t="shared" si="20"/>
        <v>Partidos 1/8</v>
      </c>
      <c r="E460" s="9" t="s">
        <v>1589</v>
      </c>
      <c r="F460" s="9" t="s">
        <v>181</v>
      </c>
      <c r="G460" s="767" t="s">
        <v>1598</v>
      </c>
      <c r="H460" s="767" t="s">
        <v>1599</v>
      </c>
    </row>
    <row r="461" spans="4:8">
      <c r="D461" s="9" t="str">
        <f t="shared" si="20"/>
        <v>Equipos 1/4</v>
      </c>
      <c r="E461" s="9" t="s">
        <v>1589</v>
      </c>
      <c r="F461" s="9" t="s">
        <v>182</v>
      </c>
      <c r="G461" s="767" t="s">
        <v>1600</v>
      </c>
      <c r="H461" s="767" t="s">
        <v>1619</v>
      </c>
    </row>
    <row r="462" spans="4:8">
      <c r="D462" s="9" t="str">
        <f t="shared" si="20"/>
        <v>Partidos 1/4</v>
      </c>
      <c r="E462" s="9" t="s">
        <v>1589</v>
      </c>
      <c r="F462" s="9" t="s">
        <v>28</v>
      </c>
      <c r="G462" s="767" t="s">
        <v>1601</v>
      </c>
      <c r="H462" s="767" t="s">
        <v>1602</v>
      </c>
    </row>
    <row r="463" spans="4:8">
      <c r="D463" s="9" t="str">
        <f t="shared" si="20"/>
        <v>Equipos 1/2</v>
      </c>
      <c r="E463" s="9" t="s">
        <v>1589</v>
      </c>
      <c r="F463" s="9" t="s">
        <v>188</v>
      </c>
      <c r="G463" s="767" t="s">
        <v>1603</v>
      </c>
      <c r="H463" s="767" t="s">
        <v>1620</v>
      </c>
    </row>
    <row r="464" spans="4:8">
      <c r="D464" s="9" t="str">
        <f t="shared" si="20"/>
        <v>Partidos 1/2</v>
      </c>
      <c r="E464" s="9" t="s">
        <v>1589</v>
      </c>
      <c r="F464" s="9" t="s">
        <v>1198</v>
      </c>
      <c r="G464" s="767" t="s">
        <v>1604</v>
      </c>
      <c r="H464" s="767" t="s">
        <v>1605</v>
      </c>
    </row>
    <row r="465" spans="4:8">
      <c r="D465" s="9" t="str">
        <f t="shared" si="20"/>
        <v>Equipos 3-4</v>
      </c>
      <c r="E465" s="9" t="s">
        <v>1589</v>
      </c>
      <c r="G465" s="767" t="s">
        <v>1615</v>
      </c>
      <c r="H465" s="767" t="s">
        <v>1616</v>
      </c>
    </row>
    <row r="466" spans="4:8">
      <c r="D466" s="9" t="str">
        <f t="shared" si="20"/>
        <v>Equipos Final</v>
      </c>
      <c r="E466" s="9" t="s">
        <v>1589</v>
      </c>
      <c r="F466" s="9" t="s">
        <v>1606</v>
      </c>
      <c r="G466" s="767" t="s">
        <v>1607</v>
      </c>
      <c r="H466" s="767" t="s">
        <v>1621</v>
      </c>
    </row>
    <row r="467" spans="4:8">
      <c r="D467" s="9" t="str">
        <f t="shared" ref="D467" si="22">IF($B$2,G467,H467)</f>
        <v>Partido 3-4</v>
      </c>
      <c r="E467" s="9" t="s">
        <v>1589</v>
      </c>
      <c r="G467" s="767" t="s">
        <v>1622</v>
      </c>
      <c r="H467" s="767" t="s">
        <v>1623</v>
      </c>
    </row>
    <row r="468" spans="4:8">
      <c r="D468" s="9" t="str">
        <f t="shared" si="20"/>
        <v>Partido Final</v>
      </c>
      <c r="E468" s="9" t="s">
        <v>1589</v>
      </c>
      <c r="F468" s="9" t="s">
        <v>190</v>
      </c>
      <c r="G468" s="767" t="s">
        <v>1467</v>
      </c>
      <c r="H468" s="767" t="s">
        <v>1608</v>
      </c>
    </row>
    <row r="469" spans="4:8">
      <c r="D469" s="9" t="str">
        <f t="shared" ref="D469" si="23">IF($B$2,G469,H469)</f>
        <v xml:space="preserve">Cuadro de Honor </v>
      </c>
      <c r="E469" s="9" t="s">
        <v>1589</v>
      </c>
      <c r="F469" s="9" t="s">
        <v>1609</v>
      </c>
      <c r="G469" s="767" t="s">
        <v>1624</v>
      </c>
      <c r="H469" s="767" t="s">
        <v>1626</v>
      </c>
    </row>
    <row r="470" spans="4:8">
      <c r="D470" s="9" t="str">
        <f t="shared" si="20"/>
        <v xml:space="preserve">Predictor </v>
      </c>
      <c r="E470" s="9" t="s">
        <v>1589</v>
      </c>
      <c r="F470" s="9" t="s">
        <v>1609</v>
      </c>
      <c r="G470" s="767" t="s">
        <v>1625</v>
      </c>
      <c r="H470" s="767" t="s">
        <v>1625</v>
      </c>
    </row>
    <row r="474" spans="4:8">
      <c r="D474" s="9" t="str">
        <f t="shared" ref="D474:D475" si="24">IF($B$2,G474,H474)</f>
        <v>Selecciona día:</v>
      </c>
      <c r="E474" s="9" t="s">
        <v>1650</v>
      </c>
      <c r="F474" s="9" t="s">
        <v>115</v>
      </c>
      <c r="G474" s="9" t="s">
        <v>1651</v>
      </c>
      <c r="H474" s="9" t="s">
        <v>1652</v>
      </c>
    </row>
    <row r="475" spans="4:8">
      <c r="D475" s="9" t="str">
        <f t="shared" si="24"/>
        <v>Nombre</v>
      </c>
      <c r="E475" s="9" t="s">
        <v>1650</v>
      </c>
      <c r="F475" s="9" t="s">
        <v>126</v>
      </c>
      <c r="G475" s="9" t="s">
        <v>42</v>
      </c>
      <c r="H475" s="9" t="s">
        <v>268</v>
      </c>
    </row>
    <row r="478" spans="4:8">
      <c r="D478" s="9" t="str">
        <f t="shared" ref="D478:D481" si="25">IF($B$2,G478,H478)</f>
        <v>Selecciona día:</v>
      </c>
      <c r="E478" s="9" t="s">
        <v>1653</v>
      </c>
      <c r="F478" s="9" t="s">
        <v>512</v>
      </c>
      <c r="G478" s="9" t="s">
        <v>1651</v>
      </c>
      <c r="H478" s="9" t="s">
        <v>1652</v>
      </c>
    </row>
    <row r="479" spans="4:8">
      <c r="D479" s="9" t="str">
        <f t="shared" si="25"/>
        <v>Pos</v>
      </c>
      <c r="E479" s="9" t="s">
        <v>1653</v>
      </c>
      <c r="F479" s="9" t="s">
        <v>128</v>
      </c>
      <c r="G479" s="9" t="s">
        <v>14</v>
      </c>
      <c r="H479" s="9" t="s">
        <v>14</v>
      </c>
    </row>
    <row r="480" spans="4:8">
      <c r="D480" s="9" t="str">
        <f t="shared" si="25"/>
        <v>Nombre</v>
      </c>
      <c r="E480" s="9" t="s">
        <v>1653</v>
      </c>
      <c r="F480" s="9" t="s">
        <v>129</v>
      </c>
      <c r="G480" s="9" t="s">
        <v>42</v>
      </c>
      <c r="H480" s="9" t="s">
        <v>268</v>
      </c>
    </row>
    <row r="481" spans="4:8">
      <c r="D481" s="9" t="str">
        <f t="shared" si="25"/>
        <v>Puntos Día / Eliminatoria</v>
      </c>
      <c r="E481" s="9" t="s">
        <v>1653</v>
      </c>
      <c r="F481" s="9" t="s">
        <v>180</v>
      </c>
      <c r="G481" s="9" t="s">
        <v>1654</v>
      </c>
      <c r="H481" s="9" t="s">
        <v>1655</v>
      </c>
    </row>
    <row r="484" spans="4:8">
      <c r="D484" s="9" t="str">
        <f>IF($B$2,G484,H484)</f>
        <v xml:space="preserve">Puntos en juego </v>
      </c>
      <c r="E484" s="9" t="s">
        <v>1656</v>
      </c>
      <c r="G484" s="9" t="s">
        <v>1657</v>
      </c>
      <c r="H484" s="5" t="s">
        <v>1658</v>
      </c>
    </row>
    <row r="485" spans="4:8">
      <c r="D485" s="9" t="str">
        <f t="shared" ref="D485:D515" si="26">IF($B$2,G485,H485)</f>
        <v xml:space="preserve">Máximo de puntos hasta </v>
      </c>
      <c r="E485" s="9" t="s">
        <v>1656</v>
      </c>
      <c r="G485" s="9" t="s">
        <v>1659</v>
      </c>
      <c r="H485" s="5" t="s">
        <v>1660</v>
      </c>
    </row>
    <row r="486" spans="4:8">
      <c r="D486" s="9" t="str">
        <f t="shared" si="26"/>
        <v xml:space="preserve">Máximo de puntos incluido </v>
      </c>
      <c r="E486" s="9" t="s">
        <v>1656</v>
      </c>
      <c r="G486" s="9" t="s">
        <v>1661</v>
      </c>
      <c r="H486" s="5" t="s">
        <v>1662</v>
      </c>
    </row>
    <row r="487" spans="4:8">
      <c r="D487" s="9" t="str">
        <f t="shared" si="26"/>
        <v xml:space="preserve">Quedan por repartir: </v>
      </c>
      <c r="E487" s="9" t="s">
        <v>1656</v>
      </c>
      <c r="G487" s="9" t="s">
        <v>1663</v>
      </c>
      <c r="H487" s="5" t="s">
        <v>1664</v>
      </c>
    </row>
    <row r="488" spans="4:8">
      <c r="D488" s="9" t="str">
        <f t="shared" si="26"/>
        <v>Puntos máximos totales a repartir hoy (Global):</v>
      </c>
      <c r="E488" s="9" t="s">
        <v>1656</v>
      </c>
      <c r="G488" s="9" t="s">
        <v>1665</v>
      </c>
      <c r="H488" s="5" t="s">
        <v>1666</v>
      </c>
    </row>
    <row r="489" spans="4:8">
      <c r="D489" s="9" t="str">
        <f t="shared" si="26"/>
        <v>Puntos repartidos hoy (Global)</v>
      </c>
      <c r="E489" s="9" t="s">
        <v>1656</v>
      </c>
      <c r="G489" s="9" t="s">
        <v>1667</v>
      </c>
      <c r="H489" s="5" t="s">
        <v>1668</v>
      </c>
    </row>
    <row r="490" spans="4:8">
      <c r="D490" s="9" t="str">
        <f t="shared" si="26"/>
        <v xml:space="preserve">¿Cúantos han acertado el máximo de puntos </v>
      </c>
      <c r="E490" s="9" t="s">
        <v>1656</v>
      </c>
      <c r="G490" s="9" t="s">
        <v>1669</v>
      </c>
      <c r="H490" s="5" t="s">
        <v>1670</v>
      </c>
    </row>
    <row r="491" spans="4:8">
      <c r="D491" s="9" t="str">
        <f>IF($B$2,G491,H491)</f>
        <v xml:space="preserve">¿Cúantos se han llevado algún punto </v>
      </c>
      <c r="E491" s="9" t="s">
        <v>1656</v>
      </c>
      <c r="G491" s="9" t="s">
        <v>1671</v>
      </c>
      <c r="H491" s="5" t="s">
        <v>1672</v>
      </c>
    </row>
    <row r="492" spans="4:8">
      <c r="D492" s="9" t="str">
        <f t="shared" si="26"/>
        <v xml:space="preserve">¿Cúantos no han acertado nada </v>
      </c>
      <c r="E492" s="9" t="s">
        <v>1656</v>
      </c>
      <c r="G492" s="9" t="s">
        <v>1673</v>
      </c>
      <c r="H492" s="5" t="s">
        <v>1674</v>
      </c>
    </row>
    <row r="493" spans="4:8">
      <c r="D493" s="9" t="str">
        <f t="shared" si="26"/>
        <v xml:space="preserve">Media de puntos sumados </v>
      </c>
      <c r="E493" s="9" t="s">
        <v>1656</v>
      </c>
      <c r="G493" s="9" t="s">
        <v>1675</v>
      </c>
      <c r="H493" s="5" t="s">
        <v>1676</v>
      </c>
    </row>
    <row r="494" spans="4:8">
      <c r="D494" s="9"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9" t="s">
        <v>1656</v>
      </c>
      <c r="G494" s="9" t="s">
        <v>1677</v>
      </c>
      <c r="H494" s="5" t="s">
        <v>1678</v>
      </c>
    </row>
    <row r="495" spans="4:8">
      <c r="D495" s="9" t="str">
        <f t="shared" si="26"/>
        <v>Para que calcule bien las estadísticas, en la hoja ADMIN selecciona el nº de participantes que sois exactamente, si no algunas estádísticas pueden ser incorrectas</v>
      </c>
      <c r="E495" s="9" t="s">
        <v>1656</v>
      </c>
      <c r="G495" s="9" t="s">
        <v>1932</v>
      </c>
      <c r="H495" s="5" t="s">
        <v>1679</v>
      </c>
    </row>
    <row r="496" spans="4:8">
      <c r="D496" s="9" t="str">
        <f t="shared" si="26"/>
        <v>Dia seleccionado en "Daily Prediction"</v>
      </c>
      <c r="E496" s="9" t="s">
        <v>1656</v>
      </c>
      <c r="G496" s="9" t="s">
        <v>1680</v>
      </c>
      <c r="H496" s="5" t="s">
        <v>1681</v>
      </c>
    </row>
    <row r="497" spans="4:8">
      <c r="D497" s="9" t="str">
        <f t="shared" si="26"/>
        <v>Puntos</v>
      </c>
      <c r="E497" s="9" t="s">
        <v>1656</v>
      </c>
      <c r="G497" s="9" t="s">
        <v>1381</v>
      </c>
      <c r="H497" s="5" t="s">
        <v>1382</v>
      </c>
    </row>
    <row r="498" spans="4:8">
      <c r="D498" s="9" t="str">
        <f t="shared" si="26"/>
        <v>Resultados más pronósticados</v>
      </c>
      <c r="E498" s="9" t="s">
        <v>1656</v>
      </c>
      <c r="G498" s="9" t="s">
        <v>1682</v>
      </c>
      <c r="H498" s="5" t="s">
        <v>1683</v>
      </c>
    </row>
    <row r="499" spans="4:8">
      <c r="D499" s="9" t="str">
        <f t="shared" si="26"/>
        <v>Resultado</v>
      </c>
      <c r="E499" s="9" t="s">
        <v>1656</v>
      </c>
      <c r="G499" s="9" t="s">
        <v>1684</v>
      </c>
      <c r="H499" s="5" t="s">
        <v>1685</v>
      </c>
    </row>
    <row r="500" spans="4:8">
      <c r="D500" s="9" t="str">
        <f t="shared" si="26"/>
        <v>Nº de veces</v>
      </c>
      <c r="E500" s="9" t="s">
        <v>1656</v>
      </c>
      <c r="G500" s="9" t="s">
        <v>1686</v>
      </c>
      <c r="H500" s="5" t="s">
        <v>1687</v>
      </c>
    </row>
    <row r="501" spans="4:8">
      <c r="D501" s="9" t="str">
        <f t="shared" si="26"/>
        <v>Selecciona un partido de hoy:↗</v>
      </c>
      <c r="E501" s="9" t="s">
        <v>1656</v>
      </c>
      <c r="G501" s="9" t="s">
        <v>1923</v>
      </c>
      <c r="H501" s="5" t="s">
        <v>1924</v>
      </c>
    </row>
    <row r="502" spans="4:8">
      <c r="D502" s="9" t="str">
        <f t="shared" si="26"/>
        <v>(No cuentan los resultados no predichos)*</v>
      </c>
      <c r="E502" s="9" t="s">
        <v>1656</v>
      </c>
      <c r="G502" s="9" t="s">
        <v>1688</v>
      </c>
      <c r="H502" s="5" t="s">
        <v>1689</v>
      </c>
    </row>
    <row r="503" spans="4:8">
      <c r="D503" s="9" t="str">
        <f t="shared" si="26"/>
        <v>*Si alguno de los participantes no ha predicho este resultado, no se cuenta ni en la tabla ni en el gráfico</v>
      </c>
      <c r="E503" s="9" t="s">
        <v>1656</v>
      </c>
      <c r="G503" s="9" t="s">
        <v>1690</v>
      </c>
      <c r="H503" s="5" t="s">
        <v>1691</v>
      </c>
    </row>
    <row r="504" spans="4:8">
      <c r="D504" s="9" t="str">
        <f t="shared" si="26"/>
        <v>Este gráfico de abajo solo aparece en los partidos de la fase de grupos</v>
      </c>
      <c r="E504" s="9" t="s">
        <v>1656</v>
      </c>
      <c r="G504" s="9" t="s">
        <v>1692</v>
      </c>
      <c r="H504" s="9" t="s">
        <v>1693</v>
      </c>
    </row>
    <row r="505" spans="4:8">
      <c r="D505" s="9" t="str">
        <f t="shared" si="26"/>
        <v>Faltan</v>
      </c>
      <c r="E505" s="9" t="s">
        <v>1656</v>
      </c>
      <c r="G505" s="5" t="s">
        <v>1694</v>
      </c>
      <c r="H505" s="5" t="s">
        <v>1695</v>
      </c>
    </row>
    <row r="506" spans="4:8">
      <c r="D506" s="9" t="str">
        <f t="shared" si="26"/>
        <v>días para que empiece el Mundial 2026</v>
      </c>
      <c r="E506" s="9" t="s">
        <v>1656</v>
      </c>
      <c r="G506" s="5" t="s">
        <v>1780</v>
      </c>
      <c r="H506" s="5" t="s">
        <v>1785</v>
      </c>
    </row>
    <row r="507" spans="4:8">
      <c r="D507" s="9" t="str">
        <f t="shared" si="26"/>
        <v>Es el día</v>
      </c>
      <c r="E507" s="9" t="s">
        <v>1656</v>
      </c>
      <c r="G507" s="5" t="s">
        <v>1696</v>
      </c>
      <c r="H507" s="5" t="s">
        <v>1697</v>
      </c>
    </row>
    <row r="508" spans="4:8">
      <c r="D508" s="9" t="str">
        <f t="shared" si="26"/>
        <v>del Mundial 2026</v>
      </c>
      <c r="E508" s="9" t="s">
        <v>1656</v>
      </c>
      <c r="G508" s="5" t="s">
        <v>1779</v>
      </c>
      <c r="H508" s="5" t="s">
        <v>1304</v>
      </c>
    </row>
    <row r="509" spans="4:8">
      <c r="D509" s="9" t="str">
        <f t="shared" si="26"/>
        <v>Quedan</v>
      </c>
      <c r="E509" s="9" t="s">
        <v>1656</v>
      </c>
      <c r="G509" s="5" t="s">
        <v>1698</v>
      </c>
      <c r="H509" s="5" t="s">
        <v>1699</v>
      </c>
    </row>
    <row r="510" spans="4:8">
      <c r="D510" s="9" t="str">
        <f t="shared" si="26"/>
        <v>días para que acabe el Mundial 2026</v>
      </c>
      <c r="E510" s="9" t="s">
        <v>1656</v>
      </c>
      <c r="G510" s="5" t="s">
        <v>1777</v>
      </c>
      <c r="H510" s="5" t="s">
        <v>1778</v>
      </c>
    </row>
    <row r="511" spans="4:8">
      <c r="D511" s="9" t="str">
        <f t="shared" si="26"/>
        <v>Se han marcado un total de</v>
      </c>
      <c r="E511" s="9" t="s">
        <v>1656</v>
      </c>
      <c r="G511" s="5" t="s">
        <v>1700</v>
      </c>
      <c r="H511" s="5" t="s">
        <v>1701</v>
      </c>
    </row>
    <row r="512" spans="4:8">
      <c r="D512" s="9" t="str">
        <f t="shared" si="26"/>
        <v>goles en el Mundial de Clubes sin contar tandas de penalti</v>
      </c>
      <c r="E512" s="9" t="s">
        <v>1656</v>
      </c>
      <c r="G512" s="5" t="s">
        <v>1702</v>
      </c>
      <c r="H512" s="5" t="s">
        <v>1703</v>
      </c>
    </row>
    <row r="513" spans="4:8">
      <c r="D513" s="9" t="str">
        <f t="shared" si="26"/>
        <v>Espero que disfrutéis del Excel del Mundial de Clubes</v>
      </c>
      <c r="E513" s="9" t="s">
        <v>1656</v>
      </c>
      <c r="G513" s="5" t="s">
        <v>1704</v>
      </c>
      <c r="H513" s="5" t="s">
        <v>1705</v>
      </c>
    </row>
    <row r="515" spans="4:8">
      <c r="D515" s="9" t="str">
        <f t="shared" si="26"/>
        <v>Gráfico solo en fase de grupos</v>
      </c>
      <c r="E515" s="9" t="s">
        <v>1656</v>
      </c>
      <c r="G515" s="5" t="s">
        <v>1905</v>
      </c>
      <c r="H515" s="9" t="s">
        <v>1904</v>
      </c>
    </row>
    <row r="1419" spans="4:4">
      <c r="D1419" s="9" t="s">
        <v>1317</v>
      </c>
    </row>
    <row r="1420" spans="4:4">
      <c r="D1420" s="9" t="s">
        <v>1333</v>
      </c>
    </row>
  </sheetData>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4.4"/>
  <cols>
    <col min="1" max="1" width="3.33203125" style="20" customWidth="1"/>
    <col min="2" max="2" width="2.6640625" style="8" customWidth="1"/>
    <col min="3" max="3" width="5.6640625" style="1" bestFit="1" customWidth="1"/>
    <col min="4" max="5" width="3.33203125" style="1" customWidth="1"/>
    <col min="6" max="6" width="6.109375" style="1" customWidth="1"/>
    <col min="7" max="7" width="2.44140625" style="1" bestFit="1" customWidth="1"/>
    <col min="8" max="9" width="3.77734375" style="1" customWidth="1"/>
    <col min="10" max="10" width="4.44140625" style="1" customWidth="1"/>
    <col min="11" max="11" width="4.7773437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09375" style="1" bestFit="1" customWidth="1"/>
    <col min="19" max="19" width="2.44140625" style="1" bestFit="1" customWidth="1"/>
    <col min="20" max="20" width="4.33203125" style="1" bestFit="1" customWidth="1"/>
    <col min="21" max="22" width="3.6640625" style="1" customWidth="1"/>
    <col min="23" max="23" width="4.77734375" style="1" customWidth="1"/>
    <col min="24" max="24" width="4.33203125" style="20" hidden="1" customWidth="1"/>
    <col min="25" max="25" width="2.77734375" style="8" customWidth="1"/>
    <col min="26" max="26" width="7.44140625" style="8" bestFit="1" customWidth="1"/>
    <col min="27" max="27" width="5.77734375" style="1" customWidth="1"/>
    <col min="28" max="29" width="4.33203125" style="1" customWidth="1"/>
    <col min="30" max="30" width="2.77734375" style="8" customWidth="1"/>
    <col min="31" max="31" width="5.77734375" style="1" customWidth="1"/>
    <col min="32" max="33" width="4.33203125" style="1" customWidth="1"/>
    <col min="34" max="34" width="2.77734375" style="8" customWidth="1"/>
    <col min="35" max="35" width="5.77734375" style="1" customWidth="1"/>
    <col min="36" max="37" width="4.33203125" style="1" customWidth="1"/>
    <col min="38" max="38" width="2.77734375" style="8" customWidth="1"/>
    <col min="39" max="39" width="5.77734375" style="1" customWidth="1"/>
    <col min="40" max="41" width="4.33203125" style="1" customWidth="1"/>
    <col min="42" max="42" width="2.77734375" style="8" customWidth="1"/>
    <col min="43" max="43" width="5.77734375" style="1" customWidth="1"/>
    <col min="44" max="45" width="4.33203125" style="1" customWidth="1"/>
    <col min="46" max="46" width="2.77734375" style="8" customWidth="1"/>
    <col min="47" max="47" width="5.77734375" style="1" customWidth="1"/>
    <col min="48" max="49" width="4.33203125" style="1" customWidth="1"/>
    <col min="50" max="50" width="4" style="1" bestFit="1" customWidth="1"/>
    <col min="51" max="51" width="3.33203125" style="1" customWidth="1"/>
    <col min="52" max="54" width="7.77734375" style="1" customWidth="1"/>
    <col min="55" max="55" width="3.33203125" style="1" customWidth="1"/>
    <col min="56" max="58" width="2.44140625" style="1" bestFit="1" customWidth="1"/>
    <col min="59" max="59" width="18.44140625" style="1" customWidth="1"/>
    <col min="60" max="67" width="4.77734375" style="1" customWidth="1"/>
    <col min="68" max="68" width="10.77734375" style="1" customWidth="1"/>
    <col min="69" max="16384" width="10.77734375" style="1" hidden="1"/>
  </cols>
  <sheetData>
    <row r="1" spans="1:67" ht="7.95" customHeight="1">
      <c r="A1" s="19"/>
      <c r="B1" s="245"/>
      <c r="C1" s="295"/>
      <c r="D1" s="295"/>
      <c r="E1" s="295"/>
      <c r="F1" s="295"/>
      <c r="G1" s="295"/>
      <c r="H1" s="295"/>
      <c r="I1" s="295"/>
      <c r="J1" s="295"/>
      <c r="K1" s="295"/>
      <c r="L1" s="295"/>
      <c r="M1" s="19"/>
      <c r="N1" s="245"/>
      <c r="O1" s="295"/>
      <c r="P1" s="295"/>
      <c r="Q1" s="295"/>
      <c r="R1" s="295"/>
      <c r="S1" s="295"/>
      <c r="T1" s="295"/>
      <c r="U1" s="295"/>
      <c r="V1" s="295"/>
      <c r="W1" s="295"/>
      <c r="X1" s="19"/>
      <c r="Y1" s="245"/>
      <c r="Z1" s="245"/>
      <c r="AA1" s="295"/>
      <c r="AB1" s="295"/>
      <c r="AC1" s="295"/>
      <c r="AD1" s="19"/>
      <c r="AE1" s="295"/>
      <c r="AF1" s="295"/>
      <c r="AG1" s="295"/>
      <c r="AH1" s="245"/>
      <c r="AI1" s="295"/>
      <c r="AJ1" s="295"/>
      <c r="AK1" s="295"/>
      <c r="AL1" s="19"/>
      <c r="AM1" s="295"/>
      <c r="AN1" s="295"/>
      <c r="AO1" s="295"/>
      <c r="AP1" s="245"/>
      <c r="AQ1" s="295"/>
      <c r="AR1" s="295"/>
      <c r="AS1" s="295"/>
      <c r="AT1" s="19"/>
      <c r="AU1" s="295"/>
      <c r="AV1" s="295"/>
      <c r="AW1" s="295"/>
      <c r="AX1" s="295"/>
      <c r="AY1" s="295"/>
      <c r="AZ1" s="295"/>
      <c r="BA1" s="295"/>
      <c r="BB1" s="295"/>
      <c r="BC1" s="295"/>
      <c r="BD1" s="295"/>
      <c r="BE1" s="295"/>
    </row>
    <row r="2" spans="1:67" ht="10.050000000000001" customHeight="1" thickBot="1">
      <c r="A2" s="19"/>
      <c r="B2" s="245"/>
      <c r="C2" s="173"/>
      <c r="D2" s="173"/>
      <c r="E2" s="173"/>
      <c r="F2" s="173"/>
      <c r="G2" s="173"/>
      <c r="H2" s="173"/>
      <c r="I2" s="173"/>
      <c r="J2" s="173"/>
      <c r="K2" s="173"/>
      <c r="L2" s="173"/>
      <c r="M2" s="18"/>
      <c r="N2" s="494"/>
      <c r="O2" s="495"/>
      <c r="P2" s="173"/>
      <c r="Q2" s="295"/>
      <c r="R2" s="295"/>
      <c r="S2" s="496"/>
      <c r="T2" s="295"/>
      <c r="U2" s="173"/>
      <c r="V2" s="173"/>
      <c r="W2" s="173"/>
      <c r="X2" s="18"/>
      <c r="Y2" s="494"/>
      <c r="Z2" s="494"/>
      <c r="AA2" s="295"/>
      <c r="AB2" s="295"/>
      <c r="AC2" s="295"/>
      <c r="AD2" s="18"/>
      <c r="AE2" s="295"/>
      <c r="AF2" s="295"/>
      <c r="AG2" s="295"/>
      <c r="AH2" s="245"/>
      <c r="AI2" s="497"/>
      <c r="AJ2" s="497"/>
      <c r="AK2" s="497"/>
      <c r="AL2" s="90"/>
      <c r="AM2" s="497"/>
      <c r="AN2" s="497"/>
      <c r="AO2" s="497"/>
      <c r="AP2" s="19"/>
      <c r="AQ2" s="497"/>
      <c r="AR2" s="497"/>
      <c r="AS2" s="497"/>
      <c r="AT2" s="19"/>
      <c r="AU2" s="497"/>
      <c r="AV2" s="497"/>
      <c r="AW2" s="497"/>
      <c r="AX2" s="295"/>
      <c r="AY2" s="295"/>
      <c r="AZ2" s="295"/>
      <c r="BA2" s="295"/>
      <c r="BB2" s="295"/>
      <c r="BC2" s="295"/>
      <c r="BD2" s="295"/>
      <c r="BE2" s="295"/>
    </row>
    <row r="3" spans="1:67" ht="15" thickBot="1">
      <c r="A3" s="19">
        <v>1</v>
      </c>
      <c r="B3" s="498" t="s">
        <v>0</v>
      </c>
      <c r="C3" s="499" t="str">
        <f ca="1">+MID(INDEX(WORLDCUP!$AA$4:$AA$147,MATCH(A3,WORLDCUP!$AH$4:$AH$147,0)),1,3)</f>
        <v>Méx</v>
      </c>
      <c r="D3" s="500">
        <f>IF(ISBLANK(INDEX(WORLDCUP!$AC$4:$AC$147,MATCH(A3,WORLDCUP!$AH$4:$AH$147,0))),"",INDEX(WORLDCUP!$AC$4:$AC$147,MATCH(A3,WORLDCUP!$AH$4:$AH$147,0)))</f>
        <v>2</v>
      </c>
      <c r="E3" s="500">
        <f>IF(ISBLANK(INDEX(WORLDCUP!$AD$4:$AD$147,MATCH(A3,WORLDCUP!$AH$4:$AH$147,0))),"",INDEX(WORLDCUP!$AD$4:$AD$147,MATCH(A3,WORLDCUP!$AH$4:$AH$147,0)))</f>
        <v>0</v>
      </c>
      <c r="F3" s="501" t="str">
        <f ca="1">+MID(INDEX(WORLDCUP!$AF$4:$AF$147,MATCH(A3,WORLDCUP!$AH$4:$AH$147,0)),1,3)</f>
        <v>Sud</v>
      </c>
      <c r="G3" s="502"/>
      <c r="H3" s="503" t="str">
        <f>MID(WORLDCUP!AL5,1,3)</f>
        <v>Sel</v>
      </c>
      <c r="I3" s="504" t="s">
        <v>32</v>
      </c>
      <c r="J3" s="504" t="str">
        <f>WORLDCUP!AT5</f>
        <v>DG</v>
      </c>
      <c r="K3" s="505" t="str">
        <f>WORLDCUP!AR5&amp;"-"&amp;WORLDCUP!AS5</f>
        <v>GF-GC</v>
      </c>
      <c r="L3" s="19"/>
      <c r="M3" s="19">
        <v>16</v>
      </c>
      <c r="N3" s="506" t="s">
        <v>6</v>
      </c>
      <c r="O3" s="499" t="str">
        <f ca="1">+MID(INDEX(WORLDCUP!$AA$4:$AA$147,MATCH(M3,WORLDCUP!$AH$4:$AH$147,0)),1,3)</f>
        <v>Bél</v>
      </c>
      <c r="P3" s="500" t="str">
        <f>IF(ISBLANK(INDEX(WORLDCUP!$AC$4:$AC$147,MATCH(M3,WORLDCUP!$AH$4:$AH$147,0))),"",INDEX(WORLDCUP!$AC$4:$AC$147,MATCH(M3,WORLDCUP!$AH$4:$AH$147,0)))</f>
        <v/>
      </c>
      <c r="Q3" s="500" t="str">
        <f>IF(ISBLANK(INDEX(WORLDCUP!$AD$4:$AD$147,MATCH(M3,WORLDCUP!$AH$4:$AH$147,0))),"",INDEX(WORLDCUP!$AD$4:$AD$147,MATCH(M3,WORLDCUP!$AH$4:$AH$147,0)))</f>
        <v/>
      </c>
      <c r="R3" s="501" t="str">
        <f ca="1">+MID(INDEX(WORLDCUP!$AF$4:$AF$147,MATCH(M3,WORLDCUP!$AH$4:$AH$147,0)),1,3)</f>
        <v>Egi</v>
      </c>
      <c r="S3" s="502"/>
      <c r="T3" s="503" t="str">
        <f>+H43</f>
        <v>Sel</v>
      </c>
      <c r="U3" s="504" t="str">
        <f>+I43</f>
        <v>Pts</v>
      </c>
      <c r="V3" s="504" t="str">
        <f>+J43</f>
        <v>DG</v>
      </c>
      <c r="W3" s="505" t="str">
        <f>+K43</f>
        <v>GF-GC</v>
      </c>
      <c r="X3" s="19"/>
      <c r="Y3" s="19">
        <v>74</v>
      </c>
      <c r="Z3" s="507" t="s">
        <v>661</v>
      </c>
      <c r="AA3" s="508" t="str">
        <f ca="1">+MID(INDEX(WORLDCUP!$AA$101:$AA$147,MATCH(Y3,WORLDCUP!$Z$101:$Z$147,0)),1,3)</f>
        <v>1E</v>
      </c>
      <c r="AB3" s="509" t="str">
        <f>+IF(ISBLANK(INDEX(WORLDCUP!$AC$101:$AC$147,MATCH(Y3,WORLDCUP!$Z$101:$Z$147,0))),"",INDEX(WORLDCUP!$AC$101:$AC$147,MATCH(Y3,WORLDCUP!$Z$101:$Z$147,0)))</f>
        <v/>
      </c>
      <c r="AC3" s="510" t="str">
        <f>+IF(ISBLANK(INDEX(WORLDCUP!$AB$101:$AB$147,MATCH(Y3,WORLDCUP!$Z$101:$Z$147,0))),"","( "&amp;INDEX(WORLDCUP!$AB$101:$AB$147,MATCH(Y3,WORLDCUP!$Z$101:$Z$147,0))&amp;" )")</f>
        <v/>
      </c>
      <c r="AD3" s="18"/>
      <c r="AE3" s="511"/>
      <c r="AF3" s="511"/>
      <c r="AG3" s="511"/>
      <c r="AH3" s="19"/>
      <c r="AI3" s="512"/>
      <c r="AJ3" s="512"/>
      <c r="AK3" s="512"/>
      <c r="AL3" s="90"/>
      <c r="AM3" s="513"/>
      <c r="AN3" s="513"/>
      <c r="AO3" s="513"/>
      <c r="AP3" s="19"/>
      <c r="AQ3" s="514"/>
      <c r="AR3" s="514"/>
      <c r="AS3" s="514"/>
      <c r="AT3" s="19"/>
      <c r="AU3" s="515"/>
      <c r="AV3" s="515"/>
      <c r="AW3" s="515"/>
      <c r="AX3" s="19"/>
      <c r="AY3" s="295"/>
      <c r="AZ3" s="295"/>
      <c r="BA3" s="295"/>
      <c r="BB3" s="295"/>
      <c r="BC3" s="295"/>
      <c r="BD3" s="295"/>
      <c r="BE3" s="295"/>
      <c r="BG3" s="516"/>
      <c r="BH3" s="517" t="s">
        <v>1339</v>
      </c>
      <c r="BI3" s="518" t="s">
        <v>483</v>
      </c>
      <c r="BJ3" s="519" t="s">
        <v>88</v>
      </c>
      <c r="BK3" s="520" t="s">
        <v>34</v>
      </c>
      <c r="BL3" s="521" t="s">
        <v>35</v>
      </c>
      <c r="BM3" s="522" t="s">
        <v>1340</v>
      </c>
      <c r="BN3" s="523" t="s">
        <v>1341</v>
      </c>
      <c r="BO3" s="524" t="s">
        <v>1342</v>
      </c>
    </row>
    <row r="4" spans="1:67" ht="15" thickBot="1">
      <c r="A4" s="19">
        <v>2</v>
      </c>
      <c r="B4" s="525"/>
      <c r="C4" s="526" t="str">
        <f ca="1">+MID(INDEX(WORLDCUP!$AA$4:$AA$147,MATCH(A4,WORLDCUP!$AH$4:$AH$147,0)),1,3)</f>
        <v>Cor</v>
      </c>
      <c r="D4" s="527">
        <f>IF(ISBLANK(INDEX(WORLDCUP!$AC$4:$AC$147,MATCH(A4,WORLDCUP!$AH$4:$AH$147,0))),"",INDEX(WORLDCUP!$AC$4:$AC$147,MATCH(A4,WORLDCUP!$AH$4:$AH$147,0)))</f>
        <v>2</v>
      </c>
      <c r="E4" s="527">
        <f>IF(ISBLANK(INDEX(WORLDCUP!$AD$4:$AD$147,MATCH(A4,WORLDCUP!$AH$4:$AH$147,0))),"",INDEX(WORLDCUP!$AD$4:$AD$147,MATCH(A4,WORLDCUP!$AH$4:$AH$147,0)))</f>
        <v>1</v>
      </c>
      <c r="F4" s="528" t="str">
        <f ca="1">+MID(INDEX(WORLDCUP!$AF$4:$AF$147,MATCH(A4,WORLDCUP!$AH$4:$AH$147,0)),1,3)</f>
        <v>Rep</v>
      </c>
      <c r="G4" s="529">
        <v>1</v>
      </c>
      <c r="H4" s="530" t="str">
        <f ca="1">+MID(INDEX(WORLDCUP!$AL$6:$AL$97,MATCH(L4,WORLDCUP!$AI$6:$AI$97,0)),1,3)</f>
        <v>Méx</v>
      </c>
      <c r="I4" s="531">
        <f ca="1">+INDEX(WORLDCUP!$AM$6:$AM$97,MATCH(L4,WORLDCUP!$AI$6:$AI$97,0))</f>
        <v>3</v>
      </c>
      <c r="J4" s="532">
        <f ca="1">+INDEX(WORLDCUP!$AT$6:$AT$97,MATCH(L4,WORLDCUP!$AI$6:$AI$97,0))</f>
        <v>2</v>
      </c>
      <c r="K4" s="533" t="str">
        <f ca="1">+INDEX(WORLDCUP!$AR$6:$AR$97,MATCH(L4,WORLDCUP!$AI$6:$AI$97,0))&amp;"-"&amp;INDEX(WORLDCUP!$AS$6:$AS$97,MATCH(L4,WORLDCUP!$AI$6:$AI$97,0))</f>
        <v>2-0</v>
      </c>
      <c r="L4" s="19" t="s">
        <v>645</v>
      </c>
      <c r="M4" s="19">
        <v>15</v>
      </c>
      <c r="N4" s="534"/>
      <c r="O4" s="526" t="str">
        <f ca="1">+MID(INDEX(WORLDCUP!$AA$4:$AA$147,MATCH(M4,WORLDCUP!$AH$4:$AH$147,0)),1,3)</f>
        <v>Irá</v>
      </c>
      <c r="P4" s="527" t="str">
        <f>IF(ISBLANK(INDEX(WORLDCUP!$AC$4:$AC$147,MATCH(M4,WORLDCUP!$AH$4:$AH$147,0))),"",INDEX(WORLDCUP!$AC$4:$AC$147,MATCH(M4,WORLDCUP!$AH$4:$AH$147,0)))</f>
        <v/>
      </c>
      <c r="Q4" s="527" t="str">
        <f>IF(ISBLANK(INDEX(WORLDCUP!$AD$4:$AD$147,MATCH(M4,WORLDCUP!$AH$4:$AH$147,0))),"",INDEX(WORLDCUP!$AD$4:$AD$147,MATCH(M4,WORLDCUP!$AH$4:$AH$147,0)))</f>
        <v/>
      </c>
      <c r="R4" s="528" t="str">
        <f ca="1">+MID(INDEX(WORLDCUP!$AF$4:$AF$147,MATCH(M4,WORLDCUP!$AH$4:$AH$147,0)),1,3)</f>
        <v>Nue</v>
      </c>
      <c r="S4" s="529">
        <v>1</v>
      </c>
      <c r="T4" s="530" t="str">
        <f ca="1">+MID(INDEX(WORLDCUP!$AL$6:$AL$97,MATCH(X4,WORLDCUP!$AI$6:$AI$97,0)),1,3)</f>
        <v>Bél</v>
      </c>
      <c r="U4" s="531">
        <f ca="1">+INDEX(WORLDCUP!$AM$6:$AM$97,MATCH(X4,WORLDCUP!$AI$6:$AI$97,0))</f>
        <v>0</v>
      </c>
      <c r="V4" s="532">
        <f ca="1">+INDEX(WORLDCUP!$AT$6:$AT$97,MATCH(X4,WORLDCUP!$AI$6:$AI$97,0))</f>
        <v>0</v>
      </c>
      <c r="W4" s="533" t="str">
        <f ca="1">+INDEX(WORLDCUP!$AR$6:$AR$97,MATCH(X4,WORLDCUP!$AI$6:$AI$97,0))&amp;"-"&amp;INDEX(WORLDCUP!$AS$6:$AS$97,MATCH(X4,WORLDCUP!$AI$6:$AI$97,0))</f>
        <v>0-0</v>
      </c>
      <c r="X4" s="19" t="s">
        <v>667</v>
      </c>
      <c r="Y4" s="19">
        <v>74</v>
      </c>
      <c r="Z4" s="507" t="s">
        <v>722</v>
      </c>
      <c r="AA4" s="508" t="str">
        <f ca="1">+MID(INDEX(WORLDCUP!$AF$101:$AF$147,MATCH(Y4,WORLDCUP!$Z$101:$Z$147,0)),1,IF(WORLDCUP!$H$113&lt;144,6,3))</f>
        <v>3ABCDF</v>
      </c>
      <c r="AB4" s="535" t="str">
        <f>+IF(ISBLANK(INDEX(WORLDCUP!$AD$101:$AD$147,MATCH(Y4,WORLDCUP!$Z$101:$Z$147,0))),"",INDEX(WORLDCUP!$AD$101:$AD$147,MATCH(Y4,WORLDCUP!$Z$101:$Z$147,0)))</f>
        <v/>
      </c>
      <c r="AC4" s="536" t="str">
        <f>+IF(ISBLANK(INDEX(WORLDCUP!$AE$101:$AE$147,MATCH(Y4,WORLDCUP!$Z$101:$Z$147,0))),"","( "&amp;INDEX(WORLDCUP!$AE$101:$AE$147,MATCH(Y4,WORLDCUP!$Z$101:$Z$147,0))&amp;" )")</f>
        <v/>
      </c>
      <c r="AD4" s="537">
        <v>89</v>
      </c>
      <c r="AE4" s="538" t="str">
        <f>+MID(INDEX(WORLDCUP!$AA$101:$AA$147,MATCH(AD4,WORLDCUP!$Z$101:$Z$147,0)),1,3)</f>
        <v>W74</v>
      </c>
      <c r="AF4" s="539" t="str">
        <f>+IF(ISBLANK(INDEX(WORLDCUP!$AC$101:$AC$147,MATCH(AD4,WORLDCUP!$Z$101:$Z$147,0))),"",INDEX(WORLDCUP!$AC$101:$AC$147,MATCH(AD4,WORLDCUP!$Z$101:$Z$147,0)))</f>
        <v/>
      </c>
      <c r="AG4" s="540" t="str">
        <f>+IF(ISBLANK(INDEX(WORLDCUP!$AB$101:$AB$147,MATCH(AD4,WORLDCUP!$Z$101:$Z$147,0))),"","( "&amp;INDEX(WORLDCUP!$AB$101:$AB$147,MATCH(AD4,WORLDCUP!$Z$101:$Z$147,0))&amp;" )")</f>
        <v/>
      </c>
      <c r="AH4" s="19"/>
      <c r="AI4" s="541"/>
      <c r="AJ4" s="541"/>
      <c r="AK4" s="541"/>
      <c r="AL4" s="90"/>
      <c r="AM4" s="513"/>
      <c r="AN4" s="513"/>
      <c r="AO4" s="513"/>
      <c r="AP4" s="19"/>
      <c r="AQ4" s="542"/>
      <c r="AR4" s="542"/>
      <c r="AS4" s="542"/>
      <c r="AT4" s="19"/>
      <c r="AU4" s="515"/>
      <c r="AV4" s="515"/>
      <c r="AW4" s="515"/>
      <c r="AX4" s="19"/>
      <c r="AY4" s="543"/>
      <c r="AZ4" s="295"/>
      <c r="BA4" s="295"/>
      <c r="BB4" s="295"/>
      <c r="BC4" s="295"/>
      <c r="BD4" s="295"/>
      <c r="BE4" s="295"/>
      <c r="BG4" s="544" t="str">
        <f ca="1">Horarios!Q3</f>
        <v>Alemania</v>
      </c>
      <c r="BH4" s="545">
        <f ca="1">1-SUM(BI4:BO4)</f>
        <v>1</v>
      </c>
      <c r="BI4" s="545">
        <f ca="1">COUNTIF(ADMIN!$M$130:$M$161,Fixture!BG4)-BJ4-BK4-BL4-BM4-BN4-BO4</f>
        <v>0</v>
      </c>
      <c r="BJ4" s="546">
        <f ca="1">COUNTIF(ADMIN!$M$182:$M$197,Fixture!BG4)-BK4-BL4-BM4-BN4-BO4</f>
        <v>0</v>
      </c>
      <c r="BK4" s="547">
        <f ca="1">COUNTIF(ADMIN!$M$210:$M$217,Fixture!BG4)-BL4-BM4-BN4-BO4</f>
        <v>0</v>
      </c>
      <c r="BL4" s="547">
        <f ca="1">COUNTIF(ADMIN!$M$226:$M$229,BG4)-BM4-BN4-BO4</f>
        <v>0</v>
      </c>
      <c r="BM4" s="545">
        <f ca="1">COUNTIF(ADMIN!$M$252,Fixture!BG4)</f>
        <v>0</v>
      </c>
      <c r="BN4" s="545">
        <f ca="1">COUNTIF(ADMIN!$M$251,Fixture!BG4)</f>
        <v>0</v>
      </c>
      <c r="BO4" s="548">
        <f ca="1">COUNTIF(ADMIN!$M$250,Fixture!BG4)</f>
        <v>0</v>
      </c>
    </row>
    <row r="5" spans="1:67">
      <c r="A5" s="19">
        <v>25</v>
      </c>
      <c r="B5" s="525"/>
      <c r="C5" s="526" t="str">
        <f ca="1">+MID(INDEX(WORLDCUP!$AA$4:$AA$147,MATCH(A5,WORLDCUP!$AH$4:$AH$147,0)),1,3)</f>
        <v>Rep</v>
      </c>
      <c r="D5" s="527" t="str">
        <f>IF(ISBLANK(INDEX(WORLDCUP!$AC$4:$AC$147,MATCH(A5,WORLDCUP!$AH$4:$AH$147,0))),"",INDEX(WORLDCUP!$AC$4:$AC$147,MATCH(A5,WORLDCUP!$AH$4:$AH$147,0)))</f>
        <v/>
      </c>
      <c r="E5" s="527" t="str">
        <f>IF(ISBLANK(INDEX(WORLDCUP!$AD$4:$AD$147,MATCH(A5,WORLDCUP!$AH$4:$AH$147,0))),"",INDEX(WORLDCUP!$AD$4:$AD$147,MATCH(A5,WORLDCUP!$AH$4:$AH$147,0)))</f>
        <v/>
      </c>
      <c r="F5" s="528" t="str">
        <f ca="1">+MID(INDEX(WORLDCUP!$AF$4:$AF$147,MATCH(A5,WORLDCUP!$AH$4:$AH$147,0)),1,3)</f>
        <v>Sud</v>
      </c>
      <c r="G5" s="549">
        <v>2</v>
      </c>
      <c r="H5" s="550" t="str">
        <f ca="1">+MID(INDEX(WORLDCUP!$AL$6:$AL$97,MATCH(L5,WORLDCUP!$AI$6:$AI$97,0)),1,3)</f>
        <v>Cor</v>
      </c>
      <c r="I5" s="221">
        <f ca="1">+INDEX(WORLDCUP!$AM$6:$AM$97,MATCH(L5,WORLDCUP!$AI$6:$AI$97,0))</f>
        <v>3</v>
      </c>
      <c r="J5" s="222">
        <f ca="1">+INDEX(WORLDCUP!$AT$6:$AT$97,MATCH(L5,WORLDCUP!$AI$6:$AI$97,0))</f>
        <v>1</v>
      </c>
      <c r="K5" s="223" t="str">
        <f ca="1">+INDEX(WORLDCUP!$AR$6:$AR$97,MATCH(L5,WORLDCUP!$AI$6:$AI$97,0))&amp;"-"&amp;INDEX(WORLDCUP!$AS$6:$AS$97,MATCH(L5,WORLDCUP!$AI$6:$AI$97,0))</f>
        <v>2-1</v>
      </c>
      <c r="L5" s="19" t="s">
        <v>646</v>
      </c>
      <c r="M5" s="19">
        <v>39</v>
      </c>
      <c r="N5" s="534"/>
      <c r="O5" s="526" t="str">
        <f ca="1">+MID(INDEX(WORLDCUP!$AA$4:$AA$147,MATCH(M5,WORLDCUP!$AH$4:$AH$147,0)),1,3)</f>
        <v>Bél</v>
      </c>
      <c r="P5" s="527" t="str">
        <f>IF(ISBLANK(INDEX(WORLDCUP!$AC$4:$AC$147,MATCH(M5,WORLDCUP!$AH$4:$AH$147,0))),"",INDEX(WORLDCUP!$AC$4:$AC$147,MATCH(M5,WORLDCUP!$AH$4:$AH$147,0)))</f>
        <v/>
      </c>
      <c r="Q5" s="527" t="str">
        <f>IF(ISBLANK(INDEX(WORLDCUP!$AD$4:$AD$147,MATCH(M5,WORLDCUP!$AH$4:$AH$147,0))),"",INDEX(WORLDCUP!$AD$4:$AD$147,MATCH(M5,WORLDCUP!$AH$4:$AH$147,0)))</f>
        <v/>
      </c>
      <c r="R5" s="528" t="str">
        <f ca="1">+MID(INDEX(WORLDCUP!$AF$4:$AF$147,MATCH(M5,WORLDCUP!$AH$4:$AH$147,0)),1,3)</f>
        <v>Irá</v>
      </c>
      <c r="S5" s="549">
        <v>2</v>
      </c>
      <c r="T5" s="550" t="str">
        <f ca="1">+MID(INDEX(WORLDCUP!$AL$6:$AL$97,MATCH(X5,WORLDCUP!$AI$6:$AI$97,0)),1,3)</f>
        <v>Egi</v>
      </c>
      <c r="U5" s="221">
        <f ca="1">+INDEX(WORLDCUP!$AM$6:$AM$97,MATCH(X5,WORLDCUP!$AI$6:$AI$97,0))</f>
        <v>0</v>
      </c>
      <c r="V5" s="222">
        <f ca="1">+INDEX(WORLDCUP!$AT$6:$AT$97,MATCH(X5,WORLDCUP!$AI$6:$AI$97,0))</f>
        <v>0</v>
      </c>
      <c r="W5" s="223" t="str">
        <f ca="1">+INDEX(WORLDCUP!$AR$6:$AR$97,MATCH(X5,WORLDCUP!$AI$6:$AI$97,0))&amp;"-"&amp;INDEX(WORLDCUP!$AS$6:$AS$97,MATCH(X5,WORLDCUP!$AI$6:$AI$97,0))</f>
        <v>0-0</v>
      </c>
      <c r="X5" s="19" t="s">
        <v>668</v>
      </c>
      <c r="Y5" s="19"/>
      <c r="Z5" s="507"/>
      <c r="AA5" s="551"/>
      <c r="AB5" s="551"/>
      <c r="AC5" s="552"/>
      <c r="AD5" s="19">
        <v>89</v>
      </c>
      <c r="AE5" s="538" t="str">
        <f>+MID(INDEX(WORLDCUP!$AF$101:$AF$147,MATCH(AD5,WORLDCUP!$Z$101:$Z$147,0)),1,3)</f>
        <v>W77</v>
      </c>
      <c r="AF5" s="539" t="str">
        <f>+IF(ISBLANK(INDEX(WORLDCUP!$AD$101:$AD$147,MATCH(AD5,WORLDCUP!$Z$101:$Z$147,0))),"",INDEX(WORLDCUP!$AD$101:$AD$147,MATCH(AD5,WORLDCUP!$Z$101:$Z$147,0)))</f>
        <v/>
      </c>
      <c r="AG5" s="553" t="str">
        <f>+IF(ISBLANK(INDEX(WORLDCUP!$AE$101:$AE$147,MATCH(AD5,WORLDCUP!$Z$101:$Z$147,0))),"","( "&amp;INDEX(WORLDCUP!$AE$101:$AE$147,MATCH(AD5,WORLDCUP!$Z$101:$Z$147,0))&amp;" )")</f>
        <v/>
      </c>
      <c r="AH5" s="19"/>
      <c r="AI5" s="541"/>
      <c r="AJ5" s="541"/>
      <c r="AK5" s="541"/>
      <c r="AL5" s="90"/>
      <c r="AM5" s="513"/>
      <c r="AN5" s="513"/>
      <c r="AO5" s="513"/>
      <c r="AP5" s="19"/>
      <c r="AQ5" s="542"/>
      <c r="AR5" s="542"/>
      <c r="AS5" s="542"/>
      <c r="AT5" s="19"/>
      <c r="AU5" s="515"/>
      <c r="AV5" s="515"/>
      <c r="AW5" s="515"/>
      <c r="AX5" s="19"/>
      <c r="AY5" s="295"/>
      <c r="AZ5" s="295"/>
      <c r="BA5" s="295"/>
      <c r="BB5" s="295"/>
      <c r="BC5" s="295"/>
      <c r="BD5" s="295"/>
      <c r="BE5" s="295"/>
      <c r="BG5" s="544" t="str">
        <f ca="1">Horarios!Q4</f>
        <v>Arabia Saudita</v>
      </c>
      <c r="BH5" s="545">
        <f t="shared" ref="BH5:BH51" ca="1" si="0">1-SUM(BI5:BO5)</f>
        <v>1</v>
      </c>
      <c r="BI5" s="545">
        <f ca="1">COUNTIF(ADMIN!$M$130:$M$161,Fixture!BG5)-BJ5-BK5-BL5-BM5-BN5-BO5</f>
        <v>0</v>
      </c>
      <c r="BJ5" s="546">
        <f ca="1">COUNTIF(ADMIN!$M$182:$M$197,Fixture!BG5)-BK5-BL5-BM5-BN5-BO5</f>
        <v>0</v>
      </c>
      <c r="BK5" s="547">
        <f ca="1">COUNTIF(ADMIN!$M$210:$M$217,Fixture!BG5)-BL5-BM5-BN5-BO5</f>
        <v>0</v>
      </c>
      <c r="BL5" s="547">
        <f ca="1">COUNTIF(ADMIN!$M$226:$M$229,BG5)-BM5-BN5-BO5</f>
        <v>0</v>
      </c>
      <c r="BM5" s="545">
        <f ca="1">COUNTIF(ADMIN!$M$252,Fixture!BG5)</f>
        <v>0</v>
      </c>
      <c r="BN5" s="545">
        <f ca="1">COUNTIF(ADMIN!$M$251,Fixture!BG5)</f>
        <v>0</v>
      </c>
      <c r="BO5" s="548">
        <f ca="1">COUNTIF(ADMIN!$M$250,Fixture!BG5)</f>
        <v>0</v>
      </c>
    </row>
    <row r="6" spans="1:67" ht="15" thickBot="1">
      <c r="A6" s="19">
        <v>28</v>
      </c>
      <c r="B6" s="525"/>
      <c r="C6" s="526" t="str">
        <f ca="1">+MID(INDEX(WORLDCUP!$AA$4:$AA$147,MATCH(A6,WORLDCUP!$AH$4:$AH$147,0)),1,3)</f>
        <v>Méx</v>
      </c>
      <c r="D6" s="527" t="str">
        <f>IF(ISBLANK(INDEX(WORLDCUP!$AC$4:$AC$147,MATCH(A6,WORLDCUP!$AH$4:$AH$147,0))),"",INDEX(WORLDCUP!$AC$4:$AC$147,MATCH(A6,WORLDCUP!$AH$4:$AH$147,0)))</f>
        <v/>
      </c>
      <c r="E6" s="527" t="str">
        <f>IF(ISBLANK(INDEX(WORLDCUP!$AD$4:$AD$147,MATCH(A6,WORLDCUP!$AH$4:$AH$147,0))),"",INDEX(WORLDCUP!$AD$4:$AD$147,MATCH(A6,WORLDCUP!$AH$4:$AH$147,0)))</f>
        <v/>
      </c>
      <c r="F6" s="528" t="str">
        <f ca="1">+MID(INDEX(WORLDCUP!$AF$4:$AF$147,MATCH(A6,WORLDCUP!$AH$4:$AH$147,0)),1,3)</f>
        <v>Cor</v>
      </c>
      <c r="G6" s="549">
        <v>3</v>
      </c>
      <c r="H6" s="550" t="str">
        <f ca="1">+MID(INDEX(WORLDCUP!$AL$6:$AL$97,MATCH(L6,WORLDCUP!$AI$6:$AI$97,0)),1,3)</f>
        <v>Rep</v>
      </c>
      <c r="I6" s="221">
        <f ca="1">+INDEX(WORLDCUP!$AM$6:$AM$97,MATCH(L6,WORLDCUP!$AI$6:$AI$97,0))</f>
        <v>0</v>
      </c>
      <c r="J6" s="222">
        <f ca="1">+INDEX(WORLDCUP!$AT$6:$AT$97,MATCH(L6,WORLDCUP!$AI$6:$AI$97,0))</f>
        <v>-1</v>
      </c>
      <c r="K6" s="223" t="str">
        <f ca="1">+INDEX(WORLDCUP!$AR$6:$AR$97,MATCH(L6,WORLDCUP!$AI$6:$AI$97,0))&amp;"-"&amp;INDEX(WORLDCUP!$AS$6:$AS$97,MATCH(L6,WORLDCUP!$AI$6:$AI$97,0))</f>
        <v>1-2</v>
      </c>
      <c r="L6" s="19" t="s">
        <v>89</v>
      </c>
      <c r="M6" s="19">
        <v>40</v>
      </c>
      <c r="N6" s="534"/>
      <c r="O6" s="526" t="str">
        <f ca="1">+MID(INDEX(WORLDCUP!$AA$4:$AA$147,MATCH(M6,WORLDCUP!$AH$4:$AH$147,0)),1,3)</f>
        <v>Nue</v>
      </c>
      <c r="P6" s="527" t="str">
        <f>IF(ISBLANK(INDEX(WORLDCUP!$AC$4:$AC$147,MATCH(M6,WORLDCUP!$AH$4:$AH$147,0))),"",INDEX(WORLDCUP!$AC$4:$AC$147,MATCH(M6,WORLDCUP!$AH$4:$AH$147,0)))</f>
        <v/>
      </c>
      <c r="Q6" s="527" t="str">
        <f>IF(ISBLANK(INDEX(WORLDCUP!$AD$4:$AD$147,MATCH(M6,WORLDCUP!$AH$4:$AH$147,0))),"",INDEX(WORLDCUP!$AD$4:$AD$147,MATCH(M6,WORLDCUP!$AH$4:$AH$147,0)))</f>
        <v/>
      </c>
      <c r="R6" s="528" t="str">
        <f ca="1">+MID(INDEX(WORLDCUP!$AF$4:$AF$147,MATCH(M6,WORLDCUP!$AH$4:$AH$147,0)),1,3)</f>
        <v>Egi</v>
      </c>
      <c r="S6" s="549">
        <v>3</v>
      </c>
      <c r="T6" s="550" t="str">
        <f ca="1">+MID(INDEX(WORLDCUP!$AL$6:$AL$97,MATCH(X6,WORLDCUP!$AI$6:$AI$97,0)),1,3)</f>
        <v>Irá</v>
      </c>
      <c r="U6" s="221">
        <f ca="1">+INDEX(WORLDCUP!$AM$6:$AM$97,MATCH(X6,WORLDCUP!$AI$6:$AI$97,0))</f>
        <v>0</v>
      </c>
      <c r="V6" s="222">
        <f ca="1">+INDEX(WORLDCUP!$AT$6:$AT$97,MATCH(X6,WORLDCUP!$AI$6:$AI$97,0))</f>
        <v>0</v>
      </c>
      <c r="W6" s="223" t="str">
        <f ca="1">+INDEX(WORLDCUP!$AR$6:$AR$97,MATCH(X6,WORLDCUP!$AI$6:$AI$97,0))&amp;"-"&amp;INDEX(WORLDCUP!$AS$6:$AS$97,MATCH(X6,WORLDCUP!$AI$6:$AI$97,0))</f>
        <v>0-0</v>
      </c>
      <c r="X6" s="19" t="s">
        <v>435</v>
      </c>
      <c r="Y6" s="19">
        <v>77</v>
      </c>
      <c r="Z6" s="507" t="s">
        <v>673</v>
      </c>
      <c r="AA6" s="508" t="str">
        <f ca="1">+MID(INDEX(WORLDCUP!$AA$101:$AA$147,MATCH(Y6,WORLDCUP!$Z$101:$Z$147,0)),1,3)</f>
        <v>1I</v>
      </c>
      <c r="AB6" s="554" t="str">
        <f>+IF(ISBLANK(INDEX(WORLDCUP!$AC$101:$AC$147,MATCH(Y6,WORLDCUP!$Z$101:$Z$147,0))),"",INDEX(WORLDCUP!$AC$101:$AC$147,MATCH(Y6,WORLDCUP!$Z$101:$Z$147,0)))</f>
        <v/>
      </c>
      <c r="AC6" s="555" t="str">
        <f>+IF(ISBLANK(INDEX(WORLDCUP!$AB$101:$AB$147,MATCH(Y6,WORLDCUP!$Z$101:$Z$147,0))),"","( "&amp;INDEX(WORLDCUP!$AB$101:$AB$147,MATCH(Y6,WORLDCUP!$Z$101:$Z$147,0))&amp;" )")</f>
        <v/>
      </c>
      <c r="AD6" s="19"/>
      <c r="AE6" s="556"/>
      <c r="AF6" s="556"/>
      <c r="AG6" s="557"/>
      <c r="AH6" s="19"/>
      <c r="AI6" s="541"/>
      <c r="AJ6" s="541"/>
      <c r="AK6" s="541"/>
      <c r="AL6" s="90"/>
      <c r="AM6" s="513"/>
      <c r="AN6" s="513"/>
      <c r="AO6" s="513"/>
      <c r="AP6" s="19"/>
      <c r="AQ6" s="542"/>
      <c r="AR6" s="542"/>
      <c r="AS6" s="542"/>
      <c r="AT6" s="19"/>
      <c r="AU6" s="515"/>
      <c r="AV6" s="515"/>
      <c r="AW6" s="515"/>
      <c r="AX6" s="19"/>
      <c r="AY6" s="295"/>
      <c r="AZ6" s="295"/>
      <c r="BA6" s="295"/>
      <c r="BB6" s="295"/>
      <c r="BC6" s="295"/>
      <c r="BD6" s="295"/>
      <c r="BE6" s="295"/>
      <c r="BG6" s="544" t="str">
        <f ca="1">Horarios!Q5</f>
        <v>Argelia</v>
      </c>
      <c r="BH6" s="545">
        <f t="shared" ca="1" si="0"/>
        <v>1</v>
      </c>
      <c r="BI6" s="545">
        <f ca="1">COUNTIF(ADMIN!$M$130:$M$161,Fixture!BG6)-BJ6-BK6-BL6-BM6-BN6-BO6</f>
        <v>0</v>
      </c>
      <c r="BJ6" s="546">
        <f ca="1">COUNTIF(ADMIN!$M$182:$M$197,Fixture!BG6)-BK6-BL6-BM6-BN6-BO6</f>
        <v>0</v>
      </c>
      <c r="BK6" s="547">
        <f ca="1">COUNTIF(ADMIN!$M$210:$M$217,Fixture!BG6)-BL6-BM6-BN6-BO6</f>
        <v>0</v>
      </c>
      <c r="BL6" s="547">
        <f ca="1">COUNTIF(ADMIN!$M$226:$M$229,BG6)-BM6-BN6-BO6</f>
        <v>0</v>
      </c>
      <c r="BM6" s="545">
        <f ca="1">COUNTIF(ADMIN!$M$252,Fixture!BG6)</f>
        <v>0</v>
      </c>
      <c r="BN6" s="545">
        <f ca="1">COUNTIF(ADMIN!$M$251,Fixture!BG6)</f>
        <v>0</v>
      </c>
      <c r="BO6" s="548">
        <f ca="1">COUNTIF(ADMIN!$M$250,Fixture!BG6)</f>
        <v>0</v>
      </c>
    </row>
    <row r="7" spans="1:67" ht="15" thickBot="1">
      <c r="A7" s="19">
        <v>53</v>
      </c>
      <c r="B7" s="525"/>
      <c r="C7" s="526" t="str">
        <f ca="1">+MID(INDEX(WORLDCUP!$AA$4:$AA$147,MATCH(A7,WORLDCUP!$AH$4:$AH$147,0)),1,3)</f>
        <v>Rep</v>
      </c>
      <c r="D7" s="527" t="str">
        <f>IF(ISBLANK(INDEX(WORLDCUP!$AC$4:$AC$147,MATCH(A7,WORLDCUP!$AH$4:$AH$147,0))),"",INDEX(WORLDCUP!$AC$4:$AC$147,MATCH(A7,WORLDCUP!$AH$4:$AH$147,0)))</f>
        <v/>
      </c>
      <c r="E7" s="527" t="str">
        <f>IF(ISBLANK(INDEX(WORLDCUP!$AD$4:$AD$147,MATCH(A7,WORLDCUP!$AH$4:$AH$147,0))),"",INDEX(WORLDCUP!$AD$4:$AD$147,MATCH(A7,WORLDCUP!$AH$4:$AH$147,0)))</f>
        <v/>
      </c>
      <c r="F7" s="528" t="str">
        <f ca="1">+MID(INDEX(WORLDCUP!$AF$4:$AF$147,MATCH(A7,WORLDCUP!$AH$4:$AH$147,0)),1,3)</f>
        <v>Méx</v>
      </c>
      <c r="G7" s="549">
        <v>4</v>
      </c>
      <c r="H7" s="558" t="str">
        <f ca="1">+MID(INDEX(WORLDCUP!$AL$6:$AL$97,MATCH(L7,WORLDCUP!$AI$6:$AI$97,0)),1,3)</f>
        <v>Sud</v>
      </c>
      <c r="I7" s="559">
        <f ca="1">+INDEX(WORLDCUP!$AM$6:$AM$97,MATCH(L7,WORLDCUP!$AI$6:$AI$97,0))</f>
        <v>0</v>
      </c>
      <c r="J7" s="560">
        <f ca="1">+INDEX(WORLDCUP!$AT$6:$AT$97,MATCH(L7,WORLDCUP!$AI$6:$AI$97,0))</f>
        <v>-2</v>
      </c>
      <c r="K7" s="561" t="str">
        <f ca="1">+INDEX(WORLDCUP!$AR$6:$AR$97,MATCH(L7,WORLDCUP!$AI$6:$AI$97,0))&amp;"-"&amp;INDEX(WORLDCUP!$AS$6:$AS$97,MATCH(L7,WORLDCUP!$AI$6:$AI$97,0))</f>
        <v>0-2</v>
      </c>
      <c r="L7" s="19" t="s">
        <v>647</v>
      </c>
      <c r="M7" s="19">
        <v>63</v>
      </c>
      <c r="N7" s="534"/>
      <c r="O7" s="526" t="str">
        <f ca="1">+MID(INDEX(WORLDCUP!$AA$4:$AA$147,MATCH(M7,WORLDCUP!$AH$4:$AH$147,0)),1,3)</f>
        <v>Egi</v>
      </c>
      <c r="P7" s="527" t="str">
        <f>IF(ISBLANK(INDEX(WORLDCUP!$AC$4:$AC$147,MATCH(M7,WORLDCUP!$AH$4:$AH$147,0))),"",INDEX(WORLDCUP!$AC$4:$AC$147,MATCH(M7,WORLDCUP!$AH$4:$AH$147,0)))</f>
        <v/>
      </c>
      <c r="Q7" s="527" t="str">
        <f>IF(ISBLANK(INDEX(WORLDCUP!$AD$4:$AD$147,MATCH(M7,WORLDCUP!$AH$4:$AH$147,0))),"",INDEX(WORLDCUP!$AD$4:$AD$147,MATCH(M7,WORLDCUP!$AH$4:$AH$147,0)))</f>
        <v/>
      </c>
      <c r="R7" s="528" t="str">
        <f ca="1">+MID(INDEX(WORLDCUP!$AF$4:$AF$147,MATCH(M7,WORLDCUP!$AH$4:$AH$147,0)),1,3)</f>
        <v>Irá</v>
      </c>
      <c r="S7" s="549">
        <v>4</v>
      </c>
      <c r="T7" s="558" t="str">
        <f ca="1">+MID(INDEX(WORLDCUP!$AL$6:$AL$97,MATCH(X7,WORLDCUP!$AI$6:$AI$97,0)),1,3)</f>
        <v>Nue</v>
      </c>
      <c r="U7" s="559">
        <f ca="1">+INDEX(WORLDCUP!$AM$6:$AM$97,MATCH(X7,WORLDCUP!$AI$6:$AI$97,0))</f>
        <v>0</v>
      </c>
      <c r="V7" s="560">
        <f ca="1">+INDEX(WORLDCUP!$AT$6:$AT$97,MATCH(X7,WORLDCUP!$AI$6:$AI$97,0))</f>
        <v>0</v>
      </c>
      <c r="W7" s="561" t="str">
        <f ca="1">+INDEX(WORLDCUP!$AR$6:$AR$97,MATCH(X7,WORLDCUP!$AI$6:$AI$97,0))&amp;"-"&amp;INDEX(WORLDCUP!$AS$6:$AS$97,MATCH(X7,WORLDCUP!$AI$6:$AI$97,0))</f>
        <v>0-0</v>
      </c>
      <c r="X7" s="19" t="s">
        <v>669</v>
      </c>
      <c r="Y7" s="19">
        <v>77</v>
      </c>
      <c r="Z7" s="507" t="s">
        <v>723</v>
      </c>
      <c r="AA7" s="562" t="str">
        <f ca="1">+MID(INDEX(WORLDCUP!$AF$101:$AF$147,MATCH(Y7,WORLDCUP!$Z$101:$Z$147,0)),1,IF(WORLDCUP!$H$113&lt;144,6,3))</f>
        <v>3CDFGH</v>
      </c>
      <c r="AB7" s="563" t="str">
        <f>+IF(ISBLANK(INDEX(WORLDCUP!$AD$101:$AD$147,MATCH(Y7,WORLDCUP!$Z$101:$Z$147,0))),"",INDEX(WORLDCUP!$AD$101:$AD$147,MATCH(Y7,WORLDCUP!$Z$101:$Z$147,0)))</f>
        <v/>
      </c>
      <c r="AC7" s="564" t="str">
        <f>+IF(ISBLANK(INDEX(WORLDCUP!$AE$101:$AE$147,MATCH(Y7,WORLDCUP!$Z$101:$Z$147,0))),"","( "&amp;INDEX(WORLDCUP!$AE$101:$AE$147,MATCH(Y7,WORLDCUP!$Z$101:$Z$147,0))&amp;" )")</f>
        <v/>
      </c>
      <c r="AD7" s="19"/>
      <c r="AE7" s="556"/>
      <c r="AF7" s="556"/>
      <c r="AG7" s="557"/>
      <c r="AH7" s="537">
        <v>97</v>
      </c>
      <c r="AI7" s="565" t="str">
        <f>+MID(INDEX(WORLDCUP!$AA$101:$AA$147,MATCH(AH7,WORLDCUP!$Z$101:$Z$147,0)),1,3)</f>
        <v>W89</v>
      </c>
      <c r="AJ7" s="566" t="str">
        <f>+IF(ISBLANK(INDEX(WORLDCUP!$AC$101:$AC$147,MATCH(AH7,WORLDCUP!$Z$101:$Z$147,0))),"",INDEX(WORLDCUP!$AC$101:$AC$147,MATCH(AH7,WORLDCUP!$Z$101:$Z$147,0)))</f>
        <v/>
      </c>
      <c r="AK7" s="567" t="str">
        <f>+IF(ISBLANK(INDEX(WORLDCUP!$AB$101:$AB$147,MATCH(AH7,WORLDCUP!$Z$101:$Z$147,0))),"","( "&amp;INDEX(WORLDCUP!$AB$101:$AB$147,MATCH(AH7,WORLDCUP!$Z$101:$Z$147,0))&amp;" )")</f>
        <v/>
      </c>
      <c r="AL7" s="90"/>
      <c r="AM7" s="513"/>
      <c r="AN7" s="513"/>
      <c r="AO7" s="513"/>
      <c r="AP7" s="19"/>
      <c r="AQ7" s="542"/>
      <c r="AR7" s="542"/>
      <c r="AS7" s="542"/>
      <c r="AT7" s="19"/>
      <c r="AU7" s="515"/>
      <c r="AV7" s="515"/>
      <c r="AW7" s="515"/>
      <c r="AX7" s="19"/>
      <c r="AY7" s="295"/>
      <c r="AZ7" s="295"/>
      <c r="BA7" s="295"/>
      <c r="BB7" s="295"/>
      <c r="BC7" s="295"/>
      <c r="BD7" s="295"/>
      <c r="BE7" s="295"/>
      <c r="BG7" s="544" t="str">
        <f ca="1">Horarios!Q6</f>
        <v>Argentina</v>
      </c>
      <c r="BH7" s="545">
        <f t="shared" ca="1" si="0"/>
        <v>1</v>
      </c>
      <c r="BI7" s="545">
        <f ca="1">COUNTIF(ADMIN!$M$130:$M$161,Fixture!BG7)-BJ7-BK7-BL7-BM7-BN7-BO7</f>
        <v>0</v>
      </c>
      <c r="BJ7" s="546">
        <f ca="1">COUNTIF(ADMIN!$M$182:$M$197,Fixture!BG7)-BK7-BL7-BM7-BN7-BO7</f>
        <v>0</v>
      </c>
      <c r="BK7" s="547">
        <f ca="1">COUNTIF(ADMIN!$M$210:$M$217,Fixture!BG7)-BL7-BM7-BN7-BO7</f>
        <v>0</v>
      </c>
      <c r="BL7" s="547">
        <f ca="1">COUNTIF(ADMIN!$M$226:$M$229,BG7)-BM7-BN7-BO7</f>
        <v>0</v>
      </c>
      <c r="BM7" s="545">
        <f ca="1">COUNTIF(ADMIN!$M$252,Fixture!BG7)</f>
        <v>0</v>
      </c>
      <c r="BN7" s="545">
        <f ca="1">COUNTIF(ADMIN!$M$251,Fixture!BG7)</f>
        <v>0</v>
      </c>
      <c r="BO7" s="548">
        <f ca="1">COUNTIF(ADMIN!$M$250,Fixture!BG7)</f>
        <v>0</v>
      </c>
    </row>
    <row r="8" spans="1:67" ht="15" thickBot="1">
      <c r="A8" s="19">
        <v>54</v>
      </c>
      <c r="B8" s="568"/>
      <c r="C8" s="569" t="str">
        <f ca="1">+MID(INDEX(WORLDCUP!$AA$4:$AA$147,MATCH(A8,WORLDCUP!$AH$4:$AH$147,0)),1,3)</f>
        <v>Sud</v>
      </c>
      <c r="D8" s="570" t="str">
        <f>IF(ISBLANK(INDEX(WORLDCUP!$AC$4:$AC$147,MATCH(A8,WORLDCUP!$AH$4:$AH$147,0))),"",INDEX(WORLDCUP!$AC$4:$AC$147,MATCH(A8,WORLDCUP!$AH$4:$AH$147,0)))</f>
        <v/>
      </c>
      <c r="E8" s="570" t="str">
        <f>IF(ISBLANK(INDEX(WORLDCUP!$AD$4:$AD$147,MATCH(A8,WORLDCUP!$AH$4:$AH$147,0))),"",INDEX(WORLDCUP!$AD$4:$AD$147,MATCH(A8,WORLDCUP!$AH$4:$AH$147,0)))</f>
        <v/>
      </c>
      <c r="F8" s="571" t="str">
        <f ca="1">+MID(INDEX(WORLDCUP!$AF$4:$AF$147,MATCH(A8,WORLDCUP!$AH$4:$AH$147,0)),1,3)</f>
        <v>Cor</v>
      </c>
      <c r="G8" s="572"/>
      <c r="H8" s="572"/>
      <c r="I8" s="573"/>
      <c r="J8" s="573"/>
      <c r="K8" s="574"/>
      <c r="L8" s="19"/>
      <c r="M8" s="19">
        <v>64</v>
      </c>
      <c r="N8" s="575"/>
      <c r="O8" s="569" t="str">
        <f ca="1">+MID(INDEX(WORLDCUP!$AA$4:$AA$147,MATCH(M8,WORLDCUP!$AH$4:$AH$147,0)),1,3)</f>
        <v>Nue</v>
      </c>
      <c r="P8" s="570" t="str">
        <f>IF(ISBLANK(INDEX(WORLDCUP!$AC$4:$AC$147,MATCH(M8,WORLDCUP!$AH$4:$AH$147,0))),"",INDEX(WORLDCUP!$AC$4:$AC$147,MATCH(M8,WORLDCUP!$AH$4:$AH$147,0)))</f>
        <v/>
      </c>
      <c r="Q8" s="570" t="str">
        <f>IF(ISBLANK(INDEX(WORLDCUP!$AD$4:$AD$147,MATCH(M8,WORLDCUP!$AH$4:$AH$147,0))),"",INDEX(WORLDCUP!$AD$4:$AD$147,MATCH(M8,WORLDCUP!$AH$4:$AH$147,0)))</f>
        <v/>
      </c>
      <c r="R8" s="571" t="str">
        <f ca="1">+MID(INDEX(WORLDCUP!$AF$4:$AF$147,MATCH(M8,WORLDCUP!$AH$4:$AH$147,0)),1,3)</f>
        <v>Bél</v>
      </c>
      <c r="S8" s="572"/>
      <c r="T8" s="572"/>
      <c r="U8" s="573"/>
      <c r="V8" s="573"/>
      <c r="W8" s="574"/>
      <c r="X8" s="19"/>
      <c r="Y8" s="19"/>
      <c r="Z8" s="507"/>
      <c r="AA8" s="576"/>
      <c r="AB8" s="576"/>
      <c r="AC8" s="576"/>
      <c r="AD8" s="19"/>
      <c r="AE8" s="511"/>
      <c r="AF8" s="511"/>
      <c r="AG8" s="557"/>
      <c r="AH8" s="19">
        <v>97</v>
      </c>
      <c r="AI8" s="565" t="str">
        <f>+MID(INDEX(WORLDCUP!$AF$101:$AF$147,MATCH(AH8,WORLDCUP!$Z$101:$Z$147,0)),1,3)</f>
        <v>W90</v>
      </c>
      <c r="AJ8" s="566" t="str">
        <f>+IF(ISBLANK(INDEX(WORLDCUP!$AD$101:$AD$147,MATCH(AH8,WORLDCUP!$Z$101:$Z$147,0))),"",INDEX(WORLDCUP!$AD$101:$AD$147,MATCH(AH8,WORLDCUP!$Z$101:$Z$147,0)))</f>
        <v/>
      </c>
      <c r="AK8" s="577" t="str">
        <f>+IF(ISBLANK(INDEX(WORLDCUP!$AE$101:$AE$147,MATCH(AH8,WORLDCUP!$Z$101:$Z$147,0))),"","( "&amp;INDEX(WORLDCUP!$AE$101:$AE$147,MATCH(AH8,WORLDCUP!$Z$101:$Z$147,0))&amp;" )")</f>
        <v/>
      </c>
      <c r="AL8" s="90"/>
      <c r="AM8" s="513"/>
      <c r="AN8" s="513"/>
      <c r="AO8" s="513"/>
      <c r="AP8" s="19"/>
      <c r="AQ8" s="542"/>
      <c r="AR8" s="542"/>
      <c r="AS8" s="542"/>
      <c r="AT8" s="19"/>
      <c r="AU8" s="515"/>
      <c r="AV8" s="515"/>
      <c r="AW8" s="515"/>
      <c r="AX8" s="19"/>
      <c r="AY8" s="295"/>
      <c r="AZ8" s="295"/>
      <c r="BA8" s="295"/>
      <c r="BB8" s="295"/>
      <c r="BC8" s="295"/>
      <c r="BD8" s="295"/>
      <c r="BE8" s="295"/>
      <c r="BG8" s="544" t="str">
        <f ca="1">Horarios!Q7</f>
        <v>Australia</v>
      </c>
      <c r="BH8" s="545">
        <f t="shared" ca="1" si="0"/>
        <v>1</v>
      </c>
      <c r="BI8" s="545">
        <f ca="1">COUNTIF(ADMIN!$M$130:$M$161,Fixture!BG8)-BJ8-BK8-BL8-BM8-BN8-BO8</f>
        <v>0</v>
      </c>
      <c r="BJ8" s="546">
        <f ca="1">COUNTIF(ADMIN!$M$182:$M$197,Fixture!BG8)-BK8-BL8-BM8-BN8-BO8</f>
        <v>0</v>
      </c>
      <c r="BK8" s="547">
        <f ca="1">COUNTIF(ADMIN!$M$210:$M$217,Fixture!BG8)-BL8-BM8-BN8-BO8</f>
        <v>0</v>
      </c>
      <c r="BL8" s="547">
        <f ca="1">COUNTIF(ADMIN!$M$226:$M$229,BG8)-BM8-BN8-BO8</f>
        <v>0</v>
      </c>
      <c r="BM8" s="545">
        <f ca="1">COUNTIF(ADMIN!$M$252,Fixture!BG8)</f>
        <v>0</v>
      </c>
      <c r="BN8" s="545">
        <f ca="1">COUNTIF(ADMIN!$M$251,Fixture!BG8)</f>
        <v>0</v>
      </c>
      <c r="BO8" s="548">
        <f ca="1">COUNTIF(ADMIN!$M$250,Fixture!BG8)</f>
        <v>0</v>
      </c>
    </row>
    <row r="9" spans="1:67" ht="15" thickBot="1">
      <c r="A9" s="19"/>
      <c r="B9" s="494"/>
      <c r="C9" s="578"/>
      <c r="D9" s="439"/>
      <c r="E9" s="439"/>
      <c r="F9" s="295"/>
      <c r="G9" s="295"/>
      <c r="H9" s="578"/>
      <c r="I9" s="295"/>
      <c r="J9" s="295"/>
      <c r="K9" s="295"/>
      <c r="L9" s="19"/>
      <c r="M9" s="19"/>
      <c r="N9" s="245"/>
      <c r="O9" s="578"/>
      <c r="P9" s="439"/>
      <c r="Q9" s="439"/>
      <c r="R9" s="295"/>
      <c r="S9" s="295"/>
      <c r="T9" s="578"/>
      <c r="U9" s="295"/>
      <c r="V9" s="295"/>
      <c r="W9" s="295"/>
      <c r="X9" s="19"/>
      <c r="Y9" s="19">
        <v>73</v>
      </c>
      <c r="Z9" s="507" t="s">
        <v>646</v>
      </c>
      <c r="AA9" s="508" t="str">
        <f ca="1">+MID(INDEX(WORLDCUP!$AA$101:$AA$147,MATCH(Y9,WORLDCUP!$Z$101:$Z$147,0)),1,3)</f>
        <v>2A</v>
      </c>
      <c r="AB9" s="509" t="str">
        <f>+IF(ISBLANK(INDEX(WORLDCUP!$AC$101:$AC$147,MATCH(Y9,WORLDCUP!$Z$101:$Z$147,0))),"",INDEX(WORLDCUP!$AC$101:$AC$147,MATCH(Y9,WORLDCUP!$Z$101:$Z$147,0)))</f>
        <v/>
      </c>
      <c r="AC9" s="579" t="str">
        <f>+IF(ISBLANK(INDEX(WORLDCUP!$AB$101:$AB$147,MATCH(Y9,WORLDCUP!$Z$101:$Z$147,0))),"","( "&amp;INDEX(WORLDCUP!$AB$101:$AB$147,MATCH(Y9,WORLDCUP!$Z$101:$Z$147,0))&amp;" )")</f>
        <v/>
      </c>
      <c r="AD9" s="18"/>
      <c r="AE9" s="511"/>
      <c r="AF9" s="511"/>
      <c r="AG9" s="557"/>
      <c r="AH9" s="19"/>
      <c r="AI9" s="541"/>
      <c r="AJ9" s="541"/>
      <c r="AK9" s="580"/>
      <c r="AL9" s="90"/>
      <c r="AM9" s="513"/>
      <c r="AN9" s="513"/>
      <c r="AO9" s="513"/>
      <c r="AP9" s="19"/>
      <c r="AQ9" s="542"/>
      <c r="AR9" s="542"/>
      <c r="AS9" s="542"/>
      <c r="AT9" s="19"/>
      <c r="AU9" s="515"/>
      <c r="AV9" s="515"/>
      <c r="AW9" s="515"/>
      <c r="AX9" s="19"/>
      <c r="AY9" s="295"/>
      <c r="AZ9" s="295"/>
      <c r="BA9" s="295"/>
      <c r="BB9" s="295"/>
      <c r="BC9" s="295"/>
      <c r="BD9" s="295"/>
      <c r="BE9" s="295"/>
      <c r="BG9" s="544" t="str">
        <f ca="1">Horarios!Q8</f>
        <v>Austria</v>
      </c>
      <c r="BH9" s="545">
        <f t="shared" ca="1" si="0"/>
        <v>1</v>
      </c>
      <c r="BI9" s="545">
        <f ca="1">COUNTIF(ADMIN!$M$130:$M$161,Fixture!BG9)-BJ9-BK9-BL9-BM9-BN9-BO9</f>
        <v>0</v>
      </c>
      <c r="BJ9" s="546">
        <f ca="1">COUNTIF(ADMIN!$M$182:$M$197,Fixture!BG9)-BK9-BL9-BM9-BN9-BO9</f>
        <v>0</v>
      </c>
      <c r="BK9" s="547">
        <f ca="1">COUNTIF(ADMIN!$M$210:$M$217,Fixture!BG9)-BL9-BM9-BN9-BO9</f>
        <v>0</v>
      </c>
      <c r="BL9" s="547">
        <f ca="1">COUNTIF(ADMIN!$M$226:$M$229,BG9)-BM9-BN9-BO9</f>
        <v>0</v>
      </c>
      <c r="BM9" s="545">
        <f ca="1">COUNTIF(ADMIN!$M$252,Fixture!BG9)</f>
        <v>0</v>
      </c>
      <c r="BN9" s="545">
        <f ca="1">COUNTIF(ADMIN!$M$251,Fixture!BG9)</f>
        <v>0</v>
      </c>
      <c r="BO9" s="548">
        <f ca="1">COUNTIF(ADMIN!$M$250,Fixture!BG9)</f>
        <v>0</v>
      </c>
    </row>
    <row r="10" spans="1:67" ht="15" thickBot="1">
      <c r="A10" s="19"/>
      <c r="B10" s="494"/>
      <c r="C10" s="578"/>
      <c r="D10" s="439"/>
      <c r="E10" s="439"/>
      <c r="F10" s="295"/>
      <c r="G10" s="295"/>
      <c r="H10" s="578"/>
      <c r="I10" s="295"/>
      <c r="J10" s="295"/>
      <c r="K10" s="295"/>
      <c r="L10" s="19"/>
      <c r="M10" s="19"/>
      <c r="N10" s="245"/>
      <c r="O10" s="578"/>
      <c r="P10" s="439"/>
      <c r="Q10" s="439"/>
      <c r="R10" s="295"/>
      <c r="S10" s="295"/>
      <c r="T10" s="578"/>
      <c r="U10" s="295"/>
      <c r="V10" s="295"/>
      <c r="W10" s="295"/>
      <c r="X10" s="19"/>
      <c r="Y10" s="19">
        <v>73</v>
      </c>
      <c r="Z10" s="507" t="s">
        <v>649</v>
      </c>
      <c r="AA10" s="508" t="str">
        <f ca="1">+MID(INDEX(WORLDCUP!$AF$101:$AF$147,MATCH(Y10,WORLDCUP!$Z$101:$Z$147,0)),1,3)</f>
        <v>2B</v>
      </c>
      <c r="AB10" s="535" t="str">
        <f>+IF(ISBLANK(INDEX(WORLDCUP!$AD$101:$AD$147,MATCH(Y10,WORLDCUP!$Z$101:$Z$147,0))),"",INDEX(WORLDCUP!$AD$101:$AD$147,MATCH(Y10,WORLDCUP!$Z$101:$Z$147,0)))</f>
        <v/>
      </c>
      <c r="AC10" s="536" t="str">
        <f>+IF(ISBLANK(INDEX(WORLDCUP!$AE$101:$AE$147,MATCH(Y10,WORLDCUP!$Z$101:$Z$147,0))),"","( "&amp;INDEX(WORLDCUP!$AE$101:$AE$147,MATCH(Y10,WORLDCUP!$Z$101:$Z$147,0))&amp;" )")</f>
        <v/>
      </c>
      <c r="AD10" s="581">
        <v>90</v>
      </c>
      <c r="AE10" s="538" t="str">
        <f>+MID(INDEX(WORLDCUP!$AA$101:$AA$147,MATCH(AD10,WORLDCUP!$Z$101:$Z$147,0)),1,3)</f>
        <v>W73</v>
      </c>
      <c r="AF10" s="539" t="str">
        <f>+IF(ISBLANK(INDEX(WORLDCUP!$AC$101:$AC$147,MATCH(AD10,WORLDCUP!$Z$101:$Z$147,0))),"",INDEX(WORLDCUP!$AC$101:$AC$147,MATCH(AD10,WORLDCUP!$Z$101:$Z$147,0)))</f>
        <v/>
      </c>
      <c r="AG10" s="582" t="str">
        <f>+IF(ISBLANK(INDEX(WORLDCUP!$AB$101:$AB$147,MATCH(AD10,WORLDCUP!$Z$101:$Z$147,0))),"","( "&amp;INDEX(WORLDCUP!$AB$101:$AB$147,MATCH(AD10,WORLDCUP!$Z$101:$Z$147,0))&amp;" )")</f>
        <v/>
      </c>
      <c r="AH10" s="19"/>
      <c r="AI10" s="541"/>
      <c r="AJ10" s="541"/>
      <c r="AK10" s="580"/>
      <c r="AL10" s="90"/>
      <c r="AM10" s="513"/>
      <c r="AN10" s="513"/>
      <c r="AO10" s="513"/>
      <c r="AP10" s="19"/>
      <c r="AQ10" s="542"/>
      <c r="AR10" s="542"/>
      <c r="AS10" s="542"/>
      <c r="AT10" s="19"/>
      <c r="AU10" s="515"/>
      <c r="AV10" s="515"/>
      <c r="AW10" s="515"/>
      <c r="AX10" s="19"/>
      <c r="AY10" s="295"/>
      <c r="AZ10" s="245"/>
      <c r="BA10" s="245"/>
      <c r="BB10" s="173"/>
      <c r="BC10" s="578"/>
      <c r="BD10" s="439"/>
      <c r="BE10" s="439"/>
      <c r="BF10" s="583"/>
      <c r="BG10" s="544" t="str">
        <f ca="1">Horarios!Q9</f>
        <v>Bélgica</v>
      </c>
      <c r="BH10" s="545">
        <f t="shared" ca="1" si="0"/>
        <v>1</v>
      </c>
      <c r="BI10" s="545">
        <f ca="1">COUNTIF(ADMIN!$M$130:$M$161,Fixture!BG10)-BJ10-BK10-BL10-BM10-BN10-BO10</f>
        <v>0</v>
      </c>
      <c r="BJ10" s="546">
        <f ca="1">COUNTIF(ADMIN!$M$182:$M$197,Fixture!BG10)-BK10-BL10-BM10-BN10-BO10</f>
        <v>0</v>
      </c>
      <c r="BK10" s="547">
        <f ca="1">COUNTIF(ADMIN!$M$210:$M$217,Fixture!BG10)-BL10-BM10-BN10-BO10</f>
        <v>0</v>
      </c>
      <c r="BL10" s="547">
        <f ca="1">COUNTIF(ADMIN!$M$226:$M$229,BG10)-BM10-BN10-BO10</f>
        <v>0</v>
      </c>
      <c r="BM10" s="545">
        <f ca="1">COUNTIF(ADMIN!$M$252,Fixture!BG10)</f>
        <v>0</v>
      </c>
      <c r="BN10" s="545">
        <f ca="1">COUNTIF(ADMIN!$M$251,Fixture!BG10)</f>
        <v>0</v>
      </c>
      <c r="BO10" s="548">
        <f ca="1">COUNTIF(ADMIN!$M$250,Fixture!BG10)</f>
        <v>0</v>
      </c>
    </row>
    <row r="11" spans="1:67">
      <c r="A11" s="19">
        <v>3</v>
      </c>
      <c r="B11" s="584" t="s">
        <v>1</v>
      </c>
      <c r="C11" s="499" t="str">
        <f ca="1">+MID(INDEX(WORLDCUP!$AA$4:$AA$147,MATCH(A11,WORLDCUP!$AH$4:$AH$147,0)),1,3)</f>
        <v>Can</v>
      </c>
      <c r="D11" s="500">
        <f>IF(ISBLANK(INDEX(WORLDCUP!$AC$4:$AC$147,MATCH(A11,WORLDCUP!$AH$4:$AH$147,0))),"",INDEX(WORLDCUP!$AC$4:$AC$147,MATCH(A11,WORLDCUP!$AH$4:$AH$147,0)))</f>
        <v>1</v>
      </c>
      <c r="E11" s="500">
        <f>IF(ISBLANK(INDEX(WORLDCUP!$AD$4:$AD$147,MATCH(A11,WORLDCUP!$AH$4:$AH$147,0))),"",INDEX(WORLDCUP!$AD$4:$AD$147,MATCH(A11,WORLDCUP!$AH$4:$AH$147,0)))</f>
        <v>1</v>
      </c>
      <c r="F11" s="501" t="str">
        <f ca="1">+MID(INDEX(WORLDCUP!$AF$4:$AF$147,MATCH(A11,WORLDCUP!$AH$4:$AH$147,0)),1,3)</f>
        <v>Bos</v>
      </c>
      <c r="G11" s="502"/>
      <c r="H11" s="503" t="str">
        <f>+H3</f>
        <v>Sel</v>
      </c>
      <c r="I11" s="504" t="str">
        <f>+I3</f>
        <v>Pts</v>
      </c>
      <c r="J11" s="504" t="str">
        <f>+J3</f>
        <v>DG</v>
      </c>
      <c r="K11" s="505" t="str">
        <f>+K3</f>
        <v>GF-GC</v>
      </c>
      <c r="L11" s="19"/>
      <c r="M11" s="19">
        <v>14</v>
      </c>
      <c r="N11" s="585" t="s">
        <v>437</v>
      </c>
      <c r="O11" s="499" t="str">
        <f ca="1">+MID(INDEX(WORLDCUP!$AA$4:$AA$147,MATCH(M11,WORLDCUP!$AH$4:$AH$147,0)),1,3)</f>
        <v>Esp</v>
      </c>
      <c r="P11" s="500" t="str">
        <f>IF(ISBLANK(INDEX(WORLDCUP!$AC$4:$AC$147,MATCH(M11,WORLDCUP!$AH$4:$AH$147,0))),"",INDEX(WORLDCUP!$AC$4:$AC$147,MATCH(M11,WORLDCUP!$AH$4:$AH$147,0)))</f>
        <v/>
      </c>
      <c r="Q11" s="500" t="str">
        <f>IF(ISBLANK(INDEX(WORLDCUP!$AD$4:$AD$147,MATCH(M11,WORLDCUP!$AH$4:$AH$147,0))),"",INDEX(WORLDCUP!$AD$4:$AD$147,MATCH(M11,WORLDCUP!$AH$4:$AH$147,0)))</f>
        <v/>
      </c>
      <c r="R11" s="501" t="str">
        <f ca="1">+MID(INDEX(WORLDCUP!$AF$4:$AF$147,MATCH(M11,WORLDCUP!$AH$4:$AH$147,0)),1,3)</f>
        <v>Cab</v>
      </c>
      <c r="S11" s="502"/>
      <c r="T11" s="503" t="str">
        <f>+T3</f>
        <v>Sel</v>
      </c>
      <c r="U11" s="504" t="str">
        <f t="shared" ref="U11:W11" si="1">+U3</f>
        <v>Pts</v>
      </c>
      <c r="V11" s="504" t="str">
        <f t="shared" si="1"/>
        <v>DG</v>
      </c>
      <c r="W11" s="505" t="str">
        <f t="shared" si="1"/>
        <v>GF-GC</v>
      </c>
      <c r="X11" s="19"/>
      <c r="Y11" s="19"/>
      <c r="Z11" s="507"/>
      <c r="AA11" s="551"/>
      <c r="AB11" s="551"/>
      <c r="AC11" s="552"/>
      <c r="AD11" s="19">
        <v>90</v>
      </c>
      <c r="AE11" s="538" t="str">
        <f>+MID(INDEX(WORLDCUP!$AF$101:$AF$147,MATCH(AD11,WORLDCUP!$Z$101:$Z$147,0)),1,3)</f>
        <v>W75</v>
      </c>
      <c r="AF11" s="539" t="str">
        <f>+IF(ISBLANK(INDEX(WORLDCUP!$AD$101:$AD$147,MATCH(AD11,WORLDCUP!$Z$101:$Z$147,0))),"",INDEX(WORLDCUP!$AD$101:$AD$147,MATCH(AD11,WORLDCUP!$Z$101:$Z$147,0)))</f>
        <v/>
      </c>
      <c r="AG11" s="556" t="str">
        <f>+IF(ISBLANK(INDEX(WORLDCUP!$AE$101:$AE$147,MATCH(AD11,WORLDCUP!$Z$101:$Z$147,0))),"","( "&amp;INDEX(WORLDCUP!$AE$101:$AE$147,MATCH(AD11,WORLDCUP!$Z$101:$Z$147,0))&amp;" )")</f>
        <v/>
      </c>
      <c r="AH11" s="19"/>
      <c r="AI11" s="541"/>
      <c r="AJ11" s="541"/>
      <c r="AK11" s="580"/>
      <c r="AL11" s="90"/>
      <c r="AM11" s="513"/>
      <c r="AN11" s="513"/>
      <c r="AO11" s="513"/>
      <c r="AP11" s="19"/>
      <c r="AQ11" s="542"/>
      <c r="AR11" s="542"/>
      <c r="AS11" s="542"/>
      <c r="AT11" s="19"/>
      <c r="AU11" s="515"/>
      <c r="AV11" s="515"/>
      <c r="AW11" s="515"/>
      <c r="AX11" s="19"/>
      <c r="AY11" s="295"/>
      <c r="AZ11" s="295"/>
      <c r="BA11" s="295"/>
      <c r="BB11" s="295"/>
      <c r="BC11" s="295"/>
      <c r="BD11" s="295"/>
      <c r="BE11" s="295"/>
      <c r="BG11" s="544" t="str">
        <f ca="1">Horarios!Q10</f>
        <v>Bosnia y Herzegovina</v>
      </c>
      <c r="BH11" s="545">
        <f t="shared" ca="1" si="0"/>
        <v>1</v>
      </c>
      <c r="BI11" s="545">
        <f ca="1">COUNTIF(ADMIN!$M$130:$M$161,Fixture!BG11)-BJ11-BK11-BL11-BM11-BN11-BO11</f>
        <v>0</v>
      </c>
      <c r="BJ11" s="546">
        <f ca="1">COUNTIF(ADMIN!$M$182:$M$197,Fixture!BG11)-BK11-BL11-BM11-BN11-BO11</f>
        <v>0</v>
      </c>
      <c r="BK11" s="547">
        <f ca="1">COUNTIF(ADMIN!$M$210:$M$217,Fixture!BG11)-BL11-BM11-BN11-BO11</f>
        <v>0</v>
      </c>
      <c r="BL11" s="547">
        <f ca="1">COUNTIF(ADMIN!$M$226:$M$229,BG11)-BM11-BN11-BO11</f>
        <v>0</v>
      </c>
      <c r="BM11" s="545">
        <f ca="1">COUNTIF(ADMIN!$M$252,Fixture!BG11)</f>
        <v>0</v>
      </c>
      <c r="BN11" s="545">
        <f ca="1">COUNTIF(ADMIN!$M$251,Fixture!BG11)</f>
        <v>0</v>
      </c>
      <c r="BO11" s="548">
        <f ca="1">COUNTIF(ADMIN!$M$250,Fixture!BG11)</f>
        <v>0</v>
      </c>
    </row>
    <row r="12" spans="1:67" ht="15" thickBot="1">
      <c r="A12" s="19">
        <v>8</v>
      </c>
      <c r="B12" s="586"/>
      <c r="C12" s="526" t="str">
        <f ca="1">+MID(INDEX(WORLDCUP!$AA$4:$AA$147,MATCH(A12,WORLDCUP!$AH$4:$AH$147,0)),1,3)</f>
        <v>Cat</v>
      </c>
      <c r="D12" s="527" t="str">
        <f>IF(ISBLANK(INDEX(WORLDCUP!$AC$4:$AC$147,MATCH(A12,WORLDCUP!$AH$4:$AH$147,0))),"",INDEX(WORLDCUP!$AC$4:$AC$147,MATCH(A12,WORLDCUP!$AH$4:$AH$147,0)))</f>
        <v/>
      </c>
      <c r="E12" s="527" t="str">
        <f>IF(ISBLANK(INDEX(WORLDCUP!$AD$4:$AD$147,MATCH(A12,WORLDCUP!$AH$4:$AH$147,0))),"",INDEX(WORLDCUP!$AD$4:$AD$147,MATCH(A12,WORLDCUP!$AH$4:$AH$147,0)))</f>
        <v/>
      </c>
      <c r="F12" s="528" t="str">
        <f ca="1">+MID(INDEX(WORLDCUP!$AF$4:$AF$147,MATCH(A12,WORLDCUP!$AH$4:$AH$147,0)),1,3)</f>
        <v>Sui</v>
      </c>
      <c r="G12" s="529">
        <v>1</v>
      </c>
      <c r="H12" s="530" t="str">
        <f ca="1">+MID(INDEX(WORLDCUP!$AL$6:$AL$97,MATCH(L12,WORLDCUP!$AI$6:$AI$97,0)),1,3)</f>
        <v>Can</v>
      </c>
      <c r="I12" s="531">
        <f ca="1">+INDEX(WORLDCUP!$AM$6:$AM$97,MATCH(L12,WORLDCUP!$AI$6:$AI$97,0))</f>
        <v>1</v>
      </c>
      <c r="J12" s="532">
        <f ca="1">+INDEX(WORLDCUP!$AT$6:$AT$97,MATCH(L12,WORLDCUP!$AI$6:$AI$97,0))</f>
        <v>0</v>
      </c>
      <c r="K12" s="533" t="str">
        <f ca="1">+INDEX(WORLDCUP!$AR$6:$AR$97,MATCH(L12,WORLDCUP!$AI$6:$AI$97,0))&amp;"-"&amp;INDEX(WORLDCUP!$AS$6:$AS$97,MATCH(L12,WORLDCUP!$AI$6:$AI$97,0))</f>
        <v>1-1</v>
      </c>
      <c r="L12" s="19" t="s">
        <v>648</v>
      </c>
      <c r="M12" s="19">
        <v>13</v>
      </c>
      <c r="N12" s="587"/>
      <c r="O12" s="526" t="str">
        <f ca="1">+MID(INDEX(WORLDCUP!$AA$4:$AA$147,MATCH(M12,WORLDCUP!$AH$4:$AH$147,0)),1,3)</f>
        <v>Ara</v>
      </c>
      <c r="P12" s="527" t="str">
        <f>IF(ISBLANK(INDEX(WORLDCUP!$AC$4:$AC$147,MATCH(M12,WORLDCUP!$AH$4:$AH$147,0))),"",INDEX(WORLDCUP!$AC$4:$AC$147,MATCH(M12,WORLDCUP!$AH$4:$AH$147,0)))</f>
        <v/>
      </c>
      <c r="Q12" s="527" t="str">
        <f>IF(ISBLANK(INDEX(WORLDCUP!$AD$4:$AD$147,MATCH(M12,WORLDCUP!$AH$4:$AH$147,0))),"",INDEX(WORLDCUP!$AD$4:$AD$147,MATCH(M12,WORLDCUP!$AH$4:$AH$147,0)))</f>
        <v/>
      </c>
      <c r="R12" s="528" t="str">
        <f ca="1">+MID(INDEX(WORLDCUP!$AF$4:$AF$147,MATCH(M12,WORLDCUP!$AH$4:$AH$147,0)),1,3)</f>
        <v>Uru</v>
      </c>
      <c r="S12" s="529">
        <v>1</v>
      </c>
      <c r="T12" s="530" t="str">
        <f ca="1">+MID(INDEX(WORLDCUP!$AL$6:$AL$97,MATCH(X12,WORLDCUP!$AI$6:$AI$97,0)),1,3)</f>
        <v>Esp</v>
      </c>
      <c r="U12" s="531">
        <f ca="1">+INDEX(WORLDCUP!$AM$6:$AM$97,MATCH(X12,WORLDCUP!$AI$6:$AI$97,0))</f>
        <v>0</v>
      </c>
      <c r="V12" s="532">
        <f ca="1">+INDEX(WORLDCUP!$AT$6:$AT$97,MATCH(X12,WORLDCUP!$AI$6:$AI$97,0))</f>
        <v>0</v>
      </c>
      <c r="W12" s="533" t="str">
        <f ca="1">+INDEX(WORLDCUP!$AR$6:$AR$97,MATCH(X12,WORLDCUP!$AI$6:$AI$97,0))&amp;"-"&amp;INDEX(WORLDCUP!$AS$6:$AS$97,MATCH(X12,WORLDCUP!$AI$6:$AI$97,0))</f>
        <v>0-0</v>
      </c>
      <c r="X12" s="19" t="s">
        <v>670</v>
      </c>
      <c r="Y12" s="19">
        <v>75</v>
      </c>
      <c r="Z12" s="507" t="s">
        <v>664</v>
      </c>
      <c r="AA12" s="508" t="str">
        <f ca="1">+MID(INDEX(WORLDCUP!$AA$101:$AA$147,MATCH(Y12,WORLDCUP!$Z$101:$Z$147,0)),1,3)</f>
        <v>1F</v>
      </c>
      <c r="AB12" s="554" t="str">
        <f>+IF(ISBLANK(INDEX(WORLDCUP!$AC$101:$AC$147,MATCH(Y12,WORLDCUP!$Z$101:$Z$147,0))),"",INDEX(WORLDCUP!$AC$101:$AC$147,MATCH(Y12,WORLDCUP!$Z$101:$Z$147,0)))</f>
        <v/>
      </c>
      <c r="AC12" s="588" t="str">
        <f>+IF(ISBLANK(INDEX(WORLDCUP!$AB$101:$AB$147,MATCH(Y12,WORLDCUP!$Z$101:$Z$147,0))),"","( "&amp;INDEX(WORLDCUP!$AB$101:$AB$147,MATCH(Y12,WORLDCUP!$Z$101:$Z$147,0))&amp;" )")</f>
        <v/>
      </c>
      <c r="AD12" s="19"/>
      <c r="AE12" s="511"/>
      <c r="AF12" s="511"/>
      <c r="AG12" s="511"/>
      <c r="AH12" s="19"/>
      <c r="AI12" s="541"/>
      <c r="AJ12" s="541"/>
      <c r="AK12" s="580"/>
      <c r="AL12" s="90"/>
      <c r="AM12" s="513"/>
      <c r="AN12" s="513"/>
      <c r="AO12" s="513"/>
      <c r="AP12" s="19"/>
      <c r="AQ12" s="542"/>
      <c r="AR12" s="542"/>
      <c r="AS12" s="542"/>
      <c r="AT12" s="19"/>
      <c r="AU12" s="515"/>
      <c r="AV12" s="515"/>
      <c r="AW12" s="515"/>
      <c r="AX12" s="19"/>
      <c r="AY12" s="295"/>
      <c r="AZ12" s="295"/>
      <c r="BA12" s="295"/>
      <c r="BB12" s="295"/>
      <c r="BC12" s="295"/>
      <c r="BD12" s="295"/>
      <c r="BE12" s="295"/>
      <c r="BG12" s="544" t="str">
        <f ca="1">Horarios!Q11</f>
        <v>Brasil</v>
      </c>
      <c r="BH12" s="545">
        <f t="shared" ca="1" si="0"/>
        <v>1</v>
      </c>
      <c r="BI12" s="545">
        <f ca="1">COUNTIF(ADMIN!$M$130:$M$161,Fixture!BG12)-BJ12-BK12-BL12-BM12-BN12-BO12</f>
        <v>0</v>
      </c>
      <c r="BJ12" s="546">
        <f ca="1">COUNTIF(ADMIN!$M$182:$M$197,Fixture!BG12)-BK12-BL12-BM12-BN12-BO12</f>
        <v>0</v>
      </c>
      <c r="BK12" s="547">
        <f ca="1">COUNTIF(ADMIN!$M$210:$M$217,Fixture!BG12)-BL12-BM12-BN12-BO12</f>
        <v>0</v>
      </c>
      <c r="BL12" s="547">
        <f ca="1">COUNTIF(ADMIN!$M$226:$M$229,BG12)-BM12-BN12-BO12</f>
        <v>0</v>
      </c>
      <c r="BM12" s="545">
        <f ca="1">COUNTIF(ADMIN!$M$252,Fixture!BG12)</f>
        <v>0</v>
      </c>
      <c r="BN12" s="545">
        <f ca="1">COUNTIF(ADMIN!$M$251,Fixture!BG12)</f>
        <v>0</v>
      </c>
      <c r="BO12" s="548">
        <f ca="1">COUNTIF(ADMIN!$M$250,Fixture!BG12)</f>
        <v>0</v>
      </c>
    </row>
    <row r="13" spans="1:67" ht="15" thickBot="1">
      <c r="A13" s="19">
        <v>26</v>
      </c>
      <c r="B13" s="586"/>
      <c r="C13" s="526" t="str">
        <f ca="1">+MID(INDEX(WORLDCUP!$AA$4:$AA$147,MATCH(A13,WORLDCUP!$AH$4:$AH$147,0)),1,3)</f>
        <v>Sui</v>
      </c>
      <c r="D13" s="527" t="str">
        <f>IF(ISBLANK(INDEX(WORLDCUP!$AC$4:$AC$147,MATCH(A13,WORLDCUP!$AH$4:$AH$147,0))),"",INDEX(WORLDCUP!$AC$4:$AC$147,MATCH(A13,WORLDCUP!$AH$4:$AH$147,0)))</f>
        <v/>
      </c>
      <c r="E13" s="527" t="str">
        <f>IF(ISBLANK(INDEX(WORLDCUP!$AD$4:$AD$147,MATCH(A13,WORLDCUP!$AH$4:$AH$147,0))),"",INDEX(WORLDCUP!$AD$4:$AD$147,MATCH(A13,WORLDCUP!$AH$4:$AH$147,0)))</f>
        <v/>
      </c>
      <c r="F13" s="528" t="str">
        <f ca="1">+MID(INDEX(WORLDCUP!$AF$4:$AF$147,MATCH(A13,WORLDCUP!$AH$4:$AH$147,0)),1,3)</f>
        <v>Bos</v>
      </c>
      <c r="G13" s="549">
        <v>2</v>
      </c>
      <c r="H13" s="550" t="str">
        <f ca="1">+MID(INDEX(WORLDCUP!$AL$6:$AL$97,MATCH(L13,WORLDCUP!$AI$6:$AI$97,0)),1,3)</f>
        <v>Bos</v>
      </c>
      <c r="I13" s="221">
        <f ca="1">+INDEX(WORLDCUP!$AM$6:$AM$97,MATCH(L13,WORLDCUP!$AI$6:$AI$97,0))</f>
        <v>1</v>
      </c>
      <c r="J13" s="222">
        <f ca="1">+INDEX(WORLDCUP!$AT$6:$AT$97,MATCH(L13,WORLDCUP!$AI$6:$AI$97,0))</f>
        <v>0</v>
      </c>
      <c r="K13" s="223" t="str">
        <f ca="1">+INDEX(WORLDCUP!$AR$6:$AR$97,MATCH(L13,WORLDCUP!$AI$6:$AI$97,0))&amp;"-"&amp;INDEX(WORLDCUP!$AS$6:$AS$97,MATCH(L13,WORLDCUP!$AI$6:$AI$97,0))</f>
        <v>1-1</v>
      </c>
      <c r="L13" s="19" t="s">
        <v>649</v>
      </c>
      <c r="M13" s="19">
        <v>38</v>
      </c>
      <c r="N13" s="587"/>
      <c r="O13" s="526" t="str">
        <f ca="1">+MID(INDEX(WORLDCUP!$AA$4:$AA$147,MATCH(M13,WORLDCUP!$AH$4:$AH$147,0)),1,3)</f>
        <v>Esp</v>
      </c>
      <c r="P13" s="527" t="str">
        <f>IF(ISBLANK(INDEX(WORLDCUP!$AC$4:$AC$147,MATCH(M13,WORLDCUP!$AH$4:$AH$147,0))),"",INDEX(WORLDCUP!$AC$4:$AC$147,MATCH(M13,WORLDCUP!$AH$4:$AH$147,0)))</f>
        <v/>
      </c>
      <c r="Q13" s="527" t="str">
        <f>IF(ISBLANK(INDEX(WORLDCUP!$AD$4:$AD$147,MATCH(M13,WORLDCUP!$AH$4:$AH$147,0))),"",INDEX(WORLDCUP!$AD$4:$AD$147,MATCH(M13,WORLDCUP!$AH$4:$AH$147,0)))</f>
        <v/>
      </c>
      <c r="R13" s="528" t="str">
        <f ca="1">+MID(INDEX(WORLDCUP!$AF$4:$AF$147,MATCH(M13,WORLDCUP!$AH$4:$AH$147,0)),1,3)</f>
        <v>Ara</v>
      </c>
      <c r="S13" s="549">
        <v>2</v>
      </c>
      <c r="T13" s="550" t="str">
        <f ca="1">+MID(INDEX(WORLDCUP!$AL$6:$AL$97,MATCH(X13,WORLDCUP!$AI$6:$AI$97,0)),1,3)</f>
        <v>Cab</v>
      </c>
      <c r="U13" s="221">
        <f ca="1">+INDEX(WORLDCUP!$AM$6:$AM$97,MATCH(X13,WORLDCUP!$AI$6:$AI$97,0))</f>
        <v>0</v>
      </c>
      <c r="V13" s="222">
        <f ca="1">+INDEX(WORLDCUP!$AT$6:$AT$97,MATCH(X13,WORLDCUP!$AI$6:$AI$97,0))</f>
        <v>0</v>
      </c>
      <c r="W13" s="223" t="str">
        <f ca="1">+INDEX(WORLDCUP!$AR$6:$AR$97,MATCH(X13,WORLDCUP!$AI$6:$AI$97,0))&amp;"-"&amp;INDEX(WORLDCUP!$AS$6:$AS$97,MATCH(X13,WORLDCUP!$AI$6:$AI$97,0))</f>
        <v>0-0</v>
      </c>
      <c r="X13" s="19" t="s">
        <v>671</v>
      </c>
      <c r="Y13" s="19">
        <v>75</v>
      </c>
      <c r="Z13" s="507" t="s">
        <v>656</v>
      </c>
      <c r="AA13" s="562" t="str">
        <f ca="1">+MID(INDEX(WORLDCUP!$AF$101:$AF$147,MATCH(Y13,WORLDCUP!$Z$101:$Z$147,0)),1,3)</f>
        <v>2C</v>
      </c>
      <c r="AB13" s="563" t="str">
        <f>+IF(ISBLANK(INDEX(WORLDCUP!$AD$101:$AD$147,MATCH(Y13,WORLDCUP!$Z$101:$Z$147,0))),"",INDEX(WORLDCUP!$AD$101:$AD$147,MATCH(Y13,WORLDCUP!$Z$101:$Z$147,0)))</f>
        <v/>
      </c>
      <c r="AC13" s="589" t="str">
        <f>+IF(ISBLANK(INDEX(WORLDCUP!$AE$101:$AE$147,MATCH(Y13,WORLDCUP!$Z$101:$Z$147,0))),"","( "&amp;INDEX(WORLDCUP!$AE$101:$AE$147,MATCH(Y13,WORLDCUP!$Z$101:$Z$147,0))&amp;" )")</f>
        <v/>
      </c>
      <c r="AD13" s="19"/>
      <c r="AE13" s="511"/>
      <c r="AF13" s="511"/>
      <c r="AG13" s="511"/>
      <c r="AH13" s="19"/>
      <c r="AI13" s="541"/>
      <c r="AJ13" s="541"/>
      <c r="AK13" s="580"/>
      <c r="AL13" s="581">
        <v>101</v>
      </c>
      <c r="AM13" s="590" t="str">
        <f>+MID(INDEX(WORLDCUP!$AA$101:$AA$147,MATCH(AL13,WORLDCUP!$Z$101:$Z$147,0)),1,3)</f>
        <v>W97</v>
      </c>
      <c r="AN13" s="591" t="str">
        <f>+IF(ISBLANK(INDEX(WORLDCUP!$AC$101:$AC$147,MATCH(AL13,WORLDCUP!$Z$101:$Z$147,0))),"",INDEX(WORLDCUP!$AC$101:$AC$147,MATCH(AL13,WORLDCUP!$Z$101:$Z$147,0)))</f>
        <v/>
      </c>
      <c r="AO13" s="592" t="str">
        <f>+IF(ISBLANK(INDEX(WORLDCUP!$AB$101:$AB$147,MATCH(AL13,WORLDCUP!$Z$101:$Z$147,0))),"","( "&amp;INDEX(WORLDCUP!$AB$101:$AB$147,MATCH(AL13,WORLDCUP!$Z$101:$Z$147,0))&amp;" )")</f>
        <v/>
      </c>
      <c r="AP13" s="19"/>
      <c r="AQ13" s="542"/>
      <c r="AR13" s="542"/>
      <c r="AS13" s="542"/>
      <c r="AT13" s="19"/>
      <c r="AU13" s="515"/>
      <c r="AV13" s="515"/>
      <c r="AW13" s="515"/>
      <c r="AX13" s="19"/>
      <c r="AY13" s="295"/>
      <c r="AZ13" s="295"/>
      <c r="BA13" s="295"/>
      <c r="BB13" s="295"/>
      <c r="BC13" s="295"/>
      <c r="BD13" s="295"/>
      <c r="BE13" s="295"/>
      <c r="BG13" s="544" t="str">
        <f ca="1">Horarios!Q12</f>
        <v>Cabo Verde</v>
      </c>
      <c r="BH13" s="545">
        <f t="shared" ca="1" si="0"/>
        <v>1</v>
      </c>
      <c r="BI13" s="545">
        <f ca="1">COUNTIF(ADMIN!$M$130:$M$161,Fixture!BG13)-BJ13-BK13-BL13-BM13-BN13-BO13</f>
        <v>0</v>
      </c>
      <c r="BJ13" s="546">
        <f ca="1">COUNTIF(ADMIN!$M$182:$M$197,Fixture!BG13)-BK13-BL13-BM13-BN13-BO13</f>
        <v>0</v>
      </c>
      <c r="BK13" s="547">
        <f ca="1">COUNTIF(ADMIN!$M$210:$M$217,Fixture!BG13)-BL13-BM13-BN13-BO13</f>
        <v>0</v>
      </c>
      <c r="BL13" s="547">
        <f ca="1">COUNTIF(ADMIN!$M$226:$M$229,BG13)-BM13-BN13-BO13</f>
        <v>0</v>
      </c>
      <c r="BM13" s="545">
        <f ca="1">COUNTIF(ADMIN!$M$252,Fixture!BG13)</f>
        <v>0</v>
      </c>
      <c r="BN13" s="545">
        <f ca="1">COUNTIF(ADMIN!$M$251,Fixture!BG13)</f>
        <v>0</v>
      </c>
      <c r="BO13" s="548">
        <f ca="1">COUNTIF(ADMIN!$M$250,Fixture!BG13)</f>
        <v>0</v>
      </c>
    </row>
    <row r="14" spans="1:67">
      <c r="A14" s="19">
        <v>27</v>
      </c>
      <c r="B14" s="586"/>
      <c r="C14" s="526" t="str">
        <f ca="1">+MID(INDEX(WORLDCUP!$AA$4:$AA$147,MATCH(A14,WORLDCUP!$AH$4:$AH$147,0)),1,3)</f>
        <v>Can</v>
      </c>
      <c r="D14" s="527" t="str">
        <f>IF(ISBLANK(INDEX(WORLDCUP!$AC$4:$AC$147,MATCH(A14,WORLDCUP!$AH$4:$AH$147,0))),"",INDEX(WORLDCUP!$AC$4:$AC$147,MATCH(A14,WORLDCUP!$AH$4:$AH$147,0)))</f>
        <v/>
      </c>
      <c r="E14" s="527" t="str">
        <f>IF(ISBLANK(INDEX(WORLDCUP!$AD$4:$AD$147,MATCH(A14,WORLDCUP!$AH$4:$AH$147,0))),"",INDEX(WORLDCUP!$AD$4:$AD$147,MATCH(A14,WORLDCUP!$AH$4:$AH$147,0)))</f>
        <v/>
      </c>
      <c r="F14" s="528" t="str">
        <f ca="1">+MID(INDEX(WORLDCUP!$AF$4:$AF$147,MATCH(A14,WORLDCUP!$AH$4:$AH$147,0)),1,3)</f>
        <v>Cat</v>
      </c>
      <c r="G14" s="549">
        <v>3</v>
      </c>
      <c r="H14" s="550" t="str">
        <f ca="1">+MID(INDEX(WORLDCUP!$AL$6:$AL$97,MATCH(L14,WORLDCUP!$AI$6:$AI$97,0)),1,3)</f>
        <v>Cat</v>
      </c>
      <c r="I14" s="221">
        <f ca="1">+INDEX(WORLDCUP!$AM$6:$AM$97,MATCH(L14,WORLDCUP!$AI$6:$AI$97,0))</f>
        <v>0</v>
      </c>
      <c r="J14" s="222">
        <f ca="1">+INDEX(WORLDCUP!$AT$6:$AT$97,MATCH(L14,WORLDCUP!$AI$6:$AI$97,0))</f>
        <v>0</v>
      </c>
      <c r="K14" s="223" t="str">
        <f ca="1">+INDEX(WORLDCUP!$AR$6:$AR$97,MATCH(L14,WORLDCUP!$AI$6:$AI$97,0))&amp;"-"&amp;INDEX(WORLDCUP!$AS$6:$AS$97,MATCH(L14,WORLDCUP!$AI$6:$AI$97,0))</f>
        <v>0-0</v>
      </c>
      <c r="L14" s="19" t="s">
        <v>90</v>
      </c>
      <c r="M14" s="19">
        <v>37</v>
      </c>
      <c r="N14" s="587"/>
      <c r="O14" s="526" t="str">
        <f ca="1">+MID(INDEX(WORLDCUP!$AA$4:$AA$147,MATCH(M14,WORLDCUP!$AH$4:$AH$147,0)),1,3)</f>
        <v>Uru</v>
      </c>
      <c r="P14" s="527" t="str">
        <f>IF(ISBLANK(INDEX(WORLDCUP!$AC$4:$AC$147,MATCH(M14,WORLDCUP!$AH$4:$AH$147,0))),"",INDEX(WORLDCUP!$AC$4:$AC$147,MATCH(M14,WORLDCUP!$AH$4:$AH$147,0)))</f>
        <v/>
      </c>
      <c r="Q14" s="527" t="str">
        <f>IF(ISBLANK(INDEX(WORLDCUP!$AD$4:$AD$147,MATCH(M14,WORLDCUP!$AH$4:$AH$147,0))),"",INDEX(WORLDCUP!$AD$4:$AD$147,MATCH(M14,WORLDCUP!$AH$4:$AH$147,0)))</f>
        <v/>
      </c>
      <c r="R14" s="528" t="str">
        <f ca="1">+MID(INDEX(WORLDCUP!$AF$4:$AF$147,MATCH(M14,WORLDCUP!$AH$4:$AH$147,0)),1,3)</f>
        <v>Cab</v>
      </c>
      <c r="S14" s="549">
        <v>3</v>
      </c>
      <c r="T14" s="550" t="str">
        <f ca="1">+MID(INDEX(WORLDCUP!$AL$6:$AL$97,MATCH(X14,WORLDCUP!$AI$6:$AI$97,0)),1,3)</f>
        <v>Ara</v>
      </c>
      <c r="U14" s="221">
        <f ca="1">+INDEX(WORLDCUP!$AM$6:$AM$97,MATCH(X14,WORLDCUP!$AI$6:$AI$97,0))</f>
        <v>0</v>
      </c>
      <c r="V14" s="222">
        <f ca="1">+INDEX(WORLDCUP!$AT$6:$AT$97,MATCH(X14,WORLDCUP!$AI$6:$AI$97,0))</f>
        <v>0</v>
      </c>
      <c r="W14" s="223" t="str">
        <f ca="1">+INDEX(WORLDCUP!$AR$6:$AR$97,MATCH(X14,WORLDCUP!$AI$6:$AI$97,0))&amp;"-"&amp;INDEX(WORLDCUP!$AS$6:$AS$97,MATCH(X14,WORLDCUP!$AI$6:$AI$97,0))</f>
        <v>0-0</v>
      </c>
      <c r="X14" s="19" t="s">
        <v>436</v>
      </c>
      <c r="Y14" s="19"/>
      <c r="Z14" s="507"/>
      <c r="AA14" s="576"/>
      <c r="AB14" s="576"/>
      <c r="AC14" s="576"/>
      <c r="AD14" s="19"/>
      <c r="AE14" s="511"/>
      <c r="AF14" s="511"/>
      <c r="AG14" s="511"/>
      <c r="AH14" s="19"/>
      <c r="AI14" s="541"/>
      <c r="AJ14" s="541"/>
      <c r="AK14" s="580"/>
      <c r="AL14" s="19">
        <v>101</v>
      </c>
      <c r="AM14" s="590" t="str">
        <f>+MID(INDEX(WORLDCUP!$AF$101:$AF$147,MATCH(AL14,WORLDCUP!$Z$101:$Z$147,0)),1,3)</f>
        <v>W98</v>
      </c>
      <c r="AN14" s="591" t="str">
        <f>+IF(ISBLANK(INDEX(WORLDCUP!$AD$101:$AD$147,MATCH(AL14,WORLDCUP!$Z$101:$Z$147,0))),"",INDEX(WORLDCUP!$AD$101:$AD$147,MATCH(AL14,WORLDCUP!$Z$101:$Z$147,0)))</f>
        <v/>
      </c>
      <c r="AO14" s="593" t="str">
        <f>+IF(ISBLANK(INDEX(WORLDCUP!$AE$101:$AE$147,MATCH(AL14,WORLDCUP!$Z$101:$Z$147,0))),"","( "&amp;INDEX(WORLDCUP!$AE$101:$AE$147,MATCH(AL14,WORLDCUP!$Z$101:$Z$147,0))&amp;" )")</f>
        <v/>
      </c>
      <c r="AP14" s="19"/>
      <c r="AQ14" s="542"/>
      <c r="AR14" s="542"/>
      <c r="AS14" s="542"/>
      <c r="AT14" s="19"/>
      <c r="AU14" s="515"/>
      <c r="AV14" s="515"/>
      <c r="AW14" s="515"/>
      <c r="AX14" s="19"/>
      <c r="AY14" s="295"/>
      <c r="AZ14" s="295"/>
      <c r="BA14" s="295"/>
      <c r="BB14" s="295"/>
      <c r="BC14" s="295"/>
      <c r="BD14" s="295"/>
      <c r="BE14" s="295"/>
      <c r="BG14" s="544" t="str">
        <f ca="1">Horarios!Q13</f>
        <v>Canadá</v>
      </c>
      <c r="BH14" s="545">
        <f t="shared" ca="1" si="0"/>
        <v>1</v>
      </c>
      <c r="BI14" s="545">
        <f ca="1">COUNTIF(ADMIN!$M$130:$M$161,Fixture!BG14)-BJ14-BK14-BL14-BM14-BN14-BO14</f>
        <v>0</v>
      </c>
      <c r="BJ14" s="546">
        <f ca="1">COUNTIF(ADMIN!$M$182:$M$197,Fixture!BG14)-BK14-BL14-BM14-BN14-BO14</f>
        <v>0</v>
      </c>
      <c r="BK14" s="547">
        <f ca="1">COUNTIF(ADMIN!$M$210:$M$217,Fixture!BG14)-BL14-BM14-BN14-BO14</f>
        <v>0</v>
      </c>
      <c r="BL14" s="547">
        <f ca="1">COUNTIF(ADMIN!$M$226:$M$229,BG14)-BM14-BN14-BO14</f>
        <v>0</v>
      </c>
      <c r="BM14" s="545">
        <f ca="1">COUNTIF(ADMIN!$M$252,Fixture!BG14)</f>
        <v>0</v>
      </c>
      <c r="BN14" s="545">
        <f ca="1">COUNTIF(ADMIN!$M$251,Fixture!BG14)</f>
        <v>0</v>
      </c>
      <c r="BO14" s="548">
        <f ca="1">COUNTIF(ADMIN!$M$250,Fixture!BG14)</f>
        <v>0</v>
      </c>
    </row>
    <row r="15" spans="1:67" ht="15" thickBot="1">
      <c r="A15" s="19">
        <v>51</v>
      </c>
      <c r="B15" s="586"/>
      <c r="C15" s="526" t="str">
        <f ca="1">+MID(INDEX(WORLDCUP!$AA$4:$AA$147,MATCH(A15,WORLDCUP!$AH$4:$AH$147,0)),1,3)</f>
        <v>Sui</v>
      </c>
      <c r="D15" s="527" t="str">
        <f>IF(ISBLANK(INDEX(WORLDCUP!$AC$4:$AC$147,MATCH(A15,WORLDCUP!$AH$4:$AH$147,0))),"",INDEX(WORLDCUP!$AC$4:$AC$147,MATCH(A15,WORLDCUP!$AH$4:$AH$147,0)))</f>
        <v/>
      </c>
      <c r="E15" s="527" t="str">
        <f>IF(ISBLANK(INDEX(WORLDCUP!$AD$4:$AD$147,MATCH(A15,WORLDCUP!$AH$4:$AH$147,0))),"",INDEX(WORLDCUP!$AD$4:$AD$147,MATCH(A15,WORLDCUP!$AH$4:$AH$147,0)))</f>
        <v/>
      </c>
      <c r="F15" s="528" t="str">
        <f ca="1">+MID(INDEX(WORLDCUP!$AF$4:$AF$147,MATCH(A15,WORLDCUP!$AH$4:$AH$147,0)),1,3)</f>
        <v>Can</v>
      </c>
      <c r="G15" s="549">
        <v>4</v>
      </c>
      <c r="H15" s="558" t="str">
        <f ca="1">+MID(INDEX(WORLDCUP!$AL$6:$AL$97,MATCH(L15,WORLDCUP!$AI$6:$AI$97,0)),1,3)</f>
        <v>Sui</v>
      </c>
      <c r="I15" s="559">
        <f ca="1">+INDEX(WORLDCUP!$AM$6:$AM$97,MATCH(L15,WORLDCUP!$AI$6:$AI$97,0))</f>
        <v>0</v>
      </c>
      <c r="J15" s="560">
        <f ca="1">+INDEX(WORLDCUP!$AT$6:$AT$97,MATCH(L15,WORLDCUP!$AI$6:$AI$97,0))</f>
        <v>0</v>
      </c>
      <c r="K15" s="561" t="str">
        <f ca="1">+INDEX(WORLDCUP!$AR$6:$AR$97,MATCH(L15,WORLDCUP!$AI$6:$AI$97,0))&amp;"-"&amp;INDEX(WORLDCUP!$AS$6:$AS$97,MATCH(L15,WORLDCUP!$AI$6:$AI$97,0))</f>
        <v>0-0</v>
      </c>
      <c r="L15" s="19" t="s">
        <v>650</v>
      </c>
      <c r="M15" s="19">
        <v>65</v>
      </c>
      <c r="N15" s="587"/>
      <c r="O15" s="526" t="str">
        <f ca="1">+MID(INDEX(WORLDCUP!$AA$4:$AA$147,MATCH(M15,WORLDCUP!$AH$4:$AH$147,0)),1,3)</f>
        <v>Cab</v>
      </c>
      <c r="P15" s="527" t="str">
        <f>IF(ISBLANK(INDEX(WORLDCUP!$AC$4:$AC$147,MATCH(M15,WORLDCUP!$AH$4:$AH$147,0))),"",INDEX(WORLDCUP!$AC$4:$AC$147,MATCH(M15,WORLDCUP!$AH$4:$AH$147,0)))</f>
        <v/>
      </c>
      <c r="Q15" s="527" t="str">
        <f>IF(ISBLANK(INDEX(WORLDCUP!$AD$4:$AD$147,MATCH(M15,WORLDCUP!$AH$4:$AH$147,0))),"",INDEX(WORLDCUP!$AD$4:$AD$147,MATCH(M15,WORLDCUP!$AH$4:$AH$147,0)))</f>
        <v/>
      </c>
      <c r="R15" s="528" t="str">
        <f ca="1">+MID(INDEX(WORLDCUP!$AF$4:$AF$147,MATCH(M15,WORLDCUP!$AH$4:$AH$147,0)),1,3)</f>
        <v>Ara</v>
      </c>
      <c r="S15" s="549">
        <v>4</v>
      </c>
      <c r="T15" s="558" t="str">
        <f ca="1">+MID(INDEX(WORLDCUP!$AL$6:$AL$97,MATCH(X15,WORLDCUP!$AI$6:$AI$97,0)),1,3)</f>
        <v>Uru</v>
      </c>
      <c r="U15" s="559">
        <f ca="1">+INDEX(WORLDCUP!$AM$6:$AM$97,MATCH(X15,WORLDCUP!$AI$6:$AI$97,0))</f>
        <v>0</v>
      </c>
      <c r="V15" s="560">
        <f ca="1">+INDEX(WORLDCUP!$AT$6:$AT$97,MATCH(X15,WORLDCUP!$AI$6:$AI$97,0))</f>
        <v>0</v>
      </c>
      <c r="W15" s="561" t="str">
        <f ca="1">+INDEX(WORLDCUP!$AR$6:$AR$97,MATCH(X15,WORLDCUP!$AI$6:$AI$97,0))&amp;"-"&amp;INDEX(WORLDCUP!$AS$6:$AS$97,MATCH(X15,WORLDCUP!$AI$6:$AI$97,0))</f>
        <v>0-0</v>
      </c>
      <c r="X15" s="19" t="s">
        <v>672</v>
      </c>
      <c r="Y15" s="19">
        <v>83</v>
      </c>
      <c r="Z15" s="507" t="s">
        <v>680</v>
      </c>
      <c r="AA15" s="508" t="str">
        <f ca="1">+MID(INDEX(WORLDCUP!$AA$101:$AA$147,MATCH(Y15,WORLDCUP!$Z$101:$Z$147,0)),1,3)</f>
        <v>2K</v>
      </c>
      <c r="AB15" s="509" t="str">
        <f>+IF(ISBLANK(INDEX(WORLDCUP!$AC$101:$AC$147,MATCH(Y15,WORLDCUP!$Z$101:$Z$147,0))),"",INDEX(WORLDCUP!$AC$101:$AC$147,MATCH(Y15,WORLDCUP!$Z$101:$Z$147,0)))</f>
        <v/>
      </c>
      <c r="AC15" s="579" t="str">
        <f>+IF(ISBLANK(INDEX(WORLDCUP!$AB$101:$AB$147,MATCH(Y15,WORLDCUP!$Z$101:$Z$147,0))),"","( "&amp;INDEX(WORLDCUP!$AB$101:$AB$147,MATCH(Y15,WORLDCUP!$Z$101:$Z$147,0))&amp;" )")</f>
        <v/>
      </c>
      <c r="AD15" s="18"/>
      <c r="AE15" s="511"/>
      <c r="AF15" s="511"/>
      <c r="AG15" s="511"/>
      <c r="AH15" s="19"/>
      <c r="AI15" s="541"/>
      <c r="AJ15" s="541"/>
      <c r="AK15" s="580"/>
      <c r="AL15" s="90"/>
      <c r="AM15" s="513"/>
      <c r="AN15" s="513"/>
      <c r="AO15" s="594"/>
      <c r="AP15" s="90"/>
      <c r="AQ15" s="542"/>
      <c r="AR15" s="542"/>
      <c r="AS15" s="542"/>
      <c r="AT15" s="19"/>
      <c r="AU15" s="515"/>
      <c r="AV15" s="515"/>
      <c r="AW15" s="515"/>
      <c r="AX15" s="19"/>
      <c r="AY15" s="295"/>
      <c r="AZ15" s="295"/>
      <c r="BA15" s="295"/>
      <c r="BB15" s="295"/>
      <c r="BC15" s="295"/>
      <c r="BD15" s="295"/>
      <c r="BE15" s="295"/>
      <c r="BG15" s="544" t="str">
        <f ca="1">Horarios!Q14</f>
        <v>Catar</v>
      </c>
      <c r="BH15" s="545">
        <f t="shared" ca="1" si="0"/>
        <v>1</v>
      </c>
      <c r="BI15" s="545">
        <f ca="1">COUNTIF(ADMIN!$M$130:$M$161,Fixture!BG15)-BJ15-BK15-BL15-BM15-BN15-BO15</f>
        <v>0</v>
      </c>
      <c r="BJ15" s="546">
        <f ca="1">COUNTIF(ADMIN!$M$182:$M$197,Fixture!BG15)-BK15-BL15-BM15-BN15-BO15</f>
        <v>0</v>
      </c>
      <c r="BK15" s="547">
        <f ca="1">COUNTIF(ADMIN!$M$210:$M$217,Fixture!BG15)-BL15-BM15-BN15-BO15</f>
        <v>0</v>
      </c>
      <c r="BL15" s="547">
        <f ca="1">COUNTIF(ADMIN!$M$226:$M$229,BG15)-BM15-BN15-BO15</f>
        <v>0</v>
      </c>
      <c r="BM15" s="545">
        <f ca="1">COUNTIF(ADMIN!$M$252,Fixture!BG15)</f>
        <v>0</v>
      </c>
      <c r="BN15" s="545">
        <f ca="1">COUNTIF(ADMIN!$M$251,Fixture!BG15)</f>
        <v>0</v>
      </c>
      <c r="BO15" s="548">
        <f ca="1">COUNTIF(ADMIN!$M$250,Fixture!BG15)</f>
        <v>0</v>
      </c>
    </row>
    <row r="16" spans="1:67" ht="15" thickBot="1">
      <c r="A16" s="19">
        <v>52</v>
      </c>
      <c r="B16" s="595"/>
      <c r="C16" s="569" t="str">
        <f ca="1">+MID(INDEX(WORLDCUP!$AA$4:$AA$147,MATCH(A16,WORLDCUP!$AH$4:$AH$147,0)),1,3)</f>
        <v>Bos</v>
      </c>
      <c r="D16" s="570" t="str">
        <f>IF(ISBLANK(INDEX(WORLDCUP!$AC$4:$AC$147,MATCH(A16,WORLDCUP!$AH$4:$AH$147,0))),"",INDEX(WORLDCUP!$AC$4:$AC$147,MATCH(A16,WORLDCUP!$AH$4:$AH$147,0)))</f>
        <v/>
      </c>
      <c r="E16" s="570" t="str">
        <f>IF(ISBLANK(INDEX(WORLDCUP!$AD$4:$AD$147,MATCH(A16,WORLDCUP!$AH$4:$AH$147,0))),"",INDEX(WORLDCUP!$AD$4:$AD$147,MATCH(A16,WORLDCUP!$AH$4:$AH$147,0)))</f>
        <v/>
      </c>
      <c r="F16" s="571" t="str">
        <f ca="1">+MID(INDEX(WORLDCUP!$AF$4:$AF$147,MATCH(A16,WORLDCUP!$AH$4:$AH$147,0)),1,3)</f>
        <v>Cat</v>
      </c>
      <c r="G16" s="572"/>
      <c r="H16" s="572"/>
      <c r="I16" s="573"/>
      <c r="J16" s="573"/>
      <c r="K16" s="574"/>
      <c r="L16" s="19"/>
      <c r="M16" s="19">
        <v>66</v>
      </c>
      <c r="N16" s="596"/>
      <c r="O16" s="569" t="str">
        <f ca="1">+MID(INDEX(WORLDCUP!$AA$4:$AA$147,MATCH(M16,WORLDCUP!$AH$4:$AH$147,0)),1,3)</f>
        <v>Uru</v>
      </c>
      <c r="P16" s="570" t="str">
        <f>IF(ISBLANK(INDEX(WORLDCUP!$AC$4:$AC$147,MATCH(M16,WORLDCUP!$AH$4:$AH$147,0))),"",INDEX(WORLDCUP!$AC$4:$AC$147,MATCH(M16,WORLDCUP!$AH$4:$AH$147,0)))</f>
        <v/>
      </c>
      <c r="Q16" s="570" t="str">
        <f>IF(ISBLANK(INDEX(WORLDCUP!$AD$4:$AD$147,MATCH(M16,WORLDCUP!$AH$4:$AH$147,0))),"",INDEX(WORLDCUP!$AD$4:$AD$147,MATCH(M16,WORLDCUP!$AH$4:$AH$147,0)))</f>
        <v/>
      </c>
      <c r="R16" s="571" t="str">
        <f ca="1">+MID(INDEX(WORLDCUP!$AF$4:$AF$147,MATCH(M16,WORLDCUP!$AH$4:$AH$147,0)),1,3)</f>
        <v>Esp</v>
      </c>
      <c r="S16" s="572"/>
      <c r="T16" s="572"/>
      <c r="U16" s="573"/>
      <c r="V16" s="573"/>
      <c r="W16" s="574"/>
      <c r="X16" s="19"/>
      <c r="Y16" s="19">
        <v>83</v>
      </c>
      <c r="Z16" s="507" t="s">
        <v>683</v>
      </c>
      <c r="AA16" s="508" t="str">
        <f ca="1">+MID(INDEX(WORLDCUP!$AF$101:$AF$147,MATCH(Y16,WORLDCUP!$Z$101:$Z$147,0)),1,3)</f>
        <v>2L</v>
      </c>
      <c r="AB16" s="535" t="str">
        <f>+IF(ISBLANK(INDEX(WORLDCUP!$AD$101:$AD$147,MATCH(Y16,WORLDCUP!$Z$101:$Z$147,0))),"",INDEX(WORLDCUP!$AD$101:$AD$147,MATCH(Y16,WORLDCUP!$Z$101:$Z$147,0)))</f>
        <v/>
      </c>
      <c r="AC16" s="536" t="str">
        <f>+IF(ISBLANK(INDEX(WORLDCUP!$AE$101:$AE$147,MATCH(Y16,WORLDCUP!$Z$101:$Z$147,0))),"","( "&amp;INDEX(WORLDCUP!$AE$101:$AE$147,MATCH(Y16,WORLDCUP!$Z$101:$Z$147,0))&amp;" )")</f>
        <v/>
      </c>
      <c r="AD16" s="537">
        <v>93</v>
      </c>
      <c r="AE16" s="538" t="str">
        <f>+MID(INDEX(WORLDCUP!$AA$101:$AA$147,MATCH(AD16,WORLDCUP!$Z$101:$Z$147,0)),1,3)</f>
        <v>W83</v>
      </c>
      <c r="AF16" s="539" t="str">
        <f>+IF(ISBLANK(INDEX(WORLDCUP!$AC$101:$AC$147,MATCH(AD16,WORLDCUP!$Z$101:$Z$147,0))),"",INDEX(WORLDCUP!$AC$101:$AC$147,MATCH(AD16,WORLDCUP!$Z$101:$Z$147,0)))</f>
        <v/>
      </c>
      <c r="AG16" s="540" t="str">
        <f>+IF(ISBLANK(INDEX(WORLDCUP!$AB$101:$AB$147,MATCH(AD16,WORLDCUP!$Z$101:$Z$147,0))),"","( "&amp;INDEX(WORLDCUP!$AB$101:$AB$147,MATCH(AD16,WORLDCUP!$Z$101:$Z$147,0))&amp;" )")</f>
        <v/>
      </c>
      <c r="AH16" s="19"/>
      <c r="AI16" s="541"/>
      <c r="AJ16" s="541"/>
      <c r="AK16" s="580"/>
      <c r="AL16" s="19"/>
      <c r="AM16" s="513"/>
      <c r="AN16" s="513"/>
      <c r="AO16" s="594"/>
      <c r="AP16" s="90"/>
      <c r="AQ16" s="542"/>
      <c r="AR16" s="542"/>
      <c r="AS16" s="542"/>
      <c r="AT16" s="19"/>
      <c r="AU16" s="515"/>
      <c r="AV16" s="515"/>
      <c r="AW16" s="515"/>
      <c r="AX16" s="19"/>
      <c r="AY16" s="295"/>
      <c r="AZ16" s="295"/>
      <c r="BA16" s="295"/>
      <c r="BB16" s="295"/>
      <c r="BC16" s="295"/>
      <c r="BD16" s="295"/>
      <c r="BE16" s="295"/>
      <c r="BG16" s="544" t="str">
        <f ca="1">Horarios!Q15</f>
        <v>Colombia</v>
      </c>
      <c r="BH16" s="545">
        <f t="shared" ca="1" si="0"/>
        <v>1</v>
      </c>
      <c r="BI16" s="545">
        <f ca="1">COUNTIF(ADMIN!$M$130:$M$161,Fixture!BG16)-BJ16-BK16-BL16-BM16-BN16-BO16</f>
        <v>0</v>
      </c>
      <c r="BJ16" s="546">
        <f ca="1">COUNTIF(ADMIN!$M$182:$M$197,Fixture!BG16)-BK16-BL16-BM16-BN16-BO16</f>
        <v>0</v>
      </c>
      <c r="BK16" s="547">
        <f ca="1">COUNTIF(ADMIN!$M$210:$M$217,Fixture!BG16)-BL16-BM16-BN16-BO16</f>
        <v>0</v>
      </c>
      <c r="BL16" s="547">
        <f ca="1">COUNTIF(ADMIN!$M$226:$M$229,BG16)-BM16-BN16-BO16</f>
        <v>0</v>
      </c>
      <c r="BM16" s="545">
        <f ca="1">COUNTIF(ADMIN!$M$252,Fixture!BG16)</f>
        <v>0</v>
      </c>
      <c r="BN16" s="545">
        <f ca="1">COUNTIF(ADMIN!$M$251,Fixture!BG16)</f>
        <v>0</v>
      </c>
      <c r="BO16" s="548">
        <f ca="1">COUNTIF(ADMIN!$M$250,Fixture!BG16)</f>
        <v>0</v>
      </c>
    </row>
    <row r="17" spans="1:67">
      <c r="A17" s="19"/>
      <c r="B17" s="494"/>
      <c r="C17" s="578"/>
      <c r="D17" s="439"/>
      <c r="E17" s="439"/>
      <c r="F17" s="295"/>
      <c r="G17" s="295"/>
      <c r="H17" s="578"/>
      <c r="I17" s="295"/>
      <c r="J17" s="295"/>
      <c r="K17" s="295"/>
      <c r="L17" s="19"/>
      <c r="M17" s="19"/>
      <c r="N17" s="245"/>
      <c r="O17" s="578"/>
      <c r="P17" s="439"/>
      <c r="Q17" s="439"/>
      <c r="R17" s="295"/>
      <c r="S17" s="295"/>
      <c r="T17" s="578"/>
      <c r="U17" s="295"/>
      <c r="V17" s="295"/>
      <c r="W17" s="295"/>
      <c r="X17" s="19"/>
      <c r="Y17" s="19"/>
      <c r="Z17" s="507"/>
      <c r="AA17" s="551"/>
      <c r="AB17" s="551"/>
      <c r="AC17" s="552"/>
      <c r="AD17" s="19">
        <v>93</v>
      </c>
      <c r="AE17" s="538" t="str">
        <f>+MID(INDEX(WORLDCUP!$AF$101:$AF$147,MATCH(AD17,WORLDCUP!$Z$101:$Z$147,0)),1,3)</f>
        <v>W84</v>
      </c>
      <c r="AF17" s="539" t="str">
        <f>+IF(ISBLANK(INDEX(WORLDCUP!$AD$101:$AD$147,MATCH(AD17,WORLDCUP!$Z$101:$Z$147,0))),"",INDEX(WORLDCUP!$AD$101:$AD$147,MATCH(AD17,WORLDCUP!$Z$101:$Z$147,0)))</f>
        <v/>
      </c>
      <c r="AG17" s="597" t="str">
        <f>+IF(ISBLANK(INDEX(WORLDCUP!$AE$101:$AE$147,MATCH(AD17,WORLDCUP!$Z$101:$Z$147,0))),"","( "&amp;INDEX(WORLDCUP!$AE$101:$AE$147,MATCH(AD17,WORLDCUP!$Z$101:$Z$147,0))&amp;" )")</f>
        <v/>
      </c>
      <c r="AH17" s="19"/>
      <c r="AI17" s="541"/>
      <c r="AJ17" s="541"/>
      <c r="AK17" s="580"/>
      <c r="AL17" s="19"/>
      <c r="AM17" s="513"/>
      <c r="AN17" s="513"/>
      <c r="AO17" s="594"/>
      <c r="AP17" s="90"/>
      <c r="AQ17" s="542"/>
      <c r="AR17" s="542"/>
      <c r="AS17" s="542"/>
      <c r="AT17" s="19"/>
      <c r="AU17" s="515"/>
      <c r="AV17" s="515"/>
      <c r="AW17" s="515"/>
      <c r="AX17" s="19"/>
      <c r="AY17" s="295"/>
      <c r="AZ17" s="295"/>
      <c r="BA17" s="295"/>
      <c r="BB17" s="295"/>
      <c r="BC17" s="295"/>
      <c r="BD17" s="295"/>
      <c r="BE17" s="295"/>
      <c r="BG17" s="544" t="str">
        <f ca="1">Horarios!Q16</f>
        <v>Corea del Sur</v>
      </c>
      <c r="BH17" s="545">
        <f t="shared" ca="1" si="0"/>
        <v>1</v>
      </c>
      <c r="BI17" s="545">
        <f ca="1">COUNTIF(ADMIN!$M$130:$M$161,Fixture!BG17)-BJ17-BK17-BL17-BM17-BN17-BO17</f>
        <v>0</v>
      </c>
      <c r="BJ17" s="546">
        <f ca="1">COUNTIF(ADMIN!$M$182:$M$197,Fixture!BG17)-BK17-BL17-BM17-BN17-BO17</f>
        <v>0</v>
      </c>
      <c r="BK17" s="547">
        <f ca="1">COUNTIF(ADMIN!$M$210:$M$217,Fixture!BG17)-BL17-BM17-BN17-BO17</f>
        <v>0</v>
      </c>
      <c r="BL17" s="547">
        <f ca="1">COUNTIF(ADMIN!$M$226:$M$229,BG17)-BM17-BN17-BO17</f>
        <v>0</v>
      </c>
      <c r="BM17" s="545">
        <f ca="1">COUNTIF(ADMIN!$M$252,Fixture!BG17)</f>
        <v>0</v>
      </c>
      <c r="BN17" s="545">
        <f ca="1">COUNTIF(ADMIN!$M$251,Fixture!BG17)</f>
        <v>0</v>
      </c>
      <c r="BO17" s="548">
        <f ca="1">COUNTIF(ADMIN!$M$250,Fixture!BG17)</f>
        <v>0</v>
      </c>
    </row>
    <row r="18" spans="1:67" ht="15" thickBot="1">
      <c r="A18" s="19"/>
      <c r="B18" s="494"/>
      <c r="C18" s="578"/>
      <c r="D18" s="439"/>
      <c r="E18" s="439"/>
      <c r="F18" s="295"/>
      <c r="G18" s="295"/>
      <c r="H18" s="578"/>
      <c r="I18" s="295"/>
      <c r="J18" s="295"/>
      <c r="K18" s="295"/>
      <c r="L18" s="19"/>
      <c r="M18" s="19"/>
      <c r="N18" s="245"/>
      <c r="O18" s="578"/>
      <c r="P18" s="439"/>
      <c r="Q18" s="439"/>
      <c r="R18" s="295"/>
      <c r="S18" s="295"/>
      <c r="T18" s="578"/>
      <c r="U18" s="295"/>
      <c r="V18" s="295"/>
      <c r="W18" s="295"/>
      <c r="X18" s="19"/>
      <c r="Y18" s="19">
        <v>84</v>
      </c>
      <c r="Z18" s="507" t="s">
        <v>670</v>
      </c>
      <c r="AA18" s="508" t="str">
        <f ca="1">+MID(INDEX(WORLDCUP!$AA$101:$AA$147,MATCH(Y18,WORLDCUP!$Z$101:$Z$147,0)),1,3)</f>
        <v>1H</v>
      </c>
      <c r="AB18" s="554" t="str">
        <f>+IF(ISBLANK(INDEX(WORLDCUP!$AC$101:$AC$147,MATCH(Y18,WORLDCUP!$Z$101:$Z$147,0))),"",INDEX(WORLDCUP!$AC$101:$AC$147,MATCH(Y18,WORLDCUP!$Z$101:$Z$147,0)))</f>
        <v/>
      </c>
      <c r="AC18" s="588" t="str">
        <f>+IF(ISBLANK(INDEX(WORLDCUP!$AB$101:$AB$147,MATCH(Y18,WORLDCUP!$Z$101:$Z$147,0))),"","( "&amp;INDEX(WORLDCUP!$AB$101:$AB$147,MATCH(Y18,WORLDCUP!$Z$101:$Z$147,0))&amp;" )")</f>
        <v/>
      </c>
      <c r="AD18" s="19"/>
      <c r="AE18" s="556"/>
      <c r="AF18" s="556"/>
      <c r="AG18" s="557"/>
      <c r="AH18" s="19"/>
      <c r="AI18" s="541"/>
      <c r="AJ18" s="541"/>
      <c r="AK18" s="580"/>
      <c r="AL18" s="19"/>
      <c r="AM18" s="513"/>
      <c r="AN18" s="513"/>
      <c r="AO18" s="594"/>
      <c r="AP18" s="90"/>
      <c r="AQ18" s="542"/>
      <c r="AR18" s="542"/>
      <c r="AS18" s="542"/>
      <c r="AT18" s="19"/>
      <c r="AU18" s="515"/>
      <c r="AV18" s="515"/>
      <c r="AW18" s="515"/>
      <c r="AX18" s="598" t="str">
        <f>Idiomas!D8</f>
        <v>XXIII Mundial USA/MEX/CAN 2026</v>
      </c>
      <c r="AY18" s="598"/>
      <c r="AZ18" s="599"/>
      <c r="BA18" s="599"/>
      <c r="BB18" s="599"/>
      <c r="BC18" s="599"/>
      <c r="BD18" s="599"/>
      <c r="BE18" s="599"/>
      <c r="BG18" s="544" t="str">
        <f ca="1">Horarios!Q17</f>
        <v>Costa de Marfil</v>
      </c>
      <c r="BH18" s="545">
        <f t="shared" ca="1" si="0"/>
        <v>1</v>
      </c>
      <c r="BI18" s="545">
        <f ca="1">COUNTIF(ADMIN!$M$130:$M$161,Fixture!BG18)-BJ18-BK18-BL18-BM18-BN18-BO18</f>
        <v>0</v>
      </c>
      <c r="BJ18" s="546">
        <f ca="1">COUNTIF(ADMIN!$M$182:$M$197,Fixture!BG18)-BK18-BL18-BM18-BN18-BO18</f>
        <v>0</v>
      </c>
      <c r="BK18" s="547">
        <f ca="1">COUNTIF(ADMIN!$M$210:$M$217,Fixture!BG18)-BL18-BM18-BN18-BO18</f>
        <v>0</v>
      </c>
      <c r="BL18" s="547">
        <f ca="1">COUNTIF(ADMIN!$M$226:$M$229,BG18)-BM18-BN18-BO18</f>
        <v>0</v>
      </c>
      <c r="BM18" s="545">
        <f ca="1">COUNTIF(ADMIN!$M$252,Fixture!BG18)</f>
        <v>0</v>
      </c>
      <c r="BN18" s="545">
        <f ca="1">COUNTIF(ADMIN!$M$251,Fixture!BG18)</f>
        <v>0</v>
      </c>
      <c r="BO18" s="548">
        <f ca="1">COUNTIF(ADMIN!$M$250,Fixture!BG18)</f>
        <v>0</v>
      </c>
    </row>
    <row r="19" spans="1:67" ht="15" thickBot="1">
      <c r="A19" s="19">
        <v>7</v>
      </c>
      <c r="B19" s="600" t="s">
        <v>2</v>
      </c>
      <c r="C19" s="499" t="str">
        <f ca="1">+MID(INDEX(WORLDCUP!$AA$4:$AA$147,MATCH(A19,WORLDCUP!$AH$4:$AH$147,0)),1,3)</f>
        <v>Bra</v>
      </c>
      <c r="D19" s="500" t="str">
        <f>IF(ISBLANK(INDEX(WORLDCUP!$AC$4:$AC$147,MATCH(A19,WORLDCUP!$AH$4:$AH$147,0))),"",INDEX(WORLDCUP!$AC$4:$AC$147,MATCH(A19,WORLDCUP!$AH$4:$AH$147,0)))</f>
        <v/>
      </c>
      <c r="E19" s="500" t="str">
        <f>IF(ISBLANK(INDEX(WORLDCUP!$AD$4:$AD$147,MATCH(A19,WORLDCUP!$AH$4:$AH$147,0))),"",INDEX(WORLDCUP!$AD$4:$AD$147,MATCH(A19,WORLDCUP!$AH$4:$AH$147,0)))</f>
        <v/>
      </c>
      <c r="F19" s="501" t="str">
        <f ca="1">+MID(INDEX(WORLDCUP!$AF$4:$AF$147,MATCH(A19,WORLDCUP!$AH$4:$AH$147,0)),1,3)</f>
        <v>Mar</v>
      </c>
      <c r="G19" s="502"/>
      <c r="H19" s="503" t="str">
        <f>+H11</f>
        <v>Sel</v>
      </c>
      <c r="I19" s="504" t="str">
        <f>+I11</f>
        <v>Pts</v>
      </c>
      <c r="J19" s="504" t="str">
        <f>+J11</f>
        <v>DG</v>
      </c>
      <c r="K19" s="505" t="str">
        <f>+K11</f>
        <v>GF-GC</v>
      </c>
      <c r="L19" s="19"/>
      <c r="M19" s="19">
        <v>17</v>
      </c>
      <c r="N19" s="601" t="s">
        <v>438</v>
      </c>
      <c r="O19" s="499" t="str">
        <f ca="1">+MID(INDEX(WORLDCUP!$AA$4:$AA$147,MATCH(M19,WORLDCUP!$AH$4:$AH$147,0)),1,3)</f>
        <v>Fra</v>
      </c>
      <c r="P19" s="500" t="str">
        <f>IF(ISBLANK(INDEX(WORLDCUP!$AC$4:$AC$147,MATCH(M19,WORLDCUP!$AH$4:$AH$147,0))),"",INDEX(WORLDCUP!$AC$4:$AC$147,MATCH(M19,WORLDCUP!$AH$4:$AH$147,0)))</f>
        <v/>
      </c>
      <c r="Q19" s="500" t="str">
        <f>IF(ISBLANK(INDEX(WORLDCUP!$AD$4:$AD$147,MATCH(M19,WORLDCUP!$AH$4:$AH$147,0))),"",INDEX(WORLDCUP!$AD$4:$AD$147,MATCH(M19,WORLDCUP!$AH$4:$AH$147,0)))</f>
        <v/>
      </c>
      <c r="R19" s="501" t="str">
        <f ca="1">+MID(INDEX(WORLDCUP!$AF$4:$AF$147,MATCH(M19,WORLDCUP!$AH$4:$AH$147,0)),1,3)</f>
        <v>Sen</v>
      </c>
      <c r="S19" s="502"/>
      <c r="T19" s="503" t="str">
        <f>+T11</f>
        <v>Sel</v>
      </c>
      <c r="U19" s="504" t="str">
        <f>+U11</f>
        <v>Pts</v>
      </c>
      <c r="V19" s="504" t="str">
        <f>+V11</f>
        <v>DG</v>
      </c>
      <c r="W19" s="505" t="str">
        <f>+W11</f>
        <v>GF-GC</v>
      </c>
      <c r="X19" s="19"/>
      <c r="Y19" s="19">
        <v>84</v>
      </c>
      <c r="Z19" s="507" t="s">
        <v>677</v>
      </c>
      <c r="AA19" s="562" t="str">
        <f ca="1">+MID(INDEX(WORLDCUP!$AF$101:$AF$147,MATCH(Y19,WORLDCUP!$Z$101:$Z$147,0)),1,3)</f>
        <v>2J</v>
      </c>
      <c r="AB19" s="563" t="str">
        <f>+IF(ISBLANK(INDEX(WORLDCUP!$AD$101:$AD$147,MATCH(Y19,WORLDCUP!$Z$101:$Z$147,0))),"",INDEX(WORLDCUP!$AD$101:$AD$147,MATCH(Y19,WORLDCUP!$Z$101:$Z$147,0)))</f>
        <v/>
      </c>
      <c r="AC19" s="589" t="str">
        <f>+IF(ISBLANK(INDEX(WORLDCUP!$AE$101:$AE$147,MATCH(Y19,WORLDCUP!$Z$101:$Z$147,0))),"","( "&amp;INDEX(WORLDCUP!$AE$101:$AE$147,MATCH(Y19,WORLDCUP!$Z$101:$Z$147,0))&amp;" )")</f>
        <v/>
      </c>
      <c r="AD19" s="19"/>
      <c r="AE19" s="556"/>
      <c r="AF19" s="556"/>
      <c r="AG19" s="557"/>
      <c r="AH19" s="581">
        <v>98</v>
      </c>
      <c r="AI19" s="565" t="str">
        <f>+MID(INDEX(WORLDCUP!$AA$101:$AA$147,MATCH(AH19,WORLDCUP!$Z$101:$Z$147,0)),1,3)</f>
        <v>W93</v>
      </c>
      <c r="AJ19" s="566" t="str">
        <f>+IF(ISBLANK(INDEX(WORLDCUP!$AC$101:$AC$147,MATCH(AH19,WORLDCUP!$Z$101:$Z$147,0))),"",INDEX(WORLDCUP!$AC$101:$AC$147,MATCH(AH19,WORLDCUP!$Z$101:$Z$147,0)))</f>
        <v/>
      </c>
      <c r="AK19" s="602" t="str">
        <f>+IF(ISBLANK(INDEX(WORLDCUP!$AB$101:$AB$147,MATCH(AH19,WORLDCUP!$Z$101:$Z$147,0))),"","( "&amp;INDEX(WORLDCUP!$AB$101:$AB$147,MATCH(AH19,WORLDCUP!$Z$101:$Z$147,0))&amp;" )")</f>
        <v/>
      </c>
      <c r="AL19" s="19"/>
      <c r="AM19" s="513"/>
      <c r="AN19" s="513"/>
      <c r="AO19" s="594"/>
      <c r="AP19" s="90"/>
      <c r="AQ19" s="542"/>
      <c r="AR19" s="542"/>
      <c r="AS19" s="542"/>
      <c r="AT19" s="19"/>
      <c r="AU19" s="515"/>
      <c r="AV19" s="515"/>
      <c r="AW19" s="515"/>
      <c r="AX19" s="19"/>
      <c r="AY19" s="295"/>
      <c r="AZ19" s="295"/>
      <c r="BA19" s="295"/>
      <c r="BB19" s="295"/>
      <c r="BC19" s="295"/>
      <c r="BD19" s="295"/>
      <c r="BE19" s="295"/>
      <c r="BG19" s="544" t="str">
        <f ca="1">Horarios!Q18</f>
        <v>Croacia</v>
      </c>
      <c r="BH19" s="545">
        <f t="shared" ca="1" si="0"/>
        <v>1</v>
      </c>
      <c r="BI19" s="545">
        <f ca="1">COUNTIF(ADMIN!$M$130:$M$161,Fixture!BG19)-BJ19-BK19-BL19-BM19-BN19-BO19</f>
        <v>0</v>
      </c>
      <c r="BJ19" s="546">
        <f ca="1">COUNTIF(ADMIN!$M$182:$M$197,Fixture!BG19)-BK19-BL19-BM19-BN19-BO19</f>
        <v>0</v>
      </c>
      <c r="BK19" s="547">
        <f ca="1">COUNTIF(ADMIN!$M$210:$M$217,Fixture!BG19)-BL19-BM19-BN19-BO19</f>
        <v>0</v>
      </c>
      <c r="BL19" s="547">
        <f ca="1">COUNTIF(ADMIN!$M$226:$M$229,BG19)-BM19-BN19-BO19</f>
        <v>0</v>
      </c>
      <c r="BM19" s="545">
        <f ca="1">COUNTIF(ADMIN!$M$252,Fixture!BG19)</f>
        <v>0</v>
      </c>
      <c r="BN19" s="545">
        <f ca="1">COUNTIF(ADMIN!$M$251,Fixture!BG19)</f>
        <v>0</v>
      </c>
      <c r="BO19" s="548">
        <f ca="1">COUNTIF(ADMIN!$M$250,Fixture!BG19)</f>
        <v>0</v>
      </c>
    </row>
    <row r="20" spans="1:67">
      <c r="A20" s="19">
        <v>5</v>
      </c>
      <c r="B20" s="603"/>
      <c r="C20" s="526" t="str">
        <f ca="1">+MID(INDEX(WORLDCUP!$AA$4:$AA$147,MATCH(A20,WORLDCUP!$AH$4:$AH$147,0)),1,3)</f>
        <v>Hai</v>
      </c>
      <c r="D20" s="527" t="str">
        <f>IF(ISBLANK(INDEX(WORLDCUP!$AC$4:$AC$147,MATCH(A20,WORLDCUP!$AH$4:$AH$147,0))),"",INDEX(WORLDCUP!$AC$4:$AC$147,MATCH(A20,WORLDCUP!$AH$4:$AH$147,0)))</f>
        <v/>
      </c>
      <c r="E20" s="527" t="str">
        <f>IF(ISBLANK(INDEX(WORLDCUP!$AD$4:$AD$147,MATCH(A20,WORLDCUP!$AH$4:$AH$147,0))),"",INDEX(WORLDCUP!$AD$4:$AD$147,MATCH(A20,WORLDCUP!$AH$4:$AH$147,0)))</f>
        <v/>
      </c>
      <c r="F20" s="528" t="str">
        <f ca="1">+MID(INDEX(WORLDCUP!$AF$4:$AF$147,MATCH(A20,WORLDCUP!$AH$4:$AH$147,0)),1,3)</f>
        <v>Esc</v>
      </c>
      <c r="G20" s="529">
        <v>1</v>
      </c>
      <c r="H20" s="530" t="str">
        <f ca="1">+MID(INDEX(WORLDCUP!$AL$6:$AL$97,MATCH(L20,WORLDCUP!$AI$6:$AI$97,0)),1,3)</f>
        <v>Bra</v>
      </c>
      <c r="I20" s="531">
        <f ca="1">+INDEX(WORLDCUP!$AM$6:$AM$97,MATCH(L20,WORLDCUP!$AI$6:$AI$97,0))</f>
        <v>0</v>
      </c>
      <c r="J20" s="532">
        <f ca="1">+INDEX(WORLDCUP!$AT$6:$AT$97,MATCH(L20,WORLDCUP!$AI$6:$AI$97,0))</f>
        <v>0</v>
      </c>
      <c r="K20" s="533" t="str">
        <f ca="1">+INDEX(WORLDCUP!$AR$6:$AR$97,MATCH(L20,WORLDCUP!$AI$6:$AI$97,0))&amp;"-"&amp;INDEX(WORLDCUP!$AS$6:$AS$97,MATCH(L20,WORLDCUP!$AI$6:$AI$97,0))</f>
        <v>0-0</v>
      </c>
      <c r="L20" s="19" t="s">
        <v>651</v>
      </c>
      <c r="M20" s="19">
        <v>18</v>
      </c>
      <c r="N20" s="604"/>
      <c r="O20" s="526" t="str">
        <f ca="1">+MID(INDEX(WORLDCUP!$AA$4:$AA$147,MATCH(M20,WORLDCUP!$AH$4:$AH$147,0)),1,3)</f>
        <v>Ira</v>
      </c>
      <c r="P20" s="527" t="str">
        <f>IF(ISBLANK(INDEX(WORLDCUP!$AC$4:$AC$147,MATCH(M20,WORLDCUP!$AH$4:$AH$147,0))),"",INDEX(WORLDCUP!$AC$4:$AC$147,MATCH(M20,WORLDCUP!$AH$4:$AH$147,0)))</f>
        <v/>
      </c>
      <c r="Q20" s="527" t="str">
        <f>IF(ISBLANK(INDEX(WORLDCUP!$AD$4:$AD$147,MATCH(M20,WORLDCUP!$AH$4:$AH$147,0))),"",INDEX(WORLDCUP!$AD$4:$AD$147,MATCH(M20,WORLDCUP!$AH$4:$AH$147,0)))</f>
        <v/>
      </c>
      <c r="R20" s="528" t="str">
        <f ca="1">+MID(INDEX(WORLDCUP!$AF$4:$AF$147,MATCH(M20,WORLDCUP!$AH$4:$AH$147,0)),1,3)</f>
        <v>Nor</v>
      </c>
      <c r="S20" s="529">
        <v>1</v>
      </c>
      <c r="T20" s="530" t="str">
        <f ca="1">+MID(INDEX(WORLDCUP!$AL$6:$AL$97,MATCH(X20,WORLDCUP!$AI$6:$AI$97,0)),1,3)</f>
        <v>Fra</v>
      </c>
      <c r="U20" s="531">
        <f ca="1">+INDEX(WORLDCUP!$AM$6:$AM$97,MATCH(X20,WORLDCUP!$AI$6:$AI$97,0))</f>
        <v>0</v>
      </c>
      <c r="V20" s="532">
        <f ca="1">+INDEX(WORLDCUP!$AT$6:$AT$97,MATCH(X20,WORLDCUP!$AI$6:$AI$97,0))</f>
        <v>0</v>
      </c>
      <c r="W20" s="533" t="str">
        <f ca="1">+INDEX(WORLDCUP!$AR$6:$AR$97,MATCH(X20,WORLDCUP!$AI$6:$AI$97,0))&amp;"-"&amp;INDEX(WORLDCUP!$AS$6:$AS$97,MATCH(X20,WORLDCUP!$AI$6:$AI$97,0))</f>
        <v>0-0</v>
      </c>
      <c r="X20" s="19" t="s">
        <v>673</v>
      </c>
      <c r="Y20" s="19"/>
      <c r="Z20" s="507"/>
      <c r="AA20" s="576"/>
      <c r="AB20" s="576"/>
      <c r="AC20" s="576"/>
      <c r="AD20" s="19"/>
      <c r="AE20" s="511"/>
      <c r="AF20" s="511"/>
      <c r="AG20" s="557"/>
      <c r="AH20" s="19">
        <v>98</v>
      </c>
      <c r="AI20" s="565" t="str">
        <f>+MID(INDEX(WORLDCUP!$AF$101:$AF$147,MATCH(AH20,WORLDCUP!$Z$101:$Z$147,0)),1,3)</f>
        <v>W94</v>
      </c>
      <c r="AJ20" s="566" t="str">
        <f>+IF(ISBLANK(INDEX(WORLDCUP!$AD$101:$AD$147,MATCH(AH20,WORLDCUP!$Z$101:$Z$147,0))),"",INDEX(WORLDCUP!$AD$101:$AD$147,MATCH(AH20,WORLDCUP!$Z$101:$Z$147,0)))</f>
        <v/>
      </c>
      <c r="AK20" s="541" t="str">
        <f>+IF(ISBLANK(INDEX(WORLDCUP!$AE$101:$AE$147,MATCH(AH20,WORLDCUP!$Z$101:$Z$147,0))),"","( "&amp;INDEX(WORLDCUP!$AE$101:$AE$147,MATCH(AH20,WORLDCUP!$Z$101:$Z$147,0))&amp;" )")</f>
        <v/>
      </c>
      <c r="AL20" s="19"/>
      <c r="AM20" s="513"/>
      <c r="AN20" s="513"/>
      <c r="AO20" s="594"/>
      <c r="AP20" s="19"/>
      <c r="AQ20" s="542"/>
      <c r="AR20" s="542"/>
      <c r="AS20" s="542"/>
      <c r="AT20" s="19"/>
      <c r="AU20" s="605"/>
      <c r="AV20" s="606"/>
      <c r="AW20" s="515"/>
      <c r="AX20" s="19"/>
      <c r="AY20" s="607"/>
      <c r="AZ20" s="608"/>
      <c r="BA20" s="608"/>
      <c r="BB20" s="608"/>
      <c r="BC20" s="609"/>
      <c r="BD20" s="295"/>
      <c r="BE20" s="295"/>
      <c r="BG20" s="544" t="str">
        <f ca="1">Horarios!Q19</f>
        <v>Curazao</v>
      </c>
      <c r="BH20" s="545">
        <f t="shared" ca="1" si="0"/>
        <v>1</v>
      </c>
      <c r="BI20" s="545">
        <f ca="1">COUNTIF(ADMIN!$M$130:$M$161,Fixture!BG20)-BJ20-BK20-BL20-BM20-BN20-BO20</f>
        <v>0</v>
      </c>
      <c r="BJ20" s="546">
        <f ca="1">COUNTIF(ADMIN!$M$182:$M$197,Fixture!BG20)-BK20-BL20-BM20-BN20-BO20</f>
        <v>0</v>
      </c>
      <c r="BK20" s="547">
        <f ca="1">COUNTIF(ADMIN!$M$210:$M$217,Fixture!BG20)-BL20-BM20-BN20-BO20</f>
        <v>0</v>
      </c>
      <c r="BL20" s="547">
        <f ca="1">COUNTIF(ADMIN!$M$226:$M$229,BG20)-BM20-BN20-BO20</f>
        <v>0</v>
      </c>
      <c r="BM20" s="545">
        <f ca="1">COUNTIF(ADMIN!$M$252,Fixture!BG20)</f>
        <v>0</v>
      </c>
      <c r="BN20" s="545">
        <f ca="1">COUNTIF(ADMIN!$M$251,Fixture!BG20)</f>
        <v>0</v>
      </c>
      <c r="BO20" s="548">
        <f ca="1">COUNTIF(ADMIN!$M$250,Fixture!BG20)</f>
        <v>0</v>
      </c>
    </row>
    <row r="21" spans="1:67" ht="15" thickBot="1">
      <c r="A21" s="19">
        <v>30</v>
      </c>
      <c r="B21" s="603"/>
      <c r="C21" s="526" t="str">
        <f ca="1">+MID(INDEX(WORLDCUP!$AA$4:$AA$147,MATCH(A21,WORLDCUP!$AH$4:$AH$147,0)),1,3)</f>
        <v>Esc</v>
      </c>
      <c r="D21" s="527" t="str">
        <f>IF(ISBLANK(INDEX(WORLDCUP!$AC$4:$AC$147,MATCH(A21,WORLDCUP!$AH$4:$AH$147,0))),"",INDEX(WORLDCUP!$AC$4:$AC$147,MATCH(A21,WORLDCUP!$AH$4:$AH$147,0)))</f>
        <v/>
      </c>
      <c r="E21" s="527" t="str">
        <f>IF(ISBLANK(INDEX(WORLDCUP!$AD$4:$AD$147,MATCH(A21,WORLDCUP!$AH$4:$AH$147,0))),"",INDEX(WORLDCUP!$AD$4:$AD$147,MATCH(A21,WORLDCUP!$AH$4:$AH$147,0)))</f>
        <v/>
      </c>
      <c r="F21" s="528" t="str">
        <f ca="1">+MID(INDEX(WORLDCUP!$AF$4:$AF$147,MATCH(A21,WORLDCUP!$AH$4:$AH$147,0)),1,3)</f>
        <v>Mar</v>
      </c>
      <c r="G21" s="549">
        <v>2</v>
      </c>
      <c r="H21" s="550" t="str">
        <f ca="1">+MID(INDEX(WORLDCUP!$AL$6:$AL$97,MATCH(L21,WORLDCUP!$AI$6:$AI$97,0)),1,3)</f>
        <v>Mar</v>
      </c>
      <c r="I21" s="221">
        <f ca="1">+INDEX(WORLDCUP!$AM$6:$AM$97,MATCH(L21,WORLDCUP!$AI$6:$AI$97,0))</f>
        <v>0</v>
      </c>
      <c r="J21" s="222">
        <f ca="1">+INDEX(WORLDCUP!$AT$6:$AT$97,MATCH(L21,WORLDCUP!$AI$6:$AI$97,0))</f>
        <v>0</v>
      </c>
      <c r="K21" s="223" t="str">
        <f ca="1">+INDEX(WORLDCUP!$AR$6:$AR$97,MATCH(L21,WORLDCUP!$AI$6:$AI$97,0))&amp;"-"&amp;INDEX(WORLDCUP!$AS$6:$AS$97,MATCH(L21,WORLDCUP!$AI$6:$AI$97,0))</f>
        <v>0-0</v>
      </c>
      <c r="L21" s="19" t="s">
        <v>656</v>
      </c>
      <c r="M21" s="19">
        <v>42</v>
      </c>
      <c r="N21" s="604"/>
      <c r="O21" s="526" t="str">
        <f ca="1">+MID(INDEX(WORLDCUP!$AA$4:$AA$147,MATCH(M21,WORLDCUP!$AH$4:$AH$147,0)),1,3)</f>
        <v>Fra</v>
      </c>
      <c r="P21" s="527" t="str">
        <f>IF(ISBLANK(INDEX(WORLDCUP!$AC$4:$AC$147,MATCH(M21,WORLDCUP!$AH$4:$AH$147,0))),"",INDEX(WORLDCUP!$AC$4:$AC$147,MATCH(M21,WORLDCUP!$AH$4:$AH$147,0)))</f>
        <v/>
      </c>
      <c r="Q21" s="527" t="str">
        <f>IF(ISBLANK(INDEX(WORLDCUP!$AD$4:$AD$147,MATCH(M21,WORLDCUP!$AH$4:$AH$147,0))),"",INDEX(WORLDCUP!$AD$4:$AD$147,MATCH(M21,WORLDCUP!$AH$4:$AH$147,0)))</f>
        <v/>
      </c>
      <c r="R21" s="528" t="str">
        <f ca="1">+MID(INDEX(WORLDCUP!$AF$4:$AF$147,MATCH(M21,WORLDCUP!$AH$4:$AH$147,0)),1,3)</f>
        <v>Ira</v>
      </c>
      <c r="S21" s="549">
        <v>2</v>
      </c>
      <c r="T21" s="550" t="str">
        <f ca="1">+MID(INDEX(WORLDCUP!$AL$6:$AL$97,MATCH(X21,WORLDCUP!$AI$6:$AI$97,0)),1,3)</f>
        <v>Sen</v>
      </c>
      <c r="U21" s="221">
        <f ca="1">+INDEX(WORLDCUP!$AM$6:$AM$97,MATCH(X21,WORLDCUP!$AI$6:$AI$97,0))</f>
        <v>0</v>
      </c>
      <c r="V21" s="222">
        <f ca="1">+INDEX(WORLDCUP!$AT$6:$AT$97,MATCH(X21,WORLDCUP!$AI$6:$AI$97,0))</f>
        <v>0</v>
      </c>
      <c r="W21" s="223" t="str">
        <f ca="1">+INDEX(WORLDCUP!$AR$6:$AR$97,MATCH(X21,WORLDCUP!$AI$6:$AI$97,0))&amp;"-"&amp;INDEX(WORLDCUP!$AS$6:$AS$97,MATCH(X21,WORLDCUP!$AI$6:$AI$97,0))</f>
        <v>0-0</v>
      </c>
      <c r="X21" s="19" t="s">
        <v>674</v>
      </c>
      <c r="Y21" s="19">
        <v>81</v>
      </c>
      <c r="Z21" s="507" t="s">
        <v>658</v>
      </c>
      <c r="AA21" s="508" t="str">
        <f ca="1">+MID(INDEX(WORLDCUP!$AA$101:$AA$147,MATCH(Y21,WORLDCUP!$Z$101:$Z$147,0)),1,3)</f>
        <v>1D</v>
      </c>
      <c r="AB21" s="509" t="str">
        <f>+IF(ISBLANK(INDEX(WORLDCUP!$AC$101:$AC$147,MATCH(Y21,WORLDCUP!$Z$101:$Z$147,0))),"",INDEX(WORLDCUP!$AC$101:$AC$147,MATCH(Y21,WORLDCUP!$Z$101:$Z$147,0)))</f>
        <v/>
      </c>
      <c r="AC21" s="579" t="str">
        <f>+IF(ISBLANK(INDEX(WORLDCUP!$AB$101:$AB$147,MATCH(Y21,WORLDCUP!$Z$101:$Z$147,0))),"","( "&amp;INDEX(WORLDCUP!$AB$101:$AB$147,MATCH(Y21,WORLDCUP!$Z$101:$Z$147,0))&amp;" )")</f>
        <v/>
      </c>
      <c r="AD21" s="18"/>
      <c r="AE21" s="511"/>
      <c r="AF21" s="511"/>
      <c r="AG21" s="557"/>
      <c r="AH21" s="19"/>
      <c r="AI21" s="541"/>
      <c r="AJ21" s="541"/>
      <c r="AK21" s="541"/>
      <c r="AL21" s="19"/>
      <c r="AM21" s="513"/>
      <c r="AN21" s="513"/>
      <c r="AO21" s="594"/>
      <c r="AP21" s="19"/>
      <c r="AQ21" s="542"/>
      <c r="AR21" s="542"/>
      <c r="AS21" s="542"/>
      <c r="AT21" s="19"/>
      <c r="AU21" s="605"/>
      <c r="AV21" s="606"/>
      <c r="AW21" s="515"/>
      <c r="AX21" s="19"/>
      <c r="AY21" s="610"/>
      <c r="AZ21" s="611"/>
      <c r="BA21" s="611" t="str">
        <f>WORLDCUP!AA150</f>
        <v>WF</v>
      </c>
      <c r="BB21" s="611"/>
      <c r="BC21" s="612"/>
      <c r="BD21" s="295"/>
      <c r="BE21" s="295"/>
      <c r="BG21" s="544" t="str">
        <f ca="1">Horarios!Q20</f>
        <v>Ecuador</v>
      </c>
      <c r="BH21" s="545">
        <f t="shared" ca="1" si="0"/>
        <v>1</v>
      </c>
      <c r="BI21" s="545">
        <f ca="1">COUNTIF(ADMIN!$M$130:$M$161,Fixture!BG21)-BJ21-BK21-BL21-BM21-BN21-BO21</f>
        <v>0</v>
      </c>
      <c r="BJ21" s="546">
        <f ca="1">COUNTIF(ADMIN!$M$182:$M$197,Fixture!BG21)-BK21-BL21-BM21-BN21-BO21</f>
        <v>0</v>
      </c>
      <c r="BK21" s="547">
        <f ca="1">COUNTIF(ADMIN!$M$210:$M$217,Fixture!BG21)-BL21-BM21-BN21-BO21</f>
        <v>0</v>
      </c>
      <c r="BL21" s="547">
        <f ca="1">COUNTIF(ADMIN!$M$226:$M$229,BG21)-BM21-BN21-BO21</f>
        <v>0</v>
      </c>
      <c r="BM21" s="545">
        <f ca="1">COUNTIF(ADMIN!$M$252,Fixture!BG21)</f>
        <v>0</v>
      </c>
      <c r="BN21" s="545">
        <f ca="1">COUNTIF(ADMIN!$M$251,Fixture!BG21)</f>
        <v>0</v>
      </c>
      <c r="BO21" s="548">
        <f ca="1">COUNTIF(ADMIN!$M$250,Fixture!BG21)</f>
        <v>0</v>
      </c>
    </row>
    <row r="22" spans="1:67" ht="15" thickBot="1">
      <c r="A22" s="19">
        <v>29</v>
      </c>
      <c r="B22" s="603"/>
      <c r="C22" s="526" t="str">
        <f ca="1">+MID(INDEX(WORLDCUP!$AA$4:$AA$147,MATCH(A22,WORLDCUP!$AH$4:$AH$147,0)),1,3)</f>
        <v>Bra</v>
      </c>
      <c r="D22" s="527" t="str">
        <f>IF(ISBLANK(INDEX(WORLDCUP!$AC$4:$AC$147,MATCH(A22,WORLDCUP!$AH$4:$AH$147,0))),"",INDEX(WORLDCUP!$AC$4:$AC$147,MATCH(A22,WORLDCUP!$AH$4:$AH$147,0)))</f>
        <v/>
      </c>
      <c r="E22" s="527" t="str">
        <f>IF(ISBLANK(INDEX(WORLDCUP!$AD$4:$AD$147,MATCH(A22,WORLDCUP!$AH$4:$AH$147,0))),"",INDEX(WORLDCUP!$AD$4:$AD$147,MATCH(A22,WORLDCUP!$AH$4:$AH$147,0)))</f>
        <v/>
      </c>
      <c r="F22" s="528" t="str">
        <f ca="1">+MID(INDEX(WORLDCUP!$AF$4:$AF$147,MATCH(A22,WORLDCUP!$AH$4:$AH$147,0)),1,3)</f>
        <v>Hai</v>
      </c>
      <c r="G22" s="549">
        <v>3</v>
      </c>
      <c r="H22" s="550" t="str">
        <f ca="1">+MID(INDEX(WORLDCUP!$AL$6:$AL$97,MATCH(L22,WORLDCUP!$AI$6:$AI$97,0)),1,3)</f>
        <v>Hai</v>
      </c>
      <c r="I22" s="221">
        <f ca="1">+INDEX(WORLDCUP!$AM$6:$AM$97,MATCH(L22,WORLDCUP!$AI$6:$AI$97,0))</f>
        <v>0</v>
      </c>
      <c r="J22" s="222">
        <f ca="1">+INDEX(WORLDCUP!$AT$6:$AT$97,MATCH(L22,WORLDCUP!$AI$6:$AI$97,0))</f>
        <v>0</v>
      </c>
      <c r="K22" s="223" t="str">
        <f ca="1">+INDEX(WORLDCUP!$AR$6:$AR$97,MATCH(L22,WORLDCUP!$AI$6:$AI$97,0))&amp;"-"&amp;INDEX(WORLDCUP!$AS$6:$AS$97,MATCH(L22,WORLDCUP!$AI$6:$AI$97,0))</f>
        <v>0-0</v>
      </c>
      <c r="L22" s="19" t="s">
        <v>91</v>
      </c>
      <c r="M22" s="19">
        <v>41</v>
      </c>
      <c r="N22" s="604"/>
      <c r="O22" s="526" t="str">
        <f ca="1">+MID(INDEX(WORLDCUP!$AA$4:$AA$147,MATCH(M22,WORLDCUP!$AH$4:$AH$147,0)),1,3)</f>
        <v>Nor</v>
      </c>
      <c r="P22" s="527" t="str">
        <f>IF(ISBLANK(INDEX(WORLDCUP!$AC$4:$AC$147,MATCH(M22,WORLDCUP!$AH$4:$AH$147,0))),"",INDEX(WORLDCUP!$AC$4:$AC$147,MATCH(M22,WORLDCUP!$AH$4:$AH$147,0)))</f>
        <v/>
      </c>
      <c r="Q22" s="527" t="str">
        <f>IF(ISBLANK(INDEX(WORLDCUP!$AD$4:$AD$147,MATCH(M22,WORLDCUP!$AH$4:$AH$147,0))),"",INDEX(WORLDCUP!$AD$4:$AD$147,MATCH(M22,WORLDCUP!$AH$4:$AH$147,0)))</f>
        <v/>
      </c>
      <c r="R22" s="528" t="str">
        <f ca="1">+MID(INDEX(WORLDCUP!$AF$4:$AF$147,MATCH(M22,WORLDCUP!$AH$4:$AH$147,0)),1,3)</f>
        <v>Sen</v>
      </c>
      <c r="S22" s="549">
        <v>3</v>
      </c>
      <c r="T22" s="550" t="str">
        <f ca="1">+MID(INDEX(WORLDCUP!$AL$6:$AL$97,MATCH(X22,WORLDCUP!$AI$6:$AI$97,0)),1,3)</f>
        <v>Ira</v>
      </c>
      <c r="U22" s="221">
        <f ca="1">+INDEX(WORLDCUP!$AM$6:$AM$97,MATCH(X22,WORLDCUP!$AI$6:$AI$97,0))</f>
        <v>0</v>
      </c>
      <c r="V22" s="222">
        <f ca="1">+INDEX(WORLDCUP!$AT$6:$AT$97,MATCH(X22,WORLDCUP!$AI$6:$AI$97,0))</f>
        <v>0</v>
      </c>
      <c r="W22" s="223" t="str">
        <f ca="1">+INDEX(WORLDCUP!$AR$6:$AR$97,MATCH(X22,WORLDCUP!$AI$6:$AI$97,0))&amp;"-"&amp;INDEX(WORLDCUP!$AS$6:$AS$97,MATCH(X22,WORLDCUP!$AI$6:$AI$97,0))</f>
        <v>0-0</v>
      </c>
      <c r="X22" s="19" t="s">
        <v>440</v>
      </c>
      <c r="Y22" s="19">
        <v>81</v>
      </c>
      <c r="Z22" s="507" t="s">
        <v>726</v>
      </c>
      <c r="AA22" s="508" t="str">
        <f ca="1">+MID(INDEX(WORLDCUP!$AF$101:$AF$147,MATCH(Y22,WORLDCUP!$Z$101:$Z$147,0)),1,IF(WORLDCUP!$H$113&lt;144,6,3))</f>
        <v>3BEFIJ</v>
      </c>
      <c r="AB22" s="535" t="str">
        <f>+IF(ISBLANK(INDEX(WORLDCUP!$AD$101:$AD$147,MATCH(Y22,WORLDCUP!$Z$101:$Z$147,0))),"",INDEX(WORLDCUP!$AD$101:$AD$147,MATCH(Y22,WORLDCUP!$Z$101:$Z$147,0)))</f>
        <v/>
      </c>
      <c r="AC22" s="536" t="str">
        <f>+IF(ISBLANK(INDEX(WORLDCUP!$AE$101:$AE$147,MATCH(Y22,WORLDCUP!$Z$101:$Z$147,0))),"","( "&amp;INDEX(WORLDCUP!$AE$101:$AE$147,MATCH(Y22,WORLDCUP!$Z$101:$Z$147,0))&amp;" )")</f>
        <v/>
      </c>
      <c r="AD22" s="537">
        <v>94</v>
      </c>
      <c r="AE22" s="538" t="str">
        <f>+MID(INDEX(WORLDCUP!$AA$101:$AA$147,MATCH(AD22,WORLDCUP!$Z$101:$Z$147,0)),1,3)</f>
        <v>W81</v>
      </c>
      <c r="AF22" s="539" t="str">
        <f>+IF(ISBLANK(INDEX(WORLDCUP!$AC$101:$AC$147,MATCH(AD22,WORLDCUP!$Z$101:$Z$147,0))),"",INDEX(WORLDCUP!$AC$101:$AC$147,MATCH(AD22,WORLDCUP!$Z$101:$Z$147,0)))</f>
        <v/>
      </c>
      <c r="AG22" s="582" t="str">
        <f>+IF(ISBLANK(INDEX(WORLDCUP!$AB$101:$AB$147,MATCH(AD22,WORLDCUP!$Z$101:$Z$147,0))),"","( "&amp;INDEX(WORLDCUP!$AB$101:$AB$147,MATCH(AD22,WORLDCUP!$Z$101:$Z$147,0))&amp;" )")</f>
        <v/>
      </c>
      <c r="AH22" s="19"/>
      <c r="AI22" s="541"/>
      <c r="AJ22" s="541"/>
      <c r="AK22" s="541"/>
      <c r="AL22" s="19"/>
      <c r="AM22" s="513"/>
      <c r="AN22" s="513"/>
      <c r="AO22" s="594"/>
      <c r="AP22" s="19"/>
      <c r="AQ22" s="542"/>
      <c r="AR22" s="542"/>
      <c r="AS22" s="542"/>
      <c r="AT22" s="19"/>
      <c r="AU22" s="605"/>
      <c r="AV22" s="606"/>
      <c r="AW22" s="515"/>
      <c r="AX22" s="19"/>
      <c r="AY22" s="610"/>
      <c r="AZ22" s="611"/>
      <c r="BA22" s="613"/>
      <c r="BB22" s="611"/>
      <c r="BC22" s="612"/>
      <c r="BD22" s="295"/>
      <c r="BE22" s="295"/>
      <c r="BG22" s="544" t="str">
        <f ca="1">Horarios!Q21</f>
        <v>Egipto</v>
      </c>
      <c r="BH22" s="545">
        <f t="shared" ca="1" si="0"/>
        <v>1</v>
      </c>
      <c r="BI22" s="545">
        <f ca="1">COUNTIF(ADMIN!$M$130:$M$161,Fixture!BG22)-BJ22-BK22-BL22-BM22-BN22-BO22</f>
        <v>0</v>
      </c>
      <c r="BJ22" s="546">
        <f ca="1">COUNTIF(ADMIN!$M$182:$M$197,Fixture!BG22)-BK22-BL22-BM22-BN22-BO22</f>
        <v>0</v>
      </c>
      <c r="BK22" s="547">
        <f ca="1">COUNTIF(ADMIN!$M$210:$M$217,Fixture!BG22)-BL22-BM22-BN22-BO22</f>
        <v>0</v>
      </c>
      <c r="BL22" s="547">
        <f ca="1">COUNTIF(ADMIN!$M$226:$M$229,BG22)-BM22-BN22-BO22</f>
        <v>0</v>
      </c>
      <c r="BM22" s="545">
        <f ca="1">COUNTIF(ADMIN!$M$252,Fixture!BG22)</f>
        <v>0</v>
      </c>
      <c r="BN22" s="545">
        <f ca="1">COUNTIF(ADMIN!$M$251,Fixture!BG22)</f>
        <v>0</v>
      </c>
      <c r="BO22" s="548">
        <f ca="1">COUNTIF(ADMIN!$M$250,Fixture!BG22)</f>
        <v>0</v>
      </c>
    </row>
    <row r="23" spans="1:67">
      <c r="A23" s="19">
        <v>49</v>
      </c>
      <c r="B23" s="603"/>
      <c r="C23" s="526" t="str">
        <f ca="1">+MID(INDEX(WORLDCUP!$AA$4:$AA$147,MATCH(A23,WORLDCUP!$AH$4:$AH$147,0)),1,3)</f>
        <v>Esc</v>
      </c>
      <c r="D23" s="527" t="str">
        <f>IF(ISBLANK(INDEX(WORLDCUP!$AC$4:$AC$147,MATCH(A23,WORLDCUP!$AH$4:$AH$147,0))),"",INDEX(WORLDCUP!$AC$4:$AC$147,MATCH(A23,WORLDCUP!$AH$4:$AH$147,0)))</f>
        <v/>
      </c>
      <c r="E23" s="527" t="str">
        <f>IF(ISBLANK(INDEX(WORLDCUP!$AD$4:$AD$147,MATCH(A23,WORLDCUP!$AH$4:$AH$147,0))),"",INDEX(WORLDCUP!$AD$4:$AD$147,MATCH(A23,WORLDCUP!$AH$4:$AH$147,0)))</f>
        <v/>
      </c>
      <c r="F23" s="528" t="str">
        <f ca="1">+MID(INDEX(WORLDCUP!$AF$4:$AF$147,MATCH(A23,WORLDCUP!$AH$4:$AH$147,0)),1,3)</f>
        <v>Bra</v>
      </c>
      <c r="G23" s="549">
        <v>4</v>
      </c>
      <c r="H23" s="558" t="str">
        <f ca="1">+MID(INDEX(WORLDCUP!$AL$6:$AL$97,MATCH(L23,WORLDCUP!$AI$6:$AI$97,0)),1,3)</f>
        <v>Esc</v>
      </c>
      <c r="I23" s="559">
        <f ca="1">+INDEX(WORLDCUP!$AM$6:$AM$97,MATCH(L23,WORLDCUP!$AI$6:$AI$97,0))</f>
        <v>0</v>
      </c>
      <c r="J23" s="560">
        <f ca="1">+INDEX(WORLDCUP!$AT$6:$AT$97,MATCH(L23,WORLDCUP!$AI$6:$AI$97,0))</f>
        <v>0</v>
      </c>
      <c r="K23" s="561" t="str">
        <f ca="1">+INDEX(WORLDCUP!$AR$6:$AR$97,MATCH(L23,WORLDCUP!$AI$6:$AI$97,0))&amp;"-"&amp;INDEX(WORLDCUP!$AS$6:$AS$97,MATCH(L23,WORLDCUP!$AI$6:$AI$97,0))</f>
        <v>0-0</v>
      </c>
      <c r="L23" s="19" t="s">
        <v>657</v>
      </c>
      <c r="M23" s="19">
        <v>61</v>
      </c>
      <c r="N23" s="604"/>
      <c r="O23" s="526" t="str">
        <f ca="1">+MID(INDEX(WORLDCUP!$AA$4:$AA$147,MATCH(M23,WORLDCUP!$AH$4:$AH$147,0)),1,3)</f>
        <v>Nor</v>
      </c>
      <c r="P23" s="527" t="str">
        <f>IF(ISBLANK(INDEX(WORLDCUP!$AC$4:$AC$147,MATCH(M23,WORLDCUP!$AH$4:$AH$147,0))),"",INDEX(WORLDCUP!$AC$4:$AC$147,MATCH(M23,WORLDCUP!$AH$4:$AH$147,0)))</f>
        <v/>
      </c>
      <c r="Q23" s="527" t="str">
        <f>IF(ISBLANK(INDEX(WORLDCUP!$AD$4:$AD$147,MATCH(M23,WORLDCUP!$AH$4:$AH$147,0))),"",INDEX(WORLDCUP!$AD$4:$AD$147,MATCH(M23,WORLDCUP!$AH$4:$AH$147,0)))</f>
        <v/>
      </c>
      <c r="R23" s="528" t="str">
        <f ca="1">+MID(INDEX(WORLDCUP!$AF$4:$AF$147,MATCH(M23,WORLDCUP!$AH$4:$AH$147,0)),1,3)</f>
        <v>Fra</v>
      </c>
      <c r="S23" s="549">
        <v>4</v>
      </c>
      <c r="T23" s="558" t="str">
        <f ca="1">+MID(INDEX(WORLDCUP!$AL$6:$AL$97,MATCH(X23,WORLDCUP!$AI$6:$AI$97,0)),1,3)</f>
        <v>Nor</v>
      </c>
      <c r="U23" s="559">
        <f ca="1">+INDEX(WORLDCUP!$AM$6:$AM$97,MATCH(X23,WORLDCUP!$AI$6:$AI$97,0))</f>
        <v>0</v>
      </c>
      <c r="V23" s="560">
        <f ca="1">+INDEX(WORLDCUP!$AT$6:$AT$97,MATCH(X23,WORLDCUP!$AI$6:$AI$97,0))</f>
        <v>0</v>
      </c>
      <c r="W23" s="561" t="str">
        <f ca="1">+INDEX(WORLDCUP!$AR$6:$AR$97,MATCH(X23,WORLDCUP!$AI$6:$AI$97,0))&amp;"-"&amp;INDEX(WORLDCUP!$AS$6:$AS$97,MATCH(X23,WORLDCUP!$AI$6:$AI$97,0))</f>
        <v>0-0</v>
      </c>
      <c r="X23" s="19" t="s">
        <v>675</v>
      </c>
      <c r="Y23" s="19"/>
      <c r="Z23" s="507"/>
      <c r="AA23" s="551"/>
      <c r="AB23" s="551"/>
      <c r="AC23" s="552"/>
      <c r="AD23" s="19">
        <v>94</v>
      </c>
      <c r="AE23" s="538" t="str">
        <f>+MID(INDEX(WORLDCUP!$AF$101:$AF$147,MATCH(AD23,WORLDCUP!$Z$101:$Z$147,0)),1,3)</f>
        <v>W82</v>
      </c>
      <c r="AF23" s="539" t="str">
        <f>+IF(ISBLANK(INDEX(WORLDCUP!$AD$101:$AD$147,MATCH(AD23,WORLDCUP!$Z$101:$Z$147,0))),"",INDEX(WORLDCUP!$AD$101:$AD$147,MATCH(AD23,WORLDCUP!$Z$101:$Z$147,0)))</f>
        <v/>
      </c>
      <c r="AG23" s="556" t="str">
        <f>+IF(ISBLANK(INDEX(WORLDCUP!$AE$101:$AE$147,MATCH(AD23,WORLDCUP!$Z$101:$Z$147,0))),"","( "&amp;INDEX(WORLDCUP!$AE$101:$AE$147,MATCH(AD23,WORLDCUP!$Z$101:$Z$147,0))&amp;" )")</f>
        <v/>
      </c>
      <c r="AH23" s="19"/>
      <c r="AI23" s="541"/>
      <c r="AJ23" s="541"/>
      <c r="AK23" s="541"/>
      <c r="AL23" s="19"/>
      <c r="AM23" s="513"/>
      <c r="AN23" s="513"/>
      <c r="AO23" s="594"/>
      <c r="AP23" s="90"/>
      <c r="AQ23" s="542"/>
      <c r="AR23" s="542"/>
      <c r="AS23" s="542"/>
      <c r="AT23" s="19"/>
      <c r="AU23" s="515"/>
      <c r="AV23" s="515"/>
      <c r="AW23" s="515"/>
      <c r="AX23" s="19"/>
      <c r="AY23" s="610"/>
      <c r="AZ23" s="611"/>
      <c r="BA23" s="613"/>
      <c r="BB23" s="611" t="str">
        <f>+WORLDCUP!AA151</f>
        <v>LF</v>
      </c>
      <c r="BC23" s="612"/>
      <c r="BD23" s="295"/>
      <c r="BE23" s="295"/>
      <c r="BG23" s="544" t="str">
        <f ca="1">Horarios!Q22</f>
        <v>Escocia</v>
      </c>
      <c r="BH23" s="545">
        <f t="shared" ca="1" si="0"/>
        <v>1</v>
      </c>
      <c r="BI23" s="545">
        <f ca="1">COUNTIF(ADMIN!$M$130:$M$161,Fixture!BG23)-BJ23-BK23-BL23-BM23-BN23-BO23</f>
        <v>0</v>
      </c>
      <c r="BJ23" s="546">
        <f ca="1">COUNTIF(ADMIN!$M$182:$M$197,Fixture!BG23)-BK23-BL23-BM23-BN23-BO23</f>
        <v>0</v>
      </c>
      <c r="BK23" s="547">
        <f ca="1">COUNTIF(ADMIN!$M$210:$M$217,Fixture!BG23)-BL23-BM23-BN23-BO23</f>
        <v>0</v>
      </c>
      <c r="BL23" s="547">
        <f ca="1">COUNTIF(ADMIN!$M$226:$M$229,BG23)-BM23-BN23-BO23</f>
        <v>0</v>
      </c>
      <c r="BM23" s="545">
        <f ca="1">COUNTIF(ADMIN!$M$252,Fixture!BG23)</f>
        <v>0</v>
      </c>
      <c r="BN23" s="545">
        <f ca="1">COUNTIF(ADMIN!$M$251,Fixture!BG23)</f>
        <v>0</v>
      </c>
      <c r="BO23" s="548">
        <f ca="1">COUNTIF(ADMIN!$M$250,Fixture!BG23)</f>
        <v>0</v>
      </c>
    </row>
    <row r="24" spans="1:67" ht="15" thickBot="1">
      <c r="A24" s="19">
        <v>50</v>
      </c>
      <c r="B24" s="614"/>
      <c r="C24" s="569" t="str">
        <f ca="1">+MID(INDEX(WORLDCUP!$AA$4:$AA$147,MATCH(A24,WORLDCUP!$AH$4:$AH$147,0)),1,3)</f>
        <v>Mar</v>
      </c>
      <c r="D24" s="570" t="str">
        <f>IF(ISBLANK(INDEX(WORLDCUP!$AC$4:$AC$147,MATCH(A24,WORLDCUP!$AH$4:$AH$147,0))),"",INDEX(WORLDCUP!$AC$4:$AC$147,MATCH(A24,WORLDCUP!$AH$4:$AH$147,0)))</f>
        <v/>
      </c>
      <c r="E24" s="570" t="str">
        <f>IF(ISBLANK(INDEX(WORLDCUP!$AD$4:$AD$147,MATCH(A24,WORLDCUP!$AH$4:$AH$147,0))),"",INDEX(WORLDCUP!$AD$4:$AD$147,MATCH(A24,WORLDCUP!$AH$4:$AH$147,0)))</f>
        <v/>
      </c>
      <c r="F24" s="571" t="str">
        <f ca="1">+MID(INDEX(WORLDCUP!$AF$4:$AF$147,MATCH(A24,WORLDCUP!$AH$4:$AH$147,0)),1,3)</f>
        <v>Hai</v>
      </c>
      <c r="G24" s="572"/>
      <c r="H24" s="572"/>
      <c r="I24" s="573"/>
      <c r="J24" s="573"/>
      <c r="K24" s="574"/>
      <c r="L24" s="19"/>
      <c r="M24" s="19">
        <v>62</v>
      </c>
      <c r="N24" s="615"/>
      <c r="O24" s="569" t="str">
        <f ca="1">+MID(INDEX(WORLDCUP!$AA$4:$AA$147,MATCH(M24,WORLDCUP!$AH$4:$AH$147,0)),1,3)</f>
        <v>Sen</v>
      </c>
      <c r="P24" s="570" t="str">
        <f>IF(ISBLANK(INDEX(WORLDCUP!$AC$4:$AC$147,MATCH(M24,WORLDCUP!$AH$4:$AH$147,0))),"",INDEX(WORLDCUP!$AC$4:$AC$147,MATCH(M24,WORLDCUP!$AH$4:$AH$147,0)))</f>
        <v/>
      </c>
      <c r="Q24" s="570" t="str">
        <f>IF(ISBLANK(INDEX(WORLDCUP!$AD$4:$AD$147,MATCH(M24,WORLDCUP!$AH$4:$AH$147,0))),"",INDEX(WORLDCUP!$AD$4:$AD$147,MATCH(M24,WORLDCUP!$AH$4:$AH$147,0)))</f>
        <v/>
      </c>
      <c r="R24" s="571" t="str">
        <f ca="1">+MID(INDEX(WORLDCUP!$AF$4:$AF$147,MATCH(M24,WORLDCUP!$AH$4:$AH$147,0)),1,3)</f>
        <v>Ira</v>
      </c>
      <c r="S24" s="572"/>
      <c r="T24" s="572"/>
      <c r="U24" s="573"/>
      <c r="V24" s="573"/>
      <c r="W24" s="574"/>
      <c r="X24" s="19"/>
      <c r="Y24" s="19">
        <v>82</v>
      </c>
      <c r="Z24" s="507" t="s">
        <v>667</v>
      </c>
      <c r="AA24" s="508" t="str">
        <f ca="1">+MID(INDEX(WORLDCUP!$AA$101:$AA$147,MATCH(Y24,WORLDCUP!$Z$101:$Z$147,0)),1,3)</f>
        <v>1G</v>
      </c>
      <c r="AB24" s="554" t="str">
        <f>+IF(ISBLANK(INDEX(WORLDCUP!$AC$101:$AC$147,MATCH(Y24,WORLDCUP!$Z$101:$Z$147,0))),"",INDEX(WORLDCUP!$AC$101:$AC$147,MATCH(Y24,WORLDCUP!$Z$101:$Z$147,0)))</f>
        <v/>
      </c>
      <c r="AC24" s="588" t="str">
        <f>+IF(ISBLANK(INDEX(WORLDCUP!$AB$101:$AB$147,MATCH(Y24,WORLDCUP!$Z$101:$Z$147,0))),"","( "&amp;INDEX(WORLDCUP!$AB$101:$AB$147,MATCH(Y24,WORLDCUP!$Z$101:$Z$147,0))&amp;" )")</f>
        <v/>
      </c>
      <c r="AD24" s="19"/>
      <c r="AE24" s="511"/>
      <c r="AF24" s="511"/>
      <c r="AG24" s="511"/>
      <c r="AH24" s="19"/>
      <c r="AI24" s="541"/>
      <c r="AJ24" s="541"/>
      <c r="AK24" s="541"/>
      <c r="AL24" s="19"/>
      <c r="AM24" s="513"/>
      <c r="AN24" s="513"/>
      <c r="AO24" s="594"/>
      <c r="AP24" s="90"/>
      <c r="AQ24" s="542"/>
      <c r="AR24" s="542"/>
      <c r="AS24" s="542"/>
      <c r="AT24" s="19"/>
      <c r="AU24" s="515"/>
      <c r="AV24" s="515"/>
      <c r="AW24" s="515"/>
      <c r="AX24" s="19"/>
      <c r="AY24" s="610"/>
      <c r="AZ24" s="611"/>
      <c r="BA24" s="613"/>
      <c r="BB24" s="616"/>
      <c r="BC24" s="612"/>
      <c r="BD24" s="295"/>
      <c r="BE24" s="295"/>
      <c r="BG24" s="544" t="str">
        <f ca="1">Horarios!Q23</f>
        <v>España</v>
      </c>
      <c r="BH24" s="545">
        <f t="shared" ca="1" si="0"/>
        <v>1</v>
      </c>
      <c r="BI24" s="545">
        <f ca="1">COUNTIF(ADMIN!$M$130:$M$161,Fixture!BG24)-BJ24-BK24-BL24-BM24-BN24-BO24</f>
        <v>0</v>
      </c>
      <c r="BJ24" s="546">
        <f ca="1">COUNTIF(ADMIN!$M$182:$M$197,Fixture!BG24)-BK24-BL24-BM24-BN24-BO24</f>
        <v>0</v>
      </c>
      <c r="BK24" s="547">
        <f ca="1">COUNTIF(ADMIN!$M$210:$M$217,Fixture!BG24)-BL24-BM24-BN24-BO24</f>
        <v>0</v>
      </c>
      <c r="BL24" s="547">
        <f ca="1">COUNTIF(ADMIN!$M$226:$M$229,BG24)-BM24-BN24-BO24</f>
        <v>0</v>
      </c>
      <c r="BM24" s="545">
        <f ca="1">COUNTIF(ADMIN!$M$252,Fixture!BG24)</f>
        <v>0</v>
      </c>
      <c r="BN24" s="545">
        <f ca="1">COUNTIF(ADMIN!$M$251,Fixture!BG24)</f>
        <v>0</v>
      </c>
      <c r="BO24" s="548">
        <f ca="1">COUNTIF(ADMIN!$M$250,Fixture!BG24)</f>
        <v>0</v>
      </c>
    </row>
    <row r="25" spans="1:67" ht="15" thickBot="1">
      <c r="A25" s="19"/>
      <c r="B25" s="494"/>
      <c r="C25" s="578"/>
      <c r="D25" s="439"/>
      <c r="E25" s="439"/>
      <c r="F25" s="295"/>
      <c r="G25" s="295"/>
      <c r="H25" s="578"/>
      <c r="I25" s="295"/>
      <c r="J25" s="295"/>
      <c r="K25" s="295"/>
      <c r="L25" s="19"/>
      <c r="M25" s="19"/>
      <c r="N25" s="245"/>
      <c r="O25" s="295"/>
      <c r="P25" s="295"/>
      <c r="Q25" s="295"/>
      <c r="R25" s="295"/>
      <c r="S25" s="295"/>
      <c r="T25" s="295"/>
      <c r="U25" s="295"/>
      <c r="V25" s="295"/>
      <c r="W25" s="295"/>
      <c r="X25" s="19"/>
      <c r="Y25" s="19">
        <v>82</v>
      </c>
      <c r="Z25" s="507" t="s">
        <v>727</v>
      </c>
      <c r="AA25" s="562" t="str">
        <f ca="1">+MID(INDEX(WORLDCUP!$AF$101:$AF$147,MATCH(Y25,WORLDCUP!$Z$101:$Z$147,0)),1,IF(WORLDCUP!$H$113&lt;144,6,3))</f>
        <v>3AEHIJ</v>
      </c>
      <c r="AB25" s="563" t="str">
        <f>+IF(ISBLANK(INDEX(WORLDCUP!$AD$101:$AD$147,MATCH(Y25,WORLDCUP!$Z$101:$Z$147,0))),"",INDEX(WORLDCUP!$AD$101:$AD$147,MATCH(Y25,WORLDCUP!$Z$101:$Z$147,0)))</f>
        <v/>
      </c>
      <c r="AC25" s="589" t="str">
        <f>+IF(ISBLANK(INDEX(WORLDCUP!$AE$101:$AE$147,MATCH(Y25,WORLDCUP!$Z$101:$Z$147,0))),"","( "&amp;INDEX(WORLDCUP!$AE$101:$AE$147,MATCH(Y25,WORLDCUP!$Z$101:$Z$147,0))&amp;" )")</f>
        <v/>
      </c>
      <c r="AD25" s="19"/>
      <c r="AE25" s="511"/>
      <c r="AF25" s="511"/>
      <c r="AG25" s="511"/>
      <c r="AH25" s="19"/>
      <c r="AI25" s="541"/>
      <c r="AJ25" s="541"/>
      <c r="AK25" s="541"/>
      <c r="AL25" s="19"/>
      <c r="AM25" s="513"/>
      <c r="AN25" s="513"/>
      <c r="AO25" s="594"/>
      <c r="AP25" s="617"/>
      <c r="AQ25" s="618"/>
      <c r="AR25" s="618"/>
      <c r="AS25" s="618"/>
      <c r="AT25" s="619">
        <v>104</v>
      </c>
      <c r="AU25" s="620" t="str">
        <f>+MID(INDEX(WORLDCUP!$AA$101:$AA$147,MATCH(AT25,WORLDCUP!$Z$101:$Z$147,0)),1,4)</f>
        <v>W101</v>
      </c>
      <c r="AV25" s="621" t="str">
        <f>+IF(ISBLANK(INDEX(WORLDCUP!$AC$101:$AC$147,MATCH(AT25,WORLDCUP!$Z$101:$Z$147,0))),"",INDEX(WORLDCUP!$AC$101:$AC$147,MATCH(AT25,WORLDCUP!$Z$101:$Z$147,0)))</f>
        <v/>
      </c>
      <c r="AW25" s="622" t="str">
        <f>+IF(ISBLANK(INDEX(WORLDCUP!$AB$101:$AB$147,MATCH(AT25,WORLDCUP!$Z$101:$Z$147,0))),"","( "&amp;INDEX(WORLDCUP!$AB$101:$AB$147,MATCH(AT25,WORLDCUP!$Z$101:$Z$147,0))&amp;" )")</f>
        <v/>
      </c>
      <c r="AX25" s="623"/>
      <c r="AY25" s="610"/>
      <c r="AZ25" s="611" t="str">
        <f>+WORLDCUP!AA152</f>
        <v>W34</v>
      </c>
      <c r="BA25" s="613"/>
      <c r="BB25" s="616"/>
      <c r="BC25" s="612"/>
      <c r="BD25" s="295"/>
      <c r="BE25" s="295"/>
      <c r="BG25" s="544" t="str">
        <f ca="1">Horarios!Q24</f>
        <v>Estados Unidos</v>
      </c>
      <c r="BH25" s="545">
        <f t="shared" ca="1" si="0"/>
        <v>1</v>
      </c>
      <c r="BI25" s="545">
        <f ca="1">COUNTIF(ADMIN!$M$130:$M$161,Fixture!BG25)-BJ25-BK25-BL25-BM25-BN25-BO25</f>
        <v>0</v>
      </c>
      <c r="BJ25" s="546">
        <f ca="1">COUNTIF(ADMIN!$M$182:$M$197,Fixture!BG25)-BK25-BL25-BM25-BN25-BO25</f>
        <v>0</v>
      </c>
      <c r="BK25" s="547">
        <f ca="1">COUNTIF(ADMIN!$M$210:$M$217,Fixture!BG25)-BL25-BM25-BN25-BO25</f>
        <v>0</v>
      </c>
      <c r="BL25" s="547">
        <f ca="1">COUNTIF(ADMIN!$M$226:$M$229,BG25)-BM25-BN25-BO25</f>
        <v>0</v>
      </c>
      <c r="BM25" s="545">
        <f ca="1">COUNTIF(ADMIN!$M$252,Fixture!BG25)</f>
        <v>0</v>
      </c>
      <c r="BN25" s="545">
        <f ca="1">COUNTIF(ADMIN!$M$251,Fixture!BG25)</f>
        <v>0</v>
      </c>
      <c r="BO25" s="548">
        <f ca="1">COUNTIF(ADMIN!$M$250,Fixture!BG25)</f>
        <v>0</v>
      </c>
    </row>
    <row r="26" spans="1:67" ht="15" thickBot="1">
      <c r="A26" s="19"/>
      <c r="B26" s="494"/>
      <c r="C26" s="578"/>
      <c r="D26" s="439"/>
      <c r="E26" s="439"/>
      <c r="F26" s="295"/>
      <c r="G26" s="295"/>
      <c r="H26" s="578"/>
      <c r="I26" s="295"/>
      <c r="J26" s="295"/>
      <c r="K26" s="295"/>
      <c r="L26" s="19"/>
      <c r="M26" s="19"/>
      <c r="N26" s="245"/>
      <c r="O26" s="295"/>
      <c r="P26" s="295"/>
      <c r="Q26" s="295"/>
      <c r="R26" s="295"/>
      <c r="S26" s="295"/>
      <c r="T26" s="295"/>
      <c r="U26" s="295"/>
      <c r="V26" s="295"/>
      <c r="W26" s="295"/>
      <c r="X26" s="19"/>
      <c r="Y26" s="19"/>
      <c r="Z26" s="507"/>
      <c r="AA26" s="576"/>
      <c r="AB26" s="576"/>
      <c r="AC26" s="576"/>
      <c r="AD26" s="19"/>
      <c r="AE26" s="511"/>
      <c r="AF26" s="511"/>
      <c r="AG26" s="556"/>
      <c r="AH26" s="19"/>
      <c r="AI26" s="541"/>
      <c r="AJ26" s="541"/>
      <c r="AK26" s="541"/>
      <c r="AL26" s="19"/>
      <c r="AM26" s="513"/>
      <c r="AN26" s="513"/>
      <c r="AO26" s="594"/>
      <c r="AP26" s="19"/>
      <c r="AQ26" s="542"/>
      <c r="AR26" s="542"/>
      <c r="AS26" s="542"/>
      <c r="AT26" s="19">
        <v>104</v>
      </c>
      <c r="AU26" s="620" t="str">
        <f>+MID(INDEX(WORLDCUP!$AF$101:$AF$147,MATCH(AT26,WORLDCUP!$Z$101:$Z$147,0)),1,4)</f>
        <v>W102</v>
      </c>
      <c r="AV26" s="621" t="str">
        <f>+IF(ISBLANK(INDEX(WORLDCUP!$AD$101:$AD$147,MATCH(AT26,WORLDCUP!$Z$101:$Z$147,0))),"",INDEX(WORLDCUP!$AD$101:$AD$147,MATCH(AT26,WORLDCUP!$Z$101:$Z$147,0)))</f>
        <v/>
      </c>
      <c r="AW26" s="515" t="str">
        <f>+IF(ISBLANK(INDEX(WORLDCUP!$AE$101:$AE$147,MATCH(AT26,WORLDCUP!$Z$101:$Z$147,0))),"","( "&amp;INDEX(WORLDCUP!$AE$101:$AE$147,MATCH(AT26,WORLDCUP!$Z$101:$Z$147,0))&amp;" )")</f>
        <v/>
      </c>
      <c r="AX26" s="19"/>
      <c r="AY26" s="610"/>
      <c r="AZ26" s="624"/>
      <c r="BA26" s="613"/>
      <c r="BB26" s="616"/>
      <c r="BC26" s="612"/>
      <c r="BD26" s="295"/>
      <c r="BE26" s="295"/>
      <c r="BG26" s="544" t="str">
        <f ca="1">Horarios!Q25</f>
        <v>Francia</v>
      </c>
      <c r="BH26" s="545">
        <f t="shared" ca="1" si="0"/>
        <v>1</v>
      </c>
      <c r="BI26" s="545">
        <f ca="1">COUNTIF(ADMIN!$M$130:$M$161,Fixture!BG26)-BJ26-BK26-BL26-BM26-BN26-BO26</f>
        <v>0</v>
      </c>
      <c r="BJ26" s="546">
        <f ca="1">COUNTIF(ADMIN!$M$182:$M$197,Fixture!BG26)-BK26-BL26-BM26-BN26-BO26</f>
        <v>0</v>
      </c>
      <c r="BK26" s="547">
        <f ca="1">COUNTIF(ADMIN!$M$210:$M$217,Fixture!BG26)-BL26-BM26-BN26-BO26</f>
        <v>0</v>
      </c>
      <c r="BL26" s="547">
        <f ca="1">COUNTIF(ADMIN!$M$226:$M$229,BG26)-BM26-BN26-BO26</f>
        <v>0</v>
      </c>
      <c r="BM26" s="545">
        <f ca="1">COUNTIF(ADMIN!$M$252,Fixture!BG26)</f>
        <v>0</v>
      </c>
      <c r="BN26" s="545">
        <f ca="1">COUNTIF(ADMIN!$M$251,Fixture!BG26)</f>
        <v>0</v>
      </c>
      <c r="BO26" s="548">
        <f ca="1">COUNTIF(ADMIN!$M$250,Fixture!BG26)</f>
        <v>0</v>
      </c>
    </row>
    <row r="27" spans="1:67" ht="15" thickBot="1">
      <c r="A27" s="19">
        <v>4</v>
      </c>
      <c r="B27" s="625" t="s">
        <v>73</v>
      </c>
      <c r="C27" s="499" t="str">
        <f ca="1">+MID(INDEX(WORLDCUP!$AA$4:$AA$147,MATCH(A27,WORLDCUP!$AH$4:$AH$147,0)),1,3)</f>
        <v>Est</v>
      </c>
      <c r="D27" s="500">
        <f>IF(ISBLANK(INDEX(WORLDCUP!$AC$4:$AC$147,MATCH(A27,WORLDCUP!$AH$4:$AH$147,0))),"",INDEX(WORLDCUP!$AC$4:$AC$147,MATCH(A27,WORLDCUP!$AH$4:$AH$147,0)))</f>
        <v>4</v>
      </c>
      <c r="E27" s="500">
        <f>IF(ISBLANK(INDEX(WORLDCUP!$AD$4:$AD$147,MATCH(A27,WORLDCUP!$AH$4:$AH$147,0))),"",INDEX(WORLDCUP!$AD$4:$AD$147,MATCH(A27,WORLDCUP!$AH$4:$AH$147,0)))</f>
        <v>1</v>
      </c>
      <c r="F27" s="501" t="str">
        <f ca="1">+MID(INDEX(WORLDCUP!$AF$4:$AF$147,MATCH(A27,WORLDCUP!$AH$4:$AH$147,0)),1,3)</f>
        <v>Par</v>
      </c>
      <c r="G27" s="502"/>
      <c r="H27" s="503" t="str">
        <f>+H19</f>
        <v>Sel</v>
      </c>
      <c r="I27" s="504" t="str">
        <f>+I19</f>
        <v>Pts</v>
      </c>
      <c r="J27" s="504" t="str">
        <f>+J19</f>
        <v>DG</v>
      </c>
      <c r="K27" s="505" t="str">
        <f>+K19</f>
        <v>GF-GC</v>
      </c>
      <c r="L27" s="19"/>
      <c r="M27" s="19">
        <v>19</v>
      </c>
      <c r="N27" s="626" t="s">
        <v>5</v>
      </c>
      <c r="O27" s="499" t="str">
        <f ca="1">+MID(INDEX(WORLDCUP!$AA$4:$AA$147,MATCH(M27,WORLDCUP!$AH$4:$AH$147,0)),1,3)</f>
        <v>Arg</v>
      </c>
      <c r="P27" s="500" t="str">
        <f>IF(ISBLANK(INDEX(WORLDCUP!$AC$4:$AC$147,MATCH(M27,WORLDCUP!$AH$4:$AH$147,0))),"",INDEX(WORLDCUP!$AC$4:$AC$147,MATCH(M27,WORLDCUP!$AH$4:$AH$147,0)))</f>
        <v/>
      </c>
      <c r="Q27" s="500" t="str">
        <f>IF(ISBLANK(INDEX(WORLDCUP!$AD$4:$AD$147,MATCH(M27,WORLDCUP!$AH$4:$AH$147,0))),"",INDEX(WORLDCUP!$AD$4:$AD$147,MATCH(M27,WORLDCUP!$AH$4:$AH$147,0)))</f>
        <v/>
      </c>
      <c r="R27" s="501" t="str">
        <f ca="1">+MID(INDEX(WORLDCUP!$AF$4:$AF$147,MATCH(M27,WORLDCUP!$AH$4:$AH$147,0)),1,3)</f>
        <v>Arg</v>
      </c>
      <c r="S27" s="502"/>
      <c r="T27" s="503" t="str">
        <f>+T19</f>
        <v>Sel</v>
      </c>
      <c r="U27" s="504" t="str">
        <f>+U19</f>
        <v>Pts</v>
      </c>
      <c r="V27" s="504" t="str">
        <f>+V19</f>
        <v>DG</v>
      </c>
      <c r="W27" s="505" t="str">
        <f>+W19</f>
        <v>GF-GC</v>
      </c>
      <c r="X27" s="19"/>
      <c r="Y27" s="19">
        <v>76</v>
      </c>
      <c r="Z27" s="507" t="s">
        <v>651</v>
      </c>
      <c r="AA27" s="508" t="str">
        <f ca="1">+MID(INDEX(WORLDCUP!$AA$101:$AA$147,MATCH(Y27,WORLDCUP!$Z$101:$Z$147,0)),1,3)</f>
        <v>1C</v>
      </c>
      <c r="AB27" s="509" t="str">
        <f>+IF(ISBLANK(INDEX(WORLDCUP!$AC$101:$AC$147,MATCH(Y27,WORLDCUP!$Z$101:$Z$147,0))),"",INDEX(WORLDCUP!$AC$101:$AC$147,MATCH(Y27,WORLDCUP!$Z$101:$Z$147,0)))</f>
        <v/>
      </c>
      <c r="AC27" s="579" t="str">
        <f>+IF(ISBLANK(INDEX(WORLDCUP!$AB$101:$AB$147,MATCH(Y27,WORLDCUP!$Z$101:$Z$147,0))),"","( "&amp;INDEX(WORLDCUP!$AB$101:$AB$147,MATCH(Y27,WORLDCUP!$Z$101:$Z$147,0))&amp;" )")</f>
        <v/>
      </c>
      <c r="AD27" s="18"/>
      <c r="AE27" s="511"/>
      <c r="AF27" s="511"/>
      <c r="AG27" s="511"/>
      <c r="AH27" s="19"/>
      <c r="AI27" s="541"/>
      <c r="AJ27" s="541"/>
      <c r="AK27" s="541"/>
      <c r="AL27" s="19"/>
      <c r="AM27" s="513"/>
      <c r="AN27" s="513"/>
      <c r="AO27" s="594"/>
      <c r="AP27" s="90"/>
      <c r="AQ27" s="542"/>
      <c r="AR27" s="542"/>
      <c r="AS27" s="542"/>
      <c r="AT27" s="19"/>
      <c r="AU27" s="515"/>
      <c r="AV27" s="515"/>
      <c r="AW27" s="515"/>
      <c r="AX27" s="19"/>
      <c r="AY27" s="610"/>
      <c r="AZ27" s="624"/>
      <c r="BA27" s="613"/>
      <c r="BB27" s="616"/>
      <c r="BC27" s="612"/>
      <c r="BD27" s="295"/>
      <c r="BE27" s="295"/>
      <c r="BG27" s="544" t="str">
        <f ca="1">Horarios!Q26</f>
        <v>Ghana</v>
      </c>
      <c r="BH27" s="545">
        <f t="shared" ca="1" si="0"/>
        <v>1</v>
      </c>
      <c r="BI27" s="545">
        <f ca="1">COUNTIF(ADMIN!$M$130:$M$161,Fixture!BG27)-BJ27-BK27-BL27-BM27-BN27-BO27</f>
        <v>0</v>
      </c>
      <c r="BJ27" s="546">
        <f ca="1">COUNTIF(ADMIN!$M$182:$M$197,Fixture!BG27)-BK27-BL27-BM27-BN27-BO27</f>
        <v>0</v>
      </c>
      <c r="BK27" s="547">
        <f ca="1">COUNTIF(ADMIN!$M$210:$M$217,Fixture!BG27)-BL27-BM27-BN27-BO27</f>
        <v>0</v>
      </c>
      <c r="BL27" s="547">
        <f ca="1">COUNTIF(ADMIN!$M$226:$M$229,BG27)-BM27-BN27-BO27</f>
        <v>0</v>
      </c>
      <c r="BM27" s="545">
        <f ca="1">COUNTIF(ADMIN!$M$252,Fixture!BG27)</f>
        <v>0</v>
      </c>
      <c r="BN27" s="545">
        <f ca="1">COUNTIF(ADMIN!$M$251,Fixture!BG27)</f>
        <v>0</v>
      </c>
      <c r="BO27" s="548">
        <f ca="1">COUNTIF(ADMIN!$M$250,Fixture!BG27)</f>
        <v>0</v>
      </c>
    </row>
    <row r="28" spans="1:67" ht="15" thickBot="1">
      <c r="A28" s="19">
        <v>6</v>
      </c>
      <c r="B28" s="627"/>
      <c r="C28" s="526" t="str">
        <f ca="1">+MID(INDEX(WORLDCUP!$AA$4:$AA$147,MATCH(A28,WORLDCUP!$AH$4:$AH$147,0)),1,3)</f>
        <v>Aus</v>
      </c>
      <c r="D28" s="527" t="str">
        <f>IF(ISBLANK(INDEX(WORLDCUP!$AC$4:$AC$147,MATCH(A28,WORLDCUP!$AH$4:$AH$147,0))),"",INDEX(WORLDCUP!$AC$4:$AC$147,MATCH(A28,WORLDCUP!$AH$4:$AH$147,0)))</f>
        <v/>
      </c>
      <c r="E28" s="527" t="str">
        <f>IF(ISBLANK(INDEX(WORLDCUP!$AD$4:$AD$147,MATCH(A28,WORLDCUP!$AH$4:$AH$147,0))),"",INDEX(WORLDCUP!$AD$4:$AD$147,MATCH(A28,WORLDCUP!$AH$4:$AH$147,0)))</f>
        <v/>
      </c>
      <c r="F28" s="528" t="str">
        <f ca="1">+MID(INDEX(WORLDCUP!$AF$4:$AF$147,MATCH(A28,WORLDCUP!$AH$4:$AH$147,0)),1,3)</f>
        <v>Tur</v>
      </c>
      <c r="G28" s="529">
        <v>1</v>
      </c>
      <c r="H28" s="530" t="str">
        <f ca="1">+MID(INDEX(WORLDCUP!$AL$6:$AL$97,MATCH(L28,WORLDCUP!$AI$6:$AI$97,0)),1,3)</f>
        <v>Est</v>
      </c>
      <c r="I28" s="531">
        <f ca="1">+INDEX(WORLDCUP!$AM$6:$AM$97,MATCH(L28,WORLDCUP!$AI$6:$AI$97,0))</f>
        <v>3</v>
      </c>
      <c r="J28" s="532">
        <f ca="1">+INDEX(WORLDCUP!$AT$6:$AT$97,MATCH(L28,WORLDCUP!$AI$6:$AI$97,0))</f>
        <v>3</v>
      </c>
      <c r="K28" s="533" t="str">
        <f ca="1">+INDEX(WORLDCUP!$AR$6:$AR$97,MATCH(L28,WORLDCUP!$AI$6:$AI$97,0))&amp;"-"&amp;INDEX(WORLDCUP!$AS$6:$AS$97,MATCH(L28,WORLDCUP!$AI$6:$AI$97,0))</f>
        <v>4-1</v>
      </c>
      <c r="L28" s="19" t="s">
        <v>658</v>
      </c>
      <c r="M28" s="19">
        <v>20</v>
      </c>
      <c r="N28" s="628"/>
      <c r="O28" s="526" t="str">
        <f ca="1">+MID(INDEX(WORLDCUP!$AA$4:$AA$147,MATCH(M28,WORLDCUP!$AH$4:$AH$147,0)),1,3)</f>
        <v>Aus</v>
      </c>
      <c r="P28" s="527" t="str">
        <f>IF(ISBLANK(INDEX(WORLDCUP!$AC$4:$AC$147,MATCH(M28,WORLDCUP!$AH$4:$AH$147,0))),"",INDEX(WORLDCUP!$AC$4:$AC$147,MATCH(M28,WORLDCUP!$AH$4:$AH$147,0)))</f>
        <v/>
      </c>
      <c r="Q28" s="527" t="str">
        <f>IF(ISBLANK(INDEX(WORLDCUP!$AD$4:$AD$147,MATCH(M28,WORLDCUP!$AH$4:$AH$147,0))),"",INDEX(WORLDCUP!$AD$4:$AD$147,MATCH(M28,WORLDCUP!$AH$4:$AH$147,0)))</f>
        <v/>
      </c>
      <c r="R28" s="528" t="str">
        <f ca="1">+MID(INDEX(WORLDCUP!$AF$4:$AF$147,MATCH(M28,WORLDCUP!$AH$4:$AH$147,0)),1,3)</f>
        <v>Jor</v>
      </c>
      <c r="S28" s="529">
        <v>1</v>
      </c>
      <c r="T28" s="530" t="str">
        <f ca="1">+MID(INDEX(WORLDCUP!$AL$6:$AL$97,MATCH(X28,WORLDCUP!$AI$6:$AI$97,0)),1,3)</f>
        <v>Arg</v>
      </c>
      <c r="U28" s="531">
        <f ca="1">+INDEX(WORLDCUP!$AM$6:$AM$97,MATCH(X28,WORLDCUP!$AI$6:$AI$97,0))</f>
        <v>0</v>
      </c>
      <c r="V28" s="532">
        <f ca="1">+INDEX(WORLDCUP!$AT$6:$AT$97,MATCH(X28,WORLDCUP!$AI$6:$AI$97,0))</f>
        <v>0</v>
      </c>
      <c r="W28" s="533" t="str">
        <f ca="1">+INDEX(WORLDCUP!$AR$6:$AR$97,MATCH(X28,WORLDCUP!$AI$6:$AI$97,0))&amp;"-"&amp;INDEX(WORLDCUP!$AS$6:$AS$97,MATCH(X28,WORLDCUP!$AI$6:$AI$97,0))</f>
        <v>0-0</v>
      </c>
      <c r="X28" s="19" t="s">
        <v>676</v>
      </c>
      <c r="Y28" s="19">
        <v>76</v>
      </c>
      <c r="Z28" s="507" t="s">
        <v>665</v>
      </c>
      <c r="AA28" s="508" t="str">
        <f ca="1">+MID(INDEX(WORLDCUP!$AF$101:$AF$147,MATCH(Y28,WORLDCUP!$Z$101:$Z$147,0)),1,3)</f>
        <v>2F</v>
      </c>
      <c r="AB28" s="535" t="str">
        <f>+IF(ISBLANK(INDEX(WORLDCUP!$AD$101:$AD$147,MATCH(Y28,WORLDCUP!$Z$101:$Z$147,0))),"",INDEX(WORLDCUP!$AD$101:$AD$147,MATCH(Y28,WORLDCUP!$Z$101:$Z$147,0)))</f>
        <v/>
      </c>
      <c r="AC28" s="536" t="str">
        <f>+IF(ISBLANK(INDEX(WORLDCUP!$AE$101:$AE$147,MATCH(Y28,WORLDCUP!$Z$101:$Z$147,0))),"","( "&amp;INDEX(WORLDCUP!$AE$101:$AE$147,MATCH(Y28,WORLDCUP!$Z$101:$Z$147,0))&amp;" )")</f>
        <v/>
      </c>
      <c r="AD28" s="537">
        <v>91</v>
      </c>
      <c r="AE28" s="538" t="str">
        <f>+MID(INDEX(WORLDCUP!$AA$101:$AA$147,MATCH(AD28,WORLDCUP!$Z$101:$Z$147,0)),1,3)</f>
        <v>W76</v>
      </c>
      <c r="AF28" s="539" t="str">
        <f>+IF(ISBLANK(INDEX(WORLDCUP!$AC$101:$AC$147,MATCH(AD28,WORLDCUP!$Z$101:$Z$147,0))),"",INDEX(WORLDCUP!$AC$101:$AC$147,MATCH(AD28,WORLDCUP!$Z$101:$Z$147,0)))</f>
        <v/>
      </c>
      <c r="AG28" s="540" t="str">
        <f>+IF(ISBLANK(INDEX(WORLDCUP!$AB$101:$AB$147,MATCH(AD28,WORLDCUP!$Z$101:$Z$147,0))),"","( "&amp;INDEX(WORLDCUP!$AB$101:$AB$147,MATCH(AD28,WORLDCUP!$Z$101:$Z$147,0))&amp;" )")</f>
        <v/>
      </c>
      <c r="AH28" s="19"/>
      <c r="AI28" s="541"/>
      <c r="AJ28" s="541"/>
      <c r="AK28" s="541"/>
      <c r="AL28" s="19"/>
      <c r="AM28" s="513"/>
      <c r="AN28" s="513"/>
      <c r="AO28" s="594"/>
      <c r="AP28" s="90"/>
      <c r="AQ28" s="542"/>
      <c r="AR28" s="542"/>
      <c r="AS28" s="542"/>
      <c r="AT28" s="19"/>
      <c r="AU28" s="515"/>
      <c r="AV28" s="515"/>
      <c r="AW28" s="515"/>
      <c r="AX28" s="19"/>
      <c r="AY28" s="610"/>
      <c r="AZ28" s="624"/>
      <c r="BA28" s="613"/>
      <c r="BB28" s="616"/>
      <c r="BC28" s="612"/>
      <c r="BD28" s="295"/>
      <c r="BE28" s="295"/>
      <c r="BG28" s="544" t="str">
        <f ca="1">Horarios!Q27</f>
        <v>Haití</v>
      </c>
      <c r="BH28" s="545">
        <f t="shared" ca="1" si="0"/>
        <v>1</v>
      </c>
      <c r="BI28" s="545">
        <f ca="1">COUNTIF(ADMIN!$M$130:$M$161,Fixture!BG28)-BJ28-BK28-BL28-BM28-BN28-BO28</f>
        <v>0</v>
      </c>
      <c r="BJ28" s="546">
        <f ca="1">COUNTIF(ADMIN!$M$182:$M$197,Fixture!BG28)-BK28-BL28-BM28-BN28-BO28</f>
        <v>0</v>
      </c>
      <c r="BK28" s="547">
        <f ca="1">COUNTIF(ADMIN!$M$210:$M$217,Fixture!BG28)-BL28-BM28-BN28-BO28</f>
        <v>0</v>
      </c>
      <c r="BL28" s="547">
        <f ca="1">COUNTIF(ADMIN!$M$226:$M$229,BG28)-BM28-BN28-BO28</f>
        <v>0</v>
      </c>
      <c r="BM28" s="545">
        <f ca="1">COUNTIF(ADMIN!$M$252,Fixture!BG28)</f>
        <v>0</v>
      </c>
      <c r="BN28" s="545">
        <f ca="1">COUNTIF(ADMIN!$M$251,Fixture!BG28)</f>
        <v>0</v>
      </c>
      <c r="BO28" s="548">
        <f ca="1">COUNTIF(ADMIN!$M$250,Fixture!BG28)</f>
        <v>0</v>
      </c>
    </row>
    <row r="29" spans="1:67">
      <c r="A29" s="19">
        <v>32</v>
      </c>
      <c r="B29" s="627"/>
      <c r="C29" s="526" t="str">
        <f ca="1">+MID(INDEX(WORLDCUP!$AA$4:$AA$147,MATCH(A29,WORLDCUP!$AH$4:$AH$147,0)),1,3)</f>
        <v>Est</v>
      </c>
      <c r="D29" s="527" t="str">
        <f>IF(ISBLANK(INDEX(WORLDCUP!$AC$4:$AC$147,MATCH(A29,WORLDCUP!$AH$4:$AH$147,0))),"",INDEX(WORLDCUP!$AC$4:$AC$147,MATCH(A29,WORLDCUP!$AH$4:$AH$147,0)))</f>
        <v/>
      </c>
      <c r="E29" s="527" t="str">
        <f>IF(ISBLANK(INDEX(WORLDCUP!$AD$4:$AD$147,MATCH(A29,WORLDCUP!$AH$4:$AH$147,0))),"",INDEX(WORLDCUP!$AD$4:$AD$147,MATCH(A29,WORLDCUP!$AH$4:$AH$147,0)))</f>
        <v/>
      </c>
      <c r="F29" s="528" t="str">
        <f ca="1">+MID(INDEX(WORLDCUP!$AF$4:$AF$147,MATCH(A29,WORLDCUP!$AH$4:$AH$147,0)),1,3)</f>
        <v>Aus</v>
      </c>
      <c r="G29" s="549">
        <v>2</v>
      </c>
      <c r="H29" s="550" t="str">
        <f ca="1">+MID(INDEX(WORLDCUP!$AL$6:$AL$97,MATCH(L29,WORLDCUP!$AI$6:$AI$97,0)),1,3)</f>
        <v>Aus</v>
      </c>
      <c r="I29" s="221">
        <f ca="1">+INDEX(WORLDCUP!$AM$6:$AM$97,MATCH(L29,WORLDCUP!$AI$6:$AI$97,0))</f>
        <v>0</v>
      </c>
      <c r="J29" s="222">
        <f ca="1">+INDEX(WORLDCUP!$AT$6:$AT$97,MATCH(L29,WORLDCUP!$AI$6:$AI$97,0))</f>
        <v>0</v>
      </c>
      <c r="K29" s="223" t="str">
        <f ca="1">+INDEX(WORLDCUP!$AR$6:$AR$97,MATCH(L29,WORLDCUP!$AI$6:$AI$97,0))&amp;"-"&amp;INDEX(WORLDCUP!$AS$6:$AS$97,MATCH(L29,WORLDCUP!$AI$6:$AI$97,0))</f>
        <v>0-0</v>
      </c>
      <c r="L29" s="19" t="s">
        <v>659</v>
      </c>
      <c r="M29" s="19">
        <v>43</v>
      </c>
      <c r="N29" s="628"/>
      <c r="O29" s="526" t="str">
        <f ca="1">+MID(INDEX(WORLDCUP!$AA$4:$AA$147,MATCH(M29,WORLDCUP!$AH$4:$AH$147,0)),1,3)</f>
        <v>Arg</v>
      </c>
      <c r="P29" s="527" t="str">
        <f>IF(ISBLANK(INDEX(WORLDCUP!$AC$4:$AC$147,MATCH(M29,WORLDCUP!$AH$4:$AH$147,0))),"",INDEX(WORLDCUP!$AC$4:$AC$147,MATCH(M29,WORLDCUP!$AH$4:$AH$147,0)))</f>
        <v/>
      </c>
      <c r="Q29" s="527" t="str">
        <f>IF(ISBLANK(INDEX(WORLDCUP!$AD$4:$AD$147,MATCH(M29,WORLDCUP!$AH$4:$AH$147,0))),"",INDEX(WORLDCUP!$AD$4:$AD$147,MATCH(M29,WORLDCUP!$AH$4:$AH$147,0)))</f>
        <v/>
      </c>
      <c r="R29" s="528" t="str">
        <f ca="1">+MID(INDEX(WORLDCUP!$AF$4:$AF$147,MATCH(M29,WORLDCUP!$AH$4:$AH$147,0)),1,3)</f>
        <v>Aus</v>
      </c>
      <c r="S29" s="549">
        <v>2</v>
      </c>
      <c r="T29" s="550" t="str">
        <f ca="1">+MID(INDEX(WORLDCUP!$AL$6:$AL$97,MATCH(X29,WORLDCUP!$AI$6:$AI$97,0)),1,3)</f>
        <v>Arg</v>
      </c>
      <c r="U29" s="221">
        <f ca="1">+INDEX(WORLDCUP!$AM$6:$AM$97,MATCH(X29,WORLDCUP!$AI$6:$AI$97,0))</f>
        <v>0</v>
      </c>
      <c r="V29" s="222">
        <f ca="1">+INDEX(WORLDCUP!$AT$6:$AT$97,MATCH(X29,WORLDCUP!$AI$6:$AI$97,0))</f>
        <v>0</v>
      </c>
      <c r="W29" s="223" t="str">
        <f ca="1">+INDEX(WORLDCUP!$AR$6:$AR$97,MATCH(X29,WORLDCUP!$AI$6:$AI$97,0))&amp;"-"&amp;INDEX(WORLDCUP!$AS$6:$AS$97,MATCH(X29,WORLDCUP!$AI$6:$AI$97,0))</f>
        <v>0-0</v>
      </c>
      <c r="X29" s="19" t="s">
        <v>677</v>
      </c>
      <c r="Y29" s="19"/>
      <c r="Z29" s="507"/>
      <c r="AA29" s="551"/>
      <c r="AB29" s="551"/>
      <c r="AC29" s="552"/>
      <c r="AD29" s="19">
        <v>91</v>
      </c>
      <c r="AE29" s="538" t="str">
        <f>+MID(INDEX(WORLDCUP!$AF$101:$AF$147,MATCH(AD29,WORLDCUP!$Z$101:$Z$147,0)),1,3)</f>
        <v>W78</v>
      </c>
      <c r="AF29" s="539" t="str">
        <f>+IF(ISBLANK(INDEX(WORLDCUP!$AD$101:$AD$147,MATCH(AD29,WORLDCUP!$Z$101:$Z$147,0))),"",INDEX(WORLDCUP!$AD$101:$AD$147,MATCH(AD29,WORLDCUP!$Z$101:$Z$147,0)))</f>
        <v/>
      </c>
      <c r="AG29" s="597" t="str">
        <f>+IF(ISBLANK(INDEX(WORLDCUP!$AE$101:$AE$147,MATCH(AD29,WORLDCUP!$Z$101:$Z$147,0))),"","( "&amp;INDEX(WORLDCUP!$AE$101:$AE$147,MATCH(AD29,WORLDCUP!$Z$101:$Z$147,0))&amp;" )")</f>
        <v/>
      </c>
      <c r="AH29" s="19"/>
      <c r="AI29" s="541"/>
      <c r="AJ29" s="541"/>
      <c r="AK29" s="541"/>
      <c r="AL29" s="19"/>
      <c r="AM29" s="513"/>
      <c r="AN29" s="513"/>
      <c r="AO29" s="594"/>
      <c r="AP29" s="90"/>
      <c r="AQ29" s="542"/>
      <c r="AR29" s="542"/>
      <c r="AS29" s="542"/>
      <c r="AT29" s="19"/>
      <c r="AU29" s="515"/>
      <c r="AV29" s="515"/>
      <c r="AW29" s="515"/>
      <c r="AX29" s="19"/>
      <c r="AY29" s="610"/>
      <c r="AZ29" s="624"/>
      <c r="BA29" s="613"/>
      <c r="BB29" s="616"/>
      <c r="BC29" s="612"/>
      <c r="BD29" s="295"/>
      <c r="BE29" s="295"/>
      <c r="BG29" s="544" t="str">
        <f ca="1">Horarios!Q28</f>
        <v>Inglaterra</v>
      </c>
      <c r="BH29" s="545">
        <f t="shared" ca="1" si="0"/>
        <v>1</v>
      </c>
      <c r="BI29" s="545">
        <f ca="1">COUNTIF(ADMIN!$M$130:$M$161,Fixture!BG29)-BJ29-BK29-BL29-BM29-BN29-BO29</f>
        <v>0</v>
      </c>
      <c r="BJ29" s="546">
        <f ca="1">COUNTIF(ADMIN!$M$182:$M$197,Fixture!BG29)-BK29-BL29-BM29-BN29-BO29</f>
        <v>0</v>
      </c>
      <c r="BK29" s="547">
        <f ca="1">COUNTIF(ADMIN!$M$210:$M$217,Fixture!BG29)-BL29-BM29-BN29-BO29</f>
        <v>0</v>
      </c>
      <c r="BL29" s="547">
        <f ca="1">COUNTIF(ADMIN!$M$226:$M$229,BG29)-BM29-BN29-BO29</f>
        <v>0</v>
      </c>
      <c r="BM29" s="545">
        <f ca="1">COUNTIF(ADMIN!$M$252,Fixture!BG29)</f>
        <v>0</v>
      </c>
      <c r="BN29" s="545">
        <f ca="1">COUNTIF(ADMIN!$M$251,Fixture!BG29)</f>
        <v>0</v>
      </c>
      <c r="BO29" s="548">
        <f ca="1">COUNTIF(ADMIN!$M$250,Fixture!BG29)</f>
        <v>0</v>
      </c>
    </row>
    <row r="30" spans="1:67" ht="15" thickBot="1">
      <c r="A30" s="19">
        <v>31</v>
      </c>
      <c r="B30" s="627"/>
      <c r="C30" s="526" t="str">
        <f ca="1">+MID(INDEX(WORLDCUP!$AA$4:$AA$147,MATCH(A30,WORLDCUP!$AH$4:$AH$147,0)),1,3)</f>
        <v>Tur</v>
      </c>
      <c r="D30" s="527" t="str">
        <f>IF(ISBLANK(INDEX(WORLDCUP!$AC$4:$AC$147,MATCH(A30,WORLDCUP!$AH$4:$AH$147,0))),"",INDEX(WORLDCUP!$AC$4:$AC$147,MATCH(A30,WORLDCUP!$AH$4:$AH$147,0)))</f>
        <v/>
      </c>
      <c r="E30" s="527" t="str">
        <f>IF(ISBLANK(INDEX(WORLDCUP!$AD$4:$AD$147,MATCH(A30,WORLDCUP!$AH$4:$AH$147,0))),"",INDEX(WORLDCUP!$AD$4:$AD$147,MATCH(A30,WORLDCUP!$AH$4:$AH$147,0)))</f>
        <v/>
      </c>
      <c r="F30" s="528" t="str">
        <f ca="1">+MID(INDEX(WORLDCUP!$AF$4:$AF$147,MATCH(A30,WORLDCUP!$AH$4:$AH$147,0)),1,3)</f>
        <v>Par</v>
      </c>
      <c r="G30" s="549">
        <v>3</v>
      </c>
      <c r="H30" s="550" t="str">
        <f ca="1">+MID(INDEX(WORLDCUP!$AL$6:$AL$97,MATCH(L30,WORLDCUP!$AI$6:$AI$97,0)),1,3)</f>
        <v>Tur</v>
      </c>
      <c r="I30" s="221">
        <f ca="1">+INDEX(WORLDCUP!$AM$6:$AM$97,MATCH(L30,WORLDCUP!$AI$6:$AI$97,0))</f>
        <v>0</v>
      </c>
      <c r="J30" s="222">
        <f ca="1">+INDEX(WORLDCUP!$AT$6:$AT$97,MATCH(L30,WORLDCUP!$AI$6:$AI$97,0))</f>
        <v>0</v>
      </c>
      <c r="K30" s="223" t="str">
        <f ca="1">+INDEX(WORLDCUP!$AR$6:$AR$97,MATCH(L30,WORLDCUP!$AI$6:$AI$97,0))&amp;"-"&amp;INDEX(WORLDCUP!$AS$6:$AS$97,MATCH(L30,WORLDCUP!$AI$6:$AI$97,0))</f>
        <v>0-0</v>
      </c>
      <c r="L30" s="19" t="s">
        <v>92</v>
      </c>
      <c r="M30" s="19">
        <v>44</v>
      </c>
      <c r="N30" s="628"/>
      <c r="O30" s="526" t="str">
        <f ca="1">+MID(INDEX(WORLDCUP!$AA$4:$AA$147,MATCH(M30,WORLDCUP!$AH$4:$AH$147,0)),1,3)</f>
        <v>Jor</v>
      </c>
      <c r="P30" s="527" t="str">
        <f>IF(ISBLANK(INDEX(WORLDCUP!$AC$4:$AC$147,MATCH(M30,WORLDCUP!$AH$4:$AH$147,0))),"",INDEX(WORLDCUP!$AC$4:$AC$147,MATCH(M30,WORLDCUP!$AH$4:$AH$147,0)))</f>
        <v/>
      </c>
      <c r="Q30" s="527" t="str">
        <f>IF(ISBLANK(INDEX(WORLDCUP!$AD$4:$AD$147,MATCH(M30,WORLDCUP!$AH$4:$AH$147,0))),"",INDEX(WORLDCUP!$AD$4:$AD$147,MATCH(M30,WORLDCUP!$AH$4:$AH$147,0)))</f>
        <v/>
      </c>
      <c r="R30" s="528" t="str">
        <f ca="1">+MID(INDEX(WORLDCUP!$AF$4:$AF$147,MATCH(M30,WORLDCUP!$AH$4:$AH$147,0)),1,3)</f>
        <v>Arg</v>
      </c>
      <c r="S30" s="549">
        <v>3</v>
      </c>
      <c r="T30" s="550" t="str">
        <f ca="1">+MID(INDEX(WORLDCUP!$AL$6:$AL$97,MATCH(X30,WORLDCUP!$AI$6:$AI$97,0)),1,3)</f>
        <v>Aus</v>
      </c>
      <c r="U30" s="221">
        <f ca="1">+INDEX(WORLDCUP!$AM$6:$AM$97,MATCH(X30,WORLDCUP!$AI$6:$AI$97,0))</f>
        <v>0</v>
      </c>
      <c r="V30" s="222">
        <f ca="1">+INDEX(WORLDCUP!$AT$6:$AT$97,MATCH(X30,WORLDCUP!$AI$6:$AI$97,0))</f>
        <v>0</v>
      </c>
      <c r="W30" s="223" t="str">
        <f ca="1">+INDEX(WORLDCUP!$AR$6:$AR$97,MATCH(X30,WORLDCUP!$AI$6:$AI$97,0))&amp;"-"&amp;INDEX(WORLDCUP!$AS$6:$AS$97,MATCH(X30,WORLDCUP!$AI$6:$AI$97,0))</f>
        <v>0-0</v>
      </c>
      <c r="X30" s="19" t="s">
        <v>441</v>
      </c>
      <c r="Y30" s="19">
        <v>78</v>
      </c>
      <c r="Z30" s="507" t="s">
        <v>662</v>
      </c>
      <c r="AA30" s="508" t="str">
        <f ca="1">+MID(INDEX(WORLDCUP!$AA$101:$AA$147,MATCH(Y30,WORLDCUP!$Z$101:$Z$147,0)),1,3)</f>
        <v>2E</v>
      </c>
      <c r="AB30" s="554" t="str">
        <f>+IF(ISBLANK(INDEX(WORLDCUP!$AC$101:$AC$147,MATCH(Y30,WORLDCUP!$Z$101:$Z$147,0))),"",INDEX(WORLDCUP!$AC$101:$AC$147,MATCH(Y30,WORLDCUP!$Z$101:$Z$147,0)))</f>
        <v/>
      </c>
      <c r="AC30" s="588" t="str">
        <f>+IF(ISBLANK(INDEX(WORLDCUP!$AB$101:$AB$147,MATCH(Y30,WORLDCUP!$Z$101:$Z$147,0))),"","( "&amp;INDEX(WORLDCUP!$AB$101:$AB$147,MATCH(Y30,WORLDCUP!$Z$101:$Z$147,0))&amp;" )")</f>
        <v/>
      </c>
      <c r="AD30" s="19"/>
      <c r="AE30" s="556"/>
      <c r="AF30" s="556"/>
      <c r="AG30" s="557"/>
      <c r="AH30" s="19"/>
      <c r="AI30" s="541"/>
      <c r="AJ30" s="541"/>
      <c r="AK30" s="541"/>
      <c r="AL30" s="19"/>
      <c r="AM30" s="513"/>
      <c r="AN30" s="513"/>
      <c r="AO30" s="594"/>
      <c r="AP30" s="19"/>
      <c r="AQ30" s="542"/>
      <c r="AR30" s="542"/>
      <c r="AS30" s="542"/>
      <c r="AT30" s="19"/>
      <c r="AU30" s="515"/>
      <c r="AV30" s="515"/>
      <c r="AW30" s="515"/>
      <c r="AX30" s="19"/>
      <c r="AY30" s="610"/>
      <c r="AZ30" s="624"/>
      <c r="BA30" s="613"/>
      <c r="BB30" s="616"/>
      <c r="BC30" s="612"/>
      <c r="BD30" s="295"/>
      <c r="BE30" s="295"/>
      <c r="BG30" s="544" t="str">
        <f ca="1">Horarios!Q29</f>
        <v>Irak</v>
      </c>
      <c r="BH30" s="545">
        <f t="shared" ca="1" si="0"/>
        <v>1</v>
      </c>
      <c r="BI30" s="545">
        <f ca="1">COUNTIF(ADMIN!$M$130:$M$161,Fixture!BG30)-BJ30-BK30-BL30-BM30-BN30-BO30</f>
        <v>0</v>
      </c>
      <c r="BJ30" s="546">
        <f ca="1">COUNTIF(ADMIN!$M$182:$M$197,Fixture!BG30)-BK30-BL30-BM30-BN30-BO30</f>
        <v>0</v>
      </c>
      <c r="BK30" s="547">
        <f ca="1">COUNTIF(ADMIN!$M$210:$M$217,Fixture!BG30)-BL30-BM30-BN30-BO30</f>
        <v>0</v>
      </c>
      <c r="BL30" s="547">
        <f ca="1">COUNTIF(ADMIN!$M$226:$M$229,BG30)-BM30-BN30-BO30</f>
        <v>0</v>
      </c>
      <c r="BM30" s="545">
        <f ca="1">COUNTIF(ADMIN!$M$252,Fixture!BG30)</f>
        <v>0</v>
      </c>
      <c r="BN30" s="545">
        <f ca="1">COUNTIF(ADMIN!$M$251,Fixture!BG30)</f>
        <v>0</v>
      </c>
      <c r="BO30" s="548">
        <f ca="1">COUNTIF(ADMIN!$M$250,Fixture!BG30)</f>
        <v>0</v>
      </c>
    </row>
    <row r="31" spans="1:67" ht="15" thickBot="1">
      <c r="A31" s="19">
        <v>59</v>
      </c>
      <c r="B31" s="627"/>
      <c r="C31" s="526" t="str">
        <f ca="1">+MID(INDEX(WORLDCUP!$AA$4:$AA$147,MATCH(A31,WORLDCUP!$AH$4:$AH$147,0)),1,3)</f>
        <v>Tur</v>
      </c>
      <c r="D31" s="527" t="str">
        <f>IF(ISBLANK(INDEX(WORLDCUP!$AC$4:$AC$147,MATCH(A31,WORLDCUP!$AH$4:$AH$147,0))),"",INDEX(WORLDCUP!$AC$4:$AC$147,MATCH(A31,WORLDCUP!$AH$4:$AH$147,0)))</f>
        <v/>
      </c>
      <c r="E31" s="527" t="str">
        <f>IF(ISBLANK(INDEX(WORLDCUP!$AD$4:$AD$147,MATCH(A31,WORLDCUP!$AH$4:$AH$147,0))),"",INDEX(WORLDCUP!$AD$4:$AD$147,MATCH(A31,WORLDCUP!$AH$4:$AH$147,0)))</f>
        <v/>
      </c>
      <c r="F31" s="528" t="str">
        <f ca="1">+MID(INDEX(WORLDCUP!$AF$4:$AF$147,MATCH(A31,WORLDCUP!$AH$4:$AH$147,0)),1,3)</f>
        <v>Est</v>
      </c>
      <c r="G31" s="549">
        <v>4</v>
      </c>
      <c r="H31" s="558" t="str">
        <f ca="1">+MID(INDEX(WORLDCUP!$AL$6:$AL$97,MATCH(L31,WORLDCUP!$AI$6:$AI$97,0)),1,3)</f>
        <v>Par</v>
      </c>
      <c r="I31" s="559">
        <f ca="1">+INDEX(WORLDCUP!$AM$6:$AM$97,MATCH(L31,WORLDCUP!$AI$6:$AI$97,0))</f>
        <v>0</v>
      </c>
      <c r="J31" s="560">
        <f ca="1">+INDEX(WORLDCUP!$AT$6:$AT$97,MATCH(L31,WORLDCUP!$AI$6:$AI$97,0))</f>
        <v>-3</v>
      </c>
      <c r="K31" s="561" t="str">
        <f ca="1">+INDEX(WORLDCUP!$AR$6:$AR$97,MATCH(L31,WORLDCUP!$AI$6:$AI$97,0))&amp;"-"&amp;INDEX(WORLDCUP!$AS$6:$AS$97,MATCH(L31,WORLDCUP!$AI$6:$AI$97,0))</f>
        <v>1-4</v>
      </c>
      <c r="L31" s="19" t="s">
        <v>660</v>
      </c>
      <c r="M31" s="19">
        <v>69</v>
      </c>
      <c r="N31" s="628"/>
      <c r="O31" s="526" t="str">
        <f ca="1">+MID(INDEX(WORLDCUP!$AA$4:$AA$147,MATCH(M31,WORLDCUP!$AH$4:$AH$147,0)),1,3)</f>
        <v>Arg</v>
      </c>
      <c r="P31" s="527" t="str">
        <f>IF(ISBLANK(INDEX(WORLDCUP!$AC$4:$AC$147,MATCH(M31,WORLDCUP!$AH$4:$AH$147,0))),"",INDEX(WORLDCUP!$AC$4:$AC$147,MATCH(M31,WORLDCUP!$AH$4:$AH$147,0)))</f>
        <v/>
      </c>
      <c r="Q31" s="527" t="str">
        <f>IF(ISBLANK(INDEX(WORLDCUP!$AD$4:$AD$147,MATCH(M31,WORLDCUP!$AH$4:$AH$147,0))),"",INDEX(WORLDCUP!$AD$4:$AD$147,MATCH(M31,WORLDCUP!$AH$4:$AH$147,0)))</f>
        <v/>
      </c>
      <c r="R31" s="528" t="str">
        <f ca="1">+MID(INDEX(WORLDCUP!$AF$4:$AF$147,MATCH(M31,WORLDCUP!$AH$4:$AH$147,0)),1,3)</f>
        <v>Aus</v>
      </c>
      <c r="S31" s="549">
        <v>4</v>
      </c>
      <c r="T31" s="558" t="str">
        <f ca="1">+MID(INDEX(WORLDCUP!$AL$6:$AL$97,MATCH(X31,WORLDCUP!$AI$6:$AI$97,0)),1,3)</f>
        <v>Jor</v>
      </c>
      <c r="U31" s="559">
        <f ca="1">+INDEX(WORLDCUP!$AM$6:$AM$97,MATCH(X31,WORLDCUP!$AI$6:$AI$97,0))</f>
        <v>0</v>
      </c>
      <c r="V31" s="560">
        <f ca="1">+INDEX(WORLDCUP!$AT$6:$AT$97,MATCH(X31,WORLDCUP!$AI$6:$AI$97,0))</f>
        <v>0</v>
      </c>
      <c r="W31" s="561" t="str">
        <f ca="1">+INDEX(WORLDCUP!$AR$6:$AR$97,MATCH(X31,WORLDCUP!$AI$6:$AI$97,0))&amp;"-"&amp;INDEX(WORLDCUP!$AS$6:$AS$97,MATCH(X31,WORLDCUP!$AI$6:$AI$97,0))</f>
        <v>0-0</v>
      </c>
      <c r="X31" s="19" t="s">
        <v>678</v>
      </c>
      <c r="Y31" s="19">
        <v>78</v>
      </c>
      <c r="Z31" s="507" t="s">
        <v>674</v>
      </c>
      <c r="AA31" s="562" t="str">
        <f ca="1">+MID(INDEX(WORLDCUP!$AF$101:$AF$147,MATCH(Y31,WORLDCUP!$Z$101:$Z$147,0)),1,3)</f>
        <v>2I</v>
      </c>
      <c r="AB31" s="563" t="str">
        <f>+IF(ISBLANK(INDEX(WORLDCUP!$AD$101:$AD$147,MATCH(Y31,WORLDCUP!$Z$101:$Z$147,0))),"",INDEX(WORLDCUP!$AD$101:$AD$147,MATCH(Y31,WORLDCUP!$Z$101:$Z$147,0)))</f>
        <v/>
      </c>
      <c r="AC31" s="589" t="str">
        <f>+IF(ISBLANK(INDEX(WORLDCUP!$AE$101:$AE$147,MATCH(Y31,WORLDCUP!$Z$101:$Z$147,0))),"","( "&amp;INDEX(WORLDCUP!$AE$101:$AE$147,MATCH(Y31,WORLDCUP!$Z$101:$Z$147,0))&amp;" )")</f>
        <v/>
      </c>
      <c r="AD31" s="19"/>
      <c r="AE31" s="556"/>
      <c r="AF31" s="556"/>
      <c r="AG31" s="557"/>
      <c r="AH31" s="581">
        <v>99</v>
      </c>
      <c r="AI31" s="565" t="str">
        <f>+MID(INDEX(WORLDCUP!$AA$101:$AA$147,MATCH(AH31,WORLDCUP!$Z$101:$Z$147,0)),1,3)</f>
        <v>W91</v>
      </c>
      <c r="AJ31" s="566" t="str">
        <f>+IF(ISBLANK(INDEX(WORLDCUP!$AC$101:$AC$147,MATCH(AH31,WORLDCUP!$Z$101:$Z$147,0))),"",INDEX(WORLDCUP!$AC$101:$AC$147,MATCH(AH31,WORLDCUP!$Z$101:$Z$147,0)))</f>
        <v/>
      </c>
      <c r="AK31" s="567" t="str">
        <f>+IF(ISBLANK(INDEX(WORLDCUP!$AB$101:$AB$147,MATCH(AH31,WORLDCUP!$Z$101:$Z$147,0))),"","( "&amp;INDEX(WORLDCUP!$AB$101:$AB$147,MATCH(AH31,WORLDCUP!$Z$101:$Z$147,0))&amp;" )")</f>
        <v/>
      </c>
      <c r="AL31" s="19"/>
      <c r="AM31" s="513"/>
      <c r="AN31" s="513"/>
      <c r="AO31" s="594"/>
      <c r="AP31" s="629">
        <v>103</v>
      </c>
      <c r="AQ31" s="630" t="str">
        <f>+MID(INDEX(WORLDCUP!$AA$101:$AA$147,MATCH(AP31,WORLDCUP!$Z$101:$Z$147,0)),1,4)</f>
        <v>L101</v>
      </c>
      <c r="AR31" s="631" t="str">
        <f>+IF(ISBLANK(INDEX(WORLDCUP!$AC$101:$AC$147,MATCH(AP31,WORLDCUP!$Z$101:$Z$147,0))),"",INDEX(WORLDCUP!$AC$101:$AC$147,MATCH(AP31,WORLDCUP!$Z$101:$Z$147,0)))</f>
        <v/>
      </c>
      <c r="AS31" s="632" t="str">
        <f>+IF(ISBLANK(INDEX(WORLDCUP!$AB$101:$AB$147,MATCH(AP31,WORLDCUP!$Z$101:$Z$147,0))),"","( "&amp;INDEX(WORLDCUP!$AB$101:$AB$147,MATCH(AP31,WORLDCUP!$Z$101:$Z$147,0))&amp;" )")</f>
        <v/>
      </c>
      <c r="AT31" s="633"/>
      <c r="AU31" s="634"/>
      <c r="AV31" s="634"/>
      <c r="AW31" s="634"/>
      <c r="AX31" s="633"/>
      <c r="AY31" s="635"/>
      <c r="AZ31" s="636"/>
      <c r="BA31" s="636"/>
      <c r="BB31" s="636"/>
      <c r="BC31" s="637"/>
      <c r="BD31" s="295"/>
      <c r="BE31" s="295"/>
      <c r="BG31" s="544" t="str">
        <f ca="1">Horarios!Q30</f>
        <v>Irán</v>
      </c>
      <c r="BH31" s="545">
        <f t="shared" ca="1" si="0"/>
        <v>1</v>
      </c>
      <c r="BI31" s="545">
        <f ca="1">COUNTIF(ADMIN!$M$130:$M$161,Fixture!BG31)-BJ31-BK31-BL31-BM31-BN31-BO31</f>
        <v>0</v>
      </c>
      <c r="BJ31" s="546">
        <f ca="1">COUNTIF(ADMIN!$M$182:$M$197,Fixture!BG31)-BK31-BL31-BM31-BN31-BO31</f>
        <v>0</v>
      </c>
      <c r="BK31" s="547">
        <f ca="1">COUNTIF(ADMIN!$M$210:$M$217,Fixture!BG31)-BL31-BM31-BN31-BO31</f>
        <v>0</v>
      </c>
      <c r="BL31" s="547">
        <f ca="1">COUNTIF(ADMIN!$M$226:$M$229,BG31)-BM31-BN31-BO31</f>
        <v>0</v>
      </c>
      <c r="BM31" s="545">
        <f ca="1">COUNTIF(ADMIN!$M$252,Fixture!BG31)</f>
        <v>0</v>
      </c>
      <c r="BN31" s="545">
        <f ca="1">COUNTIF(ADMIN!$M$251,Fixture!BG31)</f>
        <v>0</v>
      </c>
      <c r="BO31" s="548">
        <f ca="1">COUNTIF(ADMIN!$M$250,Fixture!BG31)</f>
        <v>0</v>
      </c>
    </row>
    <row r="32" spans="1:67" ht="15" thickBot="1">
      <c r="A32" s="19">
        <v>60</v>
      </c>
      <c r="B32" s="638"/>
      <c r="C32" s="569" t="str">
        <f ca="1">+MID(INDEX(WORLDCUP!$AA$4:$AA$147,MATCH(A32,WORLDCUP!$AH$4:$AH$147,0)),1,3)</f>
        <v>Par</v>
      </c>
      <c r="D32" s="570" t="str">
        <f>IF(ISBLANK(INDEX(WORLDCUP!$AC$4:$AC$147,MATCH(A32,WORLDCUP!$AH$4:$AH$147,0))),"",INDEX(WORLDCUP!$AC$4:$AC$147,MATCH(A32,WORLDCUP!$AH$4:$AH$147,0)))</f>
        <v/>
      </c>
      <c r="E32" s="570" t="str">
        <f>IF(ISBLANK(INDEX(WORLDCUP!$AD$4:$AD$147,MATCH(A32,WORLDCUP!$AH$4:$AH$147,0))),"",INDEX(WORLDCUP!$AD$4:$AD$147,MATCH(A32,WORLDCUP!$AH$4:$AH$147,0)))</f>
        <v/>
      </c>
      <c r="F32" s="571" t="str">
        <f ca="1">+MID(INDEX(WORLDCUP!$AF$4:$AF$147,MATCH(A32,WORLDCUP!$AH$4:$AH$147,0)),1,3)</f>
        <v>Aus</v>
      </c>
      <c r="G32" s="572"/>
      <c r="H32" s="572"/>
      <c r="I32" s="573"/>
      <c r="J32" s="573"/>
      <c r="K32" s="574"/>
      <c r="L32" s="19"/>
      <c r="M32" s="19">
        <v>70</v>
      </c>
      <c r="N32" s="639"/>
      <c r="O32" s="569" t="str">
        <f ca="1">+MID(INDEX(WORLDCUP!$AA$4:$AA$147,MATCH(M32,WORLDCUP!$AH$4:$AH$147,0)),1,3)</f>
        <v>Jor</v>
      </c>
      <c r="P32" s="570" t="str">
        <f>IF(ISBLANK(INDEX(WORLDCUP!$AC$4:$AC$147,MATCH(M32,WORLDCUP!$AH$4:$AH$147,0))),"",INDEX(WORLDCUP!$AC$4:$AC$147,MATCH(M32,WORLDCUP!$AH$4:$AH$147,0)))</f>
        <v/>
      </c>
      <c r="Q32" s="570" t="str">
        <f>IF(ISBLANK(INDEX(WORLDCUP!$AD$4:$AD$147,MATCH(M32,WORLDCUP!$AH$4:$AH$147,0))),"",INDEX(WORLDCUP!$AD$4:$AD$147,MATCH(M32,WORLDCUP!$AH$4:$AH$147,0)))</f>
        <v/>
      </c>
      <c r="R32" s="571" t="str">
        <f ca="1">+MID(INDEX(WORLDCUP!$AF$4:$AF$147,MATCH(M32,WORLDCUP!$AH$4:$AH$147,0)),1,3)</f>
        <v>Arg</v>
      </c>
      <c r="S32" s="572"/>
      <c r="T32" s="572"/>
      <c r="U32" s="573"/>
      <c r="V32" s="573"/>
      <c r="W32" s="574"/>
      <c r="X32" s="19"/>
      <c r="Y32" s="19"/>
      <c r="Z32" s="507"/>
      <c r="AA32" s="576"/>
      <c r="AB32" s="576"/>
      <c r="AC32" s="576"/>
      <c r="AD32" s="19"/>
      <c r="AE32" s="511"/>
      <c r="AF32" s="511"/>
      <c r="AG32" s="557"/>
      <c r="AH32" s="19">
        <v>99</v>
      </c>
      <c r="AI32" s="565" t="str">
        <f>+MID(INDEX(WORLDCUP!$AF$101:$AF$147,MATCH(AH32,WORLDCUP!$Z$101:$Z$147,0)),1,3)</f>
        <v>W92</v>
      </c>
      <c r="AJ32" s="566" t="str">
        <f>+IF(ISBLANK(INDEX(WORLDCUP!$AD$101:$AD$147,MATCH(AH32,WORLDCUP!$Z$101:$Z$147,0))),"",INDEX(WORLDCUP!$AD$101:$AD$147,MATCH(AH32,WORLDCUP!$Z$101:$Z$147,0)))</f>
        <v/>
      </c>
      <c r="AK32" s="577" t="str">
        <f>+IF(ISBLANK(INDEX(WORLDCUP!$AE$101:$AE$147,MATCH(AH32,WORLDCUP!$Z$101:$Z$147,0))),"","( "&amp;INDEX(WORLDCUP!$AE$101:$AE$147,MATCH(AH32,WORLDCUP!$Z$101:$Z$147,0))&amp;" )")</f>
        <v/>
      </c>
      <c r="AL32" s="19"/>
      <c r="AM32" s="513"/>
      <c r="AN32" s="513"/>
      <c r="AO32" s="594"/>
      <c r="AP32" s="90">
        <v>103</v>
      </c>
      <c r="AQ32" s="630" t="str">
        <f>+MID(INDEX(WORLDCUP!$AF$101:$AF$147,MATCH(AP32,WORLDCUP!$Z$101:$Z$147,0)),1,4)</f>
        <v>L102</v>
      </c>
      <c r="AR32" s="631" t="str">
        <f>+IF(ISBLANK(INDEX(WORLDCUP!$AD$101:$AD$147,MATCH(AP32,WORLDCUP!$Z$101:$Z$147,0))),"",INDEX(WORLDCUP!$AD$101:$AD$147,MATCH(AP32,WORLDCUP!$Z$101:$Z$147,0)))</f>
        <v/>
      </c>
      <c r="AS32" s="542" t="str">
        <f>+IF(ISBLANK(INDEX(WORLDCUP!$AE$101:$AE$147,MATCH(AP32,WORLDCUP!$Z$101:$Z$147,0))),"","( "&amp;INDEX(WORLDCUP!$AE$101:$AE$147,MATCH(AP32,WORLDCUP!$Z$101:$Z$147,0))&amp;" )")</f>
        <v/>
      </c>
      <c r="AT32" s="19"/>
      <c r="AU32" s="515"/>
      <c r="AV32" s="515"/>
      <c r="AW32" s="515"/>
      <c r="AX32" s="19"/>
      <c r="AY32" s="295"/>
      <c r="AZ32" s="295"/>
      <c r="BA32" s="295"/>
      <c r="BB32" s="295"/>
      <c r="BC32" s="295"/>
      <c r="BD32" s="295"/>
      <c r="BE32" s="295"/>
      <c r="BG32" s="544" t="str">
        <f ca="1">Horarios!Q31</f>
        <v>Japón</v>
      </c>
      <c r="BH32" s="545">
        <f t="shared" ca="1" si="0"/>
        <v>1</v>
      </c>
      <c r="BI32" s="545">
        <f ca="1">COUNTIF(ADMIN!$M$130:$M$161,Fixture!BG32)-BJ32-BK32-BL32-BM32-BN32-BO32</f>
        <v>0</v>
      </c>
      <c r="BJ32" s="546">
        <f ca="1">COUNTIF(ADMIN!$M$182:$M$197,Fixture!BG32)-BK32-BL32-BM32-BN32-BO32</f>
        <v>0</v>
      </c>
      <c r="BK32" s="547">
        <f ca="1">COUNTIF(ADMIN!$M$210:$M$217,Fixture!BG32)-BL32-BM32-BN32-BO32</f>
        <v>0</v>
      </c>
      <c r="BL32" s="547">
        <f ca="1">COUNTIF(ADMIN!$M$226:$M$229,BG32)-BM32-BN32-BO32</f>
        <v>0</v>
      </c>
      <c r="BM32" s="545">
        <f ca="1">COUNTIF(ADMIN!$M$252,Fixture!BG32)</f>
        <v>0</v>
      </c>
      <c r="BN32" s="545">
        <f ca="1">COUNTIF(ADMIN!$M$251,Fixture!BG32)</f>
        <v>0</v>
      </c>
      <c r="BO32" s="548">
        <f ca="1">COUNTIF(ADMIN!$M$250,Fixture!BG32)</f>
        <v>0</v>
      </c>
    </row>
    <row r="33" spans="1:67" ht="15" thickBot="1">
      <c r="A33" s="19"/>
      <c r="B33" s="494"/>
      <c r="C33" s="578"/>
      <c r="D33" s="439"/>
      <c r="E33" s="439"/>
      <c r="F33" s="295"/>
      <c r="G33" s="295"/>
      <c r="H33" s="578"/>
      <c r="I33" s="295"/>
      <c r="J33" s="295"/>
      <c r="K33" s="295"/>
      <c r="L33" s="19"/>
      <c r="M33" s="19"/>
      <c r="N33" s="245"/>
      <c r="O33" s="578"/>
      <c r="P33" s="439"/>
      <c r="Q33" s="439"/>
      <c r="R33" s="295"/>
      <c r="S33" s="295"/>
      <c r="T33" s="578"/>
      <c r="U33" s="295"/>
      <c r="V33" s="295"/>
      <c r="W33" s="295"/>
      <c r="X33" s="19"/>
      <c r="Y33" s="19">
        <v>79</v>
      </c>
      <c r="Z33" s="507" t="s">
        <v>645</v>
      </c>
      <c r="AA33" s="508" t="str">
        <f ca="1">+MID(INDEX(WORLDCUP!$AA$101:$AA$147,MATCH(Y33,WORLDCUP!$Z$101:$Z$147,0)),1,3)</f>
        <v>1A</v>
      </c>
      <c r="AB33" s="509" t="str">
        <f>+IF(ISBLANK(INDEX(WORLDCUP!$AC$101:$AC$147,MATCH(Y33,WORLDCUP!$Z$101:$Z$147,0))),"",INDEX(WORLDCUP!$AC$101:$AC$147,MATCH(Y33,WORLDCUP!$Z$101:$Z$147,0)))</f>
        <v/>
      </c>
      <c r="AC33" s="579" t="str">
        <f>+IF(ISBLANK(INDEX(WORLDCUP!$AB$101:$AB$147,MATCH(Y33,WORLDCUP!$Z$101:$Z$147,0))),"","( "&amp;INDEX(WORLDCUP!$AB$101:$AB$147,MATCH(Y33,WORLDCUP!$Z$101:$Z$147,0))&amp;" )")</f>
        <v/>
      </c>
      <c r="AD33" s="18"/>
      <c r="AE33" s="511"/>
      <c r="AF33" s="511"/>
      <c r="AG33" s="557"/>
      <c r="AH33" s="19"/>
      <c r="AI33" s="541"/>
      <c r="AJ33" s="541"/>
      <c r="AK33" s="580"/>
      <c r="AL33" s="90"/>
      <c r="AM33" s="513"/>
      <c r="AN33" s="513"/>
      <c r="AO33" s="594"/>
      <c r="AP33" s="19"/>
      <c r="AQ33" s="542"/>
      <c r="AR33" s="542"/>
      <c r="AS33" s="542"/>
      <c r="AT33" s="19"/>
      <c r="AU33" s="515"/>
      <c r="AV33" s="515"/>
      <c r="AW33" s="515"/>
      <c r="AX33" s="19"/>
      <c r="AY33" s="295"/>
      <c r="AZ33" s="295"/>
      <c r="BA33" s="295"/>
      <c r="BB33" s="295"/>
      <c r="BC33" s="295"/>
      <c r="BD33" s="295"/>
      <c r="BE33" s="295"/>
      <c r="BG33" s="544" t="str">
        <f ca="1">Horarios!Q32</f>
        <v>Jordania</v>
      </c>
      <c r="BH33" s="545">
        <f t="shared" ca="1" si="0"/>
        <v>1</v>
      </c>
      <c r="BI33" s="545">
        <f ca="1">COUNTIF(ADMIN!$M$130:$M$161,Fixture!BG33)-BJ33-BK33-BL33-BM33-BN33-BO33</f>
        <v>0</v>
      </c>
      <c r="BJ33" s="546">
        <f ca="1">COUNTIF(ADMIN!$M$182:$M$197,Fixture!BG33)-BK33-BL33-BM33-BN33-BO33</f>
        <v>0</v>
      </c>
      <c r="BK33" s="547">
        <f ca="1">COUNTIF(ADMIN!$M$210:$M$217,Fixture!BG33)-BL33-BM33-BN33-BO33</f>
        <v>0</v>
      </c>
      <c r="BL33" s="547">
        <f ca="1">COUNTIF(ADMIN!$M$226:$M$229,BG33)-BM33-BN33-BO33</f>
        <v>0</v>
      </c>
      <c r="BM33" s="545">
        <f ca="1">COUNTIF(ADMIN!$M$252,Fixture!BG33)</f>
        <v>0</v>
      </c>
      <c r="BN33" s="545">
        <f ca="1">COUNTIF(ADMIN!$M$251,Fixture!BG33)</f>
        <v>0</v>
      </c>
      <c r="BO33" s="548">
        <f ca="1">COUNTIF(ADMIN!$M$250,Fixture!BG33)</f>
        <v>0</v>
      </c>
    </row>
    <row r="34" spans="1:67" ht="15" thickBot="1">
      <c r="A34" s="19"/>
      <c r="B34" s="494"/>
      <c r="C34" s="578"/>
      <c r="D34" s="439"/>
      <c r="E34" s="439"/>
      <c r="F34" s="295"/>
      <c r="G34" s="295"/>
      <c r="H34" s="578"/>
      <c r="I34" s="295"/>
      <c r="J34" s="295"/>
      <c r="K34" s="295"/>
      <c r="L34" s="19"/>
      <c r="M34" s="19"/>
      <c r="N34" s="245"/>
      <c r="O34" s="578"/>
      <c r="P34" s="439"/>
      <c r="Q34" s="439"/>
      <c r="R34" s="295"/>
      <c r="S34" s="295"/>
      <c r="T34" s="578"/>
      <c r="U34" s="295"/>
      <c r="V34" s="295"/>
      <c r="W34" s="295"/>
      <c r="X34" s="19"/>
      <c r="Y34" s="19">
        <v>79</v>
      </c>
      <c r="Z34" s="507" t="s">
        <v>724</v>
      </c>
      <c r="AA34" s="508" t="str">
        <f ca="1">+MID(INDEX(WORLDCUP!$AF$101:$AF$147,MATCH(Y34,WORLDCUP!$Z$101:$Z$147,0)),1,IF(WORLDCUP!$H$113&lt;144,6,3))</f>
        <v>3CEFHI</v>
      </c>
      <c r="AB34" s="535" t="str">
        <f>+IF(ISBLANK(INDEX(WORLDCUP!$AD$101:$AD$147,MATCH(Y34,WORLDCUP!$Z$101:$Z$147,0))),"",INDEX(WORLDCUP!$AD$101:$AD$147,MATCH(Y34,WORLDCUP!$Z$101:$Z$147,0)))</f>
        <v/>
      </c>
      <c r="AC34" s="536" t="str">
        <f>+IF(ISBLANK(INDEX(WORLDCUP!$AE$101:$AE$147,MATCH(Y34,WORLDCUP!$Z$101:$Z$147,0))),"","( "&amp;INDEX(WORLDCUP!$AE$101:$AE$147,MATCH(Y34,WORLDCUP!$Z$101:$Z$147,0))&amp;" )")</f>
        <v/>
      </c>
      <c r="AD34" s="537">
        <v>92</v>
      </c>
      <c r="AE34" s="538" t="str">
        <f>+MID(INDEX(WORLDCUP!$AA$101:$AA$147,MATCH(AD34,WORLDCUP!$Z$101:$Z$147,0)),1,3)</f>
        <v>W79</v>
      </c>
      <c r="AF34" s="539" t="str">
        <f>+IF(ISBLANK(INDEX(WORLDCUP!$AC$101:$AC$147,MATCH(AD34,WORLDCUP!$Z$101:$Z$147,0))),"",INDEX(WORLDCUP!$AC$101:$AC$147,MATCH(AD34,WORLDCUP!$Z$101:$Z$147,0)))</f>
        <v/>
      </c>
      <c r="AG34" s="582" t="str">
        <f>+IF(ISBLANK(INDEX(WORLDCUP!$AB$101:$AB$147,MATCH(AD34,WORLDCUP!$Z$101:$Z$147,0))),"","( "&amp;INDEX(WORLDCUP!$AB$101:$AB$147,MATCH(AD34,WORLDCUP!$Z$101:$Z$147,0))&amp;" )")</f>
        <v/>
      </c>
      <c r="AH34" s="19"/>
      <c r="AI34" s="541"/>
      <c r="AJ34" s="541"/>
      <c r="AK34" s="580"/>
      <c r="AL34" s="90"/>
      <c r="AM34" s="513"/>
      <c r="AN34" s="513"/>
      <c r="AO34" s="594"/>
      <c r="AP34" s="19"/>
      <c r="AQ34" s="542"/>
      <c r="AR34" s="542"/>
      <c r="AS34" s="542"/>
      <c r="AT34" s="19"/>
      <c r="AU34" s="515"/>
      <c r="AV34" s="515"/>
      <c r="AW34" s="515"/>
      <c r="AX34" s="19"/>
      <c r="AY34" s="295"/>
      <c r="AZ34" s="295"/>
      <c r="BA34" s="295"/>
      <c r="BB34" s="295"/>
      <c r="BC34" s="295"/>
      <c r="BD34" s="295"/>
      <c r="BE34" s="295"/>
      <c r="BG34" s="544" t="str">
        <f ca="1">Horarios!Q33</f>
        <v>Marruecos</v>
      </c>
      <c r="BH34" s="545">
        <f t="shared" ca="1" si="0"/>
        <v>1</v>
      </c>
      <c r="BI34" s="545">
        <f ca="1">COUNTIF(ADMIN!$M$130:$M$161,Fixture!BG34)-BJ34-BK34-BL34-BM34-BN34-BO34</f>
        <v>0</v>
      </c>
      <c r="BJ34" s="546">
        <f ca="1">COUNTIF(ADMIN!$M$182:$M$197,Fixture!BG34)-BK34-BL34-BM34-BN34-BO34</f>
        <v>0</v>
      </c>
      <c r="BK34" s="547">
        <f ca="1">COUNTIF(ADMIN!$M$210:$M$217,Fixture!BG34)-BL34-BM34-BN34-BO34</f>
        <v>0</v>
      </c>
      <c r="BL34" s="547">
        <f ca="1">COUNTIF(ADMIN!$M$226:$M$229,BG34)-BM34-BN34-BO34</f>
        <v>0</v>
      </c>
      <c r="BM34" s="545">
        <f ca="1">COUNTIF(ADMIN!$M$252,Fixture!BG34)</f>
        <v>0</v>
      </c>
      <c r="BN34" s="545">
        <f ca="1">COUNTIF(ADMIN!$M$251,Fixture!BG34)</f>
        <v>0</v>
      </c>
      <c r="BO34" s="548">
        <f ca="1">COUNTIF(ADMIN!$M$250,Fixture!BG34)</f>
        <v>0</v>
      </c>
    </row>
    <row r="35" spans="1:67">
      <c r="A35" s="19">
        <v>10</v>
      </c>
      <c r="B35" s="640" t="s">
        <v>3</v>
      </c>
      <c r="C35" s="499" t="str">
        <f ca="1">+MID(INDEX(WORLDCUP!$AA$4:$AA$147,MATCH(A35,WORLDCUP!$AH$4:$AH$147,0)),1,3)</f>
        <v>Ale</v>
      </c>
      <c r="D35" s="500" t="str">
        <f>IF(ISBLANK(INDEX(WORLDCUP!$AC$4:$AC$147,MATCH(A35,WORLDCUP!$AH$4:$AH$147,0))),"",INDEX(WORLDCUP!$AC$4:$AC$147,MATCH(A35,WORLDCUP!$AH$4:$AH$147,0)))</f>
        <v/>
      </c>
      <c r="E35" s="500" t="str">
        <f>IF(ISBLANK(INDEX(WORLDCUP!$AD$4:$AD$147,MATCH(A35,WORLDCUP!$AH$4:$AH$147,0))),"",INDEX(WORLDCUP!$AD$4:$AD$147,MATCH(A35,WORLDCUP!$AH$4:$AH$147,0)))</f>
        <v/>
      </c>
      <c r="F35" s="501" t="str">
        <f ca="1">+MID(INDEX(WORLDCUP!$AF$4:$AF$147,MATCH(A35,WORLDCUP!$AH$4:$AH$147,0)),1,3)</f>
        <v>Cur</v>
      </c>
      <c r="G35" s="502"/>
      <c r="H35" s="503" t="str">
        <f>+H27</f>
        <v>Sel</v>
      </c>
      <c r="I35" s="504" t="str">
        <f>+I27</f>
        <v>Pts</v>
      </c>
      <c r="J35" s="504" t="str">
        <f>+J27</f>
        <v>DG</v>
      </c>
      <c r="K35" s="505" t="str">
        <f>+K27</f>
        <v>GF-GC</v>
      </c>
      <c r="L35" s="19"/>
      <c r="M35" s="19">
        <v>23</v>
      </c>
      <c r="N35" s="641" t="s">
        <v>439</v>
      </c>
      <c r="O35" s="499" t="str">
        <f ca="1">+MID(INDEX(WORLDCUP!$AA$4:$AA$147,MATCH(M35,WORLDCUP!$AH$4:$AH$147,0)),1,3)</f>
        <v>Por</v>
      </c>
      <c r="P35" s="500" t="str">
        <f>IF(ISBLANK(INDEX(WORLDCUP!$AC$4:$AC$147,MATCH(M35,WORLDCUP!$AH$4:$AH$147,0))),"",INDEX(WORLDCUP!$AC$4:$AC$147,MATCH(M35,WORLDCUP!$AH$4:$AH$147,0)))</f>
        <v/>
      </c>
      <c r="Q35" s="500" t="str">
        <f>IF(ISBLANK(INDEX(WORLDCUP!$AD$4:$AD$147,MATCH(M35,WORLDCUP!$AH$4:$AH$147,0))),"",INDEX(WORLDCUP!$AD$4:$AD$147,MATCH(M35,WORLDCUP!$AH$4:$AH$147,0)))</f>
        <v/>
      </c>
      <c r="R35" s="501" t="str">
        <f ca="1">+MID(INDEX(WORLDCUP!$AF$4:$AF$147,MATCH(M35,WORLDCUP!$AH$4:$AH$147,0)),1,3)</f>
        <v xml:space="preserve">RD </v>
      </c>
      <c r="S35" s="502"/>
      <c r="T35" s="503" t="str">
        <f>+T27</f>
        <v>Sel</v>
      </c>
      <c r="U35" s="504" t="str">
        <f>+U27</f>
        <v>Pts</v>
      </c>
      <c r="V35" s="504" t="str">
        <f>+V27</f>
        <v>DG</v>
      </c>
      <c r="W35" s="505" t="str">
        <f>+W27</f>
        <v>GF-GC</v>
      </c>
      <c r="X35" s="19"/>
      <c r="Y35" s="19"/>
      <c r="Z35" s="507"/>
      <c r="AA35" s="551"/>
      <c r="AB35" s="551"/>
      <c r="AC35" s="552"/>
      <c r="AD35" s="19">
        <v>92</v>
      </c>
      <c r="AE35" s="538" t="str">
        <f>+MID(INDEX(WORLDCUP!$AF$101:$AF$147,MATCH(AD35,WORLDCUP!$Z$101:$Z$147,0)),1,3)</f>
        <v>W80</v>
      </c>
      <c r="AF35" s="539" t="str">
        <f>+IF(ISBLANK(INDEX(WORLDCUP!$AD$101:$AD$147,MATCH(AD35,WORLDCUP!$Z$101:$Z$147,0))),"",INDEX(WORLDCUP!$AD$101:$AD$147,MATCH(AD35,WORLDCUP!$Z$101:$Z$147,0)))</f>
        <v/>
      </c>
      <c r="AG35" s="556" t="str">
        <f>+IF(ISBLANK(INDEX(WORLDCUP!$AE$101:$AE$147,MATCH(AD35,WORLDCUP!$Z$101:$Z$147,0))),"","( "&amp;INDEX(WORLDCUP!$AE$101:$AE$147,MATCH(AD35,WORLDCUP!$Z$101:$Z$147,0))&amp;" )")</f>
        <v/>
      </c>
      <c r="AH35" s="19"/>
      <c r="AI35" s="541"/>
      <c r="AJ35" s="541"/>
      <c r="AK35" s="580"/>
      <c r="AL35" s="90"/>
      <c r="AM35" s="513"/>
      <c r="AN35" s="642"/>
      <c r="AO35" s="594"/>
      <c r="AP35" s="90"/>
      <c r="AQ35" s="542"/>
      <c r="AR35" s="542"/>
      <c r="AS35" s="542"/>
      <c r="AT35" s="19"/>
      <c r="AU35" s="515"/>
      <c r="AV35" s="515"/>
      <c r="AW35" s="515"/>
      <c r="AX35" s="19"/>
      <c r="AY35" s="295"/>
      <c r="AZ35" s="295"/>
      <c r="BA35" s="295"/>
      <c r="BB35" s="295"/>
      <c r="BC35" s="295"/>
      <c r="BD35" s="295"/>
      <c r="BE35" s="295"/>
      <c r="BG35" s="544" t="str">
        <f ca="1">Horarios!Q34</f>
        <v>México</v>
      </c>
      <c r="BH35" s="545">
        <f t="shared" ca="1" si="0"/>
        <v>1</v>
      </c>
      <c r="BI35" s="545">
        <f ca="1">COUNTIF(ADMIN!$M$130:$M$161,Fixture!BG35)-BJ35-BK35-BL35-BM35-BN35-BO35</f>
        <v>0</v>
      </c>
      <c r="BJ35" s="546">
        <f ca="1">COUNTIF(ADMIN!$M$182:$M$197,Fixture!BG35)-BK35-BL35-BM35-BN35-BO35</f>
        <v>0</v>
      </c>
      <c r="BK35" s="547">
        <f ca="1">COUNTIF(ADMIN!$M$210:$M$217,Fixture!BG35)-BL35-BM35-BN35-BO35</f>
        <v>0</v>
      </c>
      <c r="BL35" s="547">
        <f ca="1">COUNTIF(ADMIN!$M$226:$M$229,BG35)-BM35-BN35-BO35</f>
        <v>0</v>
      </c>
      <c r="BM35" s="545">
        <f ca="1">COUNTIF(ADMIN!$M$252,Fixture!BG35)</f>
        <v>0</v>
      </c>
      <c r="BN35" s="545">
        <f ca="1">COUNTIF(ADMIN!$M$251,Fixture!BG35)</f>
        <v>0</v>
      </c>
      <c r="BO35" s="548">
        <f ca="1">COUNTIF(ADMIN!$M$250,Fixture!BG35)</f>
        <v>0</v>
      </c>
    </row>
    <row r="36" spans="1:67" ht="15" thickBot="1">
      <c r="A36" s="19">
        <v>9</v>
      </c>
      <c r="B36" s="643"/>
      <c r="C36" s="526" t="str">
        <f ca="1">+MID(INDEX(WORLDCUP!$AA$4:$AA$147,MATCH(A36,WORLDCUP!$AH$4:$AH$147,0)),1,3)</f>
        <v>Cos</v>
      </c>
      <c r="D36" s="527" t="str">
        <f>IF(ISBLANK(INDEX(WORLDCUP!$AC$4:$AC$147,MATCH(A36,WORLDCUP!$AH$4:$AH$147,0))),"",INDEX(WORLDCUP!$AC$4:$AC$147,MATCH(A36,WORLDCUP!$AH$4:$AH$147,0)))</f>
        <v/>
      </c>
      <c r="E36" s="527" t="str">
        <f>IF(ISBLANK(INDEX(WORLDCUP!$AD$4:$AD$147,MATCH(A36,WORLDCUP!$AH$4:$AH$147,0))),"",INDEX(WORLDCUP!$AD$4:$AD$147,MATCH(A36,WORLDCUP!$AH$4:$AH$147,0)))</f>
        <v/>
      </c>
      <c r="F36" s="528" t="str">
        <f ca="1">+MID(INDEX(WORLDCUP!$AF$4:$AF$147,MATCH(A36,WORLDCUP!$AH$4:$AH$147,0)),1,3)</f>
        <v>Ecu</v>
      </c>
      <c r="G36" s="529">
        <v>1</v>
      </c>
      <c r="H36" s="530" t="str">
        <f ca="1">+MID(INDEX(WORLDCUP!$AL$6:$AL$97,MATCH(L36,WORLDCUP!$AI$6:$AI$97,0)),1,3)</f>
        <v>Ale</v>
      </c>
      <c r="I36" s="531">
        <f ca="1">+INDEX(WORLDCUP!$AM$6:$AM$97,MATCH(L36,WORLDCUP!$AI$6:$AI$97,0))</f>
        <v>0</v>
      </c>
      <c r="J36" s="532">
        <f ca="1">+INDEX(WORLDCUP!$AT$6:$AT$97,MATCH(L36,WORLDCUP!$AI$6:$AI$97,0))</f>
        <v>0</v>
      </c>
      <c r="K36" s="533" t="str">
        <f ca="1">+INDEX(WORLDCUP!$AR$6:$AR$97,MATCH(L36,WORLDCUP!$AI$6:$AI$97,0))&amp;"-"&amp;INDEX(WORLDCUP!$AS$6:$AS$97,MATCH(L36,WORLDCUP!$AI$6:$AI$97,0))</f>
        <v>0-0</v>
      </c>
      <c r="L36" s="19" t="s">
        <v>661</v>
      </c>
      <c r="M36" s="19">
        <v>24</v>
      </c>
      <c r="N36" s="644"/>
      <c r="O36" s="526" t="str">
        <f ca="1">+MID(INDEX(WORLDCUP!$AA$4:$AA$147,MATCH(M36,WORLDCUP!$AH$4:$AH$147,0)),1,3)</f>
        <v>Uzb</v>
      </c>
      <c r="P36" s="527" t="str">
        <f>IF(ISBLANK(INDEX(WORLDCUP!$AC$4:$AC$147,MATCH(M36,WORLDCUP!$AH$4:$AH$147,0))),"",INDEX(WORLDCUP!$AC$4:$AC$147,MATCH(M36,WORLDCUP!$AH$4:$AH$147,0)))</f>
        <v/>
      </c>
      <c r="Q36" s="527" t="str">
        <f>IF(ISBLANK(INDEX(WORLDCUP!$AD$4:$AD$147,MATCH(M36,WORLDCUP!$AH$4:$AH$147,0))),"",INDEX(WORLDCUP!$AD$4:$AD$147,MATCH(M36,WORLDCUP!$AH$4:$AH$147,0)))</f>
        <v/>
      </c>
      <c r="R36" s="528" t="str">
        <f ca="1">+MID(INDEX(WORLDCUP!$AF$4:$AF$147,MATCH(M36,WORLDCUP!$AH$4:$AH$147,0)),1,3)</f>
        <v>Col</v>
      </c>
      <c r="S36" s="529">
        <v>1</v>
      </c>
      <c r="T36" s="530" t="str">
        <f ca="1">+MID(INDEX(WORLDCUP!$AL$6:$AL$97,MATCH(X36,WORLDCUP!$AI$6:$AI$97,0)),1,3)</f>
        <v>Por</v>
      </c>
      <c r="U36" s="531">
        <f ca="1">+INDEX(WORLDCUP!$AM$6:$AM$97,MATCH(X36,WORLDCUP!$AI$6:$AI$97,0))</f>
        <v>0</v>
      </c>
      <c r="V36" s="532">
        <f ca="1">+INDEX(WORLDCUP!$AT$6:$AT$97,MATCH(X36,WORLDCUP!$AI$6:$AI$97,0))</f>
        <v>0</v>
      </c>
      <c r="W36" s="533" t="str">
        <f ca="1">+INDEX(WORLDCUP!$AR$6:$AR$97,MATCH(X36,WORLDCUP!$AI$6:$AI$97,0))&amp;"-"&amp;INDEX(WORLDCUP!$AS$6:$AS$97,MATCH(X36,WORLDCUP!$AI$6:$AI$97,0))</f>
        <v>0-0</v>
      </c>
      <c r="X36" s="19" t="s">
        <v>679</v>
      </c>
      <c r="Y36" s="19">
        <v>80</v>
      </c>
      <c r="Z36" s="507" t="s">
        <v>682</v>
      </c>
      <c r="AA36" s="508" t="str">
        <f ca="1">+MID(INDEX(WORLDCUP!$AA$101:$AA$147,MATCH(Y36,WORLDCUP!$Z$101:$Z$147,0)),1,3)</f>
        <v>1L</v>
      </c>
      <c r="AB36" s="554" t="str">
        <f>+IF(ISBLANK(INDEX(WORLDCUP!$AC$101:$AC$147,MATCH(Y36,WORLDCUP!$Z$101:$Z$147,0))),"",INDEX(WORLDCUP!$AC$101:$AC$147,MATCH(Y36,WORLDCUP!$Z$101:$Z$147,0)))</f>
        <v/>
      </c>
      <c r="AC36" s="588" t="str">
        <f>+IF(ISBLANK(INDEX(WORLDCUP!$AB$101:$AB$147,MATCH(Y36,WORLDCUP!$Z$101:$Z$147,0))),"","( "&amp;INDEX(WORLDCUP!$AB$101:$AB$147,MATCH(Y36,WORLDCUP!$Z$101:$Z$147,0))&amp;" )")</f>
        <v/>
      </c>
      <c r="AD36" s="19"/>
      <c r="AE36" s="511"/>
      <c r="AF36" s="511"/>
      <c r="AG36" s="511"/>
      <c r="AH36" s="19"/>
      <c r="AI36" s="541"/>
      <c r="AJ36" s="541"/>
      <c r="AK36" s="580"/>
      <c r="AL36" s="90"/>
      <c r="AM36" s="513"/>
      <c r="AN36" s="513"/>
      <c r="AO36" s="594"/>
      <c r="AP36" s="90"/>
      <c r="AQ36" s="542"/>
      <c r="AR36" s="542"/>
      <c r="AS36" s="542"/>
      <c r="AT36" s="19"/>
      <c r="AU36" s="515"/>
      <c r="AV36" s="515"/>
      <c r="AW36" s="515"/>
      <c r="AX36" s="19"/>
      <c r="AY36" s="295"/>
      <c r="AZ36" s="295"/>
      <c r="BA36" s="295"/>
      <c r="BB36" s="295"/>
      <c r="BC36" s="295"/>
      <c r="BD36" s="295"/>
      <c r="BE36" s="295"/>
      <c r="BG36" s="544" t="str">
        <f ca="1">Horarios!Q35</f>
        <v>Noruega</v>
      </c>
      <c r="BH36" s="545">
        <f t="shared" ca="1" si="0"/>
        <v>1</v>
      </c>
      <c r="BI36" s="545">
        <f ca="1">COUNTIF(ADMIN!$M$130:$M$161,Fixture!BG36)-BJ36-BK36-BL36-BM36-BN36-BO36</f>
        <v>0</v>
      </c>
      <c r="BJ36" s="546">
        <f ca="1">COUNTIF(ADMIN!$M$182:$M$197,Fixture!BG36)-BK36-BL36-BM36-BN36-BO36</f>
        <v>0</v>
      </c>
      <c r="BK36" s="547">
        <f ca="1">COUNTIF(ADMIN!$M$210:$M$217,Fixture!BG36)-BL36-BM36-BN36-BO36</f>
        <v>0</v>
      </c>
      <c r="BL36" s="547">
        <f ca="1">COUNTIF(ADMIN!$M$226:$M$229,BG36)-BM36-BN36-BO36</f>
        <v>0</v>
      </c>
      <c r="BM36" s="545">
        <f ca="1">COUNTIF(ADMIN!$M$252,Fixture!BG36)</f>
        <v>0</v>
      </c>
      <c r="BN36" s="545">
        <f ca="1">COUNTIF(ADMIN!$M$251,Fixture!BG36)</f>
        <v>0</v>
      </c>
      <c r="BO36" s="548">
        <f ca="1">COUNTIF(ADMIN!$M$250,Fixture!BG36)</f>
        <v>0</v>
      </c>
    </row>
    <row r="37" spans="1:67" ht="15" thickBot="1">
      <c r="A37" s="19">
        <v>33</v>
      </c>
      <c r="B37" s="643"/>
      <c r="C37" s="526" t="str">
        <f ca="1">+MID(INDEX(WORLDCUP!$AA$4:$AA$147,MATCH(A37,WORLDCUP!$AH$4:$AH$147,0)),1,3)</f>
        <v>Ale</v>
      </c>
      <c r="D37" s="527" t="str">
        <f>IF(ISBLANK(INDEX(WORLDCUP!$AC$4:$AC$147,MATCH(A37,WORLDCUP!$AH$4:$AH$147,0))),"",INDEX(WORLDCUP!$AC$4:$AC$147,MATCH(A37,WORLDCUP!$AH$4:$AH$147,0)))</f>
        <v/>
      </c>
      <c r="E37" s="527" t="str">
        <f>IF(ISBLANK(INDEX(WORLDCUP!$AD$4:$AD$147,MATCH(A37,WORLDCUP!$AH$4:$AH$147,0))),"",INDEX(WORLDCUP!$AD$4:$AD$147,MATCH(A37,WORLDCUP!$AH$4:$AH$147,0)))</f>
        <v/>
      </c>
      <c r="F37" s="528" t="str">
        <f ca="1">+MID(INDEX(WORLDCUP!$AF$4:$AF$147,MATCH(A37,WORLDCUP!$AH$4:$AH$147,0)),1,3)</f>
        <v>Cos</v>
      </c>
      <c r="G37" s="549">
        <v>2</v>
      </c>
      <c r="H37" s="550" t="str">
        <f ca="1">+MID(INDEX(WORLDCUP!$AL$6:$AL$97,MATCH(L37,WORLDCUP!$AI$6:$AI$97,0)),1,3)</f>
        <v>Cur</v>
      </c>
      <c r="I37" s="221">
        <f ca="1">+INDEX(WORLDCUP!$AM$6:$AM$97,MATCH(L37,WORLDCUP!$AI$6:$AI$97,0))</f>
        <v>0</v>
      </c>
      <c r="J37" s="222">
        <f ca="1">+INDEX(WORLDCUP!$AT$6:$AT$97,MATCH(L37,WORLDCUP!$AI$6:$AI$97,0))</f>
        <v>0</v>
      </c>
      <c r="K37" s="223" t="str">
        <f ca="1">+INDEX(WORLDCUP!$AR$6:$AR$97,MATCH(L37,WORLDCUP!$AI$6:$AI$97,0))&amp;"-"&amp;INDEX(WORLDCUP!$AS$6:$AS$97,MATCH(L37,WORLDCUP!$AI$6:$AI$97,0))</f>
        <v>0-0</v>
      </c>
      <c r="L37" s="19" t="s">
        <v>662</v>
      </c>
      <c r="M37" s="19">
        <v>47</v>
      </c>
      <c r="N37" s="644"/>
      <c r="O37" s="526" t="str">
        <f ca="1">+MID(INDEX(WORLDCUP!$AA$4:$AA$147,MATCH(M37,WORLDCUP!$AH$4:$AH$147,0)),1,3)</f>
        <v>Por</v>
      </c>
      <c r="P37" s="527" t="str">
        <f>IF(ISBLANK(INDEX(WORLDCUP!$AC$4:$AC$147,MATCH(M37,WORLDCUP!$AH$4:$AH$147,0))),"",INDEX(WORLDCUP!$AC$4:$AC$147,MATCH(M37,WORLDCUP!$AH$4:$AH$147,0)))</f>
        <v/>
      </c>
      <c r="Q37" s="527" t="str">
        <f>IF(ISBLANK(INDEX(WORLDCUP!$AD$4:$AD$147,MATCH(M37,WORLDCUP!$AH$4:$AH$147,0))),"",INDEX(WORLDCUP!$AD$4:$AD$147,MATCH(M37,WORLDCUP!$AH$4:$AH$147,0)))</f>
        <v/>
      </c>
      <c r="R37" s="528" t="str">
        <f ca="1">+MID(INDEX(WORLDCUP!$AF$4:$AF$147,MATCH(M37,WORLDCUP!$AH$4:$AH$147,0)),1,3)</f>
        <v>Uzb</v>
      </c>
      <c r="S37" s="549">
        <v>2</v>
      </c>
      <c r="T37" s="550" t="str">
        <f ca="1">+MID(INDEX(WORLDCUP!$AL$6:$AL$97,MATCH(X37,WORLDCUP!$AI$6:$AI$97,0)),1,3)</f>
        <v xml:space="preserve">RD </v>
      </c>
      <c r="U37" s="221">
        <f ca="1">+INDEX(WORLDCUP!$AM$6:$AM$97,MATCH(X37,WORLDCUP!$AI$6:$AI$97,0))</f>
        <v>0</v>
      </c>
      <c r="V37" s="222">
        <f ca="1">+INDEX(WORLDCUP!$AT$6:$AT$97,MATCH(X37,WORLDCUP!$AI$6:$AI$97,0))</f>
        <v>0</v>
      </c>
      <c r="W37" s="223" t="str">
        <f ca="1">+INDEX(WORLDCUP!$AR$6:$AR$97,MATCH(X37,WORLDCUP!$AI$6:$AI$97,0))&amp;"-"&amp;INDEX(WORLDCUP!$AS$6:$AS$97,MATCH(X37,WORLDCUP!$AI$6:$AI$97,0))</f>
        <v>0-0</v>
      </c>
      <c r="X37" s="19" t="s">
        <v>680</v>
      </c>
      <c r="Y37" s="19">
        <v>80</v>
      </c>
      <c r="Z37" s="507" t="s">
        <v>725</v>
      </c>
      <c r="AA37" s="562" t="str">
        <f ca="1">+MID(INDEX(WORLDCUP!$AF$101:$AF$147,MATCH(Y37,WORLDCUP!$Z$101:$Z$147,0)),1,IF(WORLDCUP!$H$113&lt;144,6,3))</f>
        <v>3EHIJK</v>
      </c>
      <c r="AB37" s="563" t="str">
        <f>+IF(ISBLANK(INDEX(WORLDCUP!$AD$101:$AD$147,MATCH(Y37,WORLDCUP!$Z$101:$Z$147,0))),"",INDEX(WORLDCUP!$AD$101:$AD$147,MATCH(Y37,WORLDCUP!$Z$101:$Z$147,0)))</f>
        <v/>
      </c>
      <c r="AC37" s="589" t="str">
        <f>+IF(ISBLANK(INDEX(WORLDCUP!$AE$101:$AE$147,MATCH(Y37,WORLDCUP!$Z$101:$Z$147,0))),"","( "&amp;INDEX(WORLDCUP!$AE$101:$AE$147,MATCH(Y37,WORLDCUP!$Z$101:$Z$147,0))&amp;" )")</f>
        <v/>
      </c>
      <c r="AD37" s="19"/>
      <c r="AE37" s="511"/>
      <c r="AF37" s="511"/>
      <c r="AG37" s="511"/>
      <c r="AH37" s="19"/>
      <c r="AI37" s="541"/>
      <c r="AJ37" s="541"/>
      <c r="AK37" s="580"/>
      <c r="AL37" s="581">
        <v>102</v>
      </c>
      <c r="AM37" s="590" t="str">
        <f>+MID(INDEX(WORLDCUP!$AA$101:$AA$147,MATCH(AL37,WORLDCUP!$Z$101:$Z$147,0)),1,3)</f>
        <v>W99</v>
      </c>
      <c r="AN37" s="591" t="str">
        <f>+IF(ISBLANK(INDEX(WORLDCUP!$AC$101:$AC$147,MATCH(AL37,WORLDCUP!$Z$101:$Z$147,0))),"",INDEX(WORLDCUP!$AC$101:$AC$147,MATCH(AL37,WORLDCUP!$Z$101:$Z$147,0)))</f>
        <v/>
      </c>
      <c r="AO37" s="645" t="str">
        <f>+IF(ISBLANK(INDEX(WORLDCUP!$AB$101:$AB$147,MATCH(AL37,WORLDCUP!$Z$101:$Z$147,0))),"","( "&amp;INDEX(WORLDCUP!$AB$101:$AB$147,MATCH(AL37,WORLDCUP!$Z$101:$Z$147,0))&amp;" )")</f>
        <v/>
      </c>
      <c r="AP37" s="19"/>
      <c r="AQ37" s="542"/>
      <c r="AR37" s="542"/>
      <c r="AS37" s="542"/>
      <c r="AT37" s="19"/>
      <c r="AU37" s="515"/>
      <c r="AV37" s="515"/>
      <c r="AW37" s="515"/>
      <c r="AX37" s="19"/>
      <c r="AY37" s="295"/>
      <c r="AZ37" s="295"/>
      <c r="BA37" s="295"/>
      <c r="BB37" s="295"/>
      <c r="BC37" s="295"/>
      <c r="BD37" s="295"/>
      <c r="BE37" s="295"/>
      <c r="BG37" s="544" t="str">
        <f ca="1">Horarios!Q36</f>
        <v>Nueva Zelanda</v>
      </c>
      <c r="BH37" s="545">
        <f t="shared" ca="1" si="0"/>
        <v>1</v>
      </c>
      <c r="BI37" s="545">
        <f ca="1">COUNTIF(ADMIN!$M$130:$M$161,Fixture!BG37)-BJ37-BK37-BL37-BM37-BN37-BO37</f>
        <v>0</v>
      </c>
      <c r="BJ37" s="546">
        <f ca="1">COUNTIF(ADMIN!$M$182:$M$197,Fixture!BG37)-BK37-BL37-BM37-BN37-BO37</f>
        <v>0</v>
      </c>
      <c r="BK37" s="547">
        <f ca="1">COUNTIF(ADMIN!$M$210:$M$217,Fixture!BG37)-BL37-BM37-BN37-BO37</f>
        <v>0</v>
      </c>
      <c r="BL37" s="547">
        <f ca="1">COUNTIF(ADMIN!$M$226:$M$229,BG37)-BM37-BN37-BO37</f>
        <v>0</v>
      </c>
      <c r="BM37" s="545">
        <f ca="1">COUNTIF(ADMIN!$M$252,Fixture!BG37)</f>
        <v>0</v>
      </c>
      <c r="BN37" s="545">
        <f ca="1">COUNTIF(ADMIN!$M$251,Fixture!BG37)</f>
        <v>0</v>
      </c>
      <c r="BO37" s="548">
        <f ca="1">COUNTIF(ADMIN!$M$250,Fixture!BG37)</f>
        <v>0</v>
      </c>
    </row>
    <row r="38" spans="1:67">
      <c r="A38" s="19">
        <v>34</v>
      </c>
      <c r="B38" s="643"/>
      <c r="C38" s="526" t="str">
        <f ca="1">+MID(INDEX(WORLDCUP!$AA$4:$AA$147,MATCH(A38,WORLDCUP!$AH$4:$AH$147,0)),1,3)</f>
        <v>Ecu</v>
      </c>
      <c r="D38" s="527" t="str">
        <f>IF(ISBLANK(INDEX(WORLDCUP!$AC$4:$AC$147,MATCH(A38,WORLDCUP!$AH$4:$AH$147,0))),"",INDEX(WORLDCUP!$AC$4:$AC$147,MATCH(A38,WORLDCUP!$AH$4:$AH$147,0)))</f>
        <v/>
      </c>
      <c r="E38" s="527" t="str">
        <f>IF(ISBLANK(INDEX(WORLDCUP!$AD$4:$AD$147,MATCH(A38,WORLDCUP!$AH$4:$AH$147,0))),"",INDEX(WORLDCUP!$AD$4:$AD$147,MATCH(A38,WORLDCUP!$AH$4:$AH$147,0)))</f>
        <v/>
      </c>
      <c r="F38" s="528" t="str">
        <f ca="1">+MID(INDEX(WORLDCUP!$AF$4:$AF$147,MATCH(A38,WORLDCUP!$AH$4:$AH$147,0)),1,3)</f>
        <v>Cur</v>
      </c>
      <c r="G38" s="549">
        <v>3</v>
      </c>
      <c r="H38" s="550" t="str">
        <f ca="1">+MID(INDEX(WORLDCUP!$AL$6:$AL$97,MATCH(L38,WORLDCUP!$AI$6:$AI$97,0)),1,3)</f>
        <v>Cos</v>
      </c>
      <c r="I38" s="221">
        <f ca="1">+INDEX(WORLDCUP!$AM$6:$AM$97,MATCH(L38,WORLDCUP!$AI$6:$AI$97,0))</f>
        <v>0</v>
      </c>
      <c r="J38" s="222">
        <f ca="1">+INDEX(WORLDCUP!$AT$6:$AT$97,MATCH(L38,WORLDCUP!$AI$6:$AI$97,0))</f>
        <v>0</v>
      </c>
      <c r="K38" s="223" t="str">
        <f ca="1">+INDEX(WORLDCUP!$AR$6:$AR$97,MATCH(L38,WORLDCUP!$AI$6:$AI$97,0))&amp;"-"&amp;INDEX(WORLDCUP!$AS$6:$AS$97,MATCH(L38,WORLDCUP!$AI$6:$AI$97,0))</f>
        <v>0-0</v>
      </c>
      <c r="L38" s="19" t="s">
        <v>93</v>
      </c>
      <c r="M38" s="19">
        <v>48</v>
      </c>
      <c r="N38" s="644"/>
      <c r="O38" s="526" t="str">
        <f ca="1">+MID(INDEX(WORLDCUP!$AA$4:$AA$147,MATCH(M38,WORLDCUP!$AH$4:$AH$147,0)),1,3)</f>
        <v>Col</v>
      </c>
      <c r="P38" s="527" t="str">
        <f>IF(ISBLANK(INDEX(WORLDCUP!$AC$4:$AC$147,MATCH(M38,WORLDCUP!$AH$4:$AH$147,0))),"",INDEX(WORLDCUP!$AC$4:$AC$147,MATCH(M38,WORLDCUP!$AH$4:$AH$147,0)))</f>
        <v/>
      </c>
      <c r="Q38" s="527" t="str">
        <f>IF(ISBLANK(INDEX(WORLDCUP!$AD$4:$AD$147,MATCH(M38,WORLDCUP!$AH$4:$AH$147,0))),"",INDEX(WORLDCUP!$AD$4:$AD$147,MATCH(M38,WORLDCUP!$AH$4:$AH$147,0)))</f>
        <v/>
      </c>
      <c r="R38" s="528" t="str">
        <f ca="1">+MID(INDEX(WORLDCUP!$AF$4:$AF$147,MATCH(M38,WORLDCUP!$AH$4:$AH$147,0)),1,3)</f>
        <v xml:space="preserve">RD </v>
      </c>
      <c r="S38" s="549">
        <v>3</v>
      </c>
      <c r="T38" s="550" t="str">
        <f ca="1">+MID(INDEX(WORLDCUP!$AL$6:$AL$97,MATCH(X38,WORLDCUP!$AI$6:$AI$97,0)),1,3)</f>
        <v>Uzb</v>
      </c>
      <c r="U38" s="221">
        <f ca="1">+INDEX(WORLDCUP!$AM$6:$AM$97,MATCH(X38,WORLDCUP!$AI$6:$AI$97,0))</f>
        <v>0</v>
      </c>
      <c r="V38" s="222">
        <f ca="1">+INDEX(WORLDCUP!$AT$6:$AT$97,MATCH(X38,WORLDCUP!$AI$6:$AI$97,0))</f>
        <v>0</v>
      </c>
      <c r="W38" s="223" t="str">
        <f ca="1">+INDEX(WORLDCUP!$AR$6:$AR$97,MATCH(X38,WORLDCUP!$AI$6:$AI$97,0))&amp;"-"&amp;INDEX(WORLDCUP!$AS$6:$AS$97,MATCH(X38,WORLDCUP!$AI$6:$AI$97,0))</f>
        <v>0-0</v>
      </c>
      <c r="X38" s="19" t="s">
        <v>442</v>
      </c>
      <c r="Y38" s="19"/>
      <c r="Z38" s="507"/>
      <c r="AA38" s="576"/>
      <c r="AB38" s="576"/>
      <c r="AC38" s="576"/>
      <c r="AD38" s="19"/>
      <c r="AE38" s="511"/>
      <c r="AF38" s="511"/>
      <c r="AG38" s="511"/>
      <c r="AH38" s="19"/>
      <c r="AI38" s="541"/>
      <c r="AJ38" s="541"/>
      <c r="AK38" s="580"/>
      <c r="AL38" s="19">
        <v>102</v>
      </c>
      <c r="AM38" s="590" t="str" cm="1">
        <f t="array" ref="AM38">+MID(INDEX(WORLDCUP!$AF$101:$AF$147,MATCH(AL38,WORLDCUP!$Z$101:$Z$147,0)),1,IF(OR(ISBLANK(AC86:AD86)),4,3))</f>
        <v>W100</v>
      </c>
      <c r="AN38" s="591" t="str">
        <f>+IF(ISBLANK(INDEX(WORLDCUP!$AD$101:$AD$147,MATCH(AL38,WORLDCUP!$Z$101:$Z$147,0))),"",INDEX(WORLDCUP!$AD$101:$AD$147,MATCH(AL38,WORLDCUP!$Z$101:$Z$147,0)))</f>
        <v/>
      </c>
      <c r="AO38" s="513" t="str">
        <f>+IF(ISBLANK(INDEX(WORLDCUP!$AE$101:$AE$147,MATCH(AL38,WORLDCUP!$Z$101:$Z$147,0))),"","( "&amp;INDEX(WORLDCUP!$AE$101:$AE$147,MATCH(AL38,WORLDCUP!$Z$101:$Z$147,0))&amp;" )")</f>
        <v/>
      </c>
      <c r="AP38" s="19"/>
      <c r="AQ38" s="542"/>
      <c r="AR38" s="542"/>
      <c r="AS38" s="542"/>
      <c r="AT38" s="19"/>
      <c r="AU38" s="515"/>
      <c r="AV38" s="515"/>
      <c r="AW38" s="515"/>
      <c r="AX38" s="19"/>
      <c r="AY38" s="295"/>
      <c r="AZ38" s="295"/>
      <c r="BA38" s="295"/>
      <c r="BB38" s="295"/>
      <c r="BC38" s="295"/>
      <c r="BD38" s="295"/>
      <c r="BE38" s="295"/>
      <c r="BG38" s="544" t="str">
        <f ca="1">Horarios!Q37</f>
        <v>Países Bajos</v>
      </c>
      <c r="BH38" s="545">
        <f t="shared" ca="1" si="0"/>
        <v>1</v>
      </c>
      <c r="BI38" s="545">
        <f ca="1">COUNTIF(ADMIN!$M$130:$M$161,Fixture!BG38)-BJ38-BK38-BL38-BM38-BN38-BO38</f>
        <v>0</v>
      </c>
      <c r="BJ38" s="546">
        <f ca="1">COUNTIF(ADMIN!$M$182:$M$197,Fixture!BG38)-BK38-BL38-BM38-BN38-BO38</f>
        <v>0</v>
      </c>
      <c r="BK38" s="547">
        <f ca="1">COUNTIF(ADMIN!$M$210:$M$217,Fixture!BG38)-BL38-BM38-BN38-BO38</f>
        <v>0</v>
      </c>
      <c r="BL38" s="547">
        <f ca="1">COUNTIF(ADMIN!$M$226:$M$229,BG38)-BM38-BN38-BO38</f>
        <v>0</v>
      </c>
      <c r="BM38" s="545">
        <f ca="1">COUNTIF(ADMIN!$M$252,Fixture!BG38)</f>
        <v>0</v>
      </c>
      <c r="BN38" s="545">
        <f ca="1">COUNTIF(ADMIN!$M$251,Fixture!BG38)</f>
        <v>0</v>
      </c>
      <c r="BO38" s="548">
        <f ca="1">COUNTIF(ADMIN!$M$250,Fixture!BG38)</f>
        <v>0</v>
      </c>
    </row>
    <row r="39" spans="1:67" ht="15" thickBot="1">
      <c r="A39" s="19">
        <v>55</v>
      </c>
      <c r="B39" s="643"/>
      <c r="C39" s="526" t="str">
        <f ca="1">+MID(INDEX(WORLDCUP!$AA$4:$AA$147,MATCH(A39,WORLDCUP!$AH$4:$AH$147,0)),1,3)</f>
        <v>Cur</v>
      </c>
      <c r="D39" s="527" t="str">
        <f>IF(ISBLANK(INDEX(WORLDCUP!$AC$4:$AC$147,MATCH(A39,WORLDCUP!$AH$4:$AH$147,0))),"",INDEX(WORLDCUP!$AC$4:$AC$147,MATCH(A39,WORLDCUP!$AH$4:$AH$147,0)))</f>
        <v/>
      </c>
      <c r="E39" s="527" t="str">
        <f>IF(ISBLANK(INDEX(WORLDCUP!$AD$4:$AD$147,MATCH(A39,WORLDCUP!$AH$4:$AH$147,0))),"",INDEX(WORLDCUP!$AD$4:$AD$147,MATCH(A39,WORLDCUP!$AH$4:$AH$147,0)))</f>
        <v/>
      </c>
      <c r="F39" s="528" t="str">
        <f ca="1">+MID(INDEX(WORLDCUP!$AF$4:$AF$147,MATCH(A39,WORLDCUP!$AH$4:$AH$147,0)),1,3)</f>
        <v>Cos</v>
      </c>
      <c r="G39" s="549">
        <v>4</v>
      </c>
      <c r="H39" s="558" t="str">
        <f ca="1">+MID(INDEX(WORLDCUP!$AL$6:$AL$97,MATCH(L39,WORLDCUP!$AI$6:$AI$97,0)),1,3)</f>
        <v>Ecu</v>
      </c>
      <c r="I39" s="559">
        <f ca="1">+INDEX(WORLDCUP!$AM$6:$AM$97,MATCH(L39,WORLDCUP!$AI$6:$AI$97,0))</f>
        <v>0</v>
      </c>
      <c r="J39" s="560">
        <f ca="1">+INDEX(WORLDCUP!$AT$6:$AT$97,MATCH(L39,WORLDCUP!$AI$6:$AI$97,0))</f>
        <v>0</v>
      </c>
      <c r="K39" s="561" t="str">
        <f ca="1">+INDEX(WORLDCUP!$AR$6:$AR$97,MATCH(L39,WORLDCUP!$AI$6:$AI$97,0))&amp;"-"&amp;INDEX(WORLDCUP!$AS$6:$AS$97,MATCH(L39,WORLDCUP!$AI$6:$AI$97,0))</f>
        <v>0-0</v>
      </c>
      <c r="L39" s="19" t="s">
        <v>663</v>
      </c>
      <c r="M39" s="19">
        <v>71</v>
      </c>
      <c r="N39" s="644"/>
      <c r="O39" s="526" t="str">
        <f ca="1">+MID(INDEX(WORLDCUP!$AA$4:$AA$147,MATCH(M39,WORLDCUP!$AH$4:$AH$147,0)),1,3)</f>
        <v>Col</v>
      </c>
      <c r="P39" s="527" t="str">
        <f>IF(ISBLANK(INDEX(WORLDCUP!$AC$4:$AC$147,MATCH(M39,WORLDCUP!$AH$4:$AH$147,0))),"",INDEX(WORLDCUP!$AC$4:$AC$147,MATCH(M39,WORLDCUP!$AH$4:$AH$147,0)))</f>
        <v/>
      </c>
      <c r="Q39" s="527" t="str">
        <f>IF(ISBLANK(INDEX(WORLDCUP!$AD$4:$AD$147,MATCH(M39,WORLDCUP!$AH$4:$AH$147,0))),"",INDEX(WORLDCUP!$AD$4:$AD$147,MATCH(M39,WORLDCUP!$AH$4:$AH$147,0)))</f>
        <v/>
      </c>
      <c r="R39" s="528" t="str">
        <f ca="1">+MID(INDEX(WORLDCUP!$AF$4:$AF$147,MATCH(M39,WORLDCUP!$AH$4:$AH$147,0)),1,3)</f>
        <v>Por</v>
      </c>
      <c r="S39" s="549">
        <v>4</v>
      </c>
      <c r="T39" s="558" t="str">
        <f ca="1">+MID(INDEX(WORLDCUP!$AL$6:$AL$97,MATCH(X39,WORLDCUP!$AI$6:$AI$97,0)),1,3)</f>
        <v>Col</v>
      </c>
      <c r="U39" s="559">
        <f ca="1">+INDEX(WORLDCUP!$AM$6:$AM$97,MATCH(X39,WORLDCUP!$AI$6:$AI$97,0))</f>
        <v>0</v>
      </c>
      <c r="V39" s="560">
        <f ca="1">+INDEX(WORLDCUP!$AT$6:$AT$97,MATCH(X39,WORLDCUP!$AI$6:$AI$97,0))</f>
        <v>0</v>
      </c>
      <c r="W39" s="561" t="str">
        <f ca="1">+INDEX(WORLDCUP!$AR$6:$AR$97,MATCH(X39,WORLDCUP!$AI$6:$AI$97,0))&amp;"-"&amp;INDEX(WORLDCUP!$AS$6:$AS$97,MATCH(X39,WORLDCUP!$AI$6:$AI$97,0))</f>
        <v>0-0</v>
      </c>
      <c r="X39" s="19" t="s">
        <v>681</v>
      </c>
      <c r="Y39" s="19">
        <v>86</v>
      </c>
      <c r="Z39" s="507" t="s">
        <v>676</v>
      </c>
      <c r="AA39" s="508" t="str">
        <f ca="1">+MID(INDEX(WORLDCUP!$AA$101:$AA$147,MATCH(Y39,WORLDCUP!$Z$101:$Z$147,0)),1,3)</f>
        <v>1J</v>
      </c>
      <c r="AB39" s="509" t="str">
        <f>+IF(ISBLANK(INDEX(WORLDCUP!$AC$101:$AC$147,MATCH(Y39,WORLDCUP!$Z$101:$Z$147,0))),"",INDEX(WORLDCUP!$AC$101:$AC$147,MATCH(Y39,WORLDCUP!$Z$101:$Z$147,0)))</f>
        <v/>
      </c>
      <c r="AC39" s="579" t="str">
        <f>+IF(ISBLANK(INDEX(WORLDCUP!$AB$101:$AB$147,MATCH(Y39,WORLDCUP!$Z$101:$Z$147,0))),"","( "&amp;INDEX(WORLDCUP!$AB$101:$AB$147,MATCH(Y39,WORLDCUP!$Z$101:$Z$147,0))&amp;" )")</f>
        <v/>
      </c>
      <c r="AD39" s="18"/>
      <c r="AE39" s="511"/>
      <c r="AF39" s="511"/>
      <c r="AG39" s="511"/>
      <c r="AH39" s="19"/>
      <c r="AI39" s="541"/>
      <c r="AJ39" s="541"/>
      <c r="AK39" s="580"/>
      <c r="AL39" s="90"/>
      <c r="AM39" s="513"/>
      <c r="AN39" s="513"/>
      <c r="AO39" s="513"/>
      <c r="AP39" s="19"/>
      <c r="AQ39" s="542"/>
      <c r="AR39" s="542"/>
      <c r="AS39" s="542"/>
      <c r="AT39" s="19"/>
      <c r="AU39" s="515"/>
      <c r="AV39" s="515"/>
      <c r="AW39" s="515"/>
      <c r="AX39" s="19"/>
      <c r="AY39" s="295"/>
      <c r="AZ39" s="295"/>
      <c r="BA39" s="295"/>
      <c r="BB39" s="295"/>
      <c r="BC39" s="295"/>
      <c r="BD39" s="295"/>
      <c r="BE39" s="295"/>
      <c r="BG39" s="544" t="str">
        <f ca="1">Horarios!Q38</f>
        <v>Panamá</v>
      </c>
      <c r="BH39" s="545">
        <f t="shared" ca="1" si="0"/>
        <v>1</v>
      </c>
      <c r="BI39" s="545">
        <f ca="1">COUNTIF(ADMIN!$M$130:$M$161,Fixture!BG39)-BJ39-BK39-BL39-BM39-BN39-BO39</f>
        <v>0</v>
      </c>
      <c r="BJ39" s="546">
        <f ca="1">COUNTIF(ADMIN!$M$182:$M$197,Fixture!BG39)-BK39-BL39-BM39-BN39-BO39</f>
        <v>0</v>
      </c>
      <c r="BK39" s="547">
        <f ca="1">COUNTIF(ADMIN!$M$210:$M$217,Fixture!BG39)-BL39-BM39-BN39-BO39</f>
        <v>0</v>
      </c>
      <c r="BL39" s="547">
        <f ca="1">COUNTIF(ADMIN!$M$226:$M$229,BG39)-BM39-BN39-BO39</f>
        <v>0</v>
      </c>
      <c r="BM39" s="545">
        <f ca="1">COUNTIF(ADMIN!$M$252,Fixture!BG39)</f>
        <v>0</v>
      </c>
      <c r="BN39" s="545">
        <f ca="1">COUNTIF(ADMIN!$M$251,Fixture!BG39)</f>
        <v>0</v>
      </c>
      <c r="BO39" s="548">
        <f ca="1">COUNTIF(ADMIN!$M$250,Fixture!BG39)</f>
        <v>0</v>
      </c>
    </row>
    <row r="40" spans="1:67" ht="15" thickBot="1">
      <c r="A40" s="19">
        <v>56</v>
      </c>
      <c r="B40" s="646"/>
      <c r="C40" s="569" t="str">
        <f ca="1">+MID(INDEX(WORLDCUP!$AA$4:$AA$147,MATCH(A40,WORLDCUP!$AH$4:$AH$147,0)),1,3)</f>
        <v>Ecu</v>
      </c>
      <c r="D40" s="570" t="str">
        <f>IF(ISBLANK(INDEX(WORLDCUP!$AC$4:$AC$147,MATCH(A40,WORLDCUP!$AH$4:$AH$147,0))),"",INDEX(WORLDCUP!$AC$4:$AC$147,MATCH(A40,WORLDCUP!$AH$4:$AH$147,0)))</f>
        <v/>
      </c>
      <c r="E40" s="570" t="str">
        <f>IF(ISBLANK(INDEX(WORLDCUP!$AD$4:$AD$147,MATCH(A40,WORLDCUP!$AH$4:$AH$147,0))),"",INDEX(WORLDCUP!$AD$4:$AD$147,MATCH(A40,WORLDCUP!$AH$4:$AH$147,0)))</f>
        <v/>
      </c>
      <c r="F40" s="571" t="str">
        <f ca="1">+MID(INDEX(WORLDCUP!$AF$4:$AF$147,MATCH(A40,WORLDCUP!$AH$4:$AH$147,0)),1,3)</f>
        <v>Ale</v>
      </c>
      <c r="G40" s="572"/>
      <c r="H40" s="572"/>
      <c r="I40" s="573"/>
      <c r="J40" s="573"/>
      <c r="K40" s="574"/>
      <c r="L40" s="19"/>
      <c r="M40" s="19">
        <v>72</v>
      </c>
      <c r="N40" s="647"/>
      <c r="O40" s="569" t="str">
        <f ca="1">+MID(INDEX(WORLDCUP!$AA$4:$AA$147,MATCH(M40,WORLDCUP!$AH$4:$AH$147,0)),1,3)</f>
        <v xml:space="preserve">RD </v>
      </c>
      <c r="P40" s="570" t="str">
        <f>IF(ISBLANK(INDEX(WORLDCUP!$AC$4:$AC$147,MATCH(M40,WORLDCUP!$AH$4:$AH$147,0))),"",INDEX(WORLDCUP!$AC$4:$AC$147,MATCH(M40,WORLDCUP!$AH$4:$AH$147,0)))</f>
        <v/>
      </c>
      <c r="Q40" s="570" t="str">
        <f>IF(ISBLANK(INDEX(WORLDCUP!$AD$4:$AD$147,MATCH(M40,WORLDCUP!$AH$4:$AH$147,0))),"",INDEX(WORLDCUP!$AD$4:$AD$147,MATCH(M40,WORLDCUP!$AH$4:$AH$147,0)))</f>
        <v/>
      </c>
      <c r="R40" s="571" t="str">
        <f ca="1">+MID(INDEX(WORLDCUP!$AF$4:$AF$147,MATCH(M40,WORLDCUP!$AH$4:$AH$147,0)),1,3)</f>
        <v>Uzb</v>
      </c>
      <c r="S40" s="572"/>
      <c r="T40" s="572"/>
      <c r="U40" s="573"/>
      <c r="V40" s="573"/>
      <c r="W40" s="574"/>
      <c r="X40" s="19"/>
      <c r="Y40" s="19">
        <v>86</v>
      </c>
      <c r="Z40" s="507" t="s">
        <v>671</v>
      </c>
      <c r="AA40" s="508" t="str">
        <f ca="1">+MID(INDEX(WORLDCUP!$AF$101:$AF$147,MATCH(Y40,WORLDCUP!$Z$101:$Z$147,0)),1,3)</f>
        <v>2H</v>
      </c>
      <c r="AB40" s="535" t="str">
        <f>+IF(ISBLANK(INDEX(WORLDCUP!$AD$101:$AD$147,MATCH(Y40,WORLDCUP!$Z$101:$Z$147,0))),"",INDEX(WORLDCUP!$AD$101:$AD$147,MATCH(Y40,WORLDCUP!$Z$101:$Z$147,0)))</f>
        <v/>
      </c>
      <c r="AC40" s="536" t="str">
        <f>+IF(ISBLANK(INDEX(WORLDCUP!$AE$101:$AE$147,MATCH(Y40,WORLDCUP!$Z$101:$Z$147,0))),"","( "&amp;INDEX(WORLDCUP!$AE$101:$AE$147,MATCH(Y40,WORLDCUP!$Z$101:$Z$147,0))&amp;" )")</f>
        <v/>
      </c>
      <c r="AD40" s="537">
        <v>95</v>
      </c>
      <c r="AE40" s="538" t="str">
        <f>+MID(INDEX(WORLDCUP!$AA$101:$AA$147,MATCH(AD40,WORLDCUP!$Z$101:$Z$147,0)),1,3)</f>
        <v>W86</v>
      </c>
      <c r="AF40" s="539" t="str">
        <f>+IF(ISBLANK(INDEX(WORLDCUP!$AC$101:$AC$147,MATCH(AD40,WORLDCUP!$Z$101:$Z$147,0))),"",INDEX(WORLDCUP!$AC$101:$AC$147,MATCH(AD40,WORLDCUP!$Z$101:$Z$147,0)))</f>
        <v/>
      </c>
      <c r="AG40" s="540" t="str">
        <f>+IF(ISBLANK(INDEX(WORLDCUP!$AB$101:$AB$147,MATCH(AD40,WORLDCUP!$Z$101:$Z$147,0))),"","( "&amp;INDEX(WORLDCUP!$AB$101:$AB$147,MATCH(AD40,WORLDCUP!$Z$101:$Z$147,0))&amp;" )")</f>
        <v/>
      </c>
      <c r="AH40" s="19"/>
      <c r="AI40" s="541"/>
      <c r="AJ40" s="541"/>
      <c r="AK40" s="580"/>
      <c r="AL40" s="90"/>
      <c r="AM40" s="513"/>
      <c r="AN40" s="513"/>
      <c r="AO40" s="513"/>
      <c r="AP40" s="19"/>
      <c r="AQ40" s="542"/>
      <c r="AR40" s="542"/>
      <c r="AS40" s="542"/>
      <c r="AT40" s="19"/>
      <c r="AU40" s="515"/>
      <c r="AV40" s="515"/>
      <c r="AW40" s="515"/>
      <c r="AX40" s="19"/>
      <c r="AY40" s="295"/>
      <c r="AZ40" s="295"/>
      <c r="BA40" s="295"/>
      <c r="BB40" s="295"/>
      <c r="BC40" s="295"/>
      <c r="BD40" s="295"/>
      <c r="BE40" s="295"/>
      <c r="BG40" s="544" t="str">
        <f ca="1">Horarios!Q39</f>
        <v>Paraguay</v>
      </c>
      <c r="BH40" s="545">
        <f t="shared" ca="1" si="0"/>
        <v>1</v>
      </c>
      <c r="BI40" s="545">
        <f ca="1">COUNTIF(ADMIN!$M$130:$M$161,Fixture!BG40)-BJ40-BK40-BL40-BM40-BN40-BO40</f>
        <v>0</v>
      </c>
      <c r="BJ40" s="546">
        <f ca="1">COUNTIF(ADMIN!$M$182:$M$197,Fixture!BG40)-BK40-BL40-BM40-BN40-BO40</f>
        <v>0</v>
      </c>
      <c r="BK40" s="547">
        <f ca="1">COUNTIF(ADMIN!$M$210:$M$217,Fixture!BG40)-BL40-BM40-BN40-BO40</f>
        <v>0</v>
      </c>
      <c r="BL40" s="547">
        <f ca="1">COUNTIF(ADMIN!$M$226:$M$229,BG40)-BM40-BN40-BO40</f>
        <v>0</v>
      </c>
      <c r="BM40" s="545">
        <f ca="1">COUNTIF(ADMIN!$M$252,Fixture!BG40)</f>
        <v>0</v>
      </c>
      <c r="BN40" s="545">
        <f ca="1">COUNTIF(ADMIN!$M$251,Fixture!BG40)</f>
        <v>0</v>
      </c>
      <c r="BO40" s="548">
        <f ca="1">COUNTIF(ADMIN!$M$250,Fixture!BG40)</f>
        <v>0</v>
      </c>
    </row>
    <row r="41" spans="1:67">
      <c r="A41" s="19"/>
      <c r="B41" s="494"/>
      <c r="C41" s="578"/>
      <c r="D41" s="439"/>
      <c r="E41" s="439"/>
      <c r="F41" s="295"/>
      <c r="G41" s="295"/>
      <c r="H41" s="578"/>
      <c r="I41" s="295"/>
      <c r="J41" s="295"/>
      <c r="K41" s="295"/>
      <c r="L41" s="19"/>
      <c r="M41" s="19"/>
      <c r="N41" s="245"/>
      <c r="O41" s="578"/>
      <c r="P41" s="439"/>
      <c r="Q41" s="439"/>
      <c r="R41" s="295"/>
      <c r="S41" s="295"/>
      <c r="T41" s="578"/>
      <c r="U41" s="295"/>
      <c r="V41" s="295"/>
      <c r="W41" s="295"/>
      <c r="X41" s="19"/>
      <c r="Y41" s="19"/>
      <c r="Z41" s="507"/>
      <c r="AA41" s="551"/>
      <c r="AB41" s="551"/>
      <c r="AC41" s="552"/>
      <c r="AD41" s="19">
        <v>95</v>
      </c>
      <c r="AE41" s="538" t="str">
        <f>+MID(INDEX(WORLDCUP!$AF$101:$AF$147,MATCH(AD41,WORLDCUP!$Z$101:$Z$147,0)),1,3)</f>
        <v>W88</v>
      </c>
      <c r="AF41" s="539" t="str">
        <f>+IF(ISBLANK(INDEX(WORLDCUP!$AD$101:$AD$147,MATCH(AD41,WORLDCUP!$Z$101:$Z$147,0))),"",INDEX(WORLDCUP!$AD$101:$AD$147,MATCH(AD41,WORLDCUP!$Z$101:$Z$147,0)))</f>
        <v/>
      </c>
      <c r="AG41" s="597" t="str">
        <f>+IF(ISBLANK(INDEX(WORLDCUP!$AE$101:$AE$147,MATCH(AD41,WORLDCUP!$Z$101:$Z$147,0))),"","( "&amp;INDEX(WORLDCUP!$AE$101:$AE$147,MATCH(AD41,WORLDCUP!$Z$101:$Z$147,0))&amp;" )")</f>
        <v/>
      </c>
      <c r="AH41" s="19"/>
      <c r="AI41" s="541"/>
      <c r="AJ41" s="541"/>
      <c r="AK41" s="580"/>
      <c r="AL41" s="90"/>
      <c r="AM41" s="513"/>
      <c r="AN41" s="513"/>
      <c r="AO41" s="513"/>
      <c r="AP41" s="19"/>
      <c r="AQ41" s="542"/>
      <c r="AR41" s="542"/>
      <c r="AS41" s="542"/>
      <c r="AT41" s="19"/>
      <c r="AU41" s="515"/>
      <c r="AV41" s="515"/>
      <c r="AW41" s="515"/>
      <c r="AX41" s="19"/>
      <c r="AY41" s="295"/>
      <c r="AZ41" s="295"/>
      <c r="BA41" s="295"/>
      <c r="BB41" s="295"/>
      <c r="BC41" s="295"/>
      <c r="BD41" s="295"/>
      <c r="BE41" s="295"/>
      <c r="BG41" s="544" t="str">
        <f ca="1">Horarios!Q40</f>
        <v>Portugal</v>
      </c>
      <c r="BH41" s="545">
        <f t="shared" ca="1" si="0"/>
        <v>1</v>
      </c>
      <c r="BI41" s="545">
        <f ca="1">COUNTIF(ADMIN!$M$130:$M$161,Fixture!BG41)-BJ41-BK41-BL41-BM41-BN41-BO41</f>
        <v>0</v>
      </c>
      <c r="BJ41" s="546">
        <f ca="1">COUNTIF(ADMIN!$M$182:$M$197,Fixture!BG41)-BK41-BL41-BM41-BN41-BO41</f>
        <v>0</v>
      </c>
      <c r="BK41" s="547">
        <f ca="1">COUNTIF(ADMIN!$M$210:$M$217,Fixture!BG41)-BL41-BM41-BN41-BO41</f>
        <v>0</v>
      </c>
      <c r="BL41" s="547">
        <f ca="1">COUNTIF(ADMIN!$M$226:$M$229,BG41)-BM41-BN41-BO41</f>
        <v>0</v>
      </c>
      <c r="BM41" s="545">
        <f ca="1">COUNTIF(ADMIN!$M$252,Fixture!BG41)</f>
        <v>0</v>
      </c>
      <c r="BN41" s="545">
        <f ca="1">COUNTIF(ADMIN!$M$251,Fixture!BG41)</f>
        <v>0</v>
      </c>
      <c r="BO41" s="548">
        <f ca="1">COUNTIF(ADMIN!$M$250,Fixture!BG41)</f>
        <v>0</v>
      </c>
    </row>
    <row r="42" spans="1:67" ht="15" thickBot="1">
      <c r="A42" s="19"/>
      <c r="B42" s="494"/>
      <c r="C42" s="578"/>
      <c r="D42" s="439"/>
      <c r="E42" s="439"/>
      <c r="F42" s="295"/>
      <c r="G42" s="295"/>
      <c r="H42" s="578"/>
      <c r="I42" s="295"/>
      <c r="J42" s="295"/>
      <c r="K42" s="295"/>
      <c r="L42" s="19"/>
      <c r="M42" s="19"/>
      <c r="N42" s="245"/>
      <c r="O42" s="578"/>
      <c r="P42" s="439"/>
      <c r="Q42" s="439"/>
      <c r="R42" s="295"/>
      <c r="S42" s="295"/>
      <c r="T42" s="578"/>
      <c r="U42" s="295"/>
      <c r="V42" s="295"/>
      <c r="W42" s="295"/>
      <c r="X42" s="19"/>
      <c r="Y42" s="19">
        <v>88</v>
      </c>
      <c r="Z42" s="507" t="s">
        <v>659</v>
      </c>
      <c r="AA42" s="508" t="str">
        <f ca="1">+MID(INDEX(WORLDCUP!$AA$101:$AA$147,MATCH(Y42,WORLDCUP!$Z$101:$Z$147,0)),1,3)</f>
        <v>2D</v>
      </c>
      <c r="AB42" s="554" t="str">
        <f>+IF(ISBLANK(INDEX(WORLDCUP!$AC$101:$AC$147,MATCH(Y42,WORLDCUP!$Z$101:$Z$147,0))),"",INDEX(WORLDCUP!$AC$101:$AC$147,MATCH(Y42,WORLDCUP!$Z$101:$Z$147,0)))</f>
        <v/>
      </c>
      <c r="AC42" s="588" t="str">
        <f>+IF(ISBLANK(INDEX(WORLDCUP!$AB$101:$AB$147,MATCH(Y42,WORLDCUP!$Z$101:$Z$147,0))),"","( "&amp;INDEX(WORLDCUP!$AB$101:$AB$147,MATCH(Y42,WORLDCUP!$Z$101:$Z$147,0))&amp;" )")</f>
        <v/>
      </c>
      <c r="AD42" s="19"/>
      <c r="AE42" s="556"/>
      <c r="AF42" s="556"/>
      <c r="AG42" s="557"/>
      <c r="AH42" s="19"/>
      <c r="AI42" s="541"/>
      <c r="AJ42" s="541"/>
      <c r="AK42" s="580"/>
      <c r="AL42" s="90"/>
      <c r="AM42" s="513"/>
      <c r="AN42" s="513"/>
      <c r="AO42" s="513"/>
      <c r="AP42" s="19"/>
      <c r="AQ42" s="542"/>
      <c r="AR42" s="542"/>
      <c r="AS42" s="542"/>
      <c r="AT42" s="19"/>
      <c r="AU42" s="515"/>
      <c r="AV42" s="515"/>
      <c r="AW42" s="515"/>
      <c r="AX42" s="19"/>
      <c r="AY42" s="295"/>
      <c r="AZ42" s="295"/>
      <c r="BA42" s="295"/>
      <c r="BB42" s="295"/>
      <c r="BC42" s="295"/>
      <c r="BD42" s="295"/>
      <c r="BE42" s="295"/>
      <c r="BG42" s="544" t="str">
        <f ca="1">Horarios!Q41</f>
        <v>RD Congo</v>
      </c>
      <c r="BH42" s="545">
        <f t="shared" ca="1" si="0"/>
        <v>1</v>
      </c>
      <c r="BI42" s="545">
        <f ca="1">COUNTIF(ADMIN!$M$130:$M$161,Fixture!BG42)-BJ42-BK42-BL42-BM42-BN42-BO42</f>
        <v>0</v>
      </c>
      <c r="BJ42" s="546">
        <f ca="1">COUNTIF(ADMIN!$M$182:$M$197,Fixture!BG42)-BK42-BL42-BM42-BN42-BO42</f>
        <v>0</v>
      </c>
      <c r="BK42" s="547">
        <f ca="1">COUNTIF(ADMIN!$M$210:$M$217,Fixture!BG42)-BL42-BM42-BN42-BO42</f>
        <v>0</v>
      </c>
      <c r="BL42" s="547">
        <f ca="1">COUNTIF(ADMIN!$M$226:$M$229,BG42)-BM42-BN42-BO42</f>
        <v>0</v>
      </c>
      <c r="BM42" s="545">
        <f ca="1">COUNTIF(ADMIN!$M$252,Fixture!BG42)</f>
        <v>0</v>
      </c>
      <c r="BN42" s="545">
        <f ca="1">COUNTIF(ADMIN!$M$251,Fixture!BG42)</f>
        <v>0</v>
      </c>
      <c r="BO42" s="548">
        <f ca="1">COUNTIF(ADMIN!$M$250,Fixture!BG42)</f>
        <v>0</v>
      </c>
    </row>
    <row r="43" spans="1:67" ht="15" thickBot="1">
      <c r="A43" s="19">
        <v>11</v>
      </c>
      <c r="B43" s="648" t="s">
        <v>4</v>
      </c>
      <c r="C43" s="499" t="str">
        <f ca="1">+MID(INDEX(WORLDCUP!$AA$4:$AA$147,MATCH(A43,WORLDCUP!$AH$4:$AH$147,0)),1,3)</f>
        <v>Paí</v>
      </c>
      <c r="D43" s="500" t="str">
        <f>IF(ISBLANK(INDEX(WORLDCUP!$AC$4:$AC$147,MATCH(A43,WORLDCUP!$AH$4:$AH$147,0))),"",INDEX(WORLDCUP!$AC$4:$AC$147,MATCH(A43,WORLDCUP!$AH$4:$AH$147,0)))</f>
        <v/>
      </c>
      <c r="E43" s="500" t="str">
        <f>IF(ISBLANK(INDEX(WORLDCUP!$AD$4:$AD$147,MATCH(A43,WORLDCUP!$AH$4:$AH$147,0))),"",INDEX(WORLDCUP!$AD$4:$AD$147,MATCH(A43,WORLDCUP!$AH$4:$AH$147,0)))</f>
        <v/>
      </c>
      <c r="F43" s="501" t="str">
        <f ca="1">+MID(INDEX(WORLDCUP!$AF$4:$AF$147,MATCH(A43,WORLDCUP!$AH$4:$AH$147,0)),1,3)</f>
        <v>Jap</v>
      </c>
      <c r="G43" s="502"/>
      <c r="H43" s="503" t="str">
        <f>+H35</f>
        <v>Sel</v>
      </c>
      <c r="I43" s="504" t="str">
        <f>+I35</f>
        <v>Pts</v>
      </c>
      <c r="J43" s="504" t="str">
        <f>+J35</f>
        <v>DG</v>
      </c>
      <c r="K43" s="505" t="str">
        <f>+K35</f>
        <v>GF-GC</v>
      </c>
      <c r="L43" s="19"/>
      <c r="M43" s="19">
        <v>22</v>
      </c>
      <c r="N43" s="649" t="s">
        <v>238</v>
      </c>
      <c r="O43" s="499" t="str">
        <f ca="1">+MID(INDEX(WORLDCUP!$AA$4:$AA$147,MATCH(M43,WORLDCUP!$AH$4:$AH$147,0)),1,3)</f>
        <v>Ing</v>
      </c>
      <c r="P43" s="500" t="str">
        <f>IF(ISBLANK(INDEX(WORLDCUP!$AC$4:$AC$147,MATCH(M43,WORLDCUP!$AH$4:$AH$147,0))),"",INDEX(WORLDCUP!$AC$4:$AC$147,MATCH(M43,WORLDCUP!$AH$4:$AH$147,0)))</f>
        <v/>
      </c>
      <c r="Q43" s="500" t="str">
        <f>IF(ISBLANK(INDEX(WORLDCUP!$AD$4:$AD$147,MATCH(M43,WORLDCUP!$AH$4:$AH$147,0))),"",INDEX(WORLDCUP!$AD$4:$AD$147,MATCH(M43,WORLDCUP!$AH$4:$AH$147,0)))</f>
        <v/>
      </c>
      <c r="R43" s="501" t="str">
        <f ca="1">+MID(INDEX(WORLDCUP!$AF$4:$AF$147,MATCH(M43,WORLDCUP!$AH$4:$AH$147,0)),1,3)</f>
        <v>Cro</v>
      </c>
      <c r="S43" s="502"/>
      <c r="T43" s="503" t="str">
        <f>+T35</f>
        <v>Sel</v>
      </c>
      <c r="U43" s="504" t="str">
        <f>+U35</f>
        <v>Pts</v>
      </c>
      <c r="V43" s="504" t="str">
        <f>+V35</f>
        <v>DG</v>
      </c>
      <c r="W43" s="505" t="str">
        <f>+W35</f>
        <v>GF-GC</v>
      </c>
      <c r="X43" s="19"/>
      <c r="Y43" s="19">
        <v>88</v>
      </c>
      <c r="Z43" s="507" t="s">
        <v>668</v>
      </c>
      <c r="AA43" s="562" t="str">
        <f ca="1">+MID(INDEX(WORLDCUP!$AF$101:$AF$147,MATCH(Y43,WORLDCUP!$Z$101:$Z$147,0)),1,3)</f>
        <v>2G</v>
      </c>
      <c r="AB43" s="563" t="str">
        <f>+IF(ISBLANK(INDEX(WORLDCUP!$AD$101:$AD$147,MATCH(Y43,WORLDCUP!$Z$101:$Z$147,0))),"",INDEX(WORLDCUP!$AD$101:$AD$147,MATCH(Y43,WORLDCUP!$Z$101:$Z$147,0)))</f>
        <v/>
      </c>
      <c r="AC43" s="589" t="str">
        <f>+IF(ISBLANK(INDEX(WORLDCUP!$AE$101:$AE$147,MATCH(Y43,WORLDCUP!$Z$101:$Z$147,0))),"","( "&amp;INDEX(WORLDCUP!$AE$101:$AE$147,MATCH(Y43,WORLDCUP!$Z$101:$Z$147,0))&amp;" )")</f>
        <v/>
      </c>
      <c r="AD43" s="19"/>
      <c r="AE43" s="556"/>
      <c r="AF43" s="556"/>
      <c r="AG43" s="557"/>
      <c r="AH43" s="581">
        <v>100</v>
      </c>
      <c r="AI43" s="565" t="str">
        <f>+MID(INDEX(WORLDCUP!$AA$101:$AA$147,MATCH(AH43,WORLDCUP!$Z$101:$Z$147,0)),1,3)</f>
        <v>W95</v>
      </c>
      <c r="AJ43" s="566" t="str">
        <f>+IF(ISBLANK(INDEX(WORLDCUP!$AC$101:$AC$147,MATCH(AH43,WORLDCUP!$Z$101:$Z$147,0))),"",INDEX(WORLDCUP!$AC$101:$AC$147,MATCH(AH43,WORLDCUP!$Z$101:$Z$147,0)))</f>
        <v/>
      </c>
      <c r="AK43" s="602" t="str">
        <f>+IF(ISBLANK(INDEX(WORLDCUP!$AB$101:$AB$147,MATCH(AH43,WORLDCUP!$Z$101:$Z$147,0))),"","( "&amp;INDEX(WORLDCUP!$AB$101:$AB$147,MATCH(AH43,WORLDCUP!$Z$101:$Z$147,0))&amp;" )")</f>
        <v/>
      </c>
      <c r="AL43" s="90"/>
      <c r="AM43" s="513"/>
      <c r="AN43" s="513"/>
      <c r="AO43" s="513"/>
      <c r="AP43" s="19"/>
      <c r="AQ43" s="542"/>
      <c r="AR43" s="542"/>
      <c r="AS43" s="542"/>
      <c r="AT43" s="19"/>
      <c r="AU43" s="515"/>
      <c r="AV43" s="515"/>
      <c r="AW43" s="515"/>
      <c r="AX43" s="19"/>
      <c r="AY43" s="295"/>
      <c r="AZ43" s="295"/>
      <c r="BA43" s="295"/>
      <c r="BB43" s="295"/>
      <c r="BC43" s="295"/>
      <c r="BD43" s="295"/>
      <c r="BE43" s="295"/>
      <c r="BG43" s="544" t="str">
        <f ca="1">Horarios!Q42</f>
        <v>República Checa</v>
      </c>
      <c r="BH43" s="545">
        <f t="shared" ca="1" si="0"/>
        <v>1</v>
      </c>
      <c r="BI43" s="545">
        <f ca="1">COUNTIF(ADMIN!$M$130:$M$161,Fixture!BG43)-BJ43-BK43-BL43-BM43-BN43-BO43</f>
        <v>0</v>
      </c>
      <c r="BJ43" s="546">
        <f ca="1">COUNTIF(ADMIN!$M$182:$M$197,Fixture!BG43)-BK43-BL43-BM43-BN43-BO43</f>
        <v>0</v>
      </c>
      <c r="BK43" s="547">
        <f ca="1">COUNTIF(ADMIN!$M$210:$M$217,Fixture!BG43)-BL43-BM43-BN43-BO43</f>
        <v>0</v>
      </c>
      <c r="BL43" s="547">
        <f ca="1">COUNTIF(ADMIN!$M$226:$M$229,BG43)-BM43-BN43-BO43</f>
        <v>0</v>
      </c>
      <c r="BM43" s="545">
        <f ca="1">COUNTIF(ADMIN!$M$252,Fixture!BG43)</f>
        <v>0</v>
      </c>
      <c r="BN43" s="545">
        <f ca="1">COUNTIF(ADMIN!$M$251,Fixture!BG43)</f>
        <v>0</v>
      </c>
      <c r="BO43" s="548">
        <f ca="1">COUNTIF(ADMIN!$M$250,Fixture!BG43)</f>
        <v>0</v>
      </c>
    </row>
    <row r="44" spans="1:67">
      <c r="A44" s="19">
        <v>12</v>
      </c>
      <c r="B44" s="650"/>
      <c r="C44" s="526" t="str">
        <f ca="1">+MID(INDEX(WORLDCUP!$AA$4:$AA$147,MATCH(A44,WORLDCUP!$AH$4:$AH$147,0)),1,3)</f>
        <v>Sue</v>
      </c>
      <c r="D44" s="527" t="str">
        <f>IF(ISBLANK(INDEX(WORLDCUP!$AC$4:$AC$147,MATCH(A44,WORLDCUP!$AH$4:$AH$147,0))),"",INDEX(WORLDCUP!$AC$4:$AC$147,MATCH(A44,WORLDCUP!$AH$4:$AH$147,0)))</f>
        <v/>
      </c>
      <c r="E44" s="527" t="str">
        <f>IF(ISBLANK(INDEX(WORLDCUP!$AD$4:$AD$147,MATCH(A44,WORLDCUP!$AH$4:$AH$147,0))),"",INDEX(WORLDCUP!$AD$4:$AD$147,MATCH(A44,WORLDCUP!$AH$4:$AH$147,0)))</f>
        <v/>
      </c>
      <c r="F44" s="528" t="str">
        <f ca="1">+MID(INDEX(WORLDCUP!$AF$4:$AF$147,MATCH(A44,WORLDCUP!$AH$4:$AH$147,0)),1,3)</f>
        <v>Tún</v>
      </c>
      <c r="G44" s="529">
        <v>1</v>
      </c>
      <c r="H44" s="530" t="str">
        <f ca="1">+MID(INDEX(WORLDCUP!$AL$6:$AL$97,MATCH(L44,WORLDCUP!$AI$6:$AI$97,0)),1,3)</f>
        <v>Paí</v>
      </c>
      <c r="I44" s="531">
        <f ca="1">+INDEX(WORLDCUP!$AM$6:$AM$97,MATCH(L44,WORLDCUP!$AI$6:$AI$97,0))</f>
        <v>0</v>
      </c>
      <c r="J44" s="532">
        <f ca="1">+INDEX(WORLDCUP!$AT$6:$AT$97,MATCH(L44,WORLDCUP!$AI$6:$AI$97,0))</f>
        <v>0</v>
      </c>
      <c r="K44" s="533" t="str">
        <f ca="1">+INDEX(WORLDCUP!$AR$6:$AR$97,MATCH(L44,WORLDCUP!$AI$6:$AI$97,0))&amp;"-"&amp;INDEX(WORLDCUP!$AS$6:$AS$97,MATCH(L44,WORLDCUP!$AI$6:$AI$97,0))</f>
        <v>0-0</v>
      </c>
      <c r="L44" s="19" t="s">
        <v>664</v>
      </c>
      <c r="M44" s="19">
        <v>21</v>
      </c>
      <c r="N44" s="651"/>
      <c r="O44" s="526" t="str">
        <f ca="1">+MID(INDEX(WORLDCUP!$AA$4:$AA$147,MATCH(M44,WORLDCUP!$AH$4:$AH$147,0)),1,3)</f>
        <v>Gha</v>
      </c>
      <c r="P44" s="527" t="str">
        <f>IF(ISBLANK(INDEX(WORLDCUP!$AC$4:$AC$147,MATCH(M44,WORLDCUP!$AH$4:$AH$147,0))),"",INDEX(WORLDCUP!$AC$4:$AC$147,MATCH(M44,WORLDCUP!$AH$4:$AH$147,0)))</f>
        <v/>
      </c>
      <c r="Q44" s="527" t="str">
        <f>IF(ISBLANK(INDEX(WORLDCUP!$AD$4:$AD$147,MATCH(M44,WORLDCUP!$AH$4:$AH$147,0))),"",INDEX(WORLDCUP!$AD$4:$AD$147,MATCH(M44,WORLDCUP!$AH$4:$AH$147,0)))</f>
        <v/>
      </c>
      <c r="R44" s="528" t="str">
        <f ca="1">+MID(INDEX(WORLDCUP!$AF$4:$AF$147,MATCH(M44,WORLDCUP!$AH$4:$AH$147,0)),1,3)</f>
        <v>Pan</v>
      </c>
      <c r="S44" s="529">
        <v>1</v>
      </c>
      <c r="T44" s="530" t="str">
        <f ca="1">+MID(INDEX(WORLDCUP!$AL$6:$AL$97,MATCH(X44,WORLDCUP!$AI$6:$AI$97,0)),1,3)</f>
        <v>Ing</v>
      </c>
      <c r="U44" s="531">
        <f ca="1">+INDEX(WORLDCUP!$AM$6:$AM$97,MATCH(X44,WORLDCUP!$AI$6:$AI$97,0))</f>
        <v>0</v>
      </c>
      <c r="V44" s="532">
        <f ca="1">+INDEX(WORLDCUP!$AT$6:$AT$97,MATCH(X44,WORLDCUP!$AI$6:$AI$97,0))</f>
        <v>0</v>
      </c>
      <c r="W44" s="533" t="str">
        <f ca="1">+INDEX(WORLDCUP!$AR$6:$AR$97,MATCH(X44,WORLDCUP!$AI$6:$AI$97,0))&amp;"-"&amp;INDEX(WORLDCUP!$AS$6:$AS$97,MATCH(X44,WORLDCUP!$AI$6:$AI$97,0))</f>
        <v>0-0</v>
      </c>
      <c r="X44" s="19" t="s">
        <v>682</v>
      </c>
      <c r="Y44" s="19"/>
      <c r="Z44" s="507"/>
      <c r="AA44" s="576"/>
      <c r="AB44" s="576"/>
      <c r="AC44" s="576"/>
      <c r="AD44" s="19"/>
      <c r="AE44" s="511"/>
      <c r="AF44" s="511"/>
      <c r="AG44" s="557"/>
      <c r="AH44" s="19">
        <v>100</v>
      </c>
      <c r="AI44" s="565" t="str">
        <f>+MID(INDEX(WORLDCUP!$AF$101:$AF$147,MATCH(AH44,WORLDCUP!$Z$101:$Z$147,0)),1,3)</f>
        <v>W96</v>
      </c>
      <c r="AJ44" s="566" t="str">
        <f>+IF(ISBLANK(INDEX(WORLDCUP!$AD$101:$AD$147,MATCH(AH44,WORLDCUP!$Z$101:$Z$147,0))),"",INDEX(WORLDCUP!$AD$101:$AD$147,MATCH(AH44,WORLDCUP!$Z$101:$Z$147,0)))</f>
        <v/>
      </c>
      <c r="AK44" s="541" t="str">
        <f>+IF(ISBLANK(INDEX(WORLDCUP!$AE$101:$AE$147,MATCH(AH44,WORLDCUP!$Z$101:$Z$147,0))),"","( "&amp;INDEX(WORLDCUP!$AE$101:$AE$147,MATCH(AH44,WORLDCUP!$Z$101:$Z$147,0))&amp;" )")</f>
        <v/>
      </c>
      <c r="AL44" s="90"/>
      <c r="AM44" s="513"/>
      <c r="AN44" s="513"/>
      <c r="AO44" s="513"/>
      <c r="AP44" s="19"/>
      <c r="AQ44" s="542"/>
      <c r="AR44" s="542"/>
      <c r="AS44" s="542"/>
      <c r="AT44" s="19"/>
      <c r="AU44" s="515"/>
      <c r="AV44" s="515"/>
      <c r="AW44" s="515"/>
      <c r="AX44" s="19"/>
      <c r="AY44" s="295"/>
      <c r="AZ44" s="295"/>
      <c r="BA44" s="295"/>
      <c r="BB44" s="295"/>
      <c r="BC44" s="295"/>
      <c r="BD44" s="295"/>
      <c r="BE44" s="295"/>
      <c r="BG44" s="544" t="str">
        <f ca="1">Horarios!Q43</f>
        <v>Senegal</v>
      </c>
      <c r="BH44" s="545">
        <f t="shared" ca="1" si="0"/>
        <v>1</v>
      </c>
      <c r="BI44" s="545">
        <f ca="1">COUNTIF(ADMIN!$M$130:$M$161,Fixture!BG44)-BJ44-BK44-BL44-BM44-BN44-BO44</f>
        <v>0</v>
      </c>
      <c r="BJ44" s="546">
        <f ca="1">COUNTIF(ADMIN!$M$182:$M$197,Fixture!BG44)-BK44-BL44-BM44-BN44-BO44</f>
        <v>0</v>
      </c>
      <c r="BK44" s="547">
        <f ca="1">COUNTIF(ADMIN!$M$210:$M$217,Fixture!BG44)-BL44-BM44-BN44-BO44</f>
        <v>0</v>
      </c>
      <c r="BL44" s="547">
        <f ca="1">COUNTIF(ADMIN!$M$226:$M$229,BG44)-BM44-BN44-BO44</f>
        <v>0</v>
      </c>
      <c r="BM44" s="545">
        <f ca="1">COUNTIF(ADMIN!$M$252,Fixture!BG44)</f>
        <v>0</v>
      </c>
      <c r="BN44" s="545">
        <f ca="1">COUNTIF(ADMIN!$M$251,Fixture!BG44)</f>
        <v>0</v>
      </c>
      <c r="BO44" s="548">
        <f ca="1">COUNTIF(ADMIN!$M$250,Fixture!BG44)</f>
        <v>0</v>
      </c>
    </row>
    <row r="45" spans="1:67" ht="15" thickBot="1">
      <c r="A45" s="19">
        <v>35</v>
      </c>
      <c r="B45" s="650"/>
      <c r="C45" s="526" t="str">
        <f ca="1">+MID(INDEX(WORLDCUP!$AA$4:$AA$147,MATCH(A45,WORLDCUP!$AH$4:$AH$147,0)),1,3)</f>
        <v>Paí</v>
      </c>
      <c r="D45" s="527" t="str">
        <f>IF(ISBLANK(INDEX(WORLDCUP!$AC$4:$AC$147,MATCH(A45,WORLDCUP!$AH$4:$AH$147,0))),"",INDEX(WORLDCUP!$AC$4:$AC$147,MATCH(A45,WORLDCUP!$AH$4:$AH$147,0)))</f>
        <v/>
      </c>
      <c r="E45" s="527" t="str">
        <f>IF(ISBLANK(INDEX(WORLDCUP!$AD$4:$AD$147,MATCH(A45,WORLDCUP!$AH$4:$AH$147,0))),"",INDEX(WORLDCUP!$AD$4:$AD$147,MATCH(A45,WORLDCUP!$AH$4:$AH$147,0)))</f>
        <v/>
      </c>
      <c r="F45" s="528" t="str">
        <f ca="1">+MID(INDEX(WORLDCUP!$AF$4:$AF$147,MATCH(A45,WORLDCUP!$AH$4:$AH$147,0)),1,3)</f>
        <v>Sue</v>
      </c>
      <c r="G45" s="549">
        <v>2</v>
      </c>
      <c r="H45" s="550" t="str">
        <f ca="1">+MID(INDEX(WORLDCUP!$AL$6:$AL$97,MATCH(L45,WORLDCUP!$AI$6:$AI$97,0)),1,3)</f>
        <v>Jap</v>
      </c>
      <c r="I45" s="221">
        <f ca="1">+INDEX(WORLDCUP!$AM$6:$AM$97,MATCH(L45,WORLDCUP!$AI$6:$AI$97,0))</f>
        <v>0</v>
      </c>
      <c r="J45" s="222">
        <f ca="1">+INDEX(WORLDCUP!$AT$6:$AT$97,MATCH(L45,WORLDCUP!$AI$6:$AI$97,0))</f>
        <v>0</v>
      </c>
      <c r="K45" s="223" t="str">
        <f ca="1">+INDEX(WORLDCUP!$AR$6:$AR$97,MATCH(L45,WORLDCUP!$AI$6:$AI$97,0))&amp;"-"&amp;INDEX(WORLDCUP!$AS$6:$AS$97,MATCH(L45,WORLDCUP!$AI$6:$AI$97,0))</f>
        <v>0-0</v>
      </c>
      <c r="L45" s="19" t="s">
        <v>665</v>
      </c>
      <c r="M45" s="19">
        <v>45</v>
      </c>
      <c r="N45" s="651"/>
      <c r="O45" s="526" t="str">
        <f ca="1">+MID(INDEX(WORLDCUP!$AA$4:$AA$147,MATCH(M45,WORLDCUP!$AH$4:$AH$147,0)),1,3)</f>
        <v>Ing</v>
      </c>
      <c r="P45" s="527" t="str">
        <f>IF(ISBLANK(INDEX(WORLDCUP!$AC$4:$AC$147,MATCH(M45,WORLDCUP!$AH$4:$AH$147,0))),"",INDEX(WORLDCUP!$AC$4:$AC$147,MATCH(M45,WORLDCUP!$AH$4:$AH$147,0)))</f>
        <v/>
      </c>
      <c r="Q45" s="527" t="str">
        <f>IF(ISBLANK(INDEX(WORLDCUP!$AD$4:$AD$147,MATCH(M45,WORLDCUP!$AH$4:$AH$147,0))),"",INDEX(WORLDCUP!$AD$4:$AD$147,MATCH(M45,WORLDCUP!$AH$4:$AH$147,0)))</f>
        <v/>
      </c>
      <c r="R45" s="528" t="str">
        <f ca="1">+MID(INDEX(WORLDCUP!$AF$4:$AF$147,MATCH(M45,WORLDCUP!$AH$4:$AH$147,0)),1,3)</f>
        <v>Gha</v>
      </c>
      <c r="S45" s="549">
        <v>2</v>
      </c>
      <c r="T45" s="550" t="str">
        <f ca="1">+MID(INDEX(WORLDCUP!$AL$6:$AL$97,MATCH(X45,WORLDCUP!$AI$6:$AI$97,0)),1,3)</f>
        <v>Cro</v>
      </c>
      <c r="U45" s="221">
        <f ca="1">+INDEX(WORLDCUP!$AM$6:$AM$97,MATCH(X45,WORLDCUP!$AI$6:$AI$97,0))</f>
        <v>0</v>
      </c>
      <c r="V45" s="222">
        <f ca="1">+INDEX(WORLDCUP!$AT$6:$AT$97,MATCH(X45,WORLDCUP!$AI$6:$AI$97,0))</f>
        <v>0</v>
      </c>
      <c r="W45" s="223" t="str">
        <f ca="1">+INDEX(WORLDCUP!$AR$6:$AR$97,MATCH(X45,WORLDCUP!$AI$6:$AI$97,0))&amp;"-"&amp;INDEX(WORLDCUP!$AS$6:$AS$97,MATCH(X45,WORLDCUP!$AI$6:$AI$97,0))</f>
        <v>0-0</v>
      </c>
      <c r="X45" s="19" t="s">
        <v>683</v>
      </c>
      <c r="Y45" s="19">
        <v>85</v>
      </c>
      <c r="Z45" s="507" t="s">
        <v>648</v>
      </c>
      <c r="AA45" s="508" t="str">
        <f ca="1">+MID(INDEX(WORLDCUP!$AA$101:$AA$147,MATCH(Y45,WORLDCUP!$Z$101:$Z$147,0)),1,3)</f>
        <v>1B</v>
      </c>
      <c r="AB45" s="509" t="str">
        <f>+IF(ISBLANK(INDEX(WORLDCUP!$AC$101:$AC$147,MATCH(Y45,WORLDCUP!$Z$101:$Z$147,0))),"",INDEX(WORLDCUP!$AC$101:$AC$147,MATCH(Y45,WORLDCUP!$Z$101:$Z$147,0)))</f>
        <v/>
      </c>
      <c r="AC45" s="579" t="str">
        <f>+IF(ISBLANK(INDEX(WORLDCUP!$AB$101:$AB$147,MATCH(Y45,WORLDCUP!$Z$101:$Z$147,0))),"","( "&amp;INDEX(WORLDCUP!$AB$101:$AB$147,MATCH(Y45,WORLDCUP!$Z$101:$Z$147,0))&amp;" )")</f>
        <v/>
      </c>
      <c r="AD45" s="18"/>
      <c r="AE45" s="511"/>
      <c r="AF45" s="511"/>
      <c r="AG45" s="557"/>
      <c r="AH45" s="19"/>
      <c r="AI45" s="541"/>
      <c r="AJ45" s="541"/>
      <c r="AK45" s="541"/>
      <c r="AL45" s="90"/>
      <c r="AM45" s="513"/>
      <c r="AN45" s="513"/>
      <c r="AO45" s="513"/>
      <c r="AP45" s="19"/>
      <c r="AQ45" s="542"/>
      <c r="AR45" s="542"/>
      <c r="AS45" s="542"/>
      <c r="AT45" s="19"/>
      <c r="AU45" s="515"/>
      <c r="AV45" s="515"/>
      <c r="AW45" s="515"/>
      <c r="AX45" s="19"/>
      <c r="AY45" s="295"/>
      <c r="AZ45" s="295"/>
      <c r="BA45" s="295"/>
      <c r="BB45" s="295"/>
      <c r="BC45" s="295"/>
      <c r="BD45" s="295"/>
      <c r="BE45" s="295"/>
      <c r="BG45" s="544" t="str">
        <f ca="1">Horarios!Q44</f>
        <v>Sudáfrica</v>
      </c>
      <c r="BH45" s="545">
        <f t="shared" ca="1" si="0"/>
        <v>1</v>
      </c>
      <c r="BI45" s="545">
        <f ca="1">COUNTIF(ADMIN!$M$130:$M$161,Fixture!BG45)-BJ45-BK45-BL45-BM45-BN45-BO45</f>
        <v>0</v>
      </c>
      <c r="BJ45" s="546">
        <f ca="1">COUNTIF(ADMIN!$M$182:$M$197,Fixture!BG45)-BK45-BL45-BM45-BN45-BO45</f>
        <v>0</v>
      </c>
      <c r="BK45" s="547">
        <f ca="1">COUNTIF(ADMIN!$M$210:$M$217,Fixture!BG45)-BL45-BM45-BN45-BO45</f>
        <v>0</v>
      </c>
      <c r="BL45" s="547">
        <f ca="1">COUNTIF(ADMIN!$M$226:$M$229,BG45)-BM45-BN45-BO45</f>
        <v>0</v>
      </c>
      <c r="BM45" s="545">
        <f ca="1">COUNTIF(ADMIN!$M$252,Fixture!BG45)</f>
        <v>0</v>
      </c>
      <c r="BN45" s="545">
        <f ca="1">COUNTIF(ADMIN!$M$251,Fixture!BG45)</f>
        <v>0</v>
      </c>
      <c r="BO45" s="548">
        <f ca="1">COUNTIF(ADMIN!$M$250,Fixture!BG45)</f>
        <v>0</v>
      </c>
    </row>
    <row r="46" spans="1:67" ht="15" thickBot="1">
      <c r="A46" s="19">
        <v>36</v>
      </c>
      <c r="B46" s="650"/>
      <c r="C46" s="526" t="str">
        <f ca="1">+MID(INDEX(WORLDCUP!$AA$4:$AA$147,MATCH(A46,WORLDCUP!$AH$4:$AH$147,0)),1,3)</f>
        <v>Tún</v>
      </c>
      <c r="D46" s="527" t="str">
        <f>IF(ISBLANK(INDEX(WORLDCUP!$AC$4:$AC$147,MATCH(A46,WORLDCUP!$AH$4:$AH$147,0))),"",INDEX(WORLDCUP!$AC$4:$AC$147,MATCH(A46,WORLDCUP!$AH$4:$AH$147,0)))</f>
        <v/>
      </c>
      <c r="E46" s="527" t="str">
        <f>IF(ISBLANK(INDEX(WORLDCUP!$AD$4:$AD$147,MATCH(A46,WORLDCUP!$AH$4:$AH$147,0))),"",INDEX(WORLDCUP!$AD$4:$AD$147,MATCH(A46,WORLDCUP!$AH$4:$AH$147,0)))</f>
        <v/>
      </c>
      <c r="F46" s="528" t="str">
        <f ca="1">+MID(INDEX(WORLDCUP!$AF$4:$AF$147,MATCH(A46,WORLDCUP!$AH$4:$AH$147,0)),1,3)</f>
        <v>Jap</v>
      </c>
      <c r="G46" s="549">
        <v>3</v>
      </c>
      <c r="H46" s="550" t="str">
        <f ca="1">+MID(INDEX(WORLDCUP!$AL$6:$AL$97,MATCH(L46,WORLDCUP!$AI$6:$AI$97,0)),1,3)</f>
        <v>Sue</v>
      </c>
      <c r="I46" s="221">
        <f ca="1">+INDEX(WORLDCUP!$AM$6:$AM$97,MATCH(L46,WORLDCUP!$AI$6:$AI$97,0))</f>
        <v>0</v>
      </c>
      <c r="J46" s="222">
        <f ca="1">+INDEX(WORLDCUP!$AT$6:$AT$97,MATCH(L46,WORLDCUP!$AI$6:$AI$97,0))</f>
        <v>0</v>
      </c>
      <c r="K46" s="223" t="str">
        <f ca="1">+INDEX(WORLDCUP!$AR$6:$AR$97,MATCH(L46,WORLDCUP!$AI$6:$AI$97,0))&amp;"-"&amp;INDEX(WORLDCUP!$AS$6:$AS$97,MATCH(L46,WORLDCUP!$AI$6:$AI$97,0))</f>
        <v>0-0</v>
      </c>
      <c r="L46" s="19" t="s">
        <v>94</v>
      </c>
      <c r="M46" s="19">
        <v>46</v>
      </c>
      <c r="N46" s="651"/>
      <c r="O46" s="526" t="str">
        <f ca="1">+MID(INDEX(WORLDCUP!$AA$4:$AA$147,MATCH(M46,WORLDCUP!$AH$4:$AH$147,0)),1,3)</f>
        <v>Pan</v>
      </c>
      <c r="P46" s="527" t="str">
        <f>IF(ISBLANK(INDEX(WORLDCUP!$AC$4:$AC$147,MATCH(M46,WORLDCUP!$AH$4:$AH$147,0))),"",INDEX(WORLDCUP!$AC$4:$AC$147,MATCH(M46,WORLDCUP!$AH$4:$AH$147,0)))</f>
        <v/>
      </c>
      <c r="Q46" s="527" t="str">
        <f>IF(ISBLANK(INDEX(WORLDCUP!$AD$4:$AD$147,MATCH(M46,WORLDCUP!$AH$4:$AH$147,0))),"",INDEX(WORLDCUP!$AD$4:$AD$147,MATCH(M46,WORLDCUP!$AH$4:$AH$147,0)))</f>
        <v/>
      </c>
      <c r="R46" s="528" t="str">
        <f ca="1">+MID(INDEX(WORLDCUP!$AF$4:$AF$147,MATCH(M46,WORLDCUP!$AH$4:$AH$147,0)),1,3)</f>
        <v>Cro</v>
      </c>
      <c r="S46" s="549">
        <v>3</v>
      </c>
      <c r="T46" s="550" t="str">
        <f ca="1">+MID(INDEX(WORLDCUP!$AL$6:$AL$97,MATCH(X46,WORLDCUP!$AI$6:$AI$97,0)),1,3)</f>
        <v>Gha</v>
      </c>
      <c r="U46" s="221">
        <f ca="1">+INDEX(WORLDCUP!$AM$6:$AM$97,MATCH(X46,WORLDCUP!$AI$6:$AI$97,0))</f>
        <v>0</v>
      </c>
      <c r="V46" s="222">
        <f ca="1">+INDEX(WORLDCUP!$AT$6:$AT$97,MATCH(X46,WORLDCUP!$AI$6:$AI$97,0))</f>
        <v>0</v>
      </c>
      <c r="W46" s="223" t="str">
        <f ca="1">+INDEX(WORLDCUP!$AR$6:$AR$97,MATCH(X46,WORLDCUP!$AI$6:$AI$97,0))&amp;"-"&amp;INDEX(WORLDCUP!$AS$6:$AS$97,MATCH(X46,WORLDCUP!$AI$6:$AI$97,0))</f>
        <v>0-0</v>
      </c>
      <c r="X46" s="19" t="s">
        <v>443</v>
      </c>
      <c r="Y46" s="19">
        <v>85</v>
      </c>
      <c r="Z46" s="507" t="s">
        <v>728</v>
      </c>
      <c r="AA46" s="508" t="str">
        <f ca="1">+MID(INDEX(WORLDCUP!$AF$101:$AF$147,MATCH(Y46,WORLDCUP!$Z$101:$Z$147,0)),1,IF(WORLDCUP!$H$113&lt;144,6,3))</f>
        <v>3EFGIJ</v>
      </c>
      <c r="AB46" s="535" t="str">
        <f>+IF(ISBLANK(INDEX(WORLDCUP!$AD$101:$AD$147,MATCH(Y46,WORLDCUP!$Z$101:$Z$147,0))),"",INDEX(WORLDCUP!$AD$101:$AD$147,MATCH(Y46,WORLDCUP!$Z$101:$Z$147,0)))</f>
        <v/>
      </c>
      <c r="AC46" s="536" t="str">
        <f>+IF(ISBLANK(INDEX(WORLDCUP!$AE$101:$AE$147,MATCH(Y46,WORLDCUP!$Z$101:$Z$147,0))),"","( "&amp;INDEX(WORLDCUP!$AE$101:$AE$147,MATCH(Y46,WORLDCUP!$Z$101:$Z$147,0))&amp;" )")</f>
        <v/>
      </c>
      <c r="AD46" s="537">
        <v>96</v>
      </c>
      <c r="AE46" s="538" t="str">
        <f>+MID(INDEX(WORLDCUP!$AA$101:$AA$147,MATCH(AD46,WORLDCUP!$Z$101:$Z$147,0)),1,3)</f>
        <v>W85</v>
      </c>
      <c r="AF46" s="539" t="str">
        <f>+IF(ISBLANK(INDEX(WORLDCUP!$AC$101:$AC$147,MATCH(AD46,WORLDCUP!$Z$101:$Z$147,0))),"",INDEX(WORLDCUP!$AC$101:$AC$147,MATCH(AD46,WORLDCUP!$Z$101:$Z$147,0)))</f>
        <v/>
      </c>
      <c r="AG46" s="582" t="str">
        <f>+IF(ISBLANK(INDEX(WORLDCUP!$AB$101:$AB$147,MATCH(AD46,WORLDCUP!$Z$101:$Z$147,0))),"","( "&amp;INDEX(WORLDCUP!$AB$101:$AB$147,MATCH(AD46,WORLDCUP!$Z$101:$Z$147,0))&amp;" )")</f>
        <v/>
      </c>
      <c r="AH46" s="19"/>
      <c r="AI46" s="541"/>
      <c r="AJ46" s="541"/>
      <c r="AK46" s="541"/>
      <c r="AL46" s="90"/>
      <c r="AM46" s="513"/>
      <c r="AN46" s="513"/>
      <c r="AO46" s="513"/>
      <c r="AP46" s="19"/>
      <c r="AQ46" s="542"/>
      <c r="AR46" s="542"/>
      <c r="AS46" s="542"/>
      <c r="AT46" s="19"/>
      <c r="AU46" s="515"/>
      <c r="AV46" s="515"/>
      <c r="AW46" s="515"/>
      <c r="AX46" s="19"/>
      <c r="AY46" s="295"/>
      <c r="AZ46" s="295"/>
      <c r="BA46" s="295"/>
      <c r="BB46" s="295"/>
      <c r="BC46" s="295"/>
      <c r="BD46" s="295"/>
      <c r="BE46" s="295"/>
      <c r="BG46" s="544" t="str">
        <f ca="1">Horarios!Q45</f>
        <v>Suecia</v>
      </c>
      <c r="BH46" s="545">
        <f t="shared" ca="1" si="0"/>
        <v>1</v>
      </c>
      <c r="BI46" s="545">
        <f ca="1">COUNTIF(ADMIN!$M$130:$M$161,Fixture!BG46)-BJ46-BK46-BL46-BM46-BN46-BO46</f>
        <v>0</v>
      </c>
      <c r="BJ46" s="546">
        <f ca="1">COUNTIF(ADMIN!$M$182:$M$197,Fixture!BG46)-BK46-BL46-BM46-BN46-BO46</f>
        <v>0</v>
      </c>
      <c r="BK46" s="547">
        <f ca="1">COUNTIF(ADMIN!$M$210:$M$217,Fixture!BG46)-BL46-BM46-BN46-BO46</f>
        <v>0</v>
      </c>
      <c r="BL46" s="547">
        <f ca="1">COUNTIF(ADMIN!$M$226:$M$229,BG46)-BM46-BN46-BO46</f>
        <v>0</v>
      </c>
      <c r="BM46" s="545">
        <f ca="1">COUNTIF(ADMIN!$M$252,Fixture!BG46)</f>
        <v>0</v>
      </c>
      <c r="BN46" s="545">
        <f ca="1">COUNTIF(ADMIN!$M$251,Fixture!BG46)</f>
        <v>0</v>
      </c>
      <c r="BO46" s="548">
        <f ca="1">COUNTIF(ADMIN!$M$250,Fixture!BG46)</f>
        <v>0</v>
      </c>
    </row>
    <row r="47" spans="1:67">
      <c r="A47" s="19">
        <v>57</v>
      </c>
      <c r="B47" s="650"/>
      <c r="C47" s="526" t="str">
        <f ca="1">+MID(INDEX(WORLDCUP!$AA$4:$AA$147,MATCH(A47,WORLDCUP!$AH$4:$AH$147,0)),1,3)</f>
        <v>Jap</v>
      </c>
      <c r="D47" s="527" t="str">
        <f>IF(ISBLANK(INDEX(WORLDCUP!$AC$4:$AC$147,MATCH(A47,WORLDCUP!$AH$4:$AH$147,0))),"",INDEX(WORLDCUP!$AC$4:$AC$147,MATCH(A47,WORLDCUP!$AH$4:$AH$147,0)))</f>
        <v/>
      </c>
      <c r="E47" s="527" t="str">
        <f>IF(ISBLANK(INDEX(WORLDCUP!$AD$4:$AD$147,MATCH(A47,WORLDCUP!$AH$4:$AH$147,0))),"",INDEX(WORLDCUP!$AD$4:$AD$147,MATCH(A47,WORLDCUP!$AH$4:$AH$147,0)))</f>
        <v/>
      </c>
      <c r="F47" s="528" t="str">
        <f ca="1">+MID(INDEX(WORLDCUP!$AF$4:$AF$147,MATCH(A47,WORLDCUP!$AH$4:$AH$147,0)),1,3)</f>
        <v>Sue</v>
      </c>
      <c r="G47" s="549">
        <v>4</v>
      </c>
      <c r="H47" s="558" t="str">
        <f ca="1">+MID(INDEX(WORLDCUP!$AL$6:$AL$97,MATCH(L47,WORLDCUP!$AI$6:$AI$97,0)),1,3)</f>
        <v>Tún</v>
      </c>
      <c r="I47" s="559">
        <f ca="1">+INDEX(WORLDCUP!$AM$6:$AM$97,MATCH(L47,WORLDCUP!$AI$6:$AI$97,0))</f>
        <v>0</v>
      </c>
      <c r="J47" s="560">
        <f ca="1">+INDEX(WORLDCUP!$AT$6:$AT$97,MATCH(L47,WORLDCUP!$AI$6:$AI$97,0))</f>
        <v>0</v>
      </c>
      <c r="K47" s="561" t="str">
        <f ca="1">+INDEX(WORLDCUP!$AR$6:$AR$97,MATCH(L47,WORLDCUP!$AI$6:$AI$97,0))&amp;"-"&amp;INDEX(WORLDCUP!$AS$6:$AS$97,MATCH(L47,WORLDCUP!$AI$6:$AI$97,0))</f>
        <v>0-0</v>
      </c>
      <c r="L47" s="19" t="s">
        <v>666</v>
      </c>
      <c r="M47" s="19">
        <v>67</v>
      </c>
      <c r="N47" s="651"/>
      <c r="O47" s="526" t="str">
        <f ca="1">+MID(INDEX(WORLDCUP!$AA$4:$AA$147,MATCH(M47,WORLDCUP!$AH$4:$AH$147,0)),1,3)</f>
        <v>Pan</v>
      </c>
      <c r="P47" s="527" t="str">
        <f>IF(ISBLANK(INDEX(WORLDCUP!$AC$4:$AC$147,MATCH(M47,WORLDCUP!$AH$4:$AH$147,0))),"",INDEX(WORLDCUP!$AC$4:$AC$147,MATCH(M47,WORLDCUP!$AH$4:$AH$147,0)))</f>
        <v/>
      </c>
      <c r="Q47" s="527" t="str">
        <f>IF(ISBLANK(INDEX(WORLDCUP!$AD$4:$AD$147,MATCH(M47,WORLDCUP!$AH$4:$AH$147,0))),"",INDEX(WORLDCUP!$AD$4:$AD$147,MATCH(M47,WORLDCUP!$AH$4:$AH$147,0)))</f>
        <v/>
      </c>
      <c r="R47" s="528" t="str">
        <f ca="1">+MID(INDEX(WORLDCUP!$AF$4:$AF$147,MATCH(M47,WORLDCUP!$AH$4:$AH$147,0)),1,3)</f>
        <v>Ing</v>
      </c>
      <c r="S47" s="549">
        <v>4</v>
      </c>
      <c r="T47" s="558" t="str">
        <f ca="1">+MID(INDEX(WORLDCUP!$AL$6:$AL$97,MATCH(X47,WORLDCUP!$AI$6:$AI$97,0)),1,3)</f>
        <v>Pan</v>
      </c>
      <c r="U47" s="559">
        <f ca="1">+INDEX(WORLDCUP!$AM$6:$AM$97,MATCH(X47,WORLDCUP!$AI$6:$AI$97,0))</f>
        <v>0</v>
      </c>
      <c r="V47" s="560">
        <f ca="1">+INDEX(WORLDCUP!$AT$6:$AT$97,MATCH(X47,WORLDCUP!$AI$6:$AI$97,0))</f>
        <v>0</v>
      </c>
      <c r="W47" s="561" t="str">
        <f ca="1">+INDEX(WORLDCUP!$AR$6:$AR$97,MATCH(X47,WORLDCUP!$AI$6:$AI$97,0))&amp;"-"&amp;INDEX(WORLDCUP!$AS$6:$AS$97,MATCH(X47,WORLDCUP!$AI$6:$AI$97,0))</f>
        <v>0-0</v>
      </c>
      <c r="X47" s="19" t="s">
        <v>684</v>
      </c>
      <c r="Y47" s="19"/>
      <c r="Z47" s="507"/>
      <c r="AA47" s="551"/>
      <c r="AB47" s="551"/>
      <c r="AC47" s="552"/>
      <c r="AD47" s="19">
        <v>96</v>
      </c>
      <c r="AE47" s="538" t="str">
        <f>+MID(INDEX(WORLDCUP!$AF$101:$AF$147,MATCH(AD47,WORLDCUP!$Z$101:$Z$147,0)),1,3)</f>
        <v>W87</v>
      </c>
      <c r="AF47" s="539" t="str">
        <f>+IF(ISBLANK(INDEX(WORLDCUP!$AD$101:$AD$147,MATCH(AD47,WORLDCUP!$Z$101:$Z$147,0))),"",INDEX(WORLDCUP!$AD$101:$AD$147,MATCH(AD47,WORLDCUP!$Z$101:$Z$147,0)))</f>
        <v/>
      </c>
      <c r="AG47" s="556" t="str">
        <f>+IF(ISBLANK(INDEX(WORLDCUP!$AE$101:$AE$147,MATCH(AD47,WORLDCUP!$Z$101:$Z$147,0))),"","( "&amp;INDEX(WORLDCUP!$AE$101:$AE$147,MATCH(AD47,WORLDCUP!$Z$101:$Z$147,0))&amp;" )")</f>
        <v/>
      </c>
      <c r="AH47" s="19"/>
      <c r="AI47" s="541"/>
      <c r="AJ47" s="541"/>
      <c r="AK47" s="541"/>
      <c r="AL47" s="90"/>
      <c r="AM47" s="513"/>
      <c r="AN47" s="513"/>
      <c r="AO47" s="513"/>
      <c r="AP47" s="19"/>
      <c r="AQ47" s="542"/>
      <c r="AR47" s="542"/>
      <c r="AS47" s="542"/>
      <c r="AT47" s="19"/>
      <c r="AU47" s="515"/>
      <c r="AV47" s="515"/>
      <c r="AW47" s="515"/>
      <c r="AX47" s="19"/>
      <c r="AY47" s="295"/>
      <c r="AZ47" s="295"/>
      <c r="BA47" s="295"/>
      <c r="BB47" s="295"/>
      <c r="BC47" s="295"/>
      <c r="BD47" s="295"/>
      <c r="BE47" s="295"/>
      <c r="BG47" s="544" t="str">
        <f ca="1">Horarios!Q46</f>
        <v>Suiza</v>
      </c>
      <c r="BH47" s="545">
        <f t="shared" ca="1" si="0"/>
        <v>1</v>
      </c>
      <c r="BI47" s="545">
        <f ca="1">COUNTIF(ADMIN!$M$130:$M$161,Fixture!BG47)-BJ47-BK47-BL47-BM47-BN47-BO47</f>
        <v>0</v>
      </c>
      <c r="BJ47" s="546">
        <f ca="1">COUNTIF(ADMIN!$M$182:$M$197,Fixture!BG47)-BK47-BL47-BM47-BN47-BO47</f>
        <v>0</v>
      </c>
      <c r="BK47" s="547">
        <f ca="1">COUNTIF(ADMIN!$M$210:$M$217,Fixture!BG47)-BL47-BM47-BN47-BO47</f>
        <v>0</v>
      </c>
      <c r="BL47" s="547">
        <f ca="1">COUNTIF(ADMIN!$M$226:$M$229,BG47)-BM47-BN47-BO47</f>
        <v>0</v>
      </c>
      <c r="BM47" s="545">
        <f ca="1">COUNTIF(ADMIN!$M$252,Fixture!BG47)</f>
        <v>0</v>
      </c>
      <c r="BN47" s="545">
        <f ca="1">COUNTIF(ADMIN!$M$251,Fixture!BG47)</f>
        <v>0</v>
      </c>
      <c r="BO47" s="548">
        <f ca="1">COUNTIF(ADMIN!$M$250,Fixture!BG47)</f>
        <v>0</v>
      </c>
    </row>
    <row r="48" spans="1:67" ht="15" thickBot="1">
      <c r="A48" s="19">
        <v>58</v>
      </c>
      <c r="B48" s="652"/>
      <c r="C48" s="569" t="str">
        <f ca="1">+MID(INDEX(WORLDCUP!$AA$4:$AA$147,MATCH(A48,WORLDCUP!$AH$4:$AH$147,0)),1,3)</f>
        <v>Tún</v>
      </c>
      <c r="D48" s="570" t="str">
        <f>IF(ISBLANK(INDEX(WORLDCUP!$AC$4:$AC$147,MATCH(A48,WORLDCUP!$AH$4:$AH$147,0))),"",INDEX(WORLDCUP!$AC$4:$AC$147,MATCH(A48,WORLDCUP!$AH$4:$AH$147,0)))</f>
        <v/>
      </c>
      <c r="E48" s="570" t="str">
        <f>IF(ISBLANK(INDEX(WORLDCUP!$AD$4:$AD$147,MATCH(A48,WORLDCUP!$AH$4:$AH$147,0))),"",INDEX(WORLDCUP!$AD$4:$AD$147,MATCH(A48,WORLDCUP!$AH$4:$AH$147,0)))</f>
        <v/>
      </c>
      <c r="F48" s="571" t="str">
        <f ca="1">+MID(INDEX(WORLDCUP!$AF$4:$AF$147,MATCH(A48,WORLDCUP!$AH$4:$AH$147,0)),1,3)</f>
        <v>Paí</v>
      </c>
      <c r="G48" s="572"/>
      <c r="H48" s="572"/>
      <c r="I48" s="573"/>
      <c r="J48" s="573"/>
      <c r="K48" s="574"/>
      <c r="L48" s="19"/>
      <c r="M48" s="19">
        <v>68</v>
      </c>
      <c r="N48" s="653"/>
      <c r="O48" s="569" t="str">
        <f ca="1">+MID(INDEX(WORLDCUP!$AA$4:$AA$147,MATCH(M48,WORLDCUP!$AH$4:$AH$147,0)),1,3)</f>
        <v>Cro</v>
      </c>
      <c r="P48" s="570" t="str">
        <f>IF(ISBLANK(INDEX(WORLDCUP!$AC$4:$AC$147,MATCH(M48,WORLDCUP!$AH$4:$AH$147,0))),"",INDEX(WORLDCUP!$AC$4:$AC$147,MATCH(M48,WORLDCUP!$AH$4:$AH$147,0)))</f>
        <v/>
      </c>
      <c r="Q48" s="570" t="str">
        <f>IF(ISBLANK(INDEX(WORLDCUP!$AD$4:$AD$147,MATCH(M48,WORLDCUP!$AH$4:$AH$147,0))),"",INDEX(WORLDCUP!$AD$4:$AD$147,MATCH(M48,WORLDCUP!$AH$4:$AH$147,0)))</f>
        <v/>
      </c>
      <c r="R48" s="571" t="str">
        <f ca="1">+MID(INDEX(WORLDCUP!$AF$4:$AF$147,MATCH(M48,WORLDCUP!$AH$4:$AH$147,0)),1,3)</f>
        <v>Gha</v>
      </c>
      <c r="S48" s="572"/>
      <c r="T48" s="572"/>
      <c r="U48" s="573"/>
      <c r="V48" s="573"/>
      <c r="W48" s="574"/>
      <c r="X48" s="19"/>
      <c r="Y48" s="19">
        <v>87</v>
      </c>
      <c r="Z48" s="507" t="s">
        <v>679</v>
      </c>
      <c r="AA48" s="508" t="str">
        <f ca="1">+MID(INDEX(WORLDCUP!$AA$101:$AA$147,MATCH(Y48,WORLDCUP!$Z$101:$Z$147,0)),1,3)</f>
        <v>1K</v>
      </c>
      <c r="AB48" s="554" t="str">
        <f>+IF(ISBLANK(INDEX(WORLDCUP!$AC$101:$AC$147,MATCH(Y48,WORLDCUP!$Z$101:$Z$147,0))),"",INDEX(WORLDCUP!$AC$101:$AC$147,MATCH(Y48,WORLDCUP!$Z$101:$Z$147,0)))</f>
        <v/>
      </c>
      <c r="AC48" s="588" t="str">
        <f>+IF(ISBLANK(INDEX(WORLDCUP!$AB$101:$AB$147,MATCH(Y48,WORLDCUP!$Z$101:$Z$147,0))),"","( "&amp;INDEX(WORLDCUP!$AB$101:$AB$147,MATCH(Y48,WORLDCUP!$Z$101:$Z$147,0))&amp;" )")</f>
        <v/>
      </c>
      <c r="AD48" s="19"/>
      <c r="AE48" s="511"/>
      <c r="AF48" s="511"/>
      <c r="AG48" s="511"/>
      <c r="AH48" s="19"/>
      <c r="AI48" s="541"/>
      <c r="AJ48" s="541"/>
      <c r="AK48" s="541"/>
      <c r="AL48" s="90"/>
      <c r="AM48" s="513"/>
      <c r="AN48" s="513"/>
      <c r="AO48" s="513"/>
      <c r="AP48" s="19"/>
      <c r="AQ48" s="542"/>
      <c r="AR48" s="542"/>
      <c r="AS48" s="542"/>
      <c r="AT48" s="19"/>
      <c r="AU48" s="515"/>
      <c r="AV48" s="515"/>
      <c r="AW48" s="515"/>
      <c r="AX48" s="19"/>
      <c r="AY48" s="295"/>
      <c r="AZ48" s="295"/>
      <c r="BA48" s="295"/>
      <c r="BB48" s="295"/>
      <c r="BC48" s="295"/>
      <c r="BD48" s="295"/>
      <c r="BE48" s="295"/>
      <c r="BG48" s="544" t="str">
        <f ca="1">Horarios!Q47</f>
        <v>Túnez</v>
      </c>
      <c r="BH48" s="545">
        <f t="shared" ca="1" si="0"/>
        <v>1</v>
      </c>
      <c r="BI48" s="545">
        <f ca="1">COUNTIF(ADMIN!$M$130:$M$161,Fixture!BG48)-BJ48-BK48-BL48-BM48-BN48-BO48</f>
        <v>0</v>
      </c>
      <c r="BJ48" s="546">
        <f ca="1">COUNTIF(ADMIN!$M$182:$M$197,Fixture!BG48)-BK48-BL48-BM48-BN48-BO48</f>
        <v>0</v>
      </c>
      <c r="BK48" s="547">
        <f ca="1">COUNTIF(ADMIN!$M$210:$M$217,Fixture!BG48)-BL48-BM48-BN48-BO48</f>
        <v>0</v>
      </c>
      <c r="BL48" s="547">
        <f ca="1">COUNTIF(ADMIN!$M$226:$M$229,BG48)-BM48-BN48-BO48</f>
        <v>0</v>
      </c>
      <c r="BM48" s="545">
        <f ca="1">COUNTIF(ADMIN!$M$252,Fixture!BG48)</f>
        <v>0</v>
      </c>
      <c r="BN48" s="545">
        <f ca="1">COUNTIF(ADMIN!$M$251,Fixture!BG48)</f>
        <v>0</v>
      </c>
      <c r="BO48" s="548">
        <f ca="1">COUNTIF(ADMIN!$M$250,Fixture!BG48)</f>
        <v>0</v>
      </c>
    </row>
    <row r="49" spans="1:67">
      <c r="A49" s="19"/>
      <c r="B49" s="245"/>
      <c r="C49" s="295"/>
      <c r="D49" s="295"/>
      <c r="E49" s="295"/>
      <c r="F49" s="295"/>
      <c r="G49" s="295"/>
      <c r="H49" s="295"/>
      <c r="I49" s="295"/>
      <c r="J49" s="295"/>
      <c r="K49" s="295"/>
      <c r="L49" s="295"/>
      <c r="M49" s="19"/>
      <c r="N49" s="245"/>
      <c r="O49" s="295"/>
      <c r="P49" s="295"/>
      <c r="Q49" s="295"/>
      <c r="R49" s="295"/>
      <c r="S49" s="295"/>
      <c r="T49" s="295"/>
      <c r="U49" s="295"/>
      <c r="V49" s="295"/>
      <c r="W49" s="295"/>
      <c r="X49" s="19"/>
      <c r="Y49" s="19">
        <v>87</v>
      </c>
      <c r="Z49" s="507" t="s">
        <v>729</v>
      </c>
      <c r="AA49" s="562" t="str">
        <f ca="1">+MID(INDEX(WORLDCUP!$AF$101:$AF$147,MATCH(Y49,WORLDCUP!$Z$101:$Z$147,0)),1,IF(WORLDCUP!$H$113&lt;144,6,3))</f>
        <v>3DEIJL</v>
      </c>
      <c r="AB49" s="563" t="str">
        <f>+IF(ISBLANK(INDEX(WORLDCUP!$AD$101:$AD$147,MATCH(Y49,WORLDCUP!$Z$101:$Z$147,0))),"",INDEX(WORLDCUP!$AD$101:$AD$147,MATCH(Y49,WORLDCUP!$Z$101:$Z$147,0)))</f>
        <v/>
      </c>
      <c r="AC49" s="589" t="str">
        <f>+IF(ISBLANK(INDEX(WORLDCUP!$AE$101:$AE$147,MATCH(Y49,WORLDCUP!$Z$101:$Z$147,0))),"","( "&amp;INDEX(WORLDCUP!$AE$101:$AE$147,MATCH(Y49,WORLDCUP!$Z$101:$Z$147,0))&amp;" )")</f>
        <v/>
      </c>
      <c r="AD49" s="19"/>
      <c r="AE49" s="511"/>
      <c r="AF49" s="511"/>
      <c r="AG49" s="511"/>
      <c r="AH49" s="19"/>
      <c r="AI49" s="541"/>
      <c r="AJ49" s="541"/>
      <c r="AK49" s="541"/>
      <c r="AL49" s="90"/>
      <c r="AM49" s="513"/>
      <c r="AN49" s="513"/>
      <c r="AO49" s="513"/>
      <c r="AP49" s="19"/>
      <c r="AQ49" s="542"/>
      <c r="AR49" s="542"/>
      <c r="AS49" s="542"/>
      <c r="AT49" s="19"/>
      <c r="AU49" s="515"/>
      <c r="AV49" s="515"/>
      <c r="AW49" s="515"/>
      <c r="AX49" s="19"/>
      <c r="AY49" s="295"/>
      <c r="AZ49" s="295"/>
      <c r="BA49" s="295"/>
      <c r="BB49" s="295"/>
      <c r="BC49" s="295"/>
      <c r="BD49" s="295"/>
      <c r="BE49" s="295"/>
      <c r="BG49" s="544" t="str">
        <f ca="1">Horarios!Q48</f>
        <v>Turquía</v>
      </c>
      <c r="BH49" s="545">
        <f t="shared" ca="1" si="0"/>
        <v>1</v>
      </c>
      <c r="BI49" s="545">
        <f ca="1">COUNTIF(ADMIN!$M$130:$M$161,Fixture!BG49)-BJ49-BK49-BL49-BM49-BN49-BO49</f>
        <v>0</v>
      </c>
      <c r="BJ49" s="546">
        <f ca="1">COUNTIF(ADMIN!$M$182:$M$197,Fixture!BG49)-BK49-BL49-BM49-BN49-BO49</f>
        <v>0</v>
      </c>
      <c r="BK49" s="547">
        <f ca="1">COUNTIF(ADMIN!$M$210:$M$217,Fixture!BG49)-BL49-BM49-BN49-BO49</f>
        <v>0</v>
      </c>
      <c r="BL49" s="547">
        <f ca="1">COUNTIF(ADMIN!$M$226:$M$229,BG49)-BM49-BN49-BO49</f>
        <v>0</v>
      </c>
      <c r="BM49" s="545">
        <f ca="1">COUNTIF(ADMIN!$M$252,Fixture!BG49)</f>
        <v>0</v>
      </c>
      <c r="BN49" s="545">
        <f ca="1">COUNTIF(ADMIN!$M$251,Fixture!BG49)</f>
        <v>0</v>
      </c>
      <c r="BO49" s="548">
        <f ca="1">COUNTIF(ADMIN!$M$250,Fixture!BG49)</f>
        <v>0</v>
      </c>
    </row>
    <row r="50" spans="1:67" ht="15" customHeight="1">
      <c r="A50" s="19"/>
      <c r="B50" s="245"/>
      <c r="C50" s="295"/>
      <c r="D50" s="295"/>
      <c r="E50" s="295"/>
      <c r="F50" s="295"/>
      <c r="G50" s="295"/>
      <c r="H50" s="295"/>
      <c r="I50" s="295"/>
      <c r="J50" s="295"/>
      <c r="K50" s="295"/>
      <c r="L50" s="295"/>
      <c r="M50" s="19"/>
      <c r="N50" s="245"/>
      <c r="O50" s="295"/>
      <c r="P50" s="295"/>
      <c r="Q50" s="295"/>
      <c r="R50" s="295"/>
      <c r="S50" s="295"/>
      <c r="T50" s="295"/>
      <c r="U50" s="295"/>
      <c r="V50" s="295"/>
      <c r="W50" s="295"/>
      <c r="X50" s="295"/>
      <c r="Y50" s="18"/>
      <c r="Z50" s="18"/>
      <c r="AA50" s="654"/>
      <c r="AB50" s="654"/>
      <c r="AC50" s="654"/>
      <c r="AD50" s="19"/>
      <c r="AE50" s="655"/>
      <c r="AF50" s="655"/>
      <c r="AG50" s="655"/>
      <c r="AH50" s="19"/>
      <c r="AI50" s="541"/>
      <c r="AJ50" s="541"/>
      <c r="AK50" s="541"/>
      <c r="AL50" s="90"/>
      <c r="AM50" s="513"/>
      <c r="AN50" s="513"/>
      <c r="AO50" s="513"/>
      <c r="AP50" s="19"/>
      <c r="AQ50" s="514"/>
      <c r="AR50" s="514"/>
      <c r="AS50" s="514"/>
      <c r="AT50" s="19"/>
      <c r="AU50" s="656"/>
      <c r="AV50" s="656"/>
      <c r="AW50" s="656"/>
      <c r="AX50" s="19"/>
      <c r="AY50" s="295"/>
      <c r="AZ50" s="295"/>
      <c r="BA50" s="295"/>
      <c r="BB50" s="295"/>
      <c r="BC50" s="295"/>
      <c r="BD50" s="295"/>
      <c r="BE50" s="295"/>
      <c r="BG50" s="544" t="str">
        <f ca="1">Horarios!Q49</f>
        <v>Uruguay</v>
      </c>
      <c r="BH50" s="545">
        <f t="shared" ca="1" si="0"/>
        <v>1</v>
      </c>
      <c r="BI50" s="545">
        <f ca="1">COUNTIF(ADMIN!$M$130:$M$161,Fixture!BG50)-BJ50-BK50-BL50-BM50-BN50-BO50</f>
        <v>0</v>
      </c>
      <c r="BJ50" s="546">
        <f ca="1">COUNTIF(ADMIN!$M$182:$M$197,Fixture!BG50)-BK50-BL50-BM50-BN50-BO50</f>
        <v>0</v>
      </c>
      <c r="BK50" s="547">
        <f ca="1">COUNTIF(ADMIN!$M$210:$M$217,Fixture!BG50)-BL50-BM50-BN50-BO50</f>
        <v>0</v>
      </c>
      <c r="BL50" s="547">
        <f ca="1">COUNTIF(ADMIN!$M$226:$M$229,BG50)-BM50-BN50-BO50</f>
        <v>0</v>
      </c>
      <c r="BM50" s="545">
        <f ca="1">COUNTIF(ADMIN!$M$252,Fixture!BG50)</f>
        <v>0</v>
      </c>
      <c r="BN50" s="545">
        <f ca="1">COUNTIF(ADMIN!$M$251,Fixture!BG50)</f>
        <v>0</v>
      </c>
      <c r="BO50" s="548">
        <f ca="1">COUNTIF(ADMIN!$M$250,Fixture!BG50)</f>
        <v>0</v>
      </c>
    </row>
    <row r="51" spans="1:67">
      <c r="A51" s="19"/>
      <c r="B51" s="245"/>
      <c r="C51" s="295"/>
      <c r="D51" s="295"/>
      <c r="E51" s="295"/>
      <c r="F51" s="295"/>
      <c r="G51" s="295"/>
      <c r="H51" s="295"/>
      <c r="I51" s="295"/>
      <c r="J51" s="295"/>
      <c r="K51" s="295"/>
      <c r="L51" s="295"/>
      <c r="M51" s="19"/>
      <c r="N51" s="245"/>
      <c r="O51" s="295"/>
      <c r="P51" s="295"/>
      <c r="Q51" s="295"/>
      <c r="R51" s="295"/>
      <c r="S51" s="295"/>
      <c r="T51" s="295"/>
      <c r="U51" s="295"/>
      <c r="V51" s="295"/>
      <c r="W51" s="295"/>
      <c r="X51" s="295"/>
      <c r="Y51" s="245"/>
      <c r="Z51" s="245"/>
      <c r="AA51" s="295"/>
      <c r="AB51" s="295"/>
      <c r="AC51" s="295"/>
      <c r="AD51" s="245"/>
      <c r="AE51" s="295"/>
      <c r="AF51" s="295"/>
      <c r="AG51" s="295"/>
      <c r="AH51" s="245"/>
      <c r="AI51" s="295"/>
      <c r="AJ51" s="295"/>
      <c r="AK51" s="295"/>
      <c r="AL51" s="245"/>
      <c r="AM51" s="295"/>
      <c r="AN51" s="295"/>
      <c r="AO51" s="295"/>
      <c r="AP51" s="245"/>
      <c r="AQ51" s="295"/>
      <c r="AR51" s="295"/>
      <c r="AS51" s="295"/>
      <c r="AT51" s="245"/>
      <c r="AU51" s="295"/>
      <c r="AV51" s="295"/>
      <c r="AW51" s="295"/>
      <c r="AX51" s="295"/>
      <c r="AY51" s="295"/>
      <c r="AZ51" s="295"/>
      <c r="BA51" s="295"/>
      <c r="BB51" s="295"/>
      <c r="BC51" s="295"/>
      <c r="BD51" s="295"/>
      <c r="BE51" s="295"/>
      <c r="BG51" s="657" t="str">
        <f ca="1">Horarios!Q50</f>
        <v>Uzbekistán</v>
      </c>
      <c r="BH51" s="658">
        <f t="shared" ca="1" si="0"/>
        <v>1</v>
      </c>
      <c r="BI51" s="658">
        <f ca="1">COUNTIF(ADMIN!$M$130:$M$161,Fixture!BG51)-BJ51-BK51-BL51-BM51-BN51-BO51</f>
        <v>0</v>
      </c>
      <c r="BJ51" s="659">
        <f ca="1">COUNTIF(ADMIN!$M$182:$M$197,Fixture!BG51)-BK51-BL51-BM51-BN51-BO51</f>
        <v>0</v>
      </c>
      <c r="BK51" s="660">
        <f ca="1">COUNTIF(ADMIN!$M$210:$M$217,Fixture!BG51)-BL51-BM51-BN51-BO51</f>
        <v>0</v>
      </c>
      <c r="BL51" s="660">
        <f ca="1">COUNTIF(ADMIN!$M$226:$M$229,BG51)-BM51-BN51-BO51</f>
        <v>0</v>
      </c>
      <c r="BM51" s="658">
        <f ca="1">COUNTIF(ADMIN!$M$252,Fixture!BG51)</f>
        <v>0</v>
      </c>
      <c r="BN51" s="658">
        <f ca="1">COUNTIF(ADMIN!$M$251,Fixture!BG51)</f>
        <v>0</v>
      </c>
      <c r="BO51" s="661">
        <f ca="1">COUNTIF(ADMIN!$M$250,Fixture!BG51)</f>
        <v>0</v>
      </c>
    </row>
    <row r="52" spans="1:67">
      <c r="A52" s="19"/>
      <c r="B52" s="245"/>
      <c r="C52" s="295"/>
      <c r="D52" s="295"/>
      <c r="E52" s="295"/>
      <c r="F52" s="295"/>
      <c r="G52" s="295"/>
      <c r="H52" s="295"/>
      <c r="I52" s="295"/>
      <c r="J52" s="295"/>
      <c r="K52" s="295"/>
      <c r="L52" s="295"/>
      <c r="M52" s="19"/>
      <c r="N52" s="245"/>
      <c r="O52" s="295"/>
      <c r="P52" s="295"/>
      <c r="Q52" s="295"/>
      <c r="R52" s="295"/>
      <c r="S52" s="295"/>
      <c r="T52" s="295"/>
      <c r="U52" s="295"/>
      <c r="V52" s="295"/>
      <c r="W52" s="295"/>
      <c r="X52" s="295"/>
      <c r="Y52" s="245"/>
      <c r="Z52" s="245"/>
      <c r="AA52" s="295"/>
      <c r="AB52" s="295"/>
      <c r="AC52" s="295"/>
      <c r="AD52" s="245"/>
      <c r="AE52" s="295"/>
      <c r="AF52" s="295"/>
      <c r="AG52" s="295"/>
      <c r="AH52" s="245"/>
      <c r="AI52" s="295"/>
      <c r="AJ52" s="295"/>
      <c r="AK52" s="295"/>
      <c r="AL52" s="245"/>
      <c r="AM52" s="295"/>
      <c r="AN52" s="295"/>
      <c r="AO52" s="295"/>
      <c r="AP52" s="245"/>
      <c r="AQ52" s="295"/>
      <c r="AR52" s="295"/>
      <c r="AS52" s="295"/>
      <c r="AT52" s="245"/>
      <c r="AU52" s="295"/>
      <c r="AV52" s="295"/>
      <c r="AW52" s="295"/>
      <c r="AX52" s="295"/>
      <c r="AY52" s="295"/>
      <c r="AZ52" s="295"/>
      <c r="BA52" s="295"/>
      <c r="BB52" s="295"/>
      <c r="BC52" s="295"/>
      <c r="BD52" s="295"/>
      <c r="BE52" s="295"/>
    </row>
    <row r="53" spans="1:67">
      <c r="W53" s="8"/>
      <c r="X53" s="1"/>
      <c r="BB53" s="583"/>
    </row>
    <row r="54" spans="1:67">
      <c r="W54" s="8"/>
      <c r="X54" s="1"/>
      <c r="BB54" s="583"/>
    </row>
    <row r="55" spans="1:67">
      <c r="W55" s="8"/>
      <c r="X55" s="1"/>
      <c r="BB55" s="583"/>
    </row>
    <row r="56" spans="1:67">
      <c r="W56" s="8"/>
      <c r="X56" s="1"/>
      <c r="BB56" s="583"/>
    </row>
    <row r="57" spans="1:67">
      <c r="W57" s="8"/>
      <c r="X57" s="1"/>
      <c r="BB57" s="583"/>
    </row>
  </sheetData>
  <conditionalFormatting sqref="BH4:BH51">
    <cfRule type="expression" dxfId="16" priority="1">
      <formula>$BH4=1</formula>
    </cfRule>
  </conditionalFormatting>
  <conditionalFormatting sqref="BH4:BI51">
    <cfRule type="expression" dxfId="15" priority="2">
      <formula>$BI4=1</formula>
    </cfRule>
  </conditionalFormatting>
  <conditionalFormatting sqref="BH4:BJ51">
    <cfRule type="expression" dxfId="14" priority="3">
      <formula>$BJ4=1</formula>
    </cfRule>
  </conditionalFormatting>
  <conditionalFormatting sqref="BH4:BK51">
    <cfRule type="expression" dxfId="13" priority="4">
      <formula>$BK4=1</formula>
    </cfRule>
  </conditionalFormatting>
  <conditionalFormatting sqref="BH4:BL51">
    <cfRule type="expression" dxfId="12" priority="5">
      <formula>$BL4=1</formula>
    </cfRule>
  </conditionalFormatting>
  <conditionalFormatting sqref="BH4:BM51">
    <cfRule type="expression" dxfId="11" priority="6">
      <formula>$BM4=1</formula>
    </cfRule>
  </conditionalFormatting>
  <conditionalFormatting sqref="BH4:BN51">
    <cfRule type="expression" dxfId="10" priority="7">
      <formula>$BN4=1</formula>
    </cfRule>
  </conditionalFormatting>
  <conditionalFormatting sqref="BH4:BO51">
    <cfRule type="expression" dxfId="9"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77734375" defaultRowHeight="14.4"/>
  <cols>
    <col min="1" max="2" width="10.77734375" style="21" hidden="1" customWidth="1"/>
    <col min="3" max="3" width="2.33203125" customWidth="1"/>
    <col min="4" max="4" width="46.109375" customWidth="1"/>
    <col min="5" max="6" width="12.77734375" customWidth="1"/>
    <col min="7" max="7" width="3.77734375" customWidth="1"/>
    <col min="8" max="8" width="32.109375" customWidth="1"/>
    <col min="9" max="9" width="26.6640625" bestFit="1" customWidth="1"/>
    <col min="10" max="11" width="2.33203125" customWidth="1"/>
    <col min="12" max="12" width="19" bestFit="1" customWidth="1"/>
    <col min="13" max="20" width="11.33203125" customWidth="1"/>
    <col min="21" max="22" width="10.77734375" customWidth="1"/>
    <col min="23" max="23" width="23.77734375" customWidth="1"/>
    <col min="24" max="24" width="21.33203125" customWidth="1"/>
    <col min="25" max="25" width="24.44140625" customWidth="1"/>
    <col min="26" max="26" width="17.77734375" customWidth="1"/>
    <col min="27" max="53" width="10.77734375" customWidth="1"/>
  </cols>
  <sheetData>
    <row r="1" spans="1:53">
      <c r="A1" s="25"/>
      <c r="B1" s="25"/>
      <c r="C1" s="17"/>
      <c r="D1" s="450"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0"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 thickBot="1">
      <c r="A4" s="25"/>
      <c r="B4" s="25"/>
      <c r="C4" s="17"/>
      <c r="D4" s="450"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05" customHeight="1" thickBot="1">
      <c r="A5" s="25"/>
      <c r="B5" s="25"/>
      <c r="C5" s="17"/>
      <c r="D5" s="474" t="str">
        <f>Idiomas!D496</f>
        <v>Dia seleccionado en "Daily Prediction"</v>
      </c>
      <c r="E5" s="749">
        <f>DailyPrediction!H1</f>
        <v>46186</v>
      </c>
      <c r="F5" s="404">
        <f ca="1">VLOOKUP($E$5,Equipos!$Q$2:$R$37,2,0)</f>
        <v>3</v>
      </c>
      <c r="G5" s="17"/>
      <c r="H5" s="473" t="str">
        <f>Idiomas!D501</f>
        <v>Selecciona un partido de hoy:↗</v>
      </c>
      <c r="I5" s="447" t="s">
        <v>1936</v>
      </c>
      <c r="J5" s="17"/>
      <c r="K5" s="17"/>
      <c r="L5" s="894">
        <f>SUM(WORLDCUP!AG4:AG147)/104</f>
        <v>3.8461538461538464E-2</v>
      </c>
      <c r="M5" s="895"/>
      <c r="N5" s="895"/>
      <c r="O5" s="895"/>
      <c r="P5" s="895"/>
      <c r="Q5" s="895"/>
      <c r="R5" s="895"/>
      <c r="S5" s="895"/>
      <c r="T5" s="896"/>
      <c r="U5" s="25"/>
      <c r="V5" s="11">
        <f>ADMIN!$D$5</f>
        <v>36</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 thickBot="1">
      <c r="A6" s="25"/>
      <c r="B6" s="25"/>
      <c r="C6" s="17"/>
      <c r="D6" s="17"/>
      <c r="E6" s="17"/>
      <c r="F6" s="17"/>
      <c r="G6" s="17"/>
      <c r="H6" s="450"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6" t="s">
        <v>1933</v>
      </c>
      <c r="E7" s="127" t="str">
        <f>Idiomas!D497</f>
        <v>Puntos</v>
      </c>
      <c r="F7" s="128" t="s">
        <v>1711</v>
      </c>
      <c r="G7" s="17"/>
      <c r="H7" s="126" t="str">
        <f>Idiomas!D499</f>
        <v>Resultado</v>
      </c>
      <c r="I7" s="127" t="str">
        <f>Idiomas!D500</f>
        <v>Nº de veces</v>
      </c>
      <c r="J7" s="699" t="s">
        <v>1725</v>
      </c>
      <c r="K7" s="25"/>
      <c r="L7" s="132"/>
      <c r="M7" s="458" t="str">
        <f>Idiomas!D344</f>
        <v>Fase de grupos</v>
      </c>
      <c r="N7" s="459" t="s">
        <v>1782</v>
      </c>
      <c r="O7" s="460" t="s">
        <v>1781</v>
      </c>
      <c r="P7" s="461" t="s">
        <v>1783</v>
      </c>
      <c r="Q7" s="462" t="s">
        <v>1784</v>
      </c>
      <c r="R7" s="463" t="str">
        <f>Idiomas!D337</f>
        <v>3º puesto</v>
      </c>
      <c r="S7" s="464" t="str">
        <f>Idiomas!D336</f>
        <v>Subcampeón</v>
      </c>
      <c r="T7" s="465"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1" t="str">
        <f>Idiomas!D484&amp;TEXT($E$5,"dd/mm/aa")&amp;" (Individual)"</f>
        <v>Puntos en juego 13/06/aa (Individual)</v>
      </c>
      <c r="E8" s="452">
        <f ca="1">IFERROR(SUMIF(ADMIN!$G$6:$G$258,$F$5,ADMIN!$F$6:$F$258),"")</f>
        <v>60</v>
      </c>
      <c r="F8" s="453">
        <f ca="1">IFERROR(E8/$B$46,0)</f>
        <v>1.2257405515832482E-2</v>
      </c>
      <c r="G8" s="17"/>
      <c r="H8" s="451" t="str" cm="1">
        <f t="array" aca="1" ref="H8:I8" ca="1">_xlfn.SORTBY(OFFSET($Y$35,0,0,COUNTA(_xlfn.ANCHORARRAY($Y$35)),2),OFFSET(Z35,0,0,COUNTA(_xlfn.ANCHORARRAY($Y$35))),-1)</f>
        <v>Selecciona un partido de hoy:↗</v>
      </c>
      <c r="I8" s="700" t="str">
        <f ca="1"/>
        <v/>
      </c>
      <c r="J8" s="701"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29" t="str">
        <f ca="1">Horarios!Q3</f>
        <v>Alemania</v>
      </c>
      <c r="M8" s="466">
        <f ca="1">ADMIN!$D$5-SUM(N8:T8)</f>
        <v>2</v>
      </c>
      <c r="N8" s="466">
        <f ca="1">IFERROR(COUNTIF(ADMIN!$S$130:INDEX(ADMIN!$S$130:$FD$161,32,ADMIN!$D$5*3-1),Stats!$L8)-SUM(O8:T8),0)</f>
        <v>2</v>
      </c>
      <c r="O8" s="466">
        <f ca="1">COUNTIF(ADMIN!$S$182:INDEX(ADMIN!$S$182:$FD$197,16,ADMIN!$D$5*3-1),Stats!$L8)-SUM(P8:T8)</f>
        <v>25</v>
      </c>
      <c r="P8" s="466">
        <f ca="1">COUNTIF(ADMIN!$S$210:INDEX(ADMIN!$S$210:$FD$217,8,ADMIN!$D$5*3-1),Stats!$L8)-SUM(Q8:T8)</f>
        <v>4</v>
      </c>
      <c r="Q8" s="466">
        <f ca="1">COUNTIF(ADMIN!$S$226:INDEX(ADMIN!$S$226:$FD$229,4,ADMIN!$D$5*3-1),Stats!$L8)-SUM(R8:T8)</f>
        <v>3</v>
      </c>
      <c r="R8" s="466">
        <f ca="1">IFERROR(COUNTIF(ADMIN!$S$252:INDEX(ADMIN!$S$252:$FD$252,1,ADMIN!$D$5*3-1),Stats!$L8),0)</f>
        <v>0</v>
      </c>
      <c r="S8" s="466">
        <f ca="1">IFERROR(COUNTIF(ADMIN!$S$251:INDEX(ADMIN!$S$251:$FD$251,1,ADMIN!$D$5*3-1),Stats!$L8),0)</f>
        <v>0</v>
      </c>
      <c r="T8" s="467">
        <f ca="1">IFERROR(COUNTIF(ADMIN!$S$250:INDEX(ADMIN!$S$250:$FD$250,1,ADMIN!$D$5*3-1),Stats!$L8),0)</f>
        <v>0</v>
      </c>
      <c r="U8" s="25"/>
      <c r="V8" s="11">
        <f t="shared" ref="V8:V55" ca="1" si="0">SUM(M8:T8)</f>
        <v>36</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4" t="str">
        <f>Idiomas!D485&amp;TEXT($E$5,"dd/mm/aa")&amp;" (Individual)"</f>
        <v>Máximo de puntos hasta 13/06/aa (Individual)</v>
      </c>
      <c r="E9" s="452">
        <f ca="1">IFERROR(SUMIF($A$22:$A$45,"&lt;"&amp;$F$5,$B$22:$B$45),"")</f>
        <v>60</v>
      </c>
      <c r="F9" s="453">
        <f ca="1">IFERROR(E9/$B$46,0)</f>
        <v>1.2257405515832482E-2</v>
      </c>
      <c r="G9" s="17"/>
      <c r="H9" s="454"/>
      <c r="I9" s="700"/>
      <c r="J9" s="701"/>
      <c r="K9" s="404"/>
      <c r="L9" s="130" t="str">
        <f ca="1">Horarios!Q4</f>
        <v>Arabia Saudita</v>
      </c>
      <c r="M9" s="468">
        <f ca="1">ADMIN!$D$5-SUM(N9:T9)</f>
        <v>19</v>
      </c>
      <c r="N9" s="468">
        <f ca="1">IFERROR(COUNTIF(ADMIN!$S$130:INDEX(ADMIN!$S$130:$FD$161,32,ADMIN!$D$5*3-1),Stats!$L9)-SUM(O9:T9),0)</f>
        <v>16</v>
      </c>
      <c r="O9" s="468">
        <f ca="1">COUNTIF(ADMIN!$S$182:INDEX(ADMIN!$S$182:$FD$197,16,ADMIN!$D$5*3-1),Stats!$L9)-SUM(P9:T9)</f>
        <v>1</v>
      </c>
      <c r="P9" s="468">
        <f ca="1">COUNTIF(ADMIN!$S$210:INDEX(ADMIN!$S$210:$FD$217,8,ADMIN!$D$5*3-1),Stats!$L9)-SUM(Q9:T9)</f>
        <v>0</v>
      </c>
      <c r="Q9" s="468">
        <f ca="1">COUNTIF(ADMIN!$S$226:INDEX(ADMIN!$S$226:$FD$229,4,ADMIN!$D$5*3-1),Stats!$L9)-SUM(R9:T9)</f>
        <v>0</v>
      </c>
      <c r="R9" s="468">
        <f ca="1">IFERROR(COUNTIF(ADMIN!$S$252:INDEX(ADMIN!$S$252:$FD$252,1,ADMIN!$D$5*3-1),Stats!$L9),0)</f>
        <v>0</v>
      </c>
      <c r="S9" s="468">
        <f ca="1">IFERROR(COUNTIF(ADMIN!$S$251:INDEX(ADMIN!$S$251:$FD$251,1,ADMIN!$D$5*3-1),Stats!$L9),0)</f>
        <v>0</v>
      </c>
      <c r="T9" s="469">
        <f ca="1">IFERROR(COUNTIF(ADMIN!$S$250:INDEX(ADMIN!$S$250:$FD$250,1,ADMIN!$D$5*3-1),Stats!$L9),0)</f>
        <v>0</v>
      </c>
      <c r="U9" s="25"/>
      <c r="V9" s="11">
        <f t="shared" ca="1" si="0"/>
        <v>36</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1" t="str">
        <f>Idiomas!D486&amp;TEXT($E$5,"dd/mm/aa")&amp;" (Individual)"</f>
        <v>Máximo de puntos incluido 13/06/aa (Individual)</v>
      </c>
      <c r="E10" s="452">
        <f ca="1">IFERROR(SUMIF($A$22:$A$45,"&lt;="&amp;$F$5,$B$22:$B$45),"")</f>
        <v>120</v>
      </c>
      <c r="F10" s="453">
        <f ca="1">IFERROR(E10/$B$46,0)</f>
        <v>2.4514811031664963E-2</v>
      </c>
      <c r="G10" s="17"/>
      <c r="H10" s="451"/>
      <c r="I10" s="700"/>
      <c r="J10" s="701"/>
      <c r="K10" s="404"/>
      <c r="L10" s="131" t="str">
        <f ca="1">Horarios!Q5</f>
        <v>Argelia</v>
      </c>
      <c r="M10" s="466">
        <f ca="1">ADMIN!$D$5-SUM(N10:T10)</f>
        <v>10</v>
      </c>
      <c r="N10" s="466">
        <f ca="1">IFERROR(COUNTIF(ADMIN!$S$130:INDEX(ADMIN!$S$130:$FD$161,32,ADMIN!$D$5*3-1),Stats!$L10)-SUM(O10:T10),0)</f>
        <v>25</v>
      </c>
      <c r="O10" s="466">
        <f ca="1">COUNTIF(ADMIN!$S$182:INDEX(ADMIN!$S$182:$FD$197,16,ADMIN!$D$5*3-1),Stats!$L10)-SUM(P10:T10)</f>
        <v>1</v>
      </c>
      <c r="P10" s="466">
        <f ca="1">COUNTIF(ADMIN!$S$210:INDEX(ADMIN!$S$210:$FD$217,8,ADMIN!$D$5*3-1),Stats!$L10)-SUM(Q10:T10)</f>
        <v>0</v>
      </c>
      <c r="Q10" s="466">
        <f ca="1">COUNTIF(ADMIN!$S$226:INDEX(ADMIN!$S$226:$FD$229,4,ADMIN!$D$5*3-1),Stats!$L10)-SUM(R10:T10)</f>
        <v>0</v>
      </c>
      <c r="R10" s="466">
        <f ca="1">IFERROR(COUNTIF(ADMIN!$S$252:INDEX(ADMIN!$S$252:$FD$252,1,ADMIN!$D$5*3-1),Stats!$L10),0)</f>
        <v>0</v>
      </c>
      <c r="S10" s="466">
        <f ca="1">IFERROR(COUNTIF(ADMIN!$S$251:INDEX(ADMIN!$S$251:$FD$251,1,ADMIN!$D$5*3-1),Stats!$L10),0)</f>
        <v>0</v>
      </c>
      <c r="T10" s="467">
        <f ca="1">IFERROR(COUNTIF(ADMIN!$S$250:INDEX(ADMIN!$S$250:$FD$250,1,ADMIN!$D$5*3-1),Stats!$L10),0)</f>
        <v>0</v>
      </c>
      <c r="U10" s="25"/>
      <c r="V10" s="11">
        <f t="shared" ca="1" si="0"/>
        <v>36</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4" t="str">
        <f>Idiomas!D487&amp;" (Individual)"</f>
        <v>Quedan por repartir:  (Individual)</v>
      </c>
      <c r="E11" s="452">
        <f ca="1">IFERROR(SUMIF($A$22:$A$45,"&gt;"&amp;$F$5,$B$22:$B$45),0)</f>
        <v>4775</v>
      </c>
      <c r="F11" s="453">
        <f ca="1">IFERROR(1-F10,0)</f>
        <v>0.97548518896833503</v>
      </c>
      <c r="G11" s="17"/>
      <c r="H11" s="454"/>
      <c r="I11" s="700"/>
      <c r="J11" s="701"/>
      <c r="K11" s="404"/>
      <c r="L11" s="130" t="str">
        <f ca="1">Horarios!Q6</f>
        <v>Argentina</v>
      </c>
      <c r="M11" s="468">
        <f ca="1">ADMIN!$D$5-SUM(N11:T11)</f>
        <v>2</v>
      </c>
      <c r="N11" s="468">
        <f ca="1">IFERROR(COUNTIF(ADMIN!$S$130:INDEX(ADMIN!$S$130:$FD$161,32,ADMIN!$D$5*3-1),Stats!$L11)-SUM(O11:T11),0)</f>
        <v>2</v>
      </c>
      <c r="O11" s="468">
        <f ca="1">COUNTIF(ADMIN!$S$182:INDEX(ADMIN!$S$182:$FD$197,16,ADMIN!$D$5*3-1),Stats!$L11)-SUM(P11:T11)</f>
        <v>1</v>
      </c>
      <c r="P11" s="468">
        <f ca="1">COUNTIF(ADMIN!$S$210:INDEX(ADMIN!$S$210:$FD$217,8,ADMIN!$D$5*3-1),Stats!$L11)-SUM(Q11:T11)</f>
        <v>19</v>
      </c>
      <c r="Q11" s="468">
        <f ca="1">COUNTIF(ADMIN!$S$226:INDEX(ADMIN!$S$226:$FD$229,4,ADMIN!$D$5*3-1),Stats!$L11)-SUM(R11:T11)</f>
        <v>2</v>
      </c>
      <c r="R11" s="468">
        <f ca="1">IFERROR(COUNTIF(ADMIN!$S$252:INDEX(ADMIN!$S$252:$FD$252,1,ADMIN!$D$5*3-1),Stats!$L11),0)</f>
        <v>1</v>
      </c>
      <c r="S11" s="468">
        <f ca="1">IFERROR(COUNTIF(ADMIN!$S$251:INDEX(ADMIN!$S$251:$FD$251,1,ADMIN!$D$5*3-1),Stats!$L11),0)</f>
        <v>5</v>
      </c>
      <c r="T11" s="469">
        <f ca="1">IFERROR(COUNTIF(ADMIN!$S$250:INDEX(ADMIN!$S$250:$FD$250,1,ADMIN!$D$5*3-1),Stats!$L11),0)</f>
        <v>4</v>
      </c>
      <c r="U11" s="25"/>
      <c r="V11" s="11">
        <f t="shared" ca="1" si="0"/>
        <v>36</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1" t="str">
        <f>Idiomas!D488</f>
        <v>Puntos máximos totales a repartir hoy (Global):</v>
      </c>
      <c r="E12" s="452">
        <f ca="1">IFERROR($E$8*ADMIN!$D$5,0)</f>
        <v>2160</v>
      </c>
      <c r="F12" s="453">
        <f ca="1">IFERROR(E12/B47,0)</f>
        <v>1.2257405515832482E-2</v>
      </c>
      <c r="G12" s="17"/>
      <c r="H12" s="451"/>
      <c r="I12" s="700"/>
      <c r="J12" s="701"/>
      <c r="K12" s="404"/>
      <c r="L12" s="131" t="str">
        <f ca="1">Horarios!Q7</f>
        <v>Australia</v>
      </c>
      <c r="M12" s="466">
        <f ca="1">ADMIN!$D$5-SUM(N12:T12)</f>
        <v>34</v>
      </c>
      <c r="N12" s="466">
        <f ca="1">IFERROR(COUNTIF(ADMIN!$S$130:INDEX(ADMIN!$S$130:$FD$161,32,ADMIN!$D$5*3-1),Stats!$L12)-SUM(O12:T12),0)</f>
        <v>1</v>
      </c>
      <c r="O12" s="466">
        <f ca="1">COUNTIF(ADMIN!$S$182:INDEX(ADMIN!$S$182:$FD$197,16,ADMIN!$D$5*3-1),Stats!$L12)-SUM(P12:T12)</f>
        <v>1</v>
      </c>
      <c r="P12" s="466">
        <f ca="1">COUNTIF(ADMIN!$S$210:INDEX(ADMIN!$S$210:$FD$217,8,ADMIN!$D$5*3-1),Stats!$L12)-SUM(Q12:T12)</f>
        <v>0</v>
      </c>
      <c r="Q12" s="466">
        <f ca="1">COUNTIF(ADMIN!$S$226:INDEX(ADMIN!$S$226:$FD$229,4,ADMIN!$D$5*3-1),Stats!$L12)-SUM(R12:T12)</f>
        <v>0</v>
      </c>
      <c r="R12" s="466">
        <f ca="1">IFERROR(COUNTIF(ADMIN!$S$252:INDEX(ADMIN!$S$252:$FD$252,1,ADMIN!$D$5*3-1),Stats!$L12),0)</f>
        <v>0</v>
      </c>
      <c r="S12" s="466">
        <f ca="1">IFERROR(COUNTIF(ADMIN!$S$251:INDEX(ADMIN!$S$251:$FD$251,1,ADMIN!$D$5*3-1),Stats!$L12),0)</f>
        <v>0</v>
      </c>
      <c r="T12" s="467">
        <f ca="1">IFERROR(COUNTIF(ADMIN!$S$250:INDEX(ADMIN!$S$250:$FD$250,1,ADMIN!$D$5*3-1),Stats!$L12),0)</f>
        <v>0</v>
      </c>
      <c r="U12" s="25"/>
      <c r="V12" s="11">
        <f t="shared" ca="1" si="0"/>
        <v>36</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4" t="str">
        <f>Idiomas!D489</f>
        <v>Puntos repartidos hoy (Global)</v>
      </c>
      <c r="E13" s="452">
        <f ca="1">IFERROR(SUM(DailyClas!$G$4:INDEX(DailyClas!$G$4:$G$63,ADMIN!$D$5)),0)</f>
        <v>0</v>
      </c>
      <c r="F13" s="453">
        <f ca="1">IFERROR(E13/E12,0)</f>
        <v>0</v>
      </c>
      <c r="G13" s="17"/>
      <c r="H13" s="454"/>
      <c r="I13" s="700"/>
      <c r="J13" s="701"/>
      <c r="K13" s="404"/>
      <c r="L13" s="130" t="str">
        <f ca="1">Horarios!Q8</f>
        <v>Austria</v>
      </c>
      <c r="M13" s="468">
        <f ca="1">ADMIN!$D$5-SUM(N13:T13)</f>
        <v>4</v>
      </c>
      <c r="N13" s="468">
        <f ca="1">IFERROR(COUNTIF(ADMIN!$S$130:INDEX(ADMIN!$S$130:$FD$161,32,ADMIN!$D$5*3-1),Stats!$L13)-SUM(O13:T13),0)</f>
        <v>29</v>
      </c>
      <c r="O13" s="468">
        <f ca="1">COUNTIF(ADMIN!$S$182:INDEX(ADMIN!$S$182:$FD$197,16,ADMIN!$D$5*3-1),Stats!$L13)-SUM(P13:T13)</f>
        <v>3</v>
      </c>
      <c r="P13" s="468">
        <f ca="1">COUNTIF(ADMIN!$S$210:INDEX(ADMIN!$S$210:$FD$217,8,ADMIN!$D$5*3-1),Stats!$L13)-SUM(Q13:T13)</f>
        <v>0</v>
      </c>
      <c r="Q13" s="468">
        <f ca="1">COUNTIF(ADMIN!$S$226:INDEX(ADMIN!$S$226:$FD$229,4,ADMIN!$D$5*3-1),Stats!$L13)-SUM(R13:T13)</f>
        <v>0</v>
      </c>
      <c r="R13" s="468">
        <f ca="1">IFERROR(COUNTIF(ADMIN!$S$252:INDEX(ADMIN!$S$252:$FD$252,1,ADMIN!$D$5*3-1),Stats!$L13),0)</f>
        <v>0</v>
      </c>
      <c r="S13" s="468">
        <f ca="1">IFERROR(COUNTIF(ADMIN!$S$251:INDEX(ADMIN!$S$251:$FD$251,1,ADMIN!$D$5*3-1),Stats!$L13),0)</f>
        <v>0</v>
      </c>
      <c r="T13" s="469">
        <f ca="1">IFERROR(COUNTIF(ADMIN!$S$250:INDEX(ADMIN!$S$250:$FD$250,1,ADMIN!$D$5*3-1),Stats!$L13),0)</f>
        <v>0</v>
      </c>
      <c r="U13" s="25"/>
      <c r="V13" s="11">
        <f t="shared" ca="1" si="0"/>
        <v>36</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1" t="str">
        <f>Idiomas!D490&amp;TEXT($E$5,"dd/mm/aa")&amp;"?"</f>
        <v>¿Cúantos han acertado el máximo de puntos 13/06/aa?</v>
      </c>
      <c r="E14" s="452">
        <f ca="1">IFERROR(IF(SUM(ADMIN!$D$8:$D$47)=0,0,COUNTIF(DailyClas!$G$4:INDEX(DailyClas!$G:$G,ADMIN!$D$5+3),Stats!E8)),0)</f>
        <v>0</v>
      </c>
      <c r="F14" s="453">
        <f ca="1">IFERROR(E14/ADMIN!$D$5,0)</f>
        <v>0</v>
      </c>
      <c r="G14" s="17"/>
      <c r="H14" s="451"/>
      <c r="I14" s="700"/>
      <c r="J14" s="701"/>
      <c r="K14" s="404"/>
      <c r="L14" s="131" t="str">
        <f ca="1">Horarios!Q9</f>
        <v>Bélgica</v>
      </c>
      <c r="M14" s="466">
        <f ca="1">ADMIN!$D$5-SUM(N14:T14)</f>
        <v>2</v>
      </c>
      <c r="N14" s="466">
        <f ca="1">IFERROR(COUNTIF(ADMIN!$S$130:INDEX(ADMIN!$S$130:$FD$161,32,ADMIN!$D$5*3-1),Stats!$L14)-SUM(O14:T14),0)</f>
        <v>1</v>
      </c>
      <c r="O14" s="466">
        <f ca="1">COUNTIF(ADMIN!$S$182:INDEX(ADMIN!$S$182:$FD$197,16,ADMIN!$D$5*3-1),Stats!$L14)-SUM(P14:T14)</f>
        <v>6</v>
      </c>
      <c r="P14" s="466">
        <f ca="1">COUNTIF(ADMIN!$S$210:INDEX(ADMIN!$S$210:$FD$217,8,ADMIN!$D$5*3-1),Stats!$L14)-SUM(Q14:T14)</f>
        <v>25</v>
      </c>
      <c r="Q14" s="466">
        <f ca="1">COUNTIF(ADMIN!$S$226:INDEX(ADMIN!$S$226:$FD$229,4,ADMIN!$D$5*3-1),Stats!$L14)-SUM(R14:T14)</f>
        <v>1</v>
      </c>
      <c r="R14" s="466">
        <f ca="1">IFERROR(COUNTIF(ADMIN!$S$252:INDEX(ADMIN!$S$252:$FD$252,1,ADMIN!$D$5*3-1),Stats!$L14),0)</f>
        <v>1</v>
      </c>
      <c r="S14" s="466">
        <f ca="1">IFERROR(COUNTIF(ADMIN!$S$251:INDEX(ADMIN!$S$251:$FD$251,1,ADMIN!$D$5*3-1),Stats!$L14),0)</f>
        <v>0</v>
      </c>
      <c r="T14" s="467">
        <f ca="1">IFERROR(COUNTIF(ADMIN!$S$250:INDEX(ADMIN!$S$250:$FD$250,1,ADMIN!$D$5*3-1),Stats!$L14),0)</f>
        <v>0</v>
      </c>
      <c r="U14" s="25"/>
      <c r="V14" s="11">
        <f t="shared" ca="1" si="0"/>
        <v>36</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4" t="str">
        <f>Idiomas!D491&amp;TEXT($E$5,"dd/mm/aa")&amp;"?"</f>
        <v>¿Cúantos se han llevado algún punto 13/06/aa?</v>
      </c>
      <c r="E15" s="452">
        <f ca="1">IFERROR(COUNTIF(DailyClas!$G$4:INDEX(DailyClas!$G$4:$G$63,ADMIN!$D$5),"&gt;0"),0)</f>
        <v>0</v>
      </c>
      <c r="F15" s="453">
        <f ca="1">IFERROR(E15/ADMIN!$D$5,0)</f>
        <v>0</v>
      </c>
      <c r="G15" s="17"/>
      <c r="H15" s="454"/>
      <c r="I15" s="700"/>
      <c r="J15" s="701"/>
      <c r="K15" s="404"/>
      <c r="L15" s="130" t="str">
        <f ca="1">Horarios!Q10</f>
        <v>Bosnia y Herzegovina</v>
      </c>
      <c r="M15" s="468">
        <f ca="1">ADMIN!$D$5-SUM(N15:T15)</f>
        <v>13</v>
      </c>
      <c r="N15" s="468">
        <f ca="1">IFERROR(COUNTIF(ADMIN!$S$130:INDEX(ADMIN!$S$130:$FD$161,32,ADMIN!$D$5*3-1),Stats!$L15)-SUM(O15:T15),0)</f>
        <v>18</v>
      </c>
      <c r="O15" s="468">
        <f ca="1">COUNTIF(ADMIN!$S$182:INDEX(ADMIN!$S$182:$FD$197,16,ADMIN!$D$5*3-1),Stats!$L15)-SUM(P15:T15)</f>
        <v>4</v>
      </c>
      <c r="P15" s="468">
        <f ca="1">COUNTIF(ADMIN!$S$210:INDEX(ADMIN!$S$210:$FD$217,8,ADMIN!$D$5*3-1),Stats!$L15)-SUM(Q15:T15)</f>
        <v>1</v>
      </c>
      <c r="Q15" s="468">
        <f ca="1">COUNTIF(ADMIN!$S$226:INDEX(ADMIN!$S$226:$FD$229,4,ADMIN!$D$5*3-1),Stats!$L15)-SUM(R15:T15)</f>
        <v>0</v>
      </c>
      <c r="R15" s="468">
        <f ca="1">IFERROR(COUNTIF(ADMIN!$S$252:INDEX(ADMIN!$S$252:$FD$252,1,ADMIN!$D$5*3-1),Stats!$L15),0)</f>
        <v>0</v>
      </c>
      <c r="S15" s="468">
        <f ca="1">IFERROR(COUNTIF(ADMIN!$S$251:INDEX(ADMIN!$S$251:$FD$251,1,ADMIN!$D$5*3-1),Stats!$L15),0)</f>
        <v>0</v>
      </c>
      <c r="T15" s="469">
        <f ca="1">IFERROR(COUNTIF(ADMIN!$S$250:INDEX(ADMIN!$S$250:$FD$250,1,ADMIN!$D$5*3-1),Stats!$L15),0)</f>
        <v>0</v>
      </c>
      <c r="U15" s="25"/>
      <c r="V15" s="11">
        <f t="shared" ca="1" si="0"/>
        <v>36</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1" t="str">
        <f>Idiomas!D492&amp;TEXT($E$5,"dd/mm/aa")&amp;"?"</f>
        <v>¿Cúantos no han acertado nada 13/06/aa?</v>
      </c>
      <c r="E16" s="452">
        <f ca="1">IFERROR(IF(SUM(ADMIN!$D$8:$D$47)=0,0,COUNTIF(DailyClas!$G$4:INDEX(DailyClas!$G$4:$G$63,ADMIN!$D$5),0)),0)</f>
        <v>36</v>
      </c>
      <c r="F16" s="453">
        <f ca="1">IFERROR(E16/ADMIN!$D$5,0)</f>
        <v>1</v>
      </c>
      <c r="G16" s="17"/>
      <c r="H16" s="451"/>
      <c r="I16" s="700"/>
      <c r="J16" s="701"/>
      <c r="K16" s="404"/>
      <c r="L16" s="131" t="str">
        <f ca="1">Horarios!Q11</f>
        <v>Brasil</v>
      </c>
      <c r="M16" s="466">
        <f ca="1">ADMIN!$D$5-SUM(N16:T16)</f>
        <v>2</v>
      </c>
      <c r="N16" s="466">
        <f ca="1">IFERROR(COUNTIF(ADMIN!$S$130:INDEX(ADMIN!$S$130:$FD$161,32,ADMIN!$D$5*3-1),Stats!$L16)-SUM(O16:T16),0)</f>
        <v>6</v>
      </c>
      <c r="O16" s="466">
        <f ca="1">COUNTIF(ADMIN!$S$182:INDEX(ADMIN!$S$182:$FD$197,16,ADMIN!$D$5*3-1),Stats!$L16)-SUM(P16:T16)</f>
        <v>3</v>
      </c>
      <c r="P16" s="466">
        <f ca="1">COUNTIF(ADMIN!$S$210:INDEX(ADMIN!$S$210:$FD$217,8,ADMIN!$D$5*3-1),Stats!$L16)-SUM(Q16:T16)</f>
        <v>10</v>
      </c>
      <c r="Q16" s="466">
        <f ca="1">COUNTIF(ADMIN!$S$226:INDEX(ADMIN!$S$226:$FD$229,4,ADMIN!$D$5*3-1),Stats!$L16)-SUM(R16:T16)</f>
        <v>8</v>
      </c>
      <c r="R16" s="466">
        <f ca="1">IFERROR(COUNTIF(ADMIN!$S$252:INDEX(ADMIN!$S$252:$FD$252,1,ADMIN!$D$5*3-1),Stats!$L16),0)</f>
        <v>5</v>
      </c>
      <c r="S16" s="466">
        <f ca="1">IFERROR(COUNTIF(ADMIN!$S$251:INDEX(ADMIN!$S$251:$FD$251,1,ADMIN!$D$5*3-1),Stats!$L16),0)</f>
        <v>2</v>
      </c>
      <c r="T16" s="467">
        <f ca="1">IFERROR(COUNTIF(ADMIN!$S$250:INDEX(ADMIN!$S$250:$FD$250,1,ADMIN!$D$5*3-1),Stats!$L16),0)</f>
        <v>0</v>
      </c>
      <c r="U16" s="25"/>
      <c r="V16" s="11">
        <f t="shared" ca="1" si="0"/>
        <v>36</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5" t="str">
        <f>Idiomas!D493&amp;TEXT($E$5,"dd/mm/aa")&amp;"?"</f>
        <v>Media de puntos sumados 13/06/aa?</v>
      </c>
      <c r="E17" s="456">
        <f ca="1">IFERROR(AVERAGE(DailyClas!$G$4:INDEX(DailyClas!$G$4:$G$63,ADMIN!$D$5)),0)</f>
        <v>0</v>
      </c>
      <c r="F17" s="457"/>
      <c r="G17" s="17"/>
      <c r="H17" s="454"/>
      <c r="I17" s="700"/>
      <c r="J17" s="702"/>
      <c r="K17" s="404"/>
      <c r="L17" s="130" t="str">
        <f ca="1">Horarios!Q12</f>
        <v>Cabo Verde</v>
      </c>
      <c r="M17" s="468">
        <f ca="1">ADMIN!$D$5-SUM(N17:T17)</f>
        <v>34</v>
      </c>
      <c r="N17" s="468">
        <f ca="1">IFERROR(COUNTIF(ADMIN!$S$130:INDEX(ADMIN!$S$130:$FD$161,32,ADMIN!$D$5*3-1),Stats!$L17)-SUM(O17:T17),0)</f>
        <v>1</v>
      </c>
      <c r="O17" s="468">
        <f ca="1">COUNTIF(ADMIN!$S$182:INDEX(ADMIN!$S$182:$FD$197,16,ADMIN!$D$5*3-1),Stats!$L17)-SUM(P17:T17)</f>
        <v>0</v>
      </c>
      <c r="P17" s="468">
        <f ca="1">COUNTIF(ADMIN!$S$210:INDEX(ADMIN!$S$210:$FD$217,8,ADMIN!$D$5*3-1),Stats!$L17)-SUM(Q17:T17)</f>
        <v>0</v>
      </c>
      <c r="Q17" s="468">
        <f ca="1">COUNTIF(ADMIN!$S$226:INDEX(ADMIN!$S$226:$FD$229,4,ADMIN!$D$5*3-1),Stats!$L17)-SUM(R17:T17)</f>
        <v>1</v>
      </c>
      <c r="R17" s="468">
        <f ca="1">IFERROR(COUNTIF(ADMIN!$S$252:INDEX(ADMIN!$S$252:$FD$252,1,ADMIN!$D$5*3-1),Stats!$L17),0)</f>
        <v>0</v>
      </c>
      <c r="S17" s="468">
        <f ca="1">IFERROR(COUNTIF(ADMIN!$S$251:INDEX(ADMIN!$S$251:$FD$251,1,ADMIN!$D$5*3-1),Stats!$L17),0)</f>
        <v>0</v>
      </c>
      <c r="T17" s="469">
        <f ca="1">IFERROR(COUNTIF(ADMIN!$S$250:INDEX(ADMIN!$S$250:$FD$250,1,ADMIN!$D$5*3-1),Stats!$L17),0)</f>
        <v>0</v>
      </c>
      <c r="U17" s="25"/>
      <c r="V17" s="11">
        <f t="shared" ca="1" si="0"/>
        <v>36</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751"/>
      <c r="I18" s="752"/>
      <c r="J18" s="404"/>
      <c r="K18" s="404"/>
      <c r="L18" s="131" t="str">
        <f ca="1">Horarios!Q13</f>
        <v>Canadá</v>
      </c>
      <c r="M18" s="466">
        <f ca="1">ADMIN!$D$5-SUM(N18:T18)</f>
        <v>5</v>
      </c>
      <c r="N18" s="466">
        <f ca="1">IFERROR(COUNTIF(ADMIN!$S$130:INDEX(ADMIN!$S$130:$FD$161,32,ADMIN!$D$5*3-1),Stats!$L18)-SUM(O18:T18),0)</f>
        <v>17</v>
      </c>
      <c r="O18" s="466">
        <f ca="1">COUNTIF(ADMIN!$S$182:INDEX(ADMIN!$S$182:$FD$197,16,ADMIN!$D$5*3-1),Stats!$L18)-SUM(P18:T18)</f>
        <v>14</v>
      </c>
      <c r="P18" s="466">
        <f ca="1">COUNTIF(ADMIN!$S$210:INDEX(ADMIN!$S$210:$FD$217,8,ADMIN!$D$5*3-1),Stats!$L18)-SUM(Q18:T18)</f>
        <v>0</v>
      </c>
      <c r="Q18" s="466">
        <f ca="1">COUNTIF(ADMIN!$S$226:INDEX(ADMIN!$S$226:$FD$229,4,ADMIN!$D$5*3-1),Stats!$L18)-SUM(R18:T18)</f>
        <v>0</v>
      </c>
      <c r="R18" s="466">
        <f ca="1">IFERROR(COUNTIF(ADMIN!$S$252:INDEX(ADMIN!$S$252:$FD$252,1,ADMIN!$D$5*3-1),Stats!$L18),0)</f>
        <v>0</v>
      </c>
      <c r="S18" s="466">
        <f ca="1">IFERROR(COUNTIF(ADMIN!$S$251:INDEX(ADMIN!$S$251:$FD$251,1,ADMIN!$D$5*3-1),Stats!$L18),0)</f>
        <v>0</v>
      </c>
      <c r="T18" s="467">
        <f ca="1">IFERROR(COUNTIF(ADMIN!$S$250:INDEX(ADMIN!$S$250:$FD$250,1,ADMIN!$D$5*3-1),Stats!$L18),0)</f>
        <v>0</v>
      </c>
      <c r="U18" s="25"/>
      <c r="V18" s="11">
        <f t="shared" ca="1" si="0"/>
        <v>36</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751"/>
      <c r="I19" s="752"/>
      <c r="J19" s="472"/>
      <c r="K19" s="472"/>
      <c r="L19" s="130" t="str">
        <f ca="1">Horarios!Q14</f>
        <v>Catar</v>
      </c>
      <c r="M19" s="468">
        <f ca="1">ADMIN!$D$5-SUM(N19:T19)</f>
        <v>31</v>
      </c>
      <c r="N19" s="468">
        <f ca="1">IFERROR(COUNTIF(ADMIN!$S$130:INDEX(ADMIN!$S$130:$FD$161,32,ADMIN!$D$5*3-1),Stats!$L19)-SUM(O19:T19),0)</f>
        <v>4</v>
      </c>
      <c r="O19" s="468">
        <f ca="1">COUNTIF(ADMIN!$S$182:INDEX(ADMIN!$S$182:$FD$197,16,ADMIN!$D$5*3-1),Stats!$L19)-SUM(P19:T19)</f>
        <v>0</v>
      </c>
      <c r="P19" s="468">
        <f ca="1">COUNTIF(ADMIN!$S$210:INDEX(ADMIN!$S$210:$FD$217,8,ADMIN!$D$5*3-1),Stats!$L19)-SUM(Q19:T19)</f>
        <v>1</v>
      </c>
      <c r="Q19" s="468">
        <f ca="1">COUNTIF(ADMIN!$S$226:INDEX(ADMIN!$S$226:$FD$229,4,ADMIN!$D$5*3-1),Stats!$L19)-SUM(R19:T19)</f>
        <v>0</v>
      </c>
      <c r="R19" s="468">
        <f ca="1">IFERROR(COUNTIF(ADMIN!$S$252:INDEX(ADMIN!$S$252:$FD$252,1,ADMIN!$D$5*3-1),Stats!$L19),0)</f>
        <v>0</v>
      </c>
      <c r="S19" s="468">
        <f ca="1">IFERROR(COUNTIF(ADMIN!$S$251:INDEX(ADMIN!$S$251:$FD$251,1,ADMIN!$D$5*3-1),Stats!$L19),0)</f>
        <v>0</v>
      </c>
      <c r="T19" s="469">
        <f ca="1">IFERROR(COUNTIF(ADMIN!$S$250:INDEX(ADMIN!$S$250:$FD$250,1,ADMIN!$D$5*3-1),Stats!$L19),0)</f>
        <v>0</v>
      </c>
      <c r="U19" s="25"/>
      <c r="V19" s="11">
        <f t="shared" ca="1" si="0"/>
        <v>36</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751"/>
      <c r="I20" s="752"/>
      <c r="J20" s="472"/>
      <c r="K20" s="472"/>
      <c r="L20" s="131" t="str">
        <f ca="1">Horarios!Q15</f>
        <v>Colombia</v>
      </c>
      <c r="M20" s="466">
        <f ca="1">ADMIN!$D$5-SUM(N20:T20)</f>
        <v>2</v>
      </c>
      <c r="N20" s="466">
        <f ca="1">IFERROR(COUNTIF(ADMIN!$S$130:INDEX(ADMIN!$S$130:$FD$161,32,ADMIN!$D$5*3-1),Stats!$L20)-SUM(O20:T20),0)</f>
        <v>10</v>
      </c>
      <c r="O20" s="466">
        <f ca="1">COUNTIF(ADMIN!$S$182:INDEX(ADMIN!$S$182:$FD$197,16,ADMIN!$D$5*3-1),Stats!$L20)-SUM(P20:T20)</f>
        <v>22</v>
      </c>
      <c r="P20" s="466">
        <f ca="1">COUNTIF(ADMIN!$S$210:INDEX(ADMIN!$S$210:$FD$217,8,ADMIN!$D$5*3-1),Stats!$L20)-SUM(Q20:T20)</f>
        <v>2</v>
      </c>
      <c r="Q20" s="466">
        <f ca="1">COUNTIF(ADMIN!$S$226:INDEX(ADMIN!$S$226:$FD$229,4,ADMIN!$D$5*3-1),Stats!$L20)-SUM(R20:T20)</f>
        <v>0</v>
      </c>
      <c r="R20" s="466">
        <f ca="1">IFERROR(COUNTIF(ADMIN!$S$252:INDEX(ADMIN!$S$252:$FD$252,1,ADMIN!$D$5*3-1),Stats!$L20),0)</f>
        <v>0</v>
      </c>
      <c r="S20" s="466">
        <f ca="1">IFERROR(COUNTIF(ADMIN!$S$251:INDEX(ADMIN!$S$251:$FD$251,1,ADMIN!$D$5*3-1),Stats!$L20),0)</f>
        <v>0</v>
      </c>
      <c r="T20" s="467">
        <f ca="1">IFERROR(COUNTIF(ADMIN!$S$250:INDEX(ADMIN!$S$250:$FD$250,1,ADMIN!$D$5*3-1),Stats!$L20),0)</f>
        <v>0</v>
      </c>
      <c r="U20" s="25"/>
      <c r="V20" s="11">
        <f ca="1">SUM(M20:T20)</f>
        <v>36</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751"/>
      <c r="I21" s="752"/>
      <c r="J21" s="472"/>
      <c r="K21" s="472"/>
      <c r="L21" s="130" t="str">
        <f ca="1">Horarios!Q16</f>
        <v>Corea del Sur</v>
      </c>
      <c r="M21" s="468">
        <f ca="1">ADMIN!$D$5-SUM(N21:T21)</f>
        <v>2</v>
      </c>
      <c r="N21" s="468">
        <f ca="1">IFERROR(COUNTIF(ADMIN!$S$130:INDEX(ADMIN!$S$130:$FD$161,32,ADMIN!$D$5*3-1),Stats!$L21)-SUM(O21:T21),0)</f>
        <v>18</v>
      </c>
      <c r="O21" s="468">
        <f ca="1">COUNTIF(ADMIN!$S$182:INDEX(ADMIN!$S$182:$FD$197,16,ADMIN!$D$5*3-1),Stats!$L21)-SUM(P21:T21)</f>
        <v>16</v>
      </c>
      <c r="P21" s="468">
        <f ca="1">COUNTIF(ADMIN!$S$210:INDEX(ADMIN!$S$210:$FD$217,8,ADMIN!$D$5*3-1),Stats!$L21)-SUM(Q21:T21)</f>
        <v>0</v>
      </c>
      <c r="Q21" s="468">
        <f ca="1">COUNTIF(ADMIN!$S$226:INDEX(ADMIN!$S$226:$FD$229,4,ADMIN!$D$5*3-1),Stats!$L21)-SUM(R21:T21)</f>
        <v>0</v>
      </c>
      <c r="R21" s="468">
        <f ca="1">IFERROR(COUNTIF(ADMIN!$S$252:INDEX(ADMIN!$S$252:$FD$252,1,ADMIN!$D$5*3-1),Stats!$L21),0)</f>
        <v>0</v>
      </c>
      <c r="S21" s="468">
        <f ca="1">IFERROR(COUNTIF(ADMIN!$S$251:INDEX(ADMIN!$S$251:$FD$251,1,ADMIN!$D$5*3-1),Stats!$L21),0)</f>
        <v>0</v>
      </c>
      <c r="T21" s="469">
        <f ca="1">IFERROR(COUNTIF(ADMIN!$S$250:INDEX(ADMIN!$S$250:$FD$250,1,ADMIN!$D$5*3-1),Stats!$L21),0)</f>
        <v>0</v>
      </c>
      <c r="U21" s="25"/>
      <c r="V21" s="11">
        <f t="shared" ca="1" si="0"/>
        <v>36</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30</v>
      </c>
      <c r="C22" s="17"/>
      <c r="D22" s="17"/>
      <c r="E22" s="17"/>
      <c r="F22" s="17"/>
      <c r="G22" s="17"/>
      <c r="H22" s="751"/>
      <c r="I22" s="752"/>
      <c r="J22" s="472"/>
      <c r="K22" s="472"/>
      <c r="L22" s="131" t="str">
        <f ca="1">Horarios!Q17</f>
        <v>Costa de Marfil</v>
      </c>
      <c r="M22" s="466">
        <f ca="1">ADMIN!$D$5-SUM(N22:T22)</f>
        <v>6</v>
      </c>
      <c r="N22" s="466">
        <f ca="1">IFERROR(COUNTIF(ADMIN!$S$130:INDEX(ADMIN!$S$130:$FD$161,32,ADMIN!$D$5*3-1),Stats!$L22)-SUM(O22:T22),0)</f>
        <v>25</v>
      </c>
      <c r="O22" s="466">
        <f ca="1">COUNTIF(ADMIN!$S$182:INDEX(ADMIN!$S$182:$FD$197,16,ADMIN!$D$5*3-1),Stats!$L22)-SUM(P22:T22)</f>
        <v>4</v>
      </c>
      <c r="P22" s="466">
        <f ca="1">COUNTIF(ADMIN!$S$210:INDEX(ADMIN!$S$210:$FD$217,8,ADMIN!$D$5*3-1),Stats!$L22)-SUM(Q22:T22)</f>
        <v>1</v>
      </c>
      <c r="Q22" s="466">
        <f ca="1">COUNTIF(ADMIN!$S$226:INDEX(ADMIN!$S$226:$FD$229,4,ADMIN!$D$5*3-1),Stats!$L22)-SUM(R22:T22)</f>
        <v>0</v>
      </c>
      <c r="R22" s="466">
        <f ca="1">IFERROR(COUNTIF(ADMIN!$S$252:INDEX(ADMIN!$S$252:$FD$252,1,ADMIN!$D$5*3-1),Stats!$L22),0)</f>
        <v>0</v>
      </c>
      <c r="S22" s="466">
        <f ca="1">IFERROR(COUNTIF(ADMIN!$S$251:INDEX(ADMIN!$S$251:$FD$251,1,ADMIN!$D$5*3-1),Stats!$L22),0)</f>
        <v>0</v>
      </c>
      <c r="T22" s="467">
        <f ca="1">IFERROR(COUNTIF(ADMIN!$S$250:INDEX(ADMIN!$S$250:$FD$250,1,ADMIN!$D$5*3-1),Stats!$L22),0)</f>
        <v>0</v>
      </c>
      <c r="U22" s="25"/>
      <c r="V22" s="11">
        <f t="shared" ca="1" si="0"/>
        <v>36</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30</v>
      </c>
      <c r="C23" s="17"/>
      <c r="D23" s="17"/>
      <c r="E23" s="17"/>
      <c r="F23" s="17"/>
      <c r="G23" s="17"/>
      <c r="H23" s="751"/>
      <c r="I23" s="752"/>
      <c r="J23" s="472"/>
      <c r="K23" s="472"/>
      <c r="L23" s="130" t="str">
        <f ca="1">Horarios!Q18</f>
        <v>Croacia</v>
      </c>
      <c r="M23" s="468">
        <f ca="1">ADMIN!$D$5-SUM(N23:T23)</f>
        <v>1</v>
      </c>
      <c r="N23" s="468">
        <f ca="1">IFERROR(COUNTIF(ADMIN!$S$130:INDEX(ADMIN!$S$130:$FD$161,32,ADMIN!$D$5*3-1),Stats!$L23)-SUM(O23:T23),0)</f>
        <v>24</v>
      </c>
      <c r="O23" s="468">
        <f ca="1">COUNTIF(ADMIN!$S$182:INDEX(ADMIN!$S$182:$FD$197,16,ADMIN!$D$5*3-1),Stats!$L23)-SUM(P23:T23)</f>
        <v>7</v>
      </c>
      <c r="P23" s="468">
        <f ca="1">COUNTIF(ADMIN!$S$210:INDEX(ADMIN!$S$210:$FD$217,8,ADMIN!$D$5*3-1),Stats!$L23)-SUM(Q23:T23)</f>
        <v>4</v>
      </c>
      <c r="Q23" s="468">
        <f ca="1">COUNTIF(ADMIN!$S$226:INDEX(ADMIN!$S$226:$FD$229,4,ADMIN!$D$5*3-1),Stats!$L23)-SUM(R23:T23)</f>
        <v>0</v>
      </c>
      <c r="R23" s="468">
        <f ca="1">IFERROR(COUNTIF(ADMIN!$S$252:INDEX(ADMIN!$S$252:$FD$252,1,ADMIN!$D$5*3-1),Stats!$L23),0)</f>
        <v>0</v>
      </c>
      <c r="S23" s="468">
        <f ca="1">IFERROR(COUNTIF(ADMIN!$S$251:INDEX(ADMIN!$S$251:$FD$251,1,ADMIN!$D$5*3-1),Stats!$L23),0)</f>
        <v>0</v>
      </c>
      <c r="T23" s="469">
        <f ca="1">IFERROR(COUNTIF(ADMIN!$S$250:INDEX(ADMIN!$S$250:$FD$250,1,ADMIN!$D$5*3-1),Stats!$L23),0)</f>
        <v>0</v>
      </c>
      <c r="U23" s="25"/>
      <c r="V23" s="11">
        <f t="shared" ca="1" si="0"/>
        <v>36</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60</v>
      </c>
      <c r="C24" s="17"/>
      <c r="D24" s="17"/>
      <c r="E24" s="17"/>
      <c r="F24" s="17"/>
      <c r="G24" s="17"/>
      <c r="H24" s="751"/>
      <c r="I24" s="752"/>
      <c r="J24" s="472"/>
      <c r="K24" s="472"/>
      <c r="L24" s="131" t="str">
        <f ca="1">Horarios!Q19</f>
        <v>Curazao</v>
      </c>
      <c r="M24" s="466">
        <f ca="1">ADMIN!$D$5-SUM(N24:T24)</f>
        <v>35</v>
      </c>
      <c r="N24" s="466">
        <f ca="1">IFERROR(COUNTIF(ADMIN!$S$130:INDEX(ADMIN!$S$130:$FD$161,32,ADMIN!$D$5*3-1),Stats!$L24)-SUM(O24:T24),0)</f>
        <v>0</v>
      </c>
      <c r="O24" s="466">
        <f ca="1">COUNTIF(ADMIN!$S$182:INDEX(ADMIN!$S$182:$FD$197,16,ADMIN!$D$5*3-1),Stats!$L24)-SUM(P24:T24)</f>
        <v>0</v>
      </c>
      <c r="P24" s="466">
        <f ca="1">COUNTIF(ADMIN!$S$210:INDEX(ADMIN!$S$210:$FD$217,8,ADMIN!$D$5*3-1),Stats!$L24)-SUM(Q24:T24)</f>
        <v>0</v>
      </c>
      <c r="Q24" s="466">
        <f ca="1">COUNTIF(ADMIN!$S$226:INDEX(ADMIN!$S$226:$FD$229,4,ADMIN!$D$5*3-1),Stats!$L24)-SUM(R24:T24)</f>
        <v>0</v>
      </c>
      <c r="R24" s="466">
        <f ca="1">IFERROR(COUNTIF(ADMIN!$S$252:INDEX(ADMIN!$S$252:$FD$252,1,ADMIN!$D$5*3-1),Stats!$L24),0)</f>
        <v>0</v>
      </c>
      <c r="S24" s="466">
        <f ca="1">IFERROR(COUNTIF(ADMIN!$S$251:INDEX(ADMIN!$S$251:$FD$251,1,ADMIN!$D$5*3-1),Stats!$L24),0)</f>
        <v>0</v>
      </c>
      <c r="T24" s="467">
        <f ca="1">IFERROR(COUNTIF(ADMIN!$S$250:INDEX(ADMIN!$S$250:$FD$250,1,ADMIN!$D$5*3-1),Stats!$L24),0)</f>
        <v>1</v>
      </c>
      <c r="U24" s="25"/>
      <c r="V24" s="11">
        <f t="shared" ca="1" si="0"/>
        <v>36</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60</v>
      </c>
      <c r="C25" s="17"/>
      <c r="D25" s="17"/>
      <c r="E25" s="17"/>
      <c r="F25" s="17"/>
      <c r="G25" s="17"/>
      <c r="H25" s="751"/>
      <c r="I25" s="752"/>
      <c r="J25" s="472"/>
      <c r="K25" s="472"/>
      <c r="L25" s="130" t="str">
        <f ca="1">Horarios!Q20</f>
        <v>Ecuador</v>
      </c>
      <c r="M25" s="468">
        <f ca="1">ADMIN!$D$5-SUM(N25:T25)</f>
        <v>1</v>
      </c>
      <c r="N25" s="468">
        <f ca="1">IFERROR(COUNTIF(ADMIN!$S$130:INDEX(ADMIN!$S$130:$FD$161,32,ADMIN!$D$5*3-1),Stats!$L25)-SUM(O25:T25),0)</f>
        <v>18</v>
      </c>
      <c r="O25" s="468">
        <f ca="1">COUNTIF(ADMIN!$S$182:INDEX(ADMIN!$S$182:$FD$197,16,ADMIN!$D$5*3-1),Stats!$L25)-SUM(P25:T25)</f>
        <v>15</v>
      </c>
      <c r="P25" s="468">
        <f ca="1">COUNTIF(ADMIN!$S$210:INDEX(ADMIN!$S$210:$FD$217,8,ADMIN!$D$5*3-1),Stats!$L25)-SUM(Q25:T25)</f>
        <v>0</v>
      </c>
      <c r="Q25" s="468">
        <f ca="1">COUNTIF(ADMIN!$S$226:INDEX(ADMIN!$S$226:$FD$229,4,ADMIN!$D$5*3-1),Stats!$L25)-SUM(R25:T25)</f>
        <v>2</v>
      </c>
      <c r="R25" s="468">
        <f ca="1">IFERROR(COUNTIF(ADMIN!$S$252:INDEX(ADMIN!$S$252:$FD$252,1,ADMIN!$D$5*3-1),Stats!$L25),0)</f>
        <v>0</v>
      </c>
      <c r="S25" s="468">
        <f ca="1">IFERROR(COUNTIF(ADMIN!$S$251:INDEX(ADMIN!$S$251:$FD$251,1,ADMIN!$D$5*3-1),Stats!$L25),0)</f>
        <v>0</v>
      </c>
      <c r="T25" s="469">
        <f ca="1">IFERROR(COUNTIF(ADMIN!$S$250:INDEX(ADMIN!$S$250:$FD$250,1,ADMIN!$D$5*3-1),Stats!$L25),0)</f>
        <v>0</v>
      </c>
      <c r="U25" s="25"/>
      <c r="V25" s="11">
        <f t="shared" ca="1" si="0"/>
        <v>36</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60</v>
      </c>
      <c r="C26" s="17"/>
      <c r="D26" s="17"/>
      <c r="E26" s="17"/>
      <c r="F26" s="17"/>
      <c r="G26" s="17"/>
      <c r="H26" s="751"/>
      <c r="I26" s="752"/>
      <c r="J26" s="472"/>
      <c r="K26" s="472"/>
      <c r="L26" s="131" t="str">
        <f ca="1">Horarios!Q21</f>
        <v>Egipto</v>
      </c>
      <c r="M26" s="466">
        <f ca="1">ADMIN!$D$5-SUM(N26:T26)</f>
        <v>8</v>
      </c>
      <c r="N26" s="466">
        <f ca="1">IFERROR(COUNTIF(ADMIN!$S$130:INDEX(ADMIN!$S$130:$FD$161,32,ADMIN!$D$5*3-1),Stats!$L26)-SUM(O26:T26),0)</f>
        <v>19</v>
      </c>
      <c r="O26" s="466">
        <f ca="1">COUNTIF(ADMIN!$S$182:INDEX(ADMIN!$S$182:$FD$197,16,ADMIN!$D$5*3-1),Stats!$L26)-SUM(P26:T26)</f>
        <v>8</v>
      </c>
      <c r="P26" s="466">
        <f ca="1">COUNTIF(ADMIN!$S$210:INDEX(ADMIN!$S$210:$FD$217,8,ADMIN!$D$5*3-1),Stats!$L26)-SUM(Q26:T26)</f>
        <v>1</v>
      </c>
      <c r="Q26" s="466">
        <f ca="1">COUNTIF(ADMIN!$S$226:INDEX(ADMIN!$S$226:$FD$229,4,ADMIN!$D$5*3-1),Stats!$L26)-SUM(R26:T26)</f>
        <v>0</v>
      </c>
      <c r="R26" s="466">
        <f ca="1">IFERROR(COUNTIF(ADMIN!$S$252:INDEX(ADMIN!$S$252:$FD$252,1,ADMIN!$D$5*3-1),Stats!$L26),0)</f>
        <v>0</v>
      </c>
      <c r="S26" s="466">
        <f ca="1">IFERROR(COUNTIF(ADMIN!$S$251:INDEX(ADMIN!$S$251:$FD$251,1,ADMIN!$D$5*3-1),Stats!$L26),0)</f>
        <v>0</v>
      </c>
      <c r="T26" s="467">
        <f ca="1">IFERROR(COUNTIF(ADMIN!$S$250:INDEX(ADMIN!$S$250:$FD$250,1,ADMIN!$D$5*3-1),Stats!$L26),0)</f>
        <v>0</v>
      </c>
      <c r="U26" s="25"/>
      <c r="V26" s="11">
        <f t="shared" ca="1" si="0"/>
        <v>36</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60</v>
      </c>
      <c r="C27" s="17"/>
      <c r="D27" s="17"/>
      <c r="E27" s="17"/>
      <c r="F27" s="17"/>
      <c r="G27" s="17"/>
      <c r="H27" s="751"/>
      <c r="I27" s="752"/>
      <c r="J27" s="472"/>
      <c r="K27" s="472"/>
      <c r="L27" s="130" t="str">
        <f ca="1">Horarios!Q22</f>
        <v>Escocia</v>
      </c>
      <c r="M27" s="468">
        <f ca="1">ADMIN!$D$5-SUM(N27:T27)</f>
        <v>6</v>
      </c>
      <c r="N27" s="468">
        <f ca="1">IFERROR(COUNTIF(ADMIN!$S$130:INDEX(ADMIN!$S$130:$FD$161,32,ADMIN!$D$5*3-1),Stats!$L27)-SUM(O27:T27),0)</f>
        <v>28</v>
      </c>
      <c r="O27" s="468">
        <f ca="1">COUNTIF(ADMIN!$S$182:INDEX(ADMIN!$S$182:$FD$197,16,ADMIN!$D$5*3-1),Stats!$L27)-SUM(P27:T27)</f>
        <v>2</v>
      </c>
      <c r="P27" s="468">
        <f ca="1">COUNTIF(ADMIN!$S$210:INDEX(ADMIN!$S$210:$FD$217,8,ADMIN!$D$5*3-1),Stats!$L27)-SUM(Q27:T27)</f>
        <v>0</v>
      </c>
      <c r="Q27" s="468">
        <f ca="1">COUNTIF(ADMIN!$S$226:INDEX(ADMIN!$S$226:$FD$229,4,ADMIN!$D$5*3-1),Stats!$L27)-SUM(R27:T27)</f>
        <v>0</v>
      </c>
      <c r="R27" s="468">
        <f ca="1">IFERROR(COUNTIF(ADMIN!$S$252:INDEX(ADMIN!$S$252:$FD$252,1,ADMIN!$D$5*3-1),Stats!$L27),0)</f>
        <v>0</v>
      </c>
      <c r="S27" s="468">
        <f ca="1">IFERROR(COUNTIF(ADMIN!$S$251:INDEX(ADMIN!$S$251:$FD$251,1,ADMIN!$D$5*3-1),Stats!$L27),0)</f>
        <v>0</v>
      </c>
      <c r="T27" s="469">
        <f ca="1">IFERROR(COUNTIF(ADMIN!$S$250:INDEX(ADMIN!$S$250:$FD$250,1,ADMIN!$D$5*3-1),Stats!$L27),0)</f>
        <v>0</v>
      </c>
      <c r="U27" s="25"/>
      <c r="V27" s="11">
        <f t="shared" ca="1" si="0"/>
        <v>36</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60</v>
      </c>
      <c r="C28" s="17"/>
      <c r="D28" s="17"/>
      <c r="E28" s="17"/>
      <c r="F28" s="17"/>
      <c r="G28" s="17"/>
      <c r="H28" s="751"/>
      <c r="I28" s="752"/>
      <c r="J28" s="472"/>
      <c r="K28" s="472"/>
      <c r="L28" s="131" t="str">
        <f ca="1">Horarios!Q23</f>
        <v>España</v>
      </c>
      <c r="M28" s="466">
        <f ca="1">ADMIN!$D$5-SUM(N28:T28)</f>
        <v>2</v>
      </c>
      <c r="N28" s="466">
        <f ca="1">IFERROR(COUNTIF(ADMIN!$S$130:INDEX(ADMIN!$S$130:$FD$161,32,ADMIN!$D$5*3-1),Stats!$L28)-SUM(O28:T28),0)</f>
        <v>1</v>
      </c>
      <c r="O28" s="466">
        <f ca="1">COUNTIF(ADMIN!$S$182:INDEX(ADMIN!$S$182:$FD$197,16,ADMIN!$D$5*3-1),Stats!$L28)-SUM(P28:T28)</f>
        <v>2</v>
      </c>
      <c r="P28" s="466">
        <f ca="1">COUNTIF(ADMIN!$S$210:INDEX(ADMIN!$S$210:$FD$217,8,ADMIN!$D$5*3-1),Stats!$L28)-SUM(Q28:T28)</f>
        <v>3</v>
      </c>
      <c r="Q28" s="466">
        <f ca="1">COUNTIF(ADMIN!$S$226:INDEX(ADMIN!$S$226:$FD$229,4,ADMIN!$D$5*3-1),Stats!$L28)-SUM(R28:T28)</f>
        <v>3</v>
      </c>
      <c r="R28" s="466">
        <f ca="1">IFERROR(COUNTIF(ADMIN!$S$252:INDEX(ADMIN!$S$252:$FD$252,1,ADMIN!$D$5*3-1),Stats!$L28),0)</f>
        <v>6</v>
      </c>
      <c r="S28" s="466">
        <f ca="1">IFERROR(COUNTIF(ADMIN!$S$251:INDEX(ADMIN!$S$251:$FD$251,1,ADMIN!$D$5*3-1),Stats!$L28),0)</f>
        <v>7</v>
      </c>
      <c r="T28" s="467">
        <f ca="1">IFERROR(COUNTIF(ADMIN!$S$250:INDEX(ADMIN!$S$250:$FD$250,1,ADMIN!$D$5*3-1),Stats!$L28),0)</f>
        <v>12</v>
      </c>
      <c r="U28" s="25"/>
      <c r="V28" s="11">
        <f t="shared" ca="1" si="0"/>
        <v>36</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60</v>
      </c>
      <c r="C29" s="17"/>
      <c r="D29" s="17"/>
      <c r="E29" s="17"/>
      <c r="F29" s="17"/>
      <c r="G29" s="17"/>
      <c r="H29" s="751"/>
      <c r="I29" s="752"/>
      <c r="J29" s="472"/>
      <c r="K29" s="472"/>
      <c r="L29" s="130" t="str">
        <f ca="1">Horarios!Q24</f>
        <v>Estados Unidos</v>
      </c>
      <c r="M29" s="468">
        <f ca="1">ADMIN!$D$5-SUM(N29:T29)</f>
        <v>5</v>
      </c>
      <c r="N29" s="468">
        <f ca="1">IFERROR(COUNTIF(ADMIN!$S$130:INDEX(ADMIN!$S$130:$FD$161,32,ADMIN!$D$5*3-1),Stats!$L29)-SUM(O29:T29),0)</f>
        <v>10</v>
      </c>
      <c r="O29" s="468">
        <f ca="1">COUNTIF(ADMIN!$S$182:INDEX(ADMIN!$S$182:$FD$197,16,ADMIN!$D$5*3-1),Stats!$L29)-SUM(P29:T29)</f>
        <v>19</v>
      </c>
      <c r="P29" s="468">
        <f ca="1">COUNTIF(ADMIN!$S$210:INDEX(ADMIN!$S$210:$FD$217,8,ADMIN!$D$5*3-1),Stats!$L29)-SUM(Q29:T29)</f>
        <v>2</v>
      </c>
      <c r="Q29" s="468">
        <f ca="1">COUNTIF(ADMIN!$S$226:INDEX(ADMIN!$S$226:$FD$229,4,ADMIN!$D$5*3-1),Stats!$L29)-SUM(R29:T29)</f>
        <v>0</v>
      </c>
      <c r="R29" s="468">
        <f ca="1">IFERROR(COUNTIF(ADMIN!$S$252:INDEX(ADMIN!$S$252:$FD$252,1,ADMIN!$D$5*3-1),Stats!$L29),0)</f>
        <v>0</v>
      </c>
      <c r="S29" s="468">
        <f ca="1">IFERROR(COUNTIF(ADMIN!$S$251:INDEX(ADMIN!$S$251:$FD$251,1,ADMIN!$D$5*3-1),Stats!$L29),0)</f>
        <v>0</v>
      </c>
      <c r="T29" s="469">
        <f ca="1">IFERROR(COUNTIF(ADMIN!$S$250:INDEX(ADMIN!$S$250:$FD$250,1,ADMIN!$D$5*3-1),Stats!$L29),0)</f>
        <v>0</v>
      </c>
      <c r="U29" s="25"/>
      <c r="V29" s="11">
        <f t="shared" ca="1" si="0"/>
        <v>36</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60</v>
      </c>
      <c r="C30" s="17"/>
      <c r="D30" s="17"/>
      <c r="E30" s="17"/>
      <c r="F30" s="17"/>
      <c r="G30" s="17"/>
      <c r="H30" s="751"/>
      <c r="I30" s="752"/>
      <c r="J30" s="472"/>
      <c r="K30" s="472"/>
      <c r="L30" s="131" t="str">
        <f ca="1">Horarios!Q25</f>
        <v>Francia</v>
      </c>
      <c r="M30" s="466">
        <f ca="1">ADMIN!$D$5-SUM(N30:T30)</f>
        <v>2</v>
      </c>
      <c r="N30" s="466">
        <f ca="1">IFERROR(COUNTIF(ADMIN!$S$130:INDEX(ADMIN!$S$130:$FD$161,32,ADMIN!$D$5*3-1),Stats!$L30)-SUM(O30:T30),0)</f>
        <v>0</v>
      </c>
      <c r="O30" s="466">
        <f ca="1">COUNTIF(ADMIN!$S$182:INDEX(ADMIN!$S$182:$FD$197,16,ADMIN!$D$5*3-1),Stats!$L30)-SUM(P30:T30)</f>
        <v>6</v>
      </c>
      <c r="P30" s="466">
        <f ca="1">COUNTIF(ADMIN!$S$210:INDEX(ADMIN!$S$210:$FD$217,8,ADMIN!$D$5*3-1),Stats!$L30)-SUM(Q30:T30)</f>
        <v>4</v>
      </c>
      <c r="Q30" s="466">
        <f ca="1">COUNTIF(ADMIN!$S$226:INDEX(ADMIN!$S$226:$FD$229,4,ADMIN!$D$5*3-1),Stats!$L30)-SUM(R30:T30)</f>
        <v>2</v>
      </c>
      <c r="R30" s="466">
        <f ca="1">IFERROR(COUNTIF(ADMIN!$S$252:INDEX(ADMIN!$S$252:$FD$252,1,ADMIN!$D$5*3-1),Stats!$L30),0)</f>
        <v>15</v>
      </c>
      <c r="S30" s="466">
        <f ca="1">IFERROR(COUNTIF(ADMIN!$S$251:INDEX(ADMIN!$S$251:$FD$251,1,ADMIN!$D$5*3-1),Stats!$L30),0)</f>
        <v>6</v>
      </c>
      <c r="T30" s="467">
        <f ca="1">IFERROR(COUNTIF(ADMIN!$S$250:INDEX(ADMIN!$S$250:$FD$250,1,ADMIN!$D$5*3-1),Stats!$L30),0)</f>
        <v>1</v>
      </c>
      <c r="U30" s="25"/>
      <c r="V30" s="11">
        <f t="shared" ca="1" si="0"/>
        <v>36</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60</v>
      </c>
      <c r="C31" s="17"/>
      <c r="D31" s="17"/>
      <c r="E31" s="17"/>
      <c r="F31" s="17"/>
      <c r="G31" s="17"/>
      <c r="H31" s="753"/>
      <c r="I31" s="754"/>
      <c r="J31" s="472"/>
      <c r="K31" s="472"/>
      <c r="L31" s="130" t="str">
        <f ca="1">Horarios!Q26</f>
        <v>Ghana</v>
      </c>
      <c r="M31" s="468">
        <f ca="1">ADMIN!$D$5-SUM(N31:T31)</f>
        <v>14</v>
      </c>
      <c r="N31" s="468">
        <f ca="1">IFERROR(COUNTIF(ADMIN!$S$130:INDEX(ADMIN!$S$130:$FD$161,32,ADMIN!$D$5*3-1),Stats!$L31)-SUM(O31:T31),0)</f>
        <v>22</v>
      </c>
      <c r="O31" s="468">
        <f ca="1">COUNTIF(ADMIN!$S$182:INDEX(ADMIN!$S$182:$FD$197,16,ADMIN!$D$5*3-1),Stats!$L31)-SUM(P31:T31)</f>
        <v>0</v>
      </c>
      <c r="P31" s="468">
        <f ca="1">COUNTIF(ADMIN!$S$210:INDEX(ADMIN!$S$210:$FD$217,8,ADMIN!$D$5*3-1),Stats!$L31)-SUM(Q31:T31)</f>
        <v>0</v>
      </c>
      <c r="Q31" s="468">
        <f ca="1">COUNTIF(ADMIN!$S$226:INDEX(ADMIN!$S$226:$FD$229,4,ADMIN!$D$5*3-1),Stats!$L31)-SUM(R31:T31)</f>
        <v>0</v>
      </c>
      <c r="R31" s="468">
        <f ca="1">IFERROR(COUNTIF(ADMIN!$S$252:INDEX(ADMIN!$S$252:$FD$252,1,ADMIN!$D$5*3-1),Stats!$L31),0)</f>
        <v>0</v>
      </c>
      <c r="S31" s="468">
        <f ca="1">IFERROR(COUNTIF(ADMIN!$S$251:INDEX(ADMIN!$S$251:$FD$251,1,ADMIN!$D$5*3-1),Stats!$L31),0)</f>
        <v>0</v>
      </c>
      <c r="T31" s="469">
        <f ca="1">IFERROR(COUNTIF(ADMIN!$S$250:INDEX(ADMIN!$S$250:$FD$250,1,ADMIN!$D$5*3-1),Stats!$L31),0)</f>
        <v>0</v>
      </c>
      <c r="U31" s="25"/>
      <c r="V31" s="11">
        <f t="shared" ca="1" si="0"/>
        <v>36</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60</v>
      </c>
      <c r="C32" s="17"/>
      <c r="D32" s="17"/>
      <c r="E32" s="17"/>
      <c r="F32" s="17"/>
      <c r="G32" s="17"/>
      <c r="H32" s="17"/>
      <c r="I32" s="17"/>
      <c r="J32" s="472"/>
      <c r="K32" s="472"/>
      <c r="L32" s="131" t="str">
        <f ca="1">Horarios!Q27</f>
        <v>Haití</v>
      </c>
      <c r="M32" s="466">
        <f ca="1">ADMIN!$D$5-SUM(N32:T32)</f>
        <v>35</v>
      </c>
      <c r="N32" s="466">
        <f ca="1">IFERROR(COUNTIF(ADMIN!$S$130:INDEX(ADMIN!$S$130:$FD$161,32,ADMIN!$D$5*3-1),Stats!$L32)-SUM(O32:T32),0)</f>
        <v>0</v>
      </c>
      <c r="O32" s="466">
        <f ca="1">COUNTIF(ADMIN!$S$182:INDEX(ADMIN!$S$182:$FD$197,16,ADMIN!$D$5*3-1),Stats!$L32)-SUM(P32:T32)</f>
        <v>0</v>
      </c>
      <c r="P32" s="466">
        <f ca="1">COUNTIF(ADMIN!$S$210:INDEX(ADMIN!$S$210:$FD$217,8,ADMIN!$D$5*3-1),Stats!$L32)-SUM(Q32:T32)</f>
        <v>0</v>
      </c>
      <c r="Q32" s="466">
        <f ca="1">COUNTIF(ADMIN!$S$226:INDEX(ADMIN!$S$226:$FD$229,4,ADMIN!$D$5*3-1),Stats!$L32)-SUM(R32:T32)</f>
        <v>0</v>
      </c>
      <c r="R32" s="466">
        <f ca="1">IFERROR(COUNTIF(ADMIN!$S$252:INDEX(ADMIN!$S$252:$FD$252,1,ADMIN!$D$5*3-1),Stats!$L32),0)</f>
        <v>0</v>
      </c>
      <c r="S32" s="466">
        <f ca="1">IFERROR(COUNTIF(ADMIN!$S$251:INDEX(ADMIN!$S$251:$FD$251,1,ADMIN!$D$5*3-1),Stats!$L32),0)</f>
        <v>1</v>
      </c>
      <c r="T32" s="467">
        <f ca="1">IFERROR(COUNTIF(ADMIN!$S$250:INDEX(ADMIN!$S$250:$FD$250,1,ADMIN!$D$5*3-1),Stats!$L32),0)</f>
        <v>0</v>
      </c>
      <c r="U32" s="25"/>
      <c r="V32" s="11">
        <f t="shared" ca="1" si="0"/>
        <v>36</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60</v>
      </c>
      <c r="C33" s="17"/>
      <c r="D33" s="17"/>
      <c r="E33" s="17"/>
      <c r="F33" s="17"/>
      <c r="G33" s="17"/>
      <c r="H33" s="17"/>
      <c r="I33" s="17"/>
      <c r="J33" s="472"/>
      <c r="K33" s="472"/>
      <c r="L33" s="130" t="str">
        <f ca="1">Horarios!Q28</f>
        <v>Inglaterra</v>
      </c>
      <c r="M33" s="468">
        <f ca="1">ADMIN!$D$5-SUM(N33:T33)</f>
        <v>2</v>
      </c>
      <c r="N33" s="468">
        <f ca="1">IFERROR(COUNTIF(ADMIN!$S$130:INDEX(ADMIN!$S$130:$FD$161,32,ADMIN!$D$5*3-1),Stats!$L33)-SUM(O33:T33),0)</f>
        <v>3</v>
      </c>
      <c r="O33" s="468">
        <f ca="1">COUNTIF(ADMIN!$S$182:INDEX(ADMIN!$S$182:$FD$197,16,ADMIN!$D$5*3-1),Stats!$L33)-SUM(P33:T33)</f>
        <v>4</v>
      </c>
      <c r="P33" s="468">
        <f ca="1">COUNTIF(ADMIN!$S$210:INDEX(ADMIN!$S$210:$FD$217,8,ADMIN!$D$5*3-1),Stats!$L33)-SUM(Q33:T33)</f>
        <v>18</v>
      </c>
      <c r="Q33" s="468">
        <f ca="1">COUNTIF(ADMIN!$S$226:INDEX(ADMIN!$S$226:$FD$229,4,ADMIN!$D$5*3-1),Stats!$L33)-SUM(R33:T33)</f>
        <v>5</v>
      </c>
      <c r="R33" s="468">
        <f ca="1">IFERROR(COUNTIF(ADMIN!$S$252:INDEX(ADMIN!$S$252:$FD$252,1,ADMIN!$D$5*3-1),Stats!$L33),0)</f>
        <v>1</v>
      </c>
      <c r="S33" s="468">
        <f ca="1">IFERROR(COUNTIF(ADMIN!$S$251:INDEX(ADMIN!$S$251:$FD$251,1,ADMIN!$D$5*3-1),Stats!$L33),0)</f>
        <v>2</v>
      </c>
      <c r="T33" s="469">
        <f ca="1">IFERROR(COUNTIF(ADMIN!$S$250:INDEX(ADMIN!$S$250:$FD$250,1,ADMIN!$D$5*3-1),Stats!$L33),0)</f>
        <v>1</v>
      </c>
      <c r="U33" s="25"/>
      <c r="V33" s="11">
        <f t="shared" ca="1" si="0"/>
        <v>36</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60</v>
      </c>
      <c r="C34" s="17"/>
      <c r="D34" s="25">
        <f ca="1">IFERROR(IF(OR(AND($F$5&lt;19,LEFT($H$8,1)="1"),AND($F$5&lt;19,LEFT($H$8,1)="2"),AND($F$5&lt;19,LEFT($H$8,1)="X")),1,0),0)</f>
        <v>0</v>
      </c>
      <c r="E34" s="25"/>
      <c r="F34" s="25"/>
      <c r="G34" s="17"/>
      <c r="H34" s="17"/>
      <c r="I34" s="17"/>
      <c r="J34" s="472"/>
      <c r="K34" s="472"/>
      <c r="L34" s="131" t="str">
        <f ca="1">Horarios!Q29</f>
        <v>Irak</v>
      </c>
      <c r="M34" s="466">
        <f ca="1">ADMIN!$D$5-SUM(N34:T34)</f>
        <v>35</v>
      </c>
      <c r="N34" s="466">
        <f ca="1">IFERROR(COUNTIF(ADMIN!$S$130:INDEX(ADMIN!$S$130:$FD$161,32,ADMIN!$D$5*3-1),Stats!$L34)-SUM(O34:T34),0)</f>
        <v>1</v>
      </c>
      <c r="O34" s="466">
        <f ca="1">COUNTIF(ADMIN!$S$182:INDEX(ADMIN!$S$182:$FD$197,16,ADMIN!$D$5*3-1),Stats!$L34)-SUM(P34:T34)</f>
        <v>0</v>
      </c>
      <c r="P34" s="466">
        <f ca="1">COUNTIF(ADMIN!$S$210:INDEX(ADMIN!$S$210:$FD$217,8,ADMIN!$D$5*3-1),Stats!$L34)-SUM(Q34:T34)</f>
        <v>0</v>
      </c>
      <c r="Q34" s="466">
        <f ca="1">COUNTIF(ADMIN!$S$226:INDEX(ADMIN!$S$226:$FD$229,4,ADMIN!$D$5*3-1),Stats!$L34)-SUM(R34:T34)</f>
        <v>0</v>
      </c>
      <c r="R34" s="466">
        <f ca="1">IFERROR(COUNTIF(ADMIN!$S$252:INDEX(ADMIN!$S$252:$FD$252,1,ADMIN!$D$5*3-1),Stats!$L34),0)</f>
        <v>0</v>
      </c>
      <c r="S34" s="466">
        <f ca="1">IFERROR(COUNTIF(ADMIN!$S$251:INDEX(ADMIN!$S$251:$FD$251,1,ADMIN!$D$5*3-1),Stats!$L34),0)</f>
        <v>0</v>
      </c>
      <c r="T34" s="467">
        <f ca="1">IFERROR(COUNTIF(ADMIN!$S$250:INDEX(ADMIN!$S$250:$FD$250,1,ADMIN!$D$5*3-1),Stats!$L34),0)</f>
        <v>0</v>
      </c>
      <c r="U34" s="25"/>
      <c r="V34" s="11">
        <f t="shared" ca="1" si="0"/>
        <v>36</v>
      </c>
      <c r="W34" s="11" t="s">
        <v>1754</v>
      </c>
      <c r="X34" s="11" t="s">
        <v>1753</v>
      </c>
      <c r="Y34" s="490" t="s">
        <v>1684</v>
      </c>
      <c r="Z34" s="490" t="s">
        <v>1686</v>
      </c>
      <c r="AA34" s="490" t="s">
        <v>1714</v>
      </c>
      <c r="AB34" s="490" t="s">
        <v>1715</v>
      </c>
      <c r="AC34" s="490" t="s">
        <v>1716</v>
      </c>
      <c r="AD34" s="490"/>
      <c r="AE34" s="8"/>
      <c r="AF34" s="8"/>
      <c r="AG34" s="490" t="s">
        <v>1717</v>
      </c>
      <c r="AH34" s="490" t="s">
        <v>1718</v>
      </c>
      <c r="AI34" s="490" t="s">
        <v>1719</v>
      </c>
      <c r="AJ34" s="8" t="s">
        <v>1720</v>
      </c>
      <c r="AK34" s="490" t="s">
        <v>1721</v>
      </c>
      <c r="AL34" s="8" t="s">
        <v>1722</v>
      </c>
      <c r="AM34" s="8"/>
      <c r="AN34" s="8"/>
      <c r="AO34" s="490" t="s">
        <v>1723</v>
      </c>
      <c r="AP34" s="490" t="s">
        <v>1724</v>
      </c>
      <c r="AQ34" s="11"/>
      <c r="AR34" s="11"/>
      <c r="AS34" s="11"/>
      <c r="AT34" s="11"/>
      <c r="AU34" s="11"/>
      <c r="AV34" s="11"/>
      <c r="AW34" s="11"/>
      <c r="AX34" s="11"/>
      <c r="AY34" s="11"/>
      <c r="AZ34" s="11"/>
      <c r="BA34" s="11"/>
    </row>
    <row r="35" spans="1:53" ht="15" customHeight="1">
      <c r="A35" s="25">
        <v>14</v>
      </c>
      <c r="B35" s="25">
        <f ca="1">IFERROR(SUMIF(ADMIN!$G$6:$G$258,A35,ADMIN!$F$6:$F$258),"")</f>
        <v>330</v>
      </c>
      <c r="C35" s="17"/>
      <c r="D35" s="25">
        <v>1</v>
      </c>
      <c r="E35" s="25">
        <f ca="1">SUMIFS(_xlfn.ANCHORARRAY($Z$35),_xlfn.ANCHORARRAY($AH$35),D35)</f>
        <v>0</v>
      </c>
      <c r="F35" s="25">
        <f ca="1">IFERROR(E35/SUM($E$35:E37),0)</f>
        <v>0</v>
      </c>
      <c r="G35" s="17"/>
      <c r="H35" s="17"/>
      <c r="I35" s="17"/>
      <c r="J35" s="25"/>
      <c r="K35" s="25"/>
      <c r="L35" s="130" t="str">
        <f ca="1">Horarios!Q30</f>
        <v>Irán</v>
      </c>
      <c r="M35" s="468">
        <f ca="1">ADMIN!$D$5-SUM(N35:T35)</f>
        <v>21</v>
      </c>
      <c r="N35" s="468">
        <f ca="1">IFERROR(COUNTIF(ADMIN!$S$130:INDEX(ADMIN!$S$130:$FD$161,32,ADMIN!$D$5*3-1),Stats!$L35)-SUM(O35:T35),0)</f>
        <v>13</v>
      </c>
      <c r="O35" s="468">
        <f ca="1">COUNTIF(ADMIN!$S$182:INDEX(ADMIN!$S$182:$FD$197,16,ADMIN!$D$5*3-1),Stats!$L35)-SUM(P35:T35)</f>
        <v>1</v>
      </c>
      <c r="P35" s="468">
        <f ca="1">COUNTIF(ADMIN!$S$210:INDEX(ADMIN!$S$210:$FD$217,8,ADMIN!$D$5*3-1),Stats!$L35)-SUM(Q35:T35)</f>
        <v>1</v>
      </c>
      <c r="Q35" s="468">
        <f ca="1">COUNTIF(ADMIN!$S$226:INDEX(ADMIN!$S$226:$FD$229,4,ADMIN!$D$5*3-1),Stats!$L35)-SUM(R35:T35)</f>
        <v>0</v>
      </c>
      <c r="R35" s="468">
        <f ca="1">IFERROR(COUNTIF(ADMIN!$S$252:INDEX(ADMIN!$S$252:$FD$252,1,ADMIN!$D$5*3-1),Stats!$L35),0)</f>
        <v>0</v>
      </c>
      <c r="S35" s="468">
        <f ca="1">IFERROR(COUNTIF(ADMIN!$S$251:INDEX(ADMIN!$S$251:$FD$251,1,ADMIN!$D$5*3-1),Stats!$L35),0)</f>
        <v>0</v>
      </c>
      <c r="T35" s="469">
        <f ca="1">IFERROR(COUNTIF(ADMIN!$S$250:INDEX(ADMIN!$S$250:$FD$250,1,ADMIN!$D$5*3-1),Stats!$L35),0)</f>
        <v>0</v>
      </c>
      <c r="U35" s="25"/>
      <c r="V35" s="11">
        <f t="shared" ca="1" si="0"/>
        <v>36</v>
      </c>
      <c r="W35" s="11" t="str" cm="1">
        <f t="array" aca="1" ref="W35" ca="1">IFERROR(IF(_xlfn.ANCHORARRAY(Y35)&lt;&gt;"",COUNTIF(INDEX(DailyPrediction!$G$4:$AQ$58,,MATCH(Stats!$I$5,DailyPrediction!$G$2:$AQ$2,0)),_xlfn.ANCHORARRAY(Y35)),""),"")</f>
        <v/>
      </c>
      <c r="X35" s="11" t="str" cm="1">
        <f t="array" aca="1" ref="X35" ca="1">IFERROR(_xlfn._xlws.SORT(_xlfn.UNIQUE(_xlfn._xlws.FILTER(INDEX(DailyPrediction!$G$4:$AQ$58,,MATCH(Stats!$I$5,DailyPrediction!$G$2:$AQ$2,0)),LEN(INDEX(DailyPrediction!$G$4:$AQ$58,,MATCH(Stats!$I$5,DailyPrediction!$G$2:$AQ$2,0)))&gt;1))),Idiomas!D501)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5" ca="1">_xlfn.SORTBY(OFFSET($Y$35,0,0,COUNTA(_xlfn.ANCHORARRAY($Y$35)),3),OFFSET(Z35,0,0,COUNTA(_xlfn.ANCHORARRAY($Y$35))),-1)</f>
        <v>Selecciona un partido de hoy:↗</v>
      </c>
      <c r="AD35" s="11" t="str">
        <f ca="1"/>
        <v/>
      </c>
      <c r="AE35" s="11">
        <f ca="1"/>
        <v>0</v>
      </c>
      <c r="AF35" s="11"/>
      <c r="AG35" s="11" t="str" cm="1">
        <f t="array" aca="1" ref="AG35:AG38" ca="1">_xlfn.UNIQUE(_xlfn._xlws.FILTER(DailyPrediction!$A$4:$A$35,DailyPrediction!$A$4:$A$35&lt;&gt;""))</f>
        <v>Catar-Suiza</v>
      </c>
      <c r="AH35" s="11" t="str" cm="1">
        <f t="array" aca="1" ref="AH35" ca="1">LEFT(OFFSET(_xlfn.ANCHORARRAY(Y35),0,0,COUNTA(_xlfn.ANCHORARRAY(Y35)),1))</f>
        <v>S</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v>
      </c>
      <c r="AQ35" s="11"/>
      <c r="AR35" s="11"/>
      <c r="AS35" s="11"/>
      <c r="AT35" s="11"/>
      <c r="AU35" s="11"/>
      <c r="AV35" s="11"/>
      <c r="AW35" s="11"/>
      <c r="AX35" s="11"/>
      <c r="AY35" s="11"/>
      <c r="AZ35" s="11"/>
      <c r="BA35" s="11"/>
    </row>
    <row r="36" spans="1:53" ht="15" customHeight="1">
      <c r="A36" s="25">
        <v>15</v>
      </c>
      <c r="B36" s="25">
        <f ca="1">IFERROR(SUMIF(ADMIN!$G$6:$G$258,A36,ADMIN!$F$6:$F$258),"")</f>
        <v>330</v>
      </c>
      <c r="C36" s="17"/>
      <c r="D36" s="25" t="s">
        <v>13</v>
      </c>
      <c r="E36" s="25">
        <f ca="1">SUMIFS(_xlfn.ANCHORARRAY($Z$35),_xlfn.ANCHORARRAY($AH$35),D36)</f>
        <v>0</v>
      </c>
      <c r="F36" s="25">
        <f ca="1">IFERROR(E36/SUM($E$35:E38),0)</f>
        <v>0</v>
      </c>
      <c r="G36" s="17"/>
      <c r="H36" s="17"/>
      <c r="I36" s="17"/>
      <c r="J36" s="25"/>
      <c r="K36" s="25"/>
      <c r="L36" s="131" t="str">
        <f ca="1">Horarios!Q31</f>
        <v>Japón</v>
      </c>
      <c r="M36" s="466">
        <f ca="1">ADMIN!$D$5-SUM(N36:T36)</f>
        <v>5</v>
      </c>
      <c r="N36" s="466">
        <f ca="1">IFERROR(COUNTIF(ADMIN!$S$130:INDEX(ADMIN!$S$130:$FD$161,32,ADMIN!$D$5*3-1),Stats!$L36)-SUM(O36:T36),0)</f>
        <v>25</v>
      </c>
      <c r="O36" s="466">
        <f ca="1">COUNTIF(ADMIN!$S$182:INDEX(ADMIN!$S$182:$FD$197,16,ADMIN!$D$5*3-1),Stats!$L36)-SUM(P36:T36)</f>
        <v>1</v>
      </c>
      <c r="P36" s="466">
        <f ca="1">COUNTIF(ADMIN!$S$210:INDEX(ADMIN!$S$210:$FD$217,8,ADMIN!$D$5*3-1),Stats!$L36)-SUM(Q36:T36)</f>
        <v>4</v>
      </c>
      <c r="Q36" s="466">
        <f ca="1">COUNTIF(ADMIN!$S$226:INDEX(ADMIN!$S$226:$FD$229,4,ADMIN!$D$5*3-1),Stats!$L36)-SUM(R36:T36)</f>
        <v>0</v>
      </c>
      <c r="R36" s="466">
        <f ca="1">IFERROR(COUNTIF(ADMIN!$S$252:INDEX(ADMIN!$S$252:$FD$252,1,ADMIN!$D$5*3-1),Stats!$L36),0)</f>
        <v>1</v>
      </c>
      <c r="S36" s="466">
        <f ca="1">IFERROR(COUNTIF(ADMIN!$S$251:INDEX(ADMIN!$S$251:$FD$251,1,ADMIN!$D$5*3-1),Stats!$L36),0)</f>
        <v>0</v>
      </c>
      <c r="T36" s="467">
        <f ca="1">IFERROR(COUNTIF(ADMIN!$S$250:INDEX(ADMIN!$S$250:$FD$250,1,ADMIN!$D$5*3-1),Stats!$L36),0)</f>
        <v>0</v>
      </c>
      <c r="U36" s="25"/>
      <c r="V36" s="11">
        <f t="shared" ca="1" si="0"/>
        <v>36</v>
      </c>
      <c r="W36" s="11"/>
      <c r="X36" s="11"/>
      <c r="Y36" s="11"/>
      <c r="Z36" s="11"/>
      <c r="AA36" s="11"/>
      <c r="AB36" s="11"/>
      <c r="AC36" s="11"/>
      <c r="AD36" s="11"/>
      <c r="AE36" s="11"/>
      <c r="AF36" s="11"/>
      <c r="AG36" s="11" t="str">
        <f ca="1"/>
        <v>Brasil-Marruecos</v>
      </c>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330</v>
      </c>
      <c r="C37" s="17"/>
      <c r="D37" s="25">
        <v>2</v>
      </c>
      <c r="E37" s="25">
        <f ca="1">SUMIFS(_xlfn.ANCHORARRAY($Z$35),_xlfn.ANCHORARRAY($AH$35),D37)</f>
        <v>0</v>
      </c>
      <c r="F37" s="25">
        <f ca="1">IFERROR(E37/SUM($E$35:E39),0)</f>
        <v>0</v>
      </c>
      <c r="G37" s="17"/>
      <c r="H37" s="17"/>
      <c r="I37" s="17"/>
      <c r="J37" s="25"/>
      <c r="K37" s="25"/>
      <c r="L37" s="130" t="str">
        <f ca="1">Horarios!Q32</f>
        <v>Jordania</v>
      </c>
      <c r="M37" s="468">
        <f ca="1">ADMIN!$D$5-SUM(N37:T37)</f>
        <v>34</v>
      </c>
      <c r="N37" s="468">
        <f ca="1">IFERROR(COUNTIF(ADMIN!$S$130:INDEX(ADMIN!$S$130:$FD$161,32,ADMIN!$D$5*3-1),Stats!$L37)-SUM(O37:T37),0)</f>
        <v>2</v>
      </c>
      <c r="O37" s="468">
        <f ca="1">COUNTIF(ADMIN!$S$182:INDEX(ADMIN!$S$182:$FD$197,16,ADMIN!$D$5*3-1),Stats!$L37)-SUM(P37:T37)</f>
        <v>0</v>
      </c>
      <c r="P37" s="468">
        <f ca="1">COUNTIF(ADMIN!$S$210:INDEX(ADMIN!$S$210:$FD$217,8,ADMIN!$D$5*3-1),Stats!$L37)-SUM(Q37:T37)</f>
        <v>0</v>
      </c>
      <c r="Q37" s="468">
        <f ca="1">COUNTIF(ADMIN!$S$226:INDEX(ADMIN!$S$226:$FD$229,4,ADMIN!$D$5*3-1),Stats!$L37)-SUM(R37:T37)</f>
        <v>0</v>
      </c>
      <c r="R37" s="468">
        <f ca="1">IFERROR(COUNTIF(ADMIN!$S$252:INDEX(ADMIN!$S$252:$FD$252,1,ADMIN!$D$5*3-1),Stats!$L37),0)</f>
        <v>0</v>
      </c>
      <c r="S37" s="468">
        <f ca="1">IFERROR(COUNTIF(ADMIN!$S$251:INDEX(ADMIN!$S$251:$FD$251,1,ADMIN!$D$5*3-1),Stats!$L37),0)</f>
        <v>0</v>
      </c>
      <c r="T37" s="469">
        <f ca="1">IFERROR(COUNTIF(ADMIN!$S$250:INDEX(ADMIN!$S$250:$FD$250,1,ADMIN!$D$5*3-1),Stats!$L37),0)</f>
        <v>0</v>
      </c>
      <c r="U37" s="25"/>
      <c r="V37" s="11">
        <f t="shared" ca="1" si="0"/>
        <v>36</v>
      </c>
      <c r="W37" s="11"/>
      <c r="X37" s="11"/>
      <c r="Y37" s="11"/>
      <c r="Z37" s="11"/>
      <c r="AA37" s="11"/>
      <c r="AB37" s="11"/>
      <c r="AC37" s="11"/>
      <c r="AD37" s="11"/>
      <c r="AE37" s="11"/>
      <c r="AF37" s="11"/>
      <c r="AG37" s="11" t="str">
        <f ca="1"/>
        <v>Haití-Escocia</v>
      </c>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330</v>
      </c>
      <c r="C38" s="17"/>
      <c r="D38" s="25"/>
      <c r="E38" s="25"/>
      <c r="F38" s="25"/>
      <c r="G38" s="17"/>
      <c r="H38" s="17"/>
      <c r="I38" s="17"/>
      <c r="J38" s="25"/>
      <c r="K38" s="25"/>
      <c r="L38" s="131" t="str">
        <f ca="1">Horarios!Q33</f>
        <v>Marruecos</v>
      </c>
      <c r="M38" s="466">
        <f ca="1">ADMIN!$D$5-SUM(N38:T38)</f>
        <v>2</v>
      </c>
      <c r="N38" s="466">
        <f ca="1">IFERROR(COUNTIF(ADMIN!$S$130:INDEX(ADMIN!$S$130:$FD$161,32,ADMIN!$D$5*3-1),Stats!$L38)-SUM(O38:T38),0)</f>
        <v>20</v>
      </c>
      <c r="O38" s="466">
        <f ca="1">COUNTIF(ADMIN!$S$182:INDEX(ADMIN!$S$182:$FD$197,16,ADMIN!$D$5*3-1),Stats!$L38)-SUM(P38:T38)</f>
        <v>1</v>
      </c>
      <c r="P38" s="466">
        <f ca="1">COUNTIF(ADMIN!$S$210:INDEX(ADMIN!$S$210:$FD$217,8,ADMIN!$D$5*3-1),Stats!$L38)-SUM(Q38:T38)</f>
        <v>10</v>
      </c>
      <c r="Q38" s="466">
        <f ca="1">COUNTIF(ADMIN!$S$226:INDEX(ADMIN!$S$226:$FD$229,4,ADMIN!$D$5*3-1),Stats!$L38)-SUM(R38:T38)</f>
        <v>2</v>
      </c>
      <c r="R38" s="466">
        <f ca="1">IFERROR(COUNTIF(ADMIN!$S$252:INDEX(ADMIN!$S$252:$FD$252,1,ADMIN!$D$5*3-1),Stats!$L38),0)</f>
        <v>1</v>
      </c>
      <c r="S38" s="466">
        <f ca="1">IFERROR(COUNTIF(ADMIN!$S$251:INDEX(ADMIN!$S$251:$FD$251,1,ADMIN!$D$5*3-1),Stats!$L38),0)</f>
        <v>0</v>
      </c>
      <c r="T38" s="467">
        <f ca="1">IFERROR(COUNTIF(ADMIN!$S$250:INDEX(ADMIN!$S$250:$FD$250,1,ADMIN!$D$5*3-1),Stats!$L38),0)</f>
        <v>0</v>
      </c>
      <c r="U38" s="25"/>
      <c r="V38" s="11">
        <f t="shared" ca="1" si="0"/>
        <v>36</v>
      </c>
      <c r="W38" s="11"/>
      <c r="X38" s="11"/>
      <c r="Y38" s="11"/>
      <c r="Z38" s="11"/>
      <c r="AA38" s="11"/>
      <c r="AB38" s="11"/>
      <c r="AC38" s="11"/>
      <c r="AD38" s="11"/>
      <c r="AE38" s="11"/>
      <c r="AF38" s="11"/>
      <c r="AG38" s="11" t="str">
        <f ca="1"/>
        <v>Australia-Turquía</v>
      </c>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0"/>
      <c r="E39" s="450"/>
      <c r="F39" s="450"/>
      <c r="G39" s="17"/>
      <c r="H39" s="17"/>
      <c r="I39" s="17"/>
      <c r="J39" s="25"/>
      <c r="K39" s="25"/>
      <c r="L39" s="130" t="str">
        <f ca="1">Horarios!Q34</f>
        <v>México</v>
      </c>
      <c r="M39" s="468">
        <f ca="1">ADMIN!$D$5-SUM(N39:T39)</f>
        <v>3</v>
      </c>
      <c r="N39" s="468">
        <f ca="1">IFERROR(COUNTIF(ADMIN!$S$130:INDEX(ADMIN!$S$130:$FD$161,32,ADMIN!$D$5*3-1),Stats!$L39)-SUM(O39:T39),0)</f>
        <v>12</v>
      </c>
      <c r="O39" s="468">
        <f ca="1">COUNTIF(ADMIN!$S$182:INDEX(ADMIN!$S$182:$FD$197,16,ADMIN!$D$5*3-1),Stats!$L39)-SUM(P39:T39)</f>
        <v>20</v>
      </c>
      <c r="P39" s="468">
        <f ca="1">COUNTIF(ADMIN!$S$210:INDEX(ADMIN!$S$210:$FD$217,8,ADMIN!$D$5*3-1),Stats!$L39)-SUM(Q39:T39)</f>
        <v>1</v>
      </c>
      <c r="Q39" s="468">
        <f ca="1">COUNTIF(ADMIN!$S$226:INDEX(ADMIN!$S$226:$FD$229,4,ADMIN!$D$5*3-1),Stats!$L39)-SUM(R39:T39)</f>
        <v>0</v>
      </c>
      <c r="R39" s="468">
        <f ca="1">IFERROR(COUNTIF(ADMIN!$S$252:INDEX(ADMIN!$S$252:$FD$252,1,ADMIN!$D$5*3-1),Stats!$L39),0)</f>
        <v>0</v>
      </c>
      <c r="S39" s="468">
        <f ca="1">IFERROR(COUNTIF(ADMIN!$S$251:INDEX(ADMIN!$S$251:$FD$251,1,ADMIN!$D$5*3-1),Stats!$L39),0)</f>
        <v>0</v>
      </c>
      <c r="T39" s="469">
        <f ca="1">IFERROR(COUNTIF(ADMIN!$S$250:INDEX(ADMIN!$S$250:$FD$250,1,ADMIN!$D$5*3-1),Stats!$L39),0)</f>
        <v>0</v>
      </c>
      <c r="U39" s="25"/>
      <c r="V39" s="11">
        <f t="shared" ca="1" si="0"/>
        <v>36</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480</v>
      </c>
      <c r="C40" s="17"/>
      <c r="D40" s="450"/>
      <c r="E40" s="450"/>
      <c r="F40" s="450"/>
      <c r="G40" s="17"/>
      <c r="H40" s="17"/>
      <c r="I40" s="17"/>
      <c r="J40" s="25"/>
      <c r="K40" s="25"/>
      <c r="L40" s="131" t="str">
        <f ca="1">Horarios!Q35</f>
        <v>Noruega</v>
      </c>
      <c r="M40" s="466">
        <f ca="1">ADMIN!$D$5-SUM(N40:T40)</f>
        <v>1</v>
      </c>
      <c r="N40" s="466">
        <f ca="1">IFERROR(COUNTIF(ADMIN!$S$130:INDEX(ADMIN!$S$130:$FD$161,32,ADMIN!$D$5*3-1),Stats!$L40)-SUM(O40:T40),0)</f>
        <v>16</v>
      </c>
      <c r="O40" s="466">
        <f ca="1">COUNTIF(ADMIN!$S$182:INDEX(ADMIN!$S$182:$FD$197,16,ADMIN!$D$5*3-1),Stats!$L40)-SUM(P40:T40)</f>
        <v>14</v>
      </c>
      <c r="P40" s="466">
        <f ca="1">COUNTIF(ADMIN!$S$210:INDEX(ADMIN!$S$210:$FD$217,8,ADMIN!$D$5*3-1),Stats!$L40)-SUM(Q40:T40)</f>
        <v>2</v>
      </c>
      <c r="Q40" s="466">
        <f ca="1">COUNTIF(ADMIN!$S$226:INDEX(ADMIN!$S$226:$FD$229,4,ADMIN!$D$5*3-1),Stats!$L40)-SUM(R40:T40)</f>
        <v>1</v>
      </c>
      <c r="R40" s="466">
        <f ca="1">IFERROR(COUNTIF(ADMIN!$S$252:INDEX(ADMIN!$S$252:$FD$252,1,ADMIN!$D$5*3-1),Stats!$L40),0)</f>
        <v>2</v>
      </c>
      <c r="S40" s="466">
        <f ca="1">IFERROR(COUNTIF(ADMIN!$S$251:INDEX(ADMIN!$S$251:$FD$251,1,ADMIN!$D$5*3-1),Stats!$L40),0)</f>
        <v>0</v>
      </c>
      <c r="T40" s="467">
        <f ca="1">IFERROR(COUNTIF(ADMIN!$S$250:INDEX(ADMIN!$S$250:$FD$250,1,ADMIN!$D$5*3-1),Stats!$L40),0)</f>
        <v>0</v>
      </c>
      <c r="U40" s="25"/>
      <c r="V40" s="11">
        <f t="shared" ca="1" si="0"/>
        <v>36</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960</v>
      </c>
      <c r="C41" s="17"/>
      <c r="D41" s="17"/>
      <c r="E41" s="17"/>
      <c r="F41" s="450"/>
      <c r="G41" s="17"/>
      <c r="H41" s="17"/>
      <c r="I41" s="17"/>
      <c r="J41" s="25"/>
      <c r="K41" s="25"/>
      <c r="L41" s="130" t="str">
        <f ca="1">Horarios!Q36</f>
        <v>Nueva Zelanda</v>
      </c>
      <c r="M41" s="468">
        <f ca="1">ADMIN!$D$5-SUM(N41:T41)</f>
        <v>26</v>
      </c>
      <c r="N41" s="468">
        <f ca="1">IFERROR(COUNTIF(ADMIN!$S$130:INDEX(ADMIN!$S$130:$FD$161,32,ADMIN!$D$5*3-1),Stats!$L41)-SUM(O41:T41),0)</f>
        <v>7</v>
      </c>
      <c r="O41" s="468">
        <f ca="1">COUNTIF(ADMIN!$S$182:INDEX(ADMIN!$S$182:$FD$197,16,ADMIN!$D$5*3-1),Stats!$L41)-SUM(P41:T41)</f>
        <v>3</v>
      </c>
      <c r="P41" s="468">
        <f ca="1">COUNTIF(ADMIN!$S$210:INDEX(ADMIN!$S$210:$FD$217,8,ADMIN!$D$5*3-1),Stats!$L41)-SUM(Q41:T41)</f>
        <v>0</v>
      </c>
      <c r="Q41" s="468">
        <f ca="1">COUNTIF(ADMIN!$S$226:INDEX(ADMIN!$S$226:$FD$229,4,ADMIN!$D$5*3-1),Stats!$L41)-SUM(R41:T41)</f>
        <v>0</v>
      </c>
      <c r="R41" s="468">
        <f ca="1">IFERROR(COUNTIF(ADMIN!$S$252:INDEX(ADMIN!$S$252:$FD$252,1,ADMIN!$D$5*3-1),Stats!$L41),0)</f>
        <v>0</v>
      </c>
      <c r="S41" s="468">
        <f ca="1">IFERROR(COUNTIF(ADMIN!$S$251:INDEX(ADMIN!$S$251:$FD$251,1,ADMIN!$D$5*3-1),Stats!$L41),0)</f>
        <v>0</v>
      </c>
      <c r="T41" s="469">
        <f ca="1">IFERROR(COUNTIF(ADMIN!$S$250:INDEX(ADMIN!$S$250:$FD$250,1,ADMIN!$D$5*3-1),Stats!$L41),0)</f>
        <v>0</v>
      </c>
      <c r="U41" s="25"/>
      <c r="V41" s="11">
        <f t="shared" ca="1" si="0"/>
        <v>36</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560</v>
      </c>
      <c r="C42" s="17"/>
      <c r="D42" s="17"/>
      <c r="E42" s="17"/>
      <c r="F42" s="450"/>
      <c r="G42" s="17"/>
      <c r="H42" s="17"/>
      <c r="I42" s="17"/>
      <c r="J42" s="25"/>
      <c r="K42" s="25"/>
      <c r="L42" s="131" t="str">
        <f ca="1">Horarios!Q37</f>
        <v>Países Bajos</v>
      </c>
      <c r="M42" s="466">
        <f ca="1">ADMIN!$D$5-SUM(N42:T42)</f>
        <v>2</v>
      </c>
      <c r="N42" s="466">
        <f ca="1">IFERROR(COUNTIF(ADMIN!$S$130:INDEX(ADMIN!$S$130:$FD$161,32,ADMIN!$D$5*3-1),Stats!$L42)-SUM(O42:T42),0)</f>
        <v>14</v>
      </c>
      <c r="O42" s="466">
        <f ca="1">COUNTIF(ADMIN!$S$182:INDEX(ADMIN!$S$182:$FD$197,16,ADMIN!$D$5*3-1),Stats!$L42)-SUM(P42:T42)</f>
        <v>2</v>
      </c>
      <c r="P42" s="466">
        <f ca="1">COUNTIF(ADMIN!$S$210:INDEX(ADMIN!$S$210:$FD$217,8,ADMIN!$D$5*3-1),Stats!$L42)-SUM(Q42:T42)</f>
        <v>9</v>
      </c>
      <c r="Q42" s="466">
        <f ca="1">COUNTIF(ADMIN!$S$226:INDEX(ADMIN!$S$226:$FD$229,4,ADMIN!$D$5*3-1),Stats!$L42)-SUM(R42:T42)</f>
        <v>3</v>
      </c>
      <c r="R42" s="466">
        <f ca="1">IFERROR(COUNTIF(ADMIN!$S$252:INDEX(ADMIN!$S$252:$FD$252,1,ADMIN!$D$5*3-1),Stats!$L42),0)</f>
        <v>1</v>
      </c>
      <c r="S42" s="466">
        <f ca="1">IFERROR(COUNTIF(ADMIN!$S$251:INDEX(ADMIN!$S$251:$FD$251,1,ADMIN!$D$5*3-1),Stats!$L42),0)</f>
        <v>5</v>
      </c>
      <c r="T42" s="467">
        <f ca="1">IFERROR(COUNTIF(ADMIN!$S$250:INDEX(ADMIN!$S$250:$FD$250,1,ADMIN!$D$5*3-1),Stats!$L42),0)</f>
        <v>0</v>
      </c>
      <c r="U42" s="25"/>
      <c r="V42" s="11">
        <f t="shared" ca="1" si="0"/>
        <v>36</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320</v>
      </c>
      <c r="C43" s="17"/>
      <c r="D43" s="17"/>
      <c r="E43" s="17"/>
      <c r="F43" s="450"/>
      <c r="G43" s="17"/>
      <c r="H43" s="17"/>
      <c r="I43" s="17"/>
      <c r="J43" s="25"/>
      <c r="K43" s="25"/>
      <c r="L43" s="130" t="str">
        <f ca="1">Horarios!Q38</f>
        <v>Panamá</v>
      </c>
      <c r="M43" s="468">
        <f ca="1">ADMIN!$D$5-SUM(N43:T43)</f>
        <v>32</v>
      </c>
      <c r="N43" s="468">
        <f ca="1">IFERROR(COUNTIF(ADMIN!$S$130:INDEX(ADMIN!$S$130:$FD$161,32,ADMIN!$D$5*3-1),Stats!$L43)-SUM(O43:T43),0)</f>
        <v>3</v>
      </c>
      <c r="O43" s="468">
        <f ca="1">COUNTIF(ADMIN!$S$182:INDEX(ADMIN!$S$182:$FD$197,16,ADMIN!$D$5*3-1),Stats!$L43)-SUM(P43:T43)</f>
        <v>0</v>
      </c>
      <c r="P43" s="468">
        <f ca="1">COUNTIF(ADMIN!$S$210:INDEX(ADMIN!$S$210:$FD$217,8,ADMIN!$D$5*3-1),Stats!$L43)-SUM(Q43:T43)</f>
        <v>1</v>
      </c>
      <c r="Q43" s="468">
        <f ca="1">COUNTIF(ADMIN!$S$226:INDEX(ADMIN!$S$226:$FD$229,4,ADMIN!$D$5*3-1),Stats!$L43)-SUM(R43:T43)</f>
        <v>0</v>
      </c>
      <c r="R43" s="468">
        <f ca="1">IFERROR(COUNTIF(ADMIN!$S$252:INDEX(ADMIN!$S$252:$FD$252,1,ADMIN!$D$5*3-1),Stats!$L43),0)</f>
        <v>0</v>
      </c>
      <c r="S43" s="468">
        <f ca="1">IFERROR(COUNTIF(ADMIN!$S$251:INDEX(ADMIN!$S$251:$FD$251,1,ADMIN!$D$5*3-1),Stats!$L43),0)</f>
        <v>0</v>
      </c>
      <c r="T43" s="469">
        <f ca="1">IFERROR(COUNTIF(ADMIN!$S$250:INDEX(ADMIN!$S$250:$FD$250,1,ADMIN!$D$5*3-1),Stats!$L43),0)</f>
        <v>0</v>
      </c>
      <c r="U43" s="25"/>
      <c r="V43" s="11">
        <f t="shared" ca="1" si="0"/>
        <v>36</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240</v>
      </c>
      <c r="C44" s="17"/>
      <c r="D44" s="450"/>
      <c r="E44" s="450"/>
      <c r="F44" s="450"/>
      <c r="G44" s="17"/>
      <c r="H44" s="17"/>
      <c r="I44" s="17"/>
      <c r="J44" s="25"/>
      <c r="K44" s="25"/>
      <c r="L44" s="131" t="str">
        <f ca="1">Horarios!Q39</f>
        <v>Paraguay</v>
      </c>
      <c r="M44" s="466">
        <f ca="1">ADMIN!$D$5-SUM(N44:T44)</f>
        <v>10</v>
      </c>
      <c r="N44" s="466">
        <f ca="1">IFERROR(COUNTIF(ADMIN!$S$130:INDEX(ADMIN!$S$130:$FD$161,32,ADMIN!$D$5*3-1),Stats!$L44)-SUM(O44:T44),0)</f>
        <v>11</v>
      </c>
      <c r="O44" s="466">
        <f ca="1">COUNTIF(ADMIN!$S$182:INDEX(ADMIN!$S$182:$FD$197,16,ADMIN!$D$5*3-1),Stats!$L44)-SUM(P44:T44)</f>
        <v>14</v>
      </c>
      <c r="P44" s="466">
        <f ca="1">COUNTIF(ADMIN!$S$210:INDEX(ADMIN!$S$210:$FD$217,8,ADMIN!$D$5*3-1),Stats!$L44)-SUM(Q44:T44)</f>
        <v>1</v>
      </c>
      <c r="Q44" s="466">
        <f ca="1">COUNTIF(ADMIN!$S$226:INDEX(ADMIN!$S$226:$FD$229,4,ADMIN!$D$5*3-1),Stats!$L44)-SUM(R44:T44)</f>
        <v>0</v>
      </c>
      <c r="R44" s="466">
        <f ca="1">IFERROR(COUNTIF(ADMIN!$S$252:INDEX(ADMIN!$S$252:$FD$252,1,ADMIN!$D$5*3-1),Stats!$L44),0)</f>
        <v>0</v>
      </c>
      <c r="S44" s="466">
        <f ca="1">IFERROR(COUNTIF(ADMIN!$S$251:INDEX(ADMIN!$S$251:$FD$251,1,ADMIN!$D$5*3-1),Stats!$L44),0)</f>
        <v>0</v>
      </c>
      <c r="T44" s="467">
        <f ca="1">IFERROR(COUNTIF(ADMIN!$S$250:INDEX(ADMIN!$S$250:$FD$250,1,ADMIN!$D$5*3-1),Stats!$L44),0)</f>
        <v>0</v>
      </c>
      <c r="U44" s="25"/>
      <c r="V44" s="11">
        <f t="shared" ca="1" si="0"/>
        <v>36</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295</v>
      </c>
      <c r="C45" s="17"/>
      <c r="D45" s="450"/>
      <c r="E45" s="450" t="str">
        <f ca="1">IF(Home!E41&lt;Home!E42,"",IF(Home!E41&gt;=Home!E42,Idiomas!D511&amp;" "&amp;SUM(WORLDCUP!$BJ$6:$BJ$53,WORLDCUP!$AC$101:$AD$147)&amp;" "&amp;Idiomas!D512,""))</f>
        <v>Se han marcado un total de 12 goles en el Mundial de Clubes sin contar tandas de penalti</v>
      </c>
      <c r="F45" s="450"/>
      <c r="G45" s="17"/>
      <c r="H45" s="17"/>
      <c r="I45" s="17"/>
      <c r="J45" s="25"/>
      <c r="K45" s="25"/>
      <c r="L45" s="130" t="str">
        <f ca="1">Horarios!Q40</f>
        <v>Portugal</v>
      </c>
      <c r="M45" s="468">
        <f ca="1">ADMIN!$D$5-SUM(N45:T45)</f>
        <v>2</v>
      </c>
      <c r="N45" s="468">
        <f ca="1">IFERROR(COUNTIF(ADMIN!$S$130:INDEX(ADMIN!$S$130:$FD$161,32,ADMIN!$D$5*3-1),Stats!$L45)-SUM(O45:T45),0)</f>
        <v>0</v>
      </c>
      <c r="O45" s="468">
        <f ca="1">COUNTIF(ADMIN!$S$182:INDEX(ADMIN!$S$182:$FD$197,16,ADMIN!$D$5*3-1),Stats!$L45)-SUM(P45:T45)</f>
        <v>0</v>
      </c>
      <c r="P45" s="468">
        <f ca="1">COUNTIF(ADMIN!$S$210:INDEX(ADMIN!$S$210:$FD$217,8,ADMIN!$D$5*3-1),Stats!$L45)-SUM(Q45:T45)</f>
        <v>11</v>
      </c>
      <c r="Q45" s="468">
        <f ca="1">COUNTIF(ADMIN!$S$226:INDEX(ADMIN!$S$226:$FD$229,4,ADMIN!$D$5*3-1),Stats!$L45)-SUM(R45:T45)</f>
        <v>1</v>
      </c>
      <c r="R45" s="468">
        <f ca="1">IFERROR(COUNTIF(ADMIN!$S$252:INDEX(ADMIN!$S$252:$FD$252,1,ADMIN!$D$5*3-1),Stats!$L45),0)</f>
        <v>0</v>
      </c>
      <c r="S45" s="468">
        <f ca="1">IFERROR(COUNTIF(ADMIN!$S$251:INDEX(ADMIN!$S$251:$FD$251,1,ADMIN!$D$5*3-1),Stats!$L45),0)</f>
        <v>6</v>
      </c>
      <c r="T45" s="469">
        <f ca="1">IFERROR(COUNTIF(ADMIN!$S$250:INDEX(ADMIN!$S$250:$FD$250,1,ADMIN!$D$5*3-1),Stats!$L45),0)</f>
        <v>16</v>
      </c>
      <c r="U45" s="25"/>
      <c r="V45" s="11">
        <f t="shared" ca="1" si="0"/>
        <v>36</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4895</v>
      </c>
      <c r="C46" s="17"/>
      <c r="D46" s="450"/>
      <c r="E46" s="450"/>
      <c r="F46" s="450"/>
      <c r="G46" s="17"/>
      <c r="H46" s="17"/>
      <c r="I46" s="17"/>
      <c r="J46" s="25"/>
      <c r="K46" s="25"/>
      <c r="L46" s="131" t="str">
        <f ca="1">Horarios!Q41</f>
        <v>RD Congo</v>
      </c>
      <c r="M46" s="466">
        <f ca="1">ADMIN!$D$5-SUM(N46:T46)</f>
        <v>34</v>
      </c>
      <c r="N46" s="466">
        <f ca="1">IFERROR(COUNTIF(ADMIN!$S$130:INDEX(ADMIN!$S$130:$FD$161,32,ADMIN!$D$5*3-1),Stats!$L46)-SUM(O46:T46),0)</f>
        <v>1</v>
      </c>
      <c r="O46" s="466">
        <f ca="1">COUNTIF(ADMIN!$S$182:INDEX(ADMIN!$S$182:$FD$197,16,ADMIN!$D$5*3-1),Stats!$L46)-SUM(P46:T46)</f>
        <v>0</v>
      </c>
      <c r="P46" s="466">
        <f ca="1">COUNTIF(ADMIN!$S$210:INDEX(ADMIN!$S$210:$FD$217,8,ADMIN!$D$5*3-1),Stats!$L46)-SUM(Q46:T46)</f>
        <v>0</v>
      </c>
      <c r="Q46" s="466">
        <f ca="1">COUNTIF(ADMIN!$S$226:INDEX(ADMIN!$S$226:$FD$229,4,ADMIN!$D$5*3-1),Stats!$L46)-SUM(R46:T46)</f>
        <v>0</v>
      </c>
      <c r="R46" s="466">
        <f ca="1">IFERROR(COUNTIF(ADMIN!$S$252:INDEX(ADMIN!$S$252:$FD$252,1,ADMIN!$D$5*3-1),Stats!$L46),0)</f>
        <v>1</v>
      </c>
      <c r="S46" s="466">
        <f ca="1">IFERROR(COUNTIF(ADMIN!$S$251:INDEX(ADMIN!$S$251:$FD$251,1,ADMIN!$D$5*3-1),Stats!$L46),0)</f>
        <v>0</v>
      </c>
      <c r="T46" s="467">
        <f ca="1">IFERROR(COUNTIF(ADMIN!$S$250:INDEX(ADMIN!$S$250:$FD$250,1,ADMIN!$D$5*3-1),Stats!$L46),0)</f>
        <v>0</v>
      </c>
      <c r="U46" s="25"/>
      <c r="V46" s="11">
        <f t="shared" ca="1" si="0"/>
        <v>36</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176220</v>
      </c>
      <c r="C47" s="17"/>
      <c r="D47" s="450"/>
      <c r="E47" s="450"/>
      <c r="F47" s="450"/>
      <c r="G47" s="17"/>
      <c r="H47" s="17"/>
      <c r="I47" s="17"/>
      <c r="J47" s="25"/>
      <c r="K47" s="25"/>
      <c r="L47" s="130" t="str">
        <f ca="1">Horarios!Q42</f>
        <v>República Checa</v>
      </c>
      <c r="M47" s="468">
        <f ca="1">ADMIN!$D$5-SUM(N47:T47)</f>
        <v>9</v>
      </c>
      <c r="N47" s="468">
        <f ca="1">IFERROR(COUNTIF(ADMIN!$S$130:INDEX(ADMIN!$S$130:$FD$161,32,ADMIN!$D$5*3-1),Stats!$L47)-SUM(O47:T47),0)</f>
        <v>17</v>
      </c>
      <c r="O47" s="468">
        <f ca="1">COUNTIF(ADMIN!$S$182:INDEX(ADMIN!$S$182:$FD$197,16,ADMIN!$D$5*3-1),Stats!$L47)-SUM(P47:T47)</f>
        <v>10</v>
      </c>
      <c r="P47" s="468">
        <f ca="1">COUNTIF(ADMIN!$S$210:INDEX(ADMIN!$S$210:$FD$217,8,ADMIN!$D$5*3-1),Stats!$L47)-SUM(Q47:T47)</f>
        <v>0</v>
      </c>
      <c r="Q47" s="468">
        <f ca="1">COUNTIF(ADMIN!$S$226:INDEX(ADMIN!$S$226:$FD$229,4,ADMIN!$D$5*3-1),Stats!$L47)-SUM(R47:T47)</f>
        <v>0</v>
      </c>
      <c r="R47" s="468">
        <f ca="1">IFERROR(COUNTIF(ADMIN!$S$252:INDEX(ADMIN!$S$252:$FD$252,1,ADMIN!$D$5*3-1),Stats!$L47),0)</f>
        <v>0</v>
      </c>
      <c r="S47" s="468">
        <f ca="1">IFERROR(COUNTIF(ADMIN!$S$251:INDEX(ADMIN!$S$251:$FD$251,1,ADMIN!$D$5*3-1),Stats!$L47),0)</f>
        <v>0</v>
      </c>
      <c r="T47" s="469">
        <f ca="1">IFERROR(COUNTIF(ADMIN!$S$250:INDEX(ADMIN!$S$250:$FD$250,1,ADMIN!$D$5*3-1),Stats!$L47),0)</f>
        <v>0</v>
      </c>
      <c r="U47" s="25"/>
      <c r="V47" s="11">
        <f t="shared" ca="1" si="0"/>
        <v>36</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1" t="str">
        <f ca="1">Horarios!Q43</f>
        <v>Senegal</v>
      </c>
      <c r="M48" s="466">
        <f ca="1">ADMIN!$D$5-SUM(N48:T48)</f>
        <v>3</v>
      </c>
      <c r="N48" s="466">
        <f ca="1">IFERROR(COUNTIF(ADMIN!$S$130:INDEX(ADMIN!$S$130:$FD$161,32,ADMIN!$D$5*3-1),Stats!$L48)-SUM(O48:T48),0)</f>
        <v>28</v>
      </c>
      <c r="O48" s="466">
        <f ca="1">COUNTIF(ADMIN!$S$182:INDEX(ADMIN!$S$182:$FD$197,16,ADMIN!$D$5*3-1),Stats!$L48)-SUM(P48:T48)</f>
        <v>4</v>
      </c>
      <c r="P48" s="466">
        <f ca="1">COUNTIF(ADMIN!$S$210:INDEX(ADMIN!$S$210:$FD$217,8,ADMIN!$D$5*3-1),Stats!$L48)-SUM(Q48:T48)</f>
        <v>1</v>
      </c>
      <c r="Q48" s="466">
        <f ca="1">COUNTIF(ADMIN!$S$226:INDEX(ADMIN!$S$226:$FD$229,4,ADMIN!$D$5*3-1),Stats!$L48)-SUM(R48:T48)</f>
        <v>0</v>
      </c>
      <c r="R48" s="466">
        <f ca="1">IFERROR(COUNTIF(ADMIN!$S$252:INDEX(ADMIN!$S$252:$FD$252,1,ADMIN!$D$5*3-1),Stats!$L48),0)</f>
        <v>0</v>
      </c>
      <c r="S48" s="466">
        <f ca="1">IFERROR(COUNTIF(ADMIN!$S$251:INDEX(ADMIN!$S$251:$FD$251,1,ADMIN!$D$5*3-1),Stats!$L48),0)</f>
        <v>0</v>
      </c>
      <c r="T48" s="467">
        <f ca="1">IFERROR(COUNTIF(ADMIN!$S$250:INDEX(ADMIN!$S$250:$FD$250,1,ADMIN!$D$5*3-1),Stats!$L48),0)</f>
        <v>0</v>
      </c>
      <c r="U48" s="25"/>
      <c r="V48" s="11">
        <f t="shared" ca="1" si="0"/>
        <v>36</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0" t="str">
        <f ca="1">Horarios!Q44</f>
        <v>Sudáfrica</v>
      </c>
      <c r="M49" s="468">
        <f ca="1">ADMIN!$D$5-SUM(N49:T49)</f>
        <v>30</v>
      </c>
      <c r="N49" s="468">
        <f ca="1">IFERROR(COUNTIF(ADMIN!$S$130:INDEX(ADMIN!$S$130:$FD$161,32,ADMIN!$D$5*3-1),Stats!$L49)-SUM(O49:T49),0)</f>
        <v>5</v>
      </c>
      <c r="O49" s="468">
        <f ca="1">COUNTIF(ADMIN!$S$182:INDEX(ADMIN!$S$182:$FD$197,16,ADMIN!$D$5*3-1),Stats!$L49)-SUM(P49:T49)</f>
        <v>1</v>
      </c>
      <c r="P49" s="468">
        <f ca="1">COUNTIF(ADMIN!$S$210:INDEX(ADMIN!$S$210:$FD$217,8,ADMIN!$D$5*3-1),Stats!$L49)-SUM(Q49:T49)</f>
        <v>0</v>
      </c>
      <c r="Q49" s="468">
        <f ca="1">COUNTIF(ADMIN!$S$226:INDEX(ADMIN!$S$226:$FD$229,4,ADMIN!$D$5*3-1),Stats!$L49)-SUM(R49:T49)</f>
        <v>0</v>
      </c>
      <c r="R49" s="468">
        <f ca="1">IFERROR(COUNTIF(ADMIN!$S$252:INDEX(ADMIN!$S$252:$FD$252,1,ADMIN!$D$5*3-1),Stats!$L49),0)</f>
        <v>0</v>
      </c>
      <c r="S49" s="468">
        <f ca="1">IFERROR(COUNTIF(ADMIN!$S$251:INDEX(ADMIN!$S$251:$FD$251,1,ADMIN!$D$5*3-1),Stats!$L49),0)</f>
        <v>0</v>
      </c>
      <c r="T49" s="469">
        <f ca="1">IFERROR(COUNTIF(ADMIN!$S$250:INDEX(ADMIN!$S$250:$FD$250,1,ADMIN!$D$5*3-1),Stats!$L49),0)</f>
        <v>0</v>
      </c>
      <c r="U49" s="25"/>
      <c r="V49" s="11">
        <f t="shared" ca="1" si="0"/>
        <v>36</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1" t="str">
        <f ca="1">Horarios!Q45</f>
        <v>Suecia</v>
      </c>
      <c r="M50" s="466">
        <f ca="1">ADMIN!$D$5-SUM(N50:T50)</f>
        <v>7</v>
      </c>
      <c r="N50" s="466">
        <f ca="1">IFERROR(COUNTIF(ADMIN!$S$130:INDEX(ADMIN!$S$130:$FD$161,32,ADMIN!$D$5*3-1),Stats!$L50)-SUM(O50:T50),0)</f>
        <v>29</v>
      </c>
      <c r="O50" s="466">
        <f ca="1">COUNTIF(ADMIN!$S$182:INDEX(ADMIN!$S$182:$FD$197,16,ADMIN!$D$5*3-1),Stats!$L50)-SUM(P50:T50)</f>
        <v>0</v>
      </c>
      <c r="P50" s="466">
        <f ca="1">COUNTIF(ADMIN!$S$210:INDEX(ADMIN!$S$210:$FD$217,8,ADMIN!$D$5*3-1),Stats!$L50)-SUM(Q50:T50)</f>
        <v>0</v>
      </c>
      <c r="Q50" s="466">
        <f ca="1">COUNTIF(ADMIN!$S$226:INDEX(ADMIN!$S$226:$FD$229,4,ADMIN!$D$5*3-1),Stats!$L50)-SUM(R50:T50)</f>
        <v>0</v>
      </c>
      <c r="R50" s="466">
        <f ca="1">IFERROR(COUNTIF(ADMIN!$S$252:INDEX(ADMIN!$S$252:$FD$252,1,ADMIN!$D$5*3-1),Stats!$L50),0)</f>
        <v>0</v>
      </c>
      <c r="S50" s="466">
        <f ca="1">IFERROR(COUNTIF(ADMIN!$S$251:INDEX(ADMIN!$S$251:$FD$251,1,ADMIN!$D$5*3-1),Stats!$L50),0)</f>
        <v>0</v>
      </c>
      <c r="T50" s="467">
        <f ca="1">IFERROR(COUNTIF(ADMIN!$S$250:INDEX(ADMIN!$S$250:$FD$250,1,ADMIN!$D$5*3-1),Stats!$L50),0)</f>
        <v>0</v>
      </c>
      <c r="U50" s="25"/>
      <c r="V50" s="11">
        <f t="shared" ca="1" si="0"/>
        <v>36</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0" t="str">
        <f ca="1">Horarios!Q46</f>
        <v>Suiza</v>
      </c>
      <c r="M51" s="468">
        <f ca="1">ADMIN!$D$5-SUM(N51:T51)</f>
        <v>2</v>
      </c>
      <c r="N51" s="468">
        <f ca="1">IFERROR(COUNTIF(ADMIN!$S$130:INDEX(ADMIN!$S$130:$FD$161,32,ADMIN!$D$5*3-1),Stats!$L51)-SUM(O51:T51),0)</f>
        <v>9</v>
      </c>
      <c r="O51" s="468">
        <f ca="1">COUNTIF(ADMIN!$S$182:INDEX(ADMIN!$S$182:$FD$197,16,ADMIN!$D$5*3-1),Stats!$L51)-SUM(P51:T51)</f>
        <v>25</v>
      </c>
      <c r="P51" s="468">
        <f ca="1">COUNTIF(ADMIN!$S$210:INDEX(ADMIN!$S$210:$FD$217,8,ADMIN!$D$5*3-1),Stats!$L51)-SUM(Q51:T51)</f>
        <v>0</v>
      </c>
      <c r="Q51" s="468">
        <f ca="1">COUNTIF(ADMIN!$S$226:INDEX(ADMIN!$S$226:$FD$229,4,ADMIN!$D$5*3-1),Stats!$L51)-SUM(R51:T51)</f>
        <v>0</v>
      </c>
      <c r="R51" s="468">
        <f ca="1">IFERROR(COUNTIF(ADMIN!$S$252:INDEX(ADMIN!$S$252:$FD$252,1,ADMIN!$D$5*3-1),Stats!$L51),0)</f>
        <v>0</v>
      </c>
      <c r="S51" s="468">
        <f ca="1">IFERROR(COUNTIF(ADMIN!$S$251:INDEX(ADMIN!$S$251:$FD$251,1,ADMIN!$D$5*3-1),Stats!$L51),0)</f>
        <v>0</v>
      </c>
      <c r="T51" s="469">
        <f ca="1">IFERROR(COUNTIF(ADMIN!$S$250:INDEX(ADMIN!$S$250:$FD$250,1,ADMIN!$D$5*3-1),Stats!$L51),0)</f>
        <v>0</v>
      </c>
      <c r="U51" s="25"/>
      <c r="V51" s="11">
        <f t="shared" ca="1" si="0"/>
        <v>36</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1" t="str">
        <f ca="1">Horarios!Q47</f>
        <v>Túnez</v>
      </c>
      <c r="M52" s="466">
        <f ca="1">ADMIN!$D$5-SUM(N52:T52)</f>
        <v>34</v>
      </c>
      <c r="N52" s="466">
        <f ca="1">IFERROR(COUNTIF(ADMIN!$S$130:INDEX(ADMIN!$S$130:$FD$161,32,ADMIN!$D$5*3-1),Stats!$L52)-SUM(O52:T52),0)</f>
        <v>1</v>
      </c>
      <c r="O52" s="466">
        <f ca="1">COUNTIF(ADMIN!$S$182:INDEX(ADMIN!$S$182:$FD$197,16,ADMIN!$D$5*3-1),Stats!$L52)-SUM(P52:T52)</f>
        <v>1</v>
      </c>
      <c r="P52" s="466">
        <f ca="1">COUNTIF(ADMIN!$S$210:INDEX(ADMIN!$S$210:$FD$217,8,ADMIN!$D$5*3-1),Stats!$L52)-SUM(Q52:T52)</f>
        <v>0</v>
      </c>
      <c r="Q52" s="466">
        <f ca="1">COUNTIF(ADMIN!$S$226:INDEX(ADMIN!$S$226:$FD$229,4,ADMIN!$D$5*3-1),Stats!$L52)-SUM(R52:T52)</f>
        <v>0</v>
      </c>
      <c r="R52" s="466">
        <f ca="1">IFERROR(COUNTIF(ADMIN!$S$252:INDEX(ADMIN!$S$252:$FD$252,1,ADMIN!$D$5*3-1),Stats!$L52),0)</f>
        <v>0</v>
      </c>
      <c r="S52" s="466">
        <f ca="1">IFERROR(COUNTIF(ADMIN!$S$251:INDEX(ADMIN!$S$251:$FD$251,1,ADMIN!$D$5*3-1),Stats!$L52),0)</f>
        <v>0</v>
      </c>
      <c r="T52" s="467">
        <f ca="1">IFERROR(COUNTIF(ADMIN!$S$250:INDEX(ADMIN!$S$250:$FD$250,1,ADMIN!$D$5*3-1),Stats!$L52),0)</f>
        <v>0</v>
      </c>
      <c r="U52" s="25"/>
      <c r="V52" s="11">
        <f t="shared" ca="1" si="0"/>
        <v>36</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0" t="str">
        <f ca="1">Horarios!Q48</f>
        <v>Turquía</v>
      </c>
      <c r="M53" s="468">
        <f ca="1">ADMIN!$D$5-SUM(N53:T53)</f>
        <v>3</v>
      </c>
      <c r="N53" s="468">
        <f ca="1">IFERROR(COUNTIF(ADMIN!$S$130:INDEX(ADMIN!$S$130:$FD$161,32,ADMIN!$D$5*3-1),Stats!$L53)-SUM(O53:T53),0)</f>
        <v>12</v>
      </c>
      <c r="O53" s="468">
        <f ca="1">COUNTIF(ADMIN!$S$182:INDEX(ADMIN!$S$182:$FD$197,16,ADMIN!$D$5*3-1),Stats!$L53)-SUM(P53:T53)</f>
        <v>17</v>
      </c>
      <c r="P53" s="468">
        <f ca="1">COUNTIF(ADMIN!$S$210:INDEX(ADMIN!$S$210:$FD$217,8,ADMIN!$D$5*3-1),Stats!$L53)-SUM(Q53:T53)</f>
        <v>4</v>
      </c>
      <c r="Q53" s="468">
        <f ca="1">COUNTIF(ADMIN!$S$226:INDEX(ADMIN!$S$226:$FD$229,4,ADMIN!$D$5*3-1),Stats!$L53)-SUM(R53:T53)</f>
        <v>0</v>
      </c>
      <c r="R53" s="468">
        <f ca="1">IFERROR(COUNTIF(ADMIN!$S$252:INDEX(ADMIN!$S$252:$FD$252,1,ADMIN!$D$5*3-1),Stats!$L53),0)</f>
        <v>0</v>
      </c>
      <c r="S53" s="468">
        <f ca="1">IFERROR(COUNTIF(ADMIN!$S$251:INDEX(ADMIN!$S$251:$FD$251,1,ADMIN!$D$5*3-1),Stats!$L53),0)</f>
        <v>0</v>
      </c>
      <c r="T53" s="469">
        <f ca="1">IFERROR(COUNTIF(ADMIN!$S$250:INDEX(ADMIN!$S$250:$FD$250,1,ADMIN!$D$5*3-1),Stats!$L53),0)</f>
        <v>0</v>
      </c>
      <c r="U53" s="25"/>
      <c r="V53" s="11">
        <f t="shared" ca="1" si="0"/>
        <v>36</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1" t="str">
        <f ca="1">Horarios!Q49</f>
        <v>Uruguay</v>
      </c>
      <c r="M54" s="466">
        <f ca="1">ADMIN!$D$5-SUM(N54:T54)</f>
        <v>2</v>
      </c>
      <c r="N54" s="466">
        <f ca="1">IFERROR(COUNTIF(ADMIN!$S$130:INDEX(ADMIN!$S$130:$FD$161,32,ADMIN!$D$5*3-1),Stats!$L54)-SUM(O54:T54),0)</f>
        <v>31</v>
      </c>
      <c r="O54" s="466">
        <f ca="1">COUNTIF(ADMIN!$S$182:INDEX(ADMIN!$S$182:$FD$197,16,ADMIN!$D$5*3-1),Stats!$L54)-SUM(P54:T54)</f>
        <v>1</v>
      </c>
      <c r="P54" s="466">
        <f ca="1">COUNTIF(ADMIN!$S$210:INDEX(ADMIN!$S$210:$FD$217,8,ADMIN!$D$5*3-1),Stats!$L54)-SUM(Q54:T54)</f>
        <v>0</v>
      </c>
      <c r="Q54" s="466">
        <f ca="1">COUNTIF(ADMIN!$S$226:INDEX(ADMIN!$S$226:$FD$229,4,ADMIN!$D$5*3-1),Stats!$L54)-SUM(R54:T54)</f>
        <v>1</v>
      </c>
      <c r="R54" s="466">
        <f ca="1">IFERROR(COUNTIF(ADMIN!$S$252:INDEX(ADMIN!$S$252:$FD$252,1,ADMIN!$D$5*3-1),Stats!$L54),0)</f>
        <v>0</v>
      </c>
      <c r="S54" s="466">
        <f ca="1">IFERROR(COUNTIF(ADMIN!$S$251:INDEX(ADMIN!$S$251:$FD$251,1,ADMIN!$D$5*3-1),Stats!$L54),0)</f>
        <v>1</v>
      </c>
      <c r="T54" s="467">
        <f ca="1">IFERROR(COUNTIF(ADMIN!$S$250:INDEX(ADMIN!$S$250:$FD$250,1,ADMIN!$D$5*3-1),Stats!$L54),0)</f>
        <v>0</v>
      </c>
      <c r="U54" s="25"/>
      <c r="V54" s="11">
        <f t="shared" ca="1" si="0"/>
        <v>36</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 thickBot="1">
      <c r="A55" s="25"/>
      <c r="B55" s="25"/>
      <c r="C55" s="17"/>
      <c r="D55" s="17"/>
      <c r="E55" s="17"/>
      <c r="F55" s="17"/>
      <c r="G55" s="17"/>
      <c r="H55" s="17"/>
      <c r="I55" s="17"/>
      <c r="J55" s="25"/>
      <c r="K55" s="25"/>
      <c r="L55" s="133" t="str">
        <f ca="1">Horarios!Q50</f>
        <v>Uzbekistán</v>
      </c>
      <c r="M55" s="470">
        <f ca="1">ADMIN!$D$5-SUM(N55:T55)</f>
        <v>32</v>
      </c>
      <c r="N55" s="470">
        <f ca="1">IFERROR(COUNTIF(ADMIN!$S$130:INDEX(ADMIN!$S$130:$FD$161,32,ADMIN!$D$5*3-1),Stats!$L55)-SUM(O55:T55),0)</f>
        <v>3</v>
      </c>
      <c r="O55" s="470">
        <f ca="1">COUNTIF(ADMIN!$S$182:INDEX(ADMIN!$S$182:$FD$197,16,ADMIN!$D$5*3-1),Stats!$L55)-SUM(P55:T55)</f>
        <v>1</v>
      </c>
      <c r="P55" s="470">
        <f ca="1">COUNTIF(ADMIN!$S$210:INDEX(ADMIN!$S$210:$FD$217,8,ADMIN!$D$5*3-1),Stats!$L55)-SUM(Q55:T55)</f>
        <v>0</v>
      </c>
      <c r="Q55" s="470">
        <f ca="1">COUNTIF(ADMIN!$S$226:INDEX(ADMIN!$S$226:$FD$229,4,ADMIN!$D$5*3-1),Stats!$L55)-SUM(R55:T55)</f>
        <v>0</v>
      </c>
      <c r="R55" s="470">
        <f ca="1">IFERROR(COUNTIF(ADMIN!$S$252:INDEX(ADMIN!$S$252:$FD$252,1,ADMIN!$D$5*3-1),Stats!$L55),0)</f>
        <v>0</v>
      </c>
      <c r="S55" s="470">
        <f ca="1">IFERROR(COUNTIF(ADMIN!$S$251:INDEX(ADMIN!$S$251:$FD$251,1,ADMIN!$D$5*3-1),Stats!$L55),0)</f>
        <v>0</v>
      </c>
      <c r="T55" s="471">
        <f ca="1">IFERROR(COUNTIF(ADMIN!$S$250:INDEX(ADMIN!$S$250:$FD$250,1,ADMIN!$D$5*3-1),Stats!$L55),0)</f>
        <v>0</v>
      </c>
      <c r="U55" s="25"/>
      <c r="V55" s="11">
        <f t="shared" ca="1" si="0"/>
        <v>36</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mergeCells count="1">
    <mergeCell ref="L5:T5"/>
  </mergeCells>
  <conditionalFormatting sqref="H8:I30">
    <cfRule type="expression" dxfId="7" priority="4">
      <formula>IF(AND($I8=$J8,$I8&lt;&gt;""),1,0)</formula>
    </cfRule>
  </conditionalFormatting>
  <conditionalFormatting sqref="H8:I31">
    <cfRule type="expression" dxfId="6" priority="1">
      <formula>IF(AND($I8=$K8,$I8&lt;&gt;""),1,0)</formula>
    </cfRule>
  </conditionalFormatting>
  <conditionalFormatting sqref="H31:I31">
    <cfRule type="expression" dxfId="5"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98689A-70A6-4675-83AE-9297AD784E74}">
  <dimension ref="D8:I11"/>
  <sheetViews>
    <sheetView workbookViewId="0">
      <selection activeCell="H17" sqref="H17"/>
    </sheetView>
  </sheetViews>
  <sheetFormatPr baseColWidth="10" defaultRowHeight="14.4"/>
  <sheetData>
    <row r="8" spans="4:9">
      <c r="D8" s="190" t="s">
        <v>1833</v>
      </c>
      <c r="E8" s="475" t="e" vm="23">
        <v>#VALUE!</v>
      </c>
      <c r="F8" s="191"/>
      <c r="G8" s="192"/>
      <c r="H8" s="480" t="e" vm="24">
        <v>#VALUE!</v>
      </c>
      <c r="I8" s="193" t="s">
        <v>1322</v>
      </c>
    </row>
    <row r="9" spans="4:9">
      <c r="D9" s="190" t="s">
        <v>1262</v>
      </c>
      <c r="E9" s="475" t="e" vm="27">
        <v>#VALUE!</v>
      </c>
      <c r="F9" s="191"/>
      <c r="G9" s="192"/>
      <c r="H9" s="480" t="e" vm="28">
        <v>#VALUE!</v>
      </c>
      <c r="I9" s="193" t="s">
        <v>1266</v>
      </c>
    </row>
    <row r="10" spans="4:9">
      <c r="D10" s="190" t="s">
        <v>1558</v>
      </c>
      <c r="E10" s="475" t="e" vm="38">
        <v>#VALUE!</v>
      </c>
      <c r="F10" s="191"/>
      <c r="G10" s="192"/>
      <c r="H10" s="480" t="e" vm="39">
        <v>#VALUE!</v>
      </c>
      <c r="I10" s="193" t="s">
        <v>80</v>
      </c>
    </row>
    <row r="11" spans="4:9" ht="15" thickBot="1">
      <c r="D11" s="229" t="s">
        <v>1839</v>
      </c>
      <c r="E11" s="476" t="e" vm="42">
        <v>#VALUE!</v>
      </c>
      <c r="F11" s="230"/>
      <c r="G11" s="231"/>
      <c r="H11" s="481" t="e" vm="43">
        <v>#VALUE!</v>
      </c>
      <c r="I11" s="232" t="s">
        <v>1267</v>
      </c>
    </row>
  </sheetData>
  <conditionalFormatting sqref="F8:G11">
    <cfRule type="expression" dxfId="4" priority="1" stopIfTrue="1">
      <formula>F8=""</formula>
    </cfRule>
  </conditionalFormatting>
  <dataValidations count="1">
    <dataValidation type="whole" allowBlank="1" showInputMessage="1" showErrorMessage="1" errorTitle="Introduce un número" error="Introduce a number" sqref="F8:G11" xr:uid="{29595AA1-E3F2-4128-B284-DF1EA792D12B}">
      <formula1>0</formula1>
      <formula2>500</formula2>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L13" sqref="L13:O13"/>
      <extLst>
        <ext xmlns:xlsdti="http://schemas.microsoft.com/office/spreadsheetml/2023/showDataTypeIcons" uri="{77bfe23e-c014-4d31-8a63-9c772dbf06b6}">
          <xlsdti:showDataTypeIcons visible="0"/>
        </ext>
      </extLst>
    </sheetView>
  </sheetViews>
  <sheetFormatPr baseColWidth="10" defaultColWidth="10.77734375" defaultRowHeight="14.4"/>
  <cols>
    <col min="1" max="1" width="6" customWidth="1"/>
    <col min="2" max="2" width="13.33203125" customWidth="1"/>
    <col min="3" max="3" width="32.77734375" customWidth="1"/>
    <col min="4" max="4" width="0.44140625" customWidth="1"/>
    <col min="6" max="6" width="0.44140625" customWidth="1"/>
    <col min="10" max="10" width="10.77734375" customWidth="1"/>
    <col min="11" max="11" width="3.44140625" customWidth="1"/>
    <col min="14" max="17" width="15.77734375" customWidth="1"/>
    <col min="18" max="18" width="17.44140625" customWidth="1"/>
    <col min="19" max="22" width="10.77734375" style="11"/>
    <col min="23" max="24" width="10.77734375" style="11" hidden="1" customWidth="1"/>
    <col min="25" max="25" width="10.77734375" style="11"/>
    <col min="26" max="28" width="10.777343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4"/>
      <c r="T2" s="684"/>
    </row>
    <row r="3" spans="1:20">
      <c r="A3" s="26"/>
      <c r="B3" s="897"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98"/>
      <c r="D3" s="898"/>
      <c r="E3" s="898"/>
      <c r="F3" s="898"/>
      <c r="G3" s="898"/>
      <c r="H3" s="898"/>
      <c r="I3" s="898"/>
      <c r="J3" s="899"/>
      <c r="K3" s="27"/>
      <c r="L3" s="670"/>
      <c r="M3" s="671"/>
      <c r="N3" s="671"/>
      <c r="O3" s="671"/>
      <c r="P3" s="671"/>
      <c r="Q3" s="671"/>
      <c r="R3" s="671"/>
      <c r="S3" s="685"/>
      <c r="T3" s="686"/>
    </row>
    <row r="4" spans="1:20">
      <c r="A4" s="26"/>
      <c r="B4" s="900"/>
      <c r="C4" s="901"/>
      <c r="D4" s="901"/>
      <c r="E4" s="901"/>
      <c r="F4" s="901"/>
      <c r="G4" s="901"/>
      <c r="H4" s="901"/>
      <c r="I4" s="901"/>
      <c r="J4" s="902"/>
      <c r="K4" s="27"/>
      <c r="L4" s="672" t="str">
        <f>Idiomas!D86</f>
        <v>· Selecciona el idioma en el que quieras hacer la porra y la zona horaria</v>
      </c>
      <c r="M4" s="139"/>
      <c r="N4" s="139"/>
      <c r="O4" s="139"/>
      <c r="P4" s="139"/>
      <c r="Q4" s="139"/>
      <c r="R4" s="139"/>
      <c r="S4" s="687"/>
      <c r="T4" s="688"/>
    </row>
    <row r="5" spans="1:20">
      <c r="A5" s="26"/>
      <c r="B5" s="900"/>
      <c r="C5" s="901"/>
      <c r="D5" s="901"/>
      <c r="E5" s="901"/>
      <c r="F5" s="901"/>
      <c r="G5" s="901"/>
      <c r="H5" s="901"/>
      <c r="I5" s="901"/>
      <c r="J5" s="902"/>
      <c r="K5" s="27"/>
      <c r="L5" s="672" t="str">
        <f>Idiomas!D87</f>
        <v>· Escribe el nombre del grupo de la porra/quiniela</v>
      </c>
      <c r="M5" s="139"/>
      <c r="N5" s="139"/>
      <c r="O5" s="139"/>
      <c r="P5" s="139"/>
      <c r="Q5" s="139"/>
      <c r="R5" s="139"/>
      <c r="S5" s="687"/>
      <c r="T5" s="688"/>
    </row>
    <row r="6" spans="1:20">
      <c r="A6" s="26"/>
      <c r="B6" s="900"/>
      <c r="C6" s="901"/>
      <c r="D6" s="901"/>
      <c r="E6" s="901"/>
      <c r="F6" s="901"/>
      <c r="G6" s="901"/>
      <c r="H6" s="901"/>
      <c r="I6" s="901"/>
      <c r="J6" s="902"/>
      <c r="K6" s="27"/>
      <c r="L6" s="909" t="str">
        <f>HYPERLINK(Idiomas!D103,Idiomas!D88)</f>
        <v>· El archivo de participante lo puedes descargar desde aquí</v>
      </c>
      <c r="M6" s="910"/>
      <c r="N6" s="910"/>
      <c r="O6" s="910"/>
      <c r="P6" s="139"/>
      <c r="Q6" s="139"/>
      <c r="R6" s="139"/>
      <c r="S6" s="687"/>
      <c r="T6" s="688"/>
    </row>
    <row r="7" spans="1:20">
      <c r="A7" s="26"/>
      <c r="B7" s="900"/>
      <c r="C7" s="901"/>
      <c r="D7" s="901"/>
      <c r="E7" s="901"/>
      <c r="F7" s="901"/>
      <c r="G7" s="901"/>
      <c r="H7" s="901"/>
      <c r="I7" s="901"/>
      <c r="J7" s="902"/>
      <c r="K7" s="27"/>
      <c r="L7" s="673"/>
      <c r="M7" s="674"/>
      <c r="N7" s="674"/>
      <c r="O7" s="674"/>
      <c r="P7" s="674"/>
      <c r="Q7" s="674"/>
      <c r="R7" s="674"/>
      <c r="S7" s="689"/>
      <c r="T7" s="690"/>
    </row>
    <row r="8" spans="1:20">
      <c r="A8" s="26"/>
      <c r="B8" s="900"/>
      <c r="C8" s="901"/>
      <c r="D8" s="901"/>
      <c r="E8" s="901"/>
      <c r="F8" s="901"/>
      <c r="G8" s="901"/>
      <c r="H8" s="901"/>
      <c r="I8" s="901"/>
      <c r="J8" s="902"/>
      <c r="K8" s="27"/>
      <c r="L8" s="4"/>
      <c r="M8" s="4"/>
      <c r="N8" s="4"/>
      <c r="O8" s="4"/>
      <c r="P8" s="4"/>
      <c r="Q8" s="4"/>
      <c r="R8" s="4"/>
      <c r="S8" s="684"/>
      <c r="T8" s="684"/>
    </row>
    <row r="9" spans="1:20">
      <c r="A9" s="26"/>
      <c r="B9" s="900"/>
      <c r="C9" s="901"/>
      <c r="D9" s="901"/>
      <c r="E9" s="901"/>
      <c r="F9" s="901"/>
      <c r="G9" s="901"/>
      <c r="H9" s="901"/>
      <c r="I9" s="901"/>
      <c r="J9" s="902"/>
      <c r="K9" s="27"/>
      <c r="L9" s="36" t="str">
        <f>"ADMIN"&amp;" "&amp;Idiomas!D89</f>
        <v>ADMIN (Antes de empezar el mundial)</v>
      </c>
      <c r="M9" s="679"/>
      <c r="N9" s="4"/>
      <c r="O9" s="4"/>
      <c r="P9" s="4"/>
      <c r="Q9" s="4"/>
      <c r="R9" s="4"/>
      <c r="S9" s="684"/>
      <c r="T9" s="684"/>
    </row>
    <row r="10" spans="1:20">
      <c r="A10" s="26"/>
      <c r="B10" s="900"/>
      <c r="C10" s="901"/>
      <c r="D10" s="901"/>
      <c r="E10" s="901"/>
      <c r="F10" s="901"/>
      <c r="G10" s="901"/>
      <c r="H10" s="901"/>
      <c r="I10" s="901"/>
      <c r="J10" s="902"/>
      <c r="K10" s="27"/>
      <c r="L10" s="670"/>
      <c r="M10" s="671"/>
      <c r="N10" s="671"/>
      <c r="O10" s="671"/>
      <c r="P10" s="671"/>
      <c r="Q10" s="671"/>
      <c r="R10" s="671"/>
      <c r="S10" s="685"/>
      <c r="T10" s="686"/>
    </row>
    <row r="11" spans="1:20">
      <c r="A11" s="26"/>
      <c r="B11" s="900"/>
      <c r="C11" s="901"/>
      <c r="D11" s="901"/>
      <c r="E11" s="901"/>
      <c r="F11" s="901"/>
      <c r="G11" s="901"/>
      <c r="H11" s="901"/>
      <c r="I11" s="901"/>
      <c r="J11" s="902"/>
      <c r="K11" s="27"/>
      <c r="L11" s="672" t="str">
        <f>Idiomas!D91</f>
        <v>· Esta hoja sirve para administrar la porra/quiniela</v>
      </c>
      <c r="M11" s="139"/>
      <c r="N11" s="139"/>
      <c r="O11" s="139"/>
      <c r="P11" s="139"/>
      <c r="Q11" s="139"/>
      <c r="R11" s="139"/>
      <c r="S11" s="687"/>
      <c r="T11" s="688"/>
    </row>
    <row r="12" spans="1:20">
      <c r="A12" s="26"/>
      <c r="B12" s="903"/>
      <c r="C12" s="904"/>
      <c r="D12" s="904"/>
      <c r="E12" s="904"/>
      <c r="F12" s="904"/>
      <c r="G12" s="904"/>
      <c r="H12" s="904"/>
      <c r="I12" s="904"/>
      <c r="J12" s="905"/>
      <c r="K12" s="27"/>
      <c r="L12" s="672" t="str">
        <f>Idiomas!D92</f>
        <v>· Lo primero, establece la puntuación para cada criterio y comparte la puntuación con los participantes</v>
      </c>
      <c r="M12" s="139"/>
      <c r="N12" s="139"/>
      <c r="O12" s="139"/>
      <c r="P12" s="139"/>
      <c r="Q12" s="139"/>
      <c r="R12" s="678"/>
      <c r="S12" s="687"/>
      <c r="T12" s="688"/>
    </row>
    <row r="13" spans="1:20">
      <c r="A13" s="26"/>
      <c r="B13" s="31"/>
      <c r="C13" s="31"/>
      <c r="D13" s="31"/>
      <c r="E13" s="31"/>
      <c r="F13" s="31"/>
      <c r="G13" s="31"/>
      <c r="H13" s="31"/>
      <c r="I13" s="31"/>
      <c r="J13" s="31"/>
      <c r="K13" s="27"/>
      <c r="L13" s="909" t="str">
        <f>HYPERLINK(Idiomas!D302,Idiomas!D93)</f>
        <v>· Aquí explicamos cada criterio de puntuación</v>
      </c>
      <c r="M13" s="910"/>
      <c r="N13" s="910"/>
      <c r="O13" s="910"/>
      <c r="P13" s="139"/>
      <c r="Q13" s="139"/>
      <c r="R13" s="139"/>
      <c r="S13" s="687"/>
      <c r="T13" s="688"/>
    </row>
    <row r="14" spans="1:20">
      <c r="A14" s="26"/>
      <c r="B14" s="134"/>
      <c r="C14" s="135"/>
      <c r="D14" s="135"/>
      <c r="E14" s="135"/>
      <c r="F14" s="135"/>
      <c r="G14" s="135"/>
      <c r="H14" s="135"/>
      <c r="I14" s="135"/>
      <c r="J14" s="136"/>
      <c r="K14" s="27"/>
      <c r="L14" s="675" t="str">
        <f>Idiomas!D94</f>
        <v>· Cuando los participantes te envíen su archivo, copia sus pronósticos de la hoja “Pool”, en esta hoja ADMIN</v>
      </c>
      <c r="M14" s="139"/>
      <c r="N14" s="139"/>
      <c r="O14" s="139"/>
      <c r="P14" s="139"/>
      <c r="Q14" s="139"/>
      <c r="R14" s="139"/>
      <c r="S14" s="687"/>
      <c r="T14" s="688"/>
    </row>
    <row r="15" spans="1:20">
      <c r="A15" s="26"/>
      <c r="B15" s="137" t="str">
        <f>Idiomas!D82</f>
        <v>Autor:</v>
      </c>
      <c r="C15" s="138" t="s">
        <v>25</v>
      </c>
      <c r="D15" s="138"/>
      <c r="E15" s="138" t="s">
        <v>1315</v>
      </c>
      <c r="F15" s="139"/>
      <c r="G15" s="138" t="s">
        <v>1316</v>
      </c>
      <c r="H15" s="139"/>
      <c r="I15" s="140"/>
      <c r="J15" s="141"/>
      <c r="K15" s="27"/>
      <c r="L15" s="672" t="str">
        <f>Idiomas!D95</f>
        <v>· Cuando tengas todos los pronósticos, selecciona el número de jugadores en la hoja ADMIN</v>
      </c>
      <c r="M15" s="139"/>
      <c r="N15" s="139"/>
      <c r="O15" s="139"/>
      <c r="P15" s="139"/>
      <c r="Q15" s="139"/>
      <c r="R15" s="139"/>
      <c r="S15" s="687"/>
      <c r="T15" s="688"/>
    </row>
    <row r="16" spans="1:20">
      <c r="A16" s="26"/>
      <c r="B16" s="142" t="str">
        <f>Idiomas!D83</f>
        <v>Útima versión</v>
      </c>
      <c r="C16" s="143">
        <v>46125</v>
      </c>
      <c r="D16" s="143"/>
      <c r="E16" s="144"/>
      <c r="F16" s="144"/>
      <c r="G16" s="144"/>
      <c r="H16" s="144"/>
      <c r="I16" s="145"/>
      <c r="J16" s="146"/>
      <c r="K16" s="27"/>
      <c r="L16" s="673"/>
      <c r="M16" s="674"/>
      <c r="N16" s="674"/>
      <c r="O16" s="674"/>
      <c r="P16" s="674"/>
      <c r="Q16" s="674"/>
      <c r="R16" s="674"/>
      <c r="S16" s="689"/>
      <c r="T16" s="690"/>
    </row>
    <row r="17" spans="1:20">
      <c r="A17" s="26"/>
      <c r="B17" s="147"/>
      <c r="C17" s="148"/>
      <c r="D17" s="148"/>
      <c r="E17" s="148"/>
      <c r="F17" s="148"/>
      <c r="G17" s="148"/>
      <c r="H17" s="148"/>
      <c r="I17" s="148"/>
      <c r="J17" s="149"/>
      <c r="K17" s="27"/>
      <c r="L17" s="27"/>
      <c r="M17" s="27"/>
      <c r="N17" s="27"/>
      <c r="O17" s="27"/>
      <c r="P17" s="27"/>
      <c r="Q17" s="27"/>
      <c r="R17" s="27"/>
      <c r="S17" s="684"/>
      <c r="T17" s="684"/>
    </row>
    <row r="18" spans="1:20">
      <c r="A18" s="26"/>
      <c r="B18" s="33"/>
      <c r="C18" s="33"/>
      <c r="D18" s="33"/>
      <c r="E18" s="34"/>
      <c r="F18" s="34"/>
      <c r="G18" s="26"/>
      <c r="H18" s="26"/>
      <c r="I18" s="26"/>
      <c r="J18" s="669"/>
      <c r="K18" s="27"/>
      <c r="L18" s="36" t="str">
        <f>"WORLDCUP"&amp;" "&amp;Idiomas!D96</f>
        <v>WORLDCUP (Una vez ha empezado el mundial)</v>
      </c>
      <c r="M18" s="679"/>
      <c r="N18" s="4"/>
      <c r="O18" s="4"/>
      <c r="P18" s="4"/>
      <c r="Q18" s="4"/>
      <c r="R18" s="4"/>
      <c r="S18" s="684"/>
      <c r="T18" s="684"/>
    </row>
    <row r="19" spans="1:20" ht="19.95" customHeight="1">
      <c r="A19" s="27"/>
      <c r="B19" s="150"/>
      <c r="C19" s="151" t="str">
        <f>Idiomas!D85</f>
        <v>PARA DESCARGAR, CLICK EN</v>
      </c>
      <c r="D19" s="151"/>
      <c r="E19" s="152">
        <v>2</v>
      </c>
      <c r="F19" s="153"/>
      <c r="G19" s="151"/>
      <c r="H19" s="154"/>
      <c r="I19" s="154"/>
      <c r="J19" s="155"/>
      <c r="K19" s="27"/>
      <c r="L19" s="670"/>
      <c r="M19" s="671"/>
      <c r="N19" s="671"/>
      <c r="O19" s="671"/>
      <c r="P19" s="671"/>
      <c r="Q19" s="671"/>
      <c r="R19" s="671"/>
      <c r="S19" s="685"/>
      <c r="T19" s="686"/>
    </row>
    <row r="20" spans="1:20">
      <c r="A20" s="27"/>
      <c r="B20" s="156"/>
      <c r="C20" s="157" t="s">
        <v>1370</v>
      </c>
      <c r="D20" s="157"/>
      <c r="E20" s="158" t="s">
        <v>216</v>
      </c>
      <c r="F20" s="158"/>
      <c r="G20" s="158" t="s">
        <v>348</v>
      </c>
      <c r="H20" s="159"/>
      <c r="I20" s="159"/>
      <c r="J20" s="146"/>
      <c r="K20" s="27"/>
      <c r="L20" s="672" t="str">
        <f>Idiomas!D97</f>
        <v>· Cuando empiece el mundial, rellena los cuadros grises con los resultados reales de la fase de grupos</v>
      </c>
      <c r="M20" s="139"/>
      <c r="N20" s="139"/>
      <c r="O20" s="139"/>
      <c r="P20" s="139"/>
      <c r="Q20" s="139"/>
      <c r="R20" s="139"/>
      <c r="S20" s="687"/>
      <c r="T20" s="688"/>
    </row>
    <row r="21" spans="1:20" ht="19.95" customHeight="1">
      <c r="A21" s="35"/>
      <c r="B21" s="160"/>
      <c r="C21" s="161" t="s">
        <v>1935</v>
      </c>
      <c r="D21" s="162"/>
      <c r="E21" s="37">
        <v>2</v>
      </c>
      <c r="F21" s="162"/>
      <c r="G21" s="37">
        <v>2</v>
      </c>
      <c r="H21" s="163"/>
      <c r="I21" s="159"/>
      <c r="J21" s="164"/>
      <c r="K21" s="35"/>
      <c r="L21" s="672" t="str">
        <f>Idiomas!D98</f>
        <v>· En caso de empate en la posición de un grupo o en los mejores terceros, selcciona el orden de los empatados</v>
      </c>
      <c r="M21" s="139"/>
      <c r="N21" s="139"/>
      <c r="O21" s="139"/>
      <c r="P21" s="139"/>
      <c r="Q21" s="139"/>
      <c r="R21" s="139"/>
      <c r="S21" s="687"/>
      <c r="T21" s="688"/>
    </row>
    <row r="22" spans="1:20" ht="1.95" customHeight="1">
      <c r="A22" s="35"/>
      <c r="B22" s="160"/>
      <c r="C22" s="163"/>
      <c r="D22" s="163"/>
      <c r="E22" s="163"/>
      <c r="F22" s="163"/>
      <c r="G22" s="163"/>
      <c r="H22" s="163"/>
      <c r="I22" s="159"/>
      <c r="J22" s="164"/>
      <c r="K22" s="35"/>
      <c r="L22" s="672"/>
      <c r="M22" s="139"/>
      <c r="N22" s="139"/>
      <c r="O22" s="139"/>
      <c r="P22" s="139"/>
      <c r="Q22" s="139"/>
      <c r="R22" s="139"/>
      <c r="S22" s="687"/>
      <c r="T22" s="688"/>
    </row>
    <row r="23" spans="1:20" ht="19.95" customHeight="1">
      <c r="A23" s="35"/>
      <c r="B23" s="160"/>
      <c r="C23" s="161" t="s">
        <v>1299</v>
      </c>
      <c r="D23" s="162"/>
      <c r="E23" s="38">
        <v>2</v>
      </c>
      <c r="F23" s="162"/>
      <c r="G23" s="38">
        <v>2</v>
      </c>
      <c r="H23" s="163"/>
      <c r="I23" s="163"/>
      <c r="J23" s="164"/>
      <c r="K23" s="35"/>
      <c r="L23" s="672" t="str">
        <f>Idiomas!D99</f>
        <v>· Las eliminatorias se establecen de forma automática</v>
      </c>
      <c r="M23" s="139"/>
      <c r="N23" s="139"/>
      <c r="O23" s="139"/>
      <c r="P23" s="139"/>
      <c r="Q23" s="139"/>
      <c r="R23" s="139"/>
      <c r="S23" s="687"/>
      <c r="T23" s="688"/>
    </row>
    <row r="24" spans="1:20" ht="1.95" customHeight="1">
      <c r="A24" s="35"/>
      <c r="B24" s="160"/>
      <c r="C24" s="163"/>
      <c r="D24" s="163"/>
      <c r="E24" s="163"/>
      <c r="F24" s="163"/>
      <c r="G24" s="163"/>
      <c r="H24" s="163"/>
      <c r="I24" s="163"/>
      <c r="J24" s="164"/>
      <c r="K24" s="35"/>
      <c r="L24" s="672"/>
      <c r="M24" s="139"/>
      <c r="N24" s="139"/>
      <c r="O24" s="139"/>
      <c r="P24" s="139"/>
      <c r="Q24" s="139"/>
      <c r="R24" s="139"/>
      <c r="S24" s="687"/>
      <c r="T24" s="688"/>
    </row>
    <row r="25" spans="1:20" ht="19.95" customHeight="1">
      <c r="A25" s="35"/>
      <c r="B25" s="160"/>
      <c r="C25" s="161" t="s">
        <v>1268</v>
      </c>
      <c r="D25" s="162"/>
      <c r="E25" s="38">
        <v>2</v>
      </c>
      <c r="F25" s="162"/>
      <c r="G25" s="39">
        <v>0</v>
      </c>
      <c r="H25" s="163"/>
      <c r="I25" s="163"/>
      <c r="J25" s="164"/>
      <c r="K25" s="35"/>
      <c r="L25" s="672" t="str">
        <f>Idiomas!D100</f>
        <v>· Rellena los resultados de las fases eliminatorias. En caso de empate, se abren dos celdas a los lados para poner el resultado de los penaltis</v>
      </c>
      <c r="M25" s="139"/>
      <c r="N25" s="139"/>
      <c r="O25" s="139"/>
      <c r="P25" s="139"/>
      <c r="Q25" s="139"/>
      <c r="R25" s="139"/>
      <c r="S25" s="687"/>
      <c r="T25" s="688"/>
    </row>
    <row r="26" spans="1:20" ht="1.95" customHeight="1">
      <c r="A26" s="35"/>
      <c r="B26" s="160"/>
      <c r="C26" s="163"/>
      <c r="D26" s="163"/>
      <c r="E26" s="163"/>
      <c r="F26" s="163"/>
      <c r="G26" s="163"/>
      <c r="H26" s="163"/>
      <c r="I26" s="163"/>
      <c r="J26" s="164"/>
      <c r="K26" s="35"/>
      <c r="L26" s="672"/>
      <c r="M26" s="139"/>
      <c r="N26" s="139"/>
      <c r="O26" s="139"/>
      <c r="P26" s="139"/>
      <c r="Q26" s="139"/>
      <c r="R26" s="139"/>
      <c r="S26" s="687"/>
      <c r="T26" s="688"/>
    </row>
    <row r="27" spans="1:20" ht="19.95" customHeight="1">
      <c r="A27" s="35"/>
      <c r="B27" s="160"/>
      <c r="C27" s="161" t="s">
        <v>1269</v>
      </c>
      <c r="D27" s="162"/>
      <c r="E27" s="38">
        <v>2</v>
      </c>
      <c r="F27" s="162"/>
      <c r="G27" s="39">
        <v>0</v>
      </c>
      <c r="H27" s="163"/>
      <c r="I27" s="163"/>
      <c r="J27" s="164"/>
      <c r="K27" s="35"/>
      <c r="L27" s="673" t="str">
        <f>Idiomas!D101</f>
        <v>· Rellenar los mejores jugadores y los máximos goleadores</v>
      </c>
      <c r="M27" s="674"/>
      <c r="N27" s="674"/>
      <c r="O27" s="674"/>
      <c r="P27" s="674"/>
      <c r="Q27" s="674"/>
      <c r="R27" s="674"/>
      <c r="S27" s="689"/>
      <c r="T27" s="690"/>
    </row>
    <row r="28" spans="1:20" ht="1.95" customHeight="1">
      <c r="A28" s="35"/>
      <c r="B28" s="160"/>
      <c r="C28" s="163"/>
      <c r="D28" s="163"/>
      <c r="E28" s="163"/>
      <c r="F28" s="163"/>
      <c r="G28" s="163"/>
      <c r="H28" s="163"/>
      <c r="I28" s="163"/>
      <c r="J28" s="164"/>
      <c r="K28" s="35"/>
    </row>
    <row r="29" spans="1:20" ht="19.95" customHeight="1">
      <c r="A29" s="35"/>
      <c r="B29" s="160"/>
      <c r="C29" s="161" t="s">
        <v>1270</v>
      </c>
      <c r="D29" s="162"/>
      <c r="E29" s="39">
        <v>0</v>
      </c>
      <c r="F29" s="162"/>
      <c r="G29" s="38">
        <v>2</v>
      </c>
      <c r="H29" s="163"/>
      <c r="I29" s="163"/>
      <c r="J29" s="164"/>
      <c r="K29" s="35"/>
    </row>
    <row r="30" spans="1:20" ht="1.95" customHeight="1">
      <c r="A30" s="35"/>
      <c r="B30" s="160"/>
      <c r="C30" s="163"/>
      <c r="D30" s="163"/>
      <c r="E30" s="163"/>
      <c r="F30" s="163"/>
      <c r="G30" s="163"/>
      <c r="H30" s="163"/>
      <c r="I30" s="163"/>
      <c r="J30" s="164"/>
      <c r="K30" s="35"/>
      <c r="L30" s="36"/>
    </row>
    <row r="31" spans="1:20" ht="19.95" customHeight="1">
      <c r="A31" s="35"/>
      <c r="B31" s="160"/>
      <c r="C31" s="161" t="s">
        <v>1271</v>
      </c>
      <c r="D31" s="162"/>
      <c r="E31" s="38">
        <v>2</v>
      </c>
      <c r="F31" s="162"/>
      <c r="G31" s="39">
        <v>0</v>
      </c>
      <c r="H31" s="163"/>
      <c r="I31" s="163"/>
      <c r="J31" s="164"/>
      <c r="K31" s="35"/>
      <c r="L31" s="676" t="s">
        <v>1916</v>
      </c>
    </row>
    <row r="32" spans="1:20" ht="18" customHeight="1">
      <c r="A32" s="27"/>
      <c r="B32" s="165"/>
      <c r="C32" s="166"/>
      <c r="D32" s="166"/>
      <c r="E32" s="166"/>
      <c r="F32" s="166"/>
      <c r="G32" s="166"/>
      <c r="H32" s="166"/>
      <c r="I32" s="166"/>
      <c r="J32" s="167"/>
      <c r="K32" s="27"/>
      <c r="L32" s="680" t="str">
        <f>Idiomas!D104</f>
        <v>· En esta hoja se puede ver la clasificación general según se vayan introduciendo los resultados de los partidos</v>
      </c>
      <c r="M32" s="681"/>
      <c r="N32" s="681"/>
      <c r="O32" s="681"/>
      <c r="P32" s="681"/>
      <c r="Q32" s="681"/>
      <c r="R32" s="681"/>
      <c r="S32" s="691"/>
      <c r="T32" s="692"/>
    </row>
    <row r="33" spans="1:20" ht="15" thickBot="1">
      <c r="A33" s="27"/>
      <c r="B33" s="3"/>
      <c r="C33" s="3"/>
      <c r="D33" s="3"/>
      <c r="E33" s="3"/>
      <c r="F33" s="3"/>
      <c r="G33" s="3"/>
      <c r="H33" s="3"/>
      <c r="I33" s="3"/>
      <c r="J33" s="3"/>
      <c r="K33" s="27"/>
      <c r="L33" s="27"/>
    </row>
    <row r="34" spans="1:20" ht="28.05" customHeight="1" thickBot="1">
      <c r="A34" s="27"/>
      <c r="B34" s="906" t="str">
        <f>HYPERLINK(Idiomas!D10,Idiomas!D9)</f>
        <v>Versiones para más participantes</v>
      </c>
      <c r="C34" s="907"/>
      <c r="D34" s="907"/>
      <c r="E34" s="907"/>
      <c r="F34" s="907"/>
      <c r="G34" s="907"/>
      <c r="H34" s="907"/>
      <c r="I34" s="907"/>
      <c r="J34" s="907"/>
      <c r="K34" s="27"/>
      <c r="L34" s="676" t="s">
        <v>1878</v>
      </c>
    </row>
    <row r="35" spans="1:20" ht="18" customHeight="1" thickBot="1">
      <c r="A35" s="27"/>
      <c r="B35" s="4"/>
      <c r="C35" s="27"/>
      <c r="D35" s="27"/>
      <c r="E35" s="27"/>
      <c r="F35" s="27"/>
      <c r="G35" s="27"/>
      <c r="H35" s="27"/>
      <c r="I35" s="27"/>
      <c r="J35" s="27"/>
      <c r="K35" s="27"/>
      <c r="L35" s="680" t="str">
        <f>Idiomas!D105</f>
        <v>· Esta hoja permite filtrar los pronósticos por día de la fase de grupos o por eliminatoria.</v>
      </c>
      <c r="M35" s="681"/>
      <c r="N35" s="681"/>
      <c r="O35" s="681"/>
      <c r="P35" s="681"/>
      <c r="Q35" s="681"/>
      <c r="R35" s="681"/>
      <c r="S35" s="691"/>
      <c r="T35" s="692"/>
    </row>
    <row r="36" spans="1:20" ht="18" thickBot="1">
      <c r="A36" s="27"/>
      <c r="B36" s="4"/>
      <c r="C36" s="40" t="s">
        <v>1335</v>
      </c>
      <c r="D36" s="27"/>
      <c r="E36" s="27"/>
      <c r="F36" s="27"/>
      <c r="G36" s="27"/>
      <c r="H36" s="43" t="str">
        <f>HYPERLINK(Idiomas!D13,"FAQ")</f>
        <v>FAQ</v>
      </c>
      <c r="I36" s="27"/>
      <c r="J36" s="27"/>
      <c r="K36" s="27"/>
      <c r="L36" s="27"/>
      <c r="M36" s="26"/>
      <c r="N36" s="27"/>
    </row>
    <row r="37" spans="1:20" ht="15" customHeight="1">
      <c r="A37" s="27"/>
      <c r="B37" s="4"/>
      <c r="C37" s="4"/>
      <c r="D37" s="4"/>
      <c r="E37" s="4"/>
      <c r="F37" s="4"/>
      <c r="G37" s="4"/>
      <c r="H37" s="4"/>
      <c r="I37" s="4"/>
      <c r="J37" s="4"/>
      <c r="K37" s="27"/>
      <c r="L37" s="676" t="s">
        <v>1888</v>
      </c>
      <c r="M37" s="26"/>
      <c r="N37" s="27"/>
    </row>
    <row r="38" spans="1:20" ht="34.049999999999997" customHeight="1">
      <c r="A38" s="27"/>
      <c r="C38" s="27"/>
      <c r="D38" s="27"/>
      <c r="E38" s="27"/>
      <c r="F38" s="27"/>
      <c r="G38" s="27"/>
      <c r="H38" s="27"/>
      <c r="I38" s="27"/>
      <c r="J38" s="27"/>
      <c r="K38" s="27"/>
      <c r="L38" s="680" t="str">
        <f>Idiomas!D106</f>
        <v xml:space="preserve"> · Aquí puedes ver la clasificación del dia/ronda seleccionado en la hoja "DailyPredcition"</v>
      </c>
      <c r="M38" s="681"/>
      <c r="N38" s="681"/>
      <c r="O38" s="681"/>
      <c r="P38" s="681"/>
      <c r="Q38" s="681"/>
      <c r="R38" s="681"/>
      <c r="S38" s="691"/>
      <c r="T38" s="692"/>
    </row>
    <row r="40" spans="1:20">
      <c r="L40" s="676" t="s">
        <v>1656</v>
      </c>
      <c r="M40" s="677"/>
      <c r="N40" s="677"/>
      <c r="O40" s="677"/>
      <c r="P40" s="677"/>
      <c r="Q40" s="677"/>
      <c r="R40" s="677"/>
      <c r="S40" s="693"/>
      <c r="T40" s="693"/>
    </row>
    <row r="41" spans="1:20">
      <c r="L41" s="670" t="str">
        <f>Idiomas!D108</f>
        <v>· En estas hoja podrás ver diferentes estadísticas generales y por partido</v>
      </c>
      <c r="M41" s="671"/>
      <c r="N41" s="671"/>
      <c r="O41" s="671"/>
      <c r="P41" s="671"/>
      <c r="Q41" s="671"/>
      <c r="R41" s="671"/>
      <c r="S41" s="685"/>
      <c r="T41" s="686"/>
    </row>
    <row r="42" spans="1:20">
      <c r="L42" s="682" t="str">
        <f>Idiomas!D109</f>
        <v>· Para verlas correctamente necesitas una versión posterior a excel 2021</v>
      </c>
      <c r="M42" s="683"/>
      <c r="N42" s="683"/>
      <c r="O42" s="683"/>
      <c r="P42" s="683"/>
      <c r="Q42" s="683"/>
      <c r="R42" s="683"/>
      <c r="S42" s="694"/>
      <c r="T42" s="695"/>
    </row>
    <row r="44" spans="1:20">
      <c r="L44" s="676" t="s">
        <v>1305</v>
      </c>
      <c r="M44" s="677"/>
      <c r="N44" s="677"/>
      <c r="O44" s="677"/>
      <c r="P44" s="677"/>
      <c r="Q44" s="677"/>
      <c r="R44" s="677"/>
      <c r="S44" s="693"/>
      <c r="T44" s="693"/>
    </row>
    <row r="45" spans="1:20" ht="18" customHeight="1">
      <c r="L45" s="680" t="str">
        <f>Idiomas!D110</f>
        <v xml:space="preserve">· En esta hoja puedes ver de un vistazo el cuadro del mundial </v>
      </c>
      <c r="M45" s="681"/>
      <c r="N45" s="681"/>
      <c r="O45" s="681"/>
      <c r="P45" s="681"/>
      <c r="Q45" s="681"/>
      <c r="R45" s="681"/>
      <c r="S45" s="691"/>
      <c r="T45" s="692"/>
    </row>
    <row r="84" spans="13:25" ht="60" customHeight="1">
      <c r="M84" s="908" t="str">
        <f>Idiomas!D107</f>
        <v>Si Irán no participa en el mundial y le sustituye otra selección, selecciona el país sustituto en el desplegable. Si no aparece, elige 'Otro' e ingresa manualmente el nombre (español e inglés), su zona UTC y, opcionalmente, la imagen de su bandera.</v>
      </c>
      <c r="N84" s="908"/>
      <c r="O84" s="908"/>
      <c r="P84" s="908"/>
      <c r="Q84" s="908"/>
      <c r="R84" s="908"/>
    </row>
    <row r="86" spans="13:25">
      <c r="M86" s="490" t="s">
        <v>1791</v>
      </c>
      <c r="T86" s="490" t="s">
        <v>1795</v>
      </c>
      <c r="U86" s="490" t="s">
        <v>1792</v>
      </c>
      <c r="V86" s="490" t="s">
        <v>1793</v>
      </c>
      <c r="W86" s="490" t="s">
        <v>1800</v>
      </c>
      <c r="X86" s="490" t="s">
        <v>1801</v>
      </c>
      <c r="Y86" s="490" t="s">
        <v>1802</v>
      </c>
    </row>
    <row r="87" spans="13:25">
      <c r="M87" s="668" t="s">
        <v>1794</v>
      </c>
      <c r="N87" s="11" t="str">
        <f>IFERROR(IF(J18="",$U$87,INDEX($U$87:$U$91,MATCH(M87,$T$87:$T$91,0))),"")</f>
        <v>Irán</v>
      </c>
      <c r="O87" s="11" t="str">
        <f>IFERROR(IF(J18="",$V$87,INDEX($V$87:$V$91,MATCH(M87,$T$87:$T$91,0))),"")</f>
        <v>Iran</v>
      </c>
      <c r="T87" s="696" t="s">
        <v>1794</v>
      </c>
      <c r="U87" s="8" t="s">
        <v>1262</v>
      </c>
      <c r="V87" s="8" t="s">
        <v>1282</v>
      </c>
      <c r="W87" s="8" t="s">
        <v>1283</v>
      </c>
      <c r="X87" s="8" t="e" vm="49">
        <v>#VALUE!</v>
      </c>
      <c r="Y87" s="8">
        <v>3.5</v>
      </c>
    </row>
    <row r="88" spans="13:25">
      <c r="T88" s="696" t="s">
        <v>1796</v>
      </c>
      <c r="U88" s="8" t="s">
        <v>1755</v>
      </c>
      <c r="V88" s="8" t="s">
        <v>1756</v>
      </c>
      <c r="W88" s="8" t="s">
        <v>1760</v>
      </c>
      <c r="X88" s="696" t="e" vm="50">
        <v>#VALUE!</v>
      </c>
      <c r="Y88" s="8">
        <v>4</v>
      </c>
    </row>
    <row r="89" spans="13:25" ht="15.6">
      <c r="T89" s="696" t="s">
        <v>1797</v>
      </c>
      <c r="U89" s="8" t="s">
        <v>1786</v>
      </c>
      <c r="V89" s="8" t="s">
        <v>1786</v>
      </c>
      <c r="W89" s="697" t="s">
        <v>1787</v>
      </c>
      <c r="X89" s="696" t="e" vm="51">
        <v>#VALUE!</v>
      </c>
      <c r="Y89" s="8">
        <v>-4</v>
      </c>
    </row>
    <row r="90" spans="13:25" ht="15.6">
      <c r="T90" s="696" t="s">
        <v>1798</v>
      </c>
      <c r="U90" s="8" t="s">
        <v>1788</v>
      </c>
      <c r="V90" s="8" t="s">
        <v>1789</v>
      </c>
      <c r="W90" s="698" t="s">
        <v>1790</v>
      </c>
      <c r="X90" s="696" t="e" vm="52">
        <v>#VALUE!</v>
      </c>
      <c r="Y90" s="8">
        <v>-3</v>
      </c>
    </row>
    <row r="91" spans="13:25">
      <c r="T91" s="696" t="s">
        <v>1799</v>
      </c>
      <c r="U91" s="8" t="str">
        <f>N93</f>
        <v>Escribe la selección</v>
      </c>
      <c r="V91" s="8" t="str">
        <f>O93</f>
        <v>Write the nation</v>
      </c>
      <c r="W91" s="8" t="str">
        <f>IF(Q93="","",Q93)</f>
        <v/>
      </c>
      <c r="X91" s="8" t="str">
        <f>IF(R93="","",R93)</f>
        <v/>
      </c>
      <c r="Y91" s="8">
        <f>IF(P93="",-4,P93)</f>
        <v>-4</v>
      </c>
    </row>
    <row r="92" spans="13:25" ht="19.05" customHeight="1">
      <c r="N92" s="490" t="s">
        <v>1792</v>
      </c>
      <c r="O92" s="490" t="s">
        <v>1793</v>
      </c>
      <c r="P92" s="490" t="s">
        <v>1807</v>
      </c>
      <c r="Q92" s="490" t="s">
        <v>1804</v>
      </c>
      <c r="R92" s="490" t="s">
        <v>1801</v>
      </c>
    </row>
    <row r="93" spans="13:25" ht="25.05" customHeight="1">
      <c r="N93" s="491" t="s">
        <v>1848</v>
      </c>
      <c r="O93" s="491" t="s">
        <v>1803</v>
      </c>
      <c r="P93" s="491"/>
      <c r="Q93" s="491"/>
      <c r="R93" s="491"/>
    </row>
  </sheetData>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101"/>
  <sheetViews>
    <sheetView showGridLines="0" topLeftCell="K76" zoomScaleNormal="100" zoomScalePageLayoutView="75" workbookViewId="0">
      <selection activeCell="T58" sqref="T58"/>
    </sheetView>
  </sheetViews>
  <sheetFormatPr baseColWidth="10" defaultColWidth="20.44140625" defaultRowHeight="15" customHeight="1"/>
  <cols>
    <col min="1" max="1" width="6.77734375" style="5" bestFit="1" customWidth="1"/>
    <col min="2" max="2" width="16.77734375" style="5" customWidth="1"/>
    <col min="3" max="3" width="11.44140625" style="5" customWidth="1"/>
    <col min="4" max="4" width="8.77734375" style="5" bestFit="1" customWidth="1"/>
    <col min="5" max="5" width="11.33203125" style="5" customWidth="1"/>
    <col min="6" max="6" width="15.33203125" style="5" customWidth="1"/>
    <col min="7" max="7" width="4.109375" style="5" bestFit="1" customWidth="1"/>
    <col min="8" max="8" width="20.44140625" style="5"/>
    <col min="9" max="9" width="13" style="5" customWidth="1"/>
    <col min="10" max="10" width="12" style="5" customWidth="1"/>
    <col min="11" max="11" width="20.44140625" style="5"/>
    <col min="12" max="13" width="0" style="5" hidden="1" customWidth="1"/>
    <col min="14" max="14" width="4.44140625" style="717" customWidth="1"/>
    <col min="15" max="20" width="20.44140625" style="773"/>
    <col min="21" max="16384" width="20.44140625" style="9"/>
  </cols>
  <sheetData>
    <row r="1" spans="1:20" ht="15" customHeight="1">
      <c r="A1" s="769" t="s">
        <v>368</v>
      </c>
      <c r="B1" s="769" t="s">
        <v>30</v>
      </c>
      <c r="C1" s="769" t="s">
        <v>71</v>
      </c>
      <c r="D1" s="769" t="s">
        <v>11</v>
      </c>
      <c r="F1" s="5" t="s">
        <v>33</v>
      </c>
      <c r="H1" s="769"/>
      <c r="I1" s="769"/>
      <c r="K1" s="5" t="s">
        <v>68</v>
      </c>
      <c r="L1" s="5" t="s">
        <v>1345</v>
      </c>
      <c r="Q1" s="774" t="s">
        <v>1644</v>
      </c>
      <c r="R1" s="774" t="s">
        <v>1645</v>
      </c>
      <c r="T1" s="775" t="str">
        <f>+Idiomas!D442</f>
        <v>None</v>
      </c>
    </row>
    <row r="2" spans="1:20" ht="15" customHeight="1">
      <c r="A2" s="5">
        <v>1</v>
      </c>
      <c r="B2" s="5" t="str">
        <f ca="1">+INDEX(Idiomas!$D$212:$D$259,MATCH(T_Equipos[[#This Row],[Num]],Idiomas!$C$212:$C$259,0))</f>
        <v>México</v>
      </c>
      <c r="C2" s="5" t="s">
        <v>0</v>
      </c>
      <c r="D2" s="5">
        <v>1</v>
      </c>
      <c r="F2" s="5" t="s">
        <v>0</v>
      </c>
      <c r="K2" s="5" t="str">
        <f ca="1">Idiomas!D212</f>
        <v>Alemania</v>
      </c>
      <c r="L2" s="5" t="s">
        <v>144</v>
      </c>
      <c r="M2" s="5" t="e" vm="53">
        <v>#VALUE!</v>
      </c>
      <c r="O2" s="776">
        <v>1</v>
      </c>
      <c r="P2" s="777"/>
      <c r="Q2" s="777" cm="1">
        <f t="array" aca="1" ref="Q2" ca="1">IFERROR(MIN(IF(COUNTIF($Q$1:Q1,ADMIN!$H$6:$H$77)=0,ADMIN!$H$6:$H$77)),"")</f>
        <v>46184</v>
      </c>
      <c r="R2" s="774">
        <v>1</v>
      </c>
      <c r="S2" s="774">
        <v>1</v>
      </c>
      <c r="T2" s="775">
        <v>0.05</v>
      </c>
    </row>
    <row r="3" spans="1:20" ht="15" customHeight="1">
      <c r="A3" s="5">
        <v>2</v>
      </c>
      <c r="B3" s="5" t="str">
        <f ca="1">+INDEX(Idiomas!$D$212:$D$259,MATCH(T_Equipos[[#This Row],[Num]],Idiomas!$C$212:$C$259,0))</f>
        <v>Sudáfrica</v>
      </c>
      <c r="C3" s="5" t="s">
        <v>0</v>
      </c>
      <c r="D3" s="5">
        <v>2</v>
      </c>
      <c r="F3" s="5" t="s">
        <v>1</v>
      </c>
      <c r="K3" s="5" t="str">
        <f ca="1">Idiomas!D213</f>
        <v>Arabia Saudita</v>
      </c>
      <c r="L3" s="5" t="s">
        <v>1640</v>
      </c>
      <c r="M3" s="5" t="e" vm="54">
        <v>#VALUE!</v>
      </c>
      <c r="O3" s="776">
        <v>2</v>
      </c>
      <c r="P3" s="777"/>
      <c r="Q3" s="777" cm="1">
        <f t="array" aca="1" ref="Q3" ca="1">IFERROR(MIN(IF(COUNTIF($Q$1:Q2,ADMIN!$H$6:$H$77)=0,ADMIN!$H$6:$H$77)),"")</f>
        <v>46185</v>
      </c>
      <c r="R3" s="774">
        <v>2</v>
      </c>
      <c r="S3" s="774">
        <v>2</v>
      </c>
      <c r="T3" s="775">
        <v>0.1</v>
      </c>
    </row>
    <row r="4" spans="1:20" ht="15" customHeight="1">
      <c r="A4" s="5">
        <v>3</v>
      </c>
      <c r="B4" s="5" t="str">
        <f ca="1">+INDEX(Idiomas!$D$212:$D$259,MATCH(T_Equipos[[#This Row],[Num]],Idiomas!$C$212:$C$259,0))</f>
        <v>Corea del Sur</v>
      </c>
      <c r="C4" s="5" t="s">
        <v>0</v>
      </c>
      <c r="D4" s="5">
        <v>3</v>
      </c>
      <c r="F4" s="5" t="s">
        <v>2</v>
      </c>
      <c r="K4" s="5" t="str">
        <f ca="1">Idiomas!D214</f>
        <v>Argelia</v>
      </c>
      <c r="L4" s="5" t="s">
        <v>1560</v>
      </c>
      <c r="M4" s="5" t="e" vm="55">
        <v>#VALUE!</v>
      </c>
      <c r="O4" s="776">
        <v>3</v>
      </c>
      <c r="P4" s="777"/>
      <c r="Q4" s="777" cm="1">
        <f t="array" aca="1" ref="Q4" ca="1">IFERROR(MIN(IF(COUNTIF($Q$1:Q3,ADMIN!$H$6:$H$77)=0,ADMIN!$H$6:$H$77)),"")</f>
        <v>46186</v>
      </c>
      <c r="R4" s="774">
        <v>3</v>
      </c>
      <c r="S4" s="774">
        <v>3</v>
      </c>
      <c r="T4" s="775">
        <v>0.15</v>
      </c>
    </row>
    <row r="5" spans="1:20" ht="15" customHeight="1">
      <c r="A5" s="5">
        <v>4</v>
      </c>
      <c r="B5" s="5" t="str">
        <f ca="1">+INDEX(Idiomas!$D$212:$D$259,MATCH(T_Equipos[[#This Row],[Num]],Idiomas!$C$212:$C$259,0))</f>
        <v>República Checa</v>
      </c>
      <c r="C5" s="5" t="s">
        <v>0</v>
      </c>
      <c r="D5" s="5">
        <v>4</v>
      </c>
      <c r="F5" s="5" t="s">
        <v>73</v>
      </c>
      <c r="K5" s="5" t="str">
        <f ca="1">Idiomas!D215</f>
        <v>Argentina</v>
      </c>
      <c r="L5" s="5" t="s">
        <v>1272</v>
      </c>
      <c r="M5" s="5" t="e" vm="56">
        <v>#VALUE!</v>
      </c>
      <c r="O5" s="776">
        <v>4</v>
      </c>
      <c r="P5" s="777"/>
      <c r="Q5" s="777" cm="1">
        <f t="array" aca="1" ref="Q5" ca="1">IFERROR(MIN(IF(COUNTIF($Q$1:Q4,ADMIN!$H$6:$H$77)=0,ADMIN!$H$6:$H$77)),"")</f>
        <v>46187</v>
      </c>
      <c r="R5" s="774">
        <v>4</v>
      </c>
      <c r="S5" s="774">
        <v>4</v>
      </c>
      <c r="T5" s="775">
        <v>0.2</v>
      </c>
    </row>
    <row r="6" spans="1:20" ht="15" customHeight="1">
      <c r="A6" s="5">
        <v>5</v>
      </c>
      <c r="B6" s="5" t="str">
        <f ca="1">+INDEX(Idiomas!$D$212:$D$259,MATCH(T_Equipos[[#This Row],[Num]],Idiomas!$C$212:$C$259,0))</f>
        <v>Canadá</v>
      </c>
      <c r="C6" s="5" t="s">
        <v>1</v>
      </c>
      <c r="D6" s="5">
        <v>1</v>
      </c>
      <c r="F6" s="5" t="s">
        <v>3</v>
      </c>
      <c r="K6" s="5" t="str">
        <f ca="1">Idiomas!D216</f>
        <v>Australia</v>
      </c>
      <c r="L6" s="5" t="s">
        <v>1273</v>
      </c>
      <c r="M6" s="5" t="e" vm="57">
        <v>#VALUE!</v>
      </c>
      <c r="O6" s="776">
        <v>5</v>
      </c>
      <c r="P6" s="777"/>
      <c r="Q6" s="777" cm="1">
        <f t="array" aca="1" ref="Q6" ca="1">IFERROR(MIN(IF(COUNTIF($Q$1:Q5,ADMIN!$H$6:$H$77)=0,ADMIN!$H$6:$H$77)),"")</f>
        <v>46188</v>
      </c>
      <c r="R6" s="774">
        <v>5</v>
      </c>
      <c r="S6" s="774">
        <v>5</v>
      </c>
      <c r="T6" s="775">
        <v>0.25</v>
      </c>
    </row>
    <row r="7" spans="1:20" ht="15" customHeight="1">
      <c r="A7" s="5">
        <v>6</v>
      </c>
      <c r="B7" s="5" t="str">
        <f ca="1">+INDEX(Idiomas!$D$212:$D$259,MATCH(T_Equipos[[#This Row],[Num]],Idiomas!$C$212:$C$259,0))</f>
        <v>Bosnia y Herzegovina</v>
      </c>
      <c r="C7" s="5" t="s">
        <v>1</v>
      </c>
      <c r="D7" s="5">
        <v>2</v>
      </c>
      <c r="F7" s="5" t="s">
        <v>4</v>
      </c>
      <c r="K7" s="5" t="str">
        <f ca="1">Idiomas!D217</f>
        <v>Austria</v>
      </c>
      <c r="L7" s="776" t="s">
        <v>145</v>
      </c>
      <c r="M7" s="776" t="e" vm="58">
        <v>#VALUE!</v>
      </c>
      <c r="O7" s="776"/>
      <c r="P7" s="777"/>
      <c r="Q7" s="777" cm="1">
        <f t="array" aca="1" ref="Q7" ca="1">IFERROR(MIN(IF(COUNTIF($Q$1:Q6,ADMIN!$H$6:$H$77)=0,ADMIN!$H$6:$H$77)),"")</f>
        <v>46189</v>
      </c>
      <c r="R7" s="774">
        <v>6</v>
      </c>
      <c r="S7" s="774">
        <v>6</v>
      </c>
      <c r="T7" s="775">
        <v>0.3</v>
      </c>
    </row>
    <row r="8" spans="1:20" ht="15" customHeight="1">
      <c r="A8" s="5">
        <v>7</v>
      </c>
      <c r="B8" s="5" t="str">
        <f ca="1">+INDEX(Idiomas!$D$212:$D$259,MATCH(T_Equipos[[#This Row],[Num]],Idiomas!$C$212:$C$259,0))</f>
        <v>Catar</v>
      </c>
      <c r="C8" s="5" t="s">
        <v>1</v>
      </c>
      <c r="D8" s="5">
        <v>3</v>
      </c>
      <c r="F8" s="5" t="s">
        <v>6</v>
      </c>
      <c r="K8" s="5" t="str">
        <f ca="1">Idiomas!D218</f>
        <v>Bélgica</v>
      </c>
      <c r="L8" s="5" t="s">
        <v>140</v>
      </c>
      <c r="M8" s="5" t="e" vm="59">
        <v>#VALUE!</v>
      </c>
      <c r="O8" s="776"/>
      <c r="P8" s="777"/>
      <c r="Q8" s="777" cm="1">
        <f t="array" aca="1" ref="Q8" ca="1">IFERROR(MIN(IF(COUNTIF($Q$1:Q7,ADMIN!$H$6:$H$77)=0,ADMIN!$H$6:$H$77)),"")</f>
        <v>46190</v>
      </c>
      <c r="R8" s="774">
        <v>7</v>
      </c>
      <c r="S8" s="774">
        <v>7</v>
      </c>
      <c r="T8" s="775">
        <v>0.35</v>
      </c>
    </row>
    <row r="9" spans="1:20" ht="15" customHeight="1">
      <c r="A9" s="5">
        <v>8</v>
      </c>
      <c r="B9" s="5" t="str">
        <f ca="1">+INDEX(Idiomas!$D$212:$D$259,MATCH(T_Equipos[[#This Row],[Num]],Idiomas!$C$212:$C$259,0))</f>
        <v>Suiza</v>
      </c>
      <c r="C9" s="5" t="s">
        <v>1</v>
      </c>
      <c r="D9" s="5">
        <v>4</v>
      </c>
      <c r="F9" s="5" t="s">
        <v>437</v>
      </c>
      <c r="K9" s="5" t="str">
        <f ca="1">Idiomas!D219</f>
        <v>Brasil</v>
      </c>
      <c r="L9" s="5" t="s">
        <v>1275</v>
      </c>
      <c r="M9" s="5" t="e" vm="60">
        <v>#VALUE!</v>
      </c>
      <c r="O9" s="776"/>
      <c r="P9" s="777"/>
      <c r="Q9" s="777" cm="1">
        <f t="array" aca="1" ref="Q9" ca="1">IFERROR(MIN(IF(COUNTIF($Q$1:Q8,ADMIN!$H$6:$H$77)=0,ADMIN!$H$6:$H$77)),"")</f>
        <v>46191</v>
      </c>
      <c r="R9" s="774">
        <v>8</v>
      </c>
      <c r="S9" s="774">
        <v>8</v>
      </c>
      <c r="T9" s="775">
        <v>0.4</v>
      </c>
    </row>
    <row r="10" spans="1:20" ht="15" customHeight="1">
      <c r="A10" s="5">
        <v>9</v>
      </c>
      <c r="B10" s="5" t="str">
        <f ca="1">+INDEX(Idiomas!$D$212:$D$259,MATCH(T_Equipos[[#This Row],[Num]],Idiomas!$C$212:$C$259,0))</f>
        <v>Brasil</v>
      </c>
      <c r="C10" s="5" t="s">
        <v>2</v>
      </c>
      <c r="D10" s="5">
        <v>1</v>
      </c>
      <c r="F10" s="5" t="s">
        <v>438</v>
      </c>
      <c r="K10" s="5" t="str">
        <f ca="1">Idiomas!D220</f>
        <v>Cabo Verde</v>
      </c>
      <c r="L10" s="5" t="s">
        <v>1557</v>
      </c>
      <c r="M10" s="5" t="e" vm="61">
        <v>#VALUE!</v>
      </c>
      <c r="O10" s="776"/>
      <c r="P10" s="777"/>
      <c r="Q10" s="777" cm="1">
        <f t="array" aca="1" ref="Q10" ca="1">IFERROR(MIN(IF(COUNTIF($Q$1:Q9,ADMIN!$H$6:$H$77)=0,ADMIN!$H$6:$H$77)),"")</f>
        <v>46192</v>
      </c>
      <c r="R10" s="774">
        <v>9</v>
      </c>
      <c r="S10" s="774">
        <v>9</v>
      </c>
      <c r="T10" s="775">
        <v>0.45</v>
      </c>
    </row>
    <row r="11" spans="1:20" ht="15" customHeight="1">
      <c r="A11" s="5">
        <v>10</v>
      </c>
      <c r="B11" s="5" t="str">
        <f ca="1">+INDEX(Idiomas!$D$212:$D$259,MATCH(T_Equipos[[#This Row],[Num]],Idiomas!$C$212:$C$259,0))</f>
        <v>Marruecos</v>
      </c>
      <c r="C11" s="5" t="s">
        <v>2</v>
      </c>
      <c r="D11" s="5">
        <v>2</v>
      </c>
      <c r="F11" s="5" t="s">
        <v>5</v>
      </c>
      <c r="K11" s="5" t="str">
        <f ca="1">Idiomas!D221</f>
        <v>Canadá</v>
      </c>
      <c r="L11" s="5" t="s">
        <v>1277</v>
      </c>
      <c r="M11" s="5" t="e" vm="62">
        <v>#VALUE!</v>
      </c>
      <c r="O11" s="776"/>
      <c r="P11" s="777"/>
      <c r="Q11" s="777" cm="1">
        <f t="array" aca="1" ref="Q11" ca="1">IFERROR(MIN(IF(COUNTIF($Q$1:Q10,ADMIN!$H$6:$H$77)=0,ADMIN!$H$6:$H$77)),"")</f>
        <v>46193</v>
      </c>
      <c r="R11" s="774">
        <v>10</v>
      </c>
      <c r="S11" s="774">
        <v>10</v>
      </c>
      <c r="T11" s="775">
        <v>0.5</v>
      </c>
    </row>
    <row r="12" spans="1:20" ht="15" customHeight="1">
      <c r="A12" s="5">
        <v>11</v>
      </c>
      <c r="B12" s="5" t="str">
        <f ca="1">+INDEX(Idiomas!$D$212:$D$259,MATCH(T_Equipos[[#This Row],[Num]],Idiomas!$C$212:$C$259,0))</f>
        <v>Haití</v>
      </c>
      <c r="C12" s="5" t="s">
        <v>2</v>
      </c>
      <c r="D12" s="5">
        <v>3</v>
      </c>
      <c r="F12" s="5" t="s">
        <v>439</v>
      </c>
      <c r="K12" s="5" t="str">
        <f ca="1">Idiomas!D222</f>
        <v>Catar</v>
      </c>
      <c r="L12" s="5" t="s">
        <v>1638</v>
      </c>
      <c r="M12" s="5" t="e" vm="63">
        <v>#VALUE!</v>
      </c>
      <c r="O12" s="776"/>
      <c r="P12" s="777"/>
      <c r="Q12" s="777" cm="1">
        <f t="array" aca="1" ref="Q12" ca="1">IFERROR(MIN(IF(COUNTIF($Q$1:Q11,ADMIN!$H$6:$H$77)=0,ADMIN!$H$6:$H$77)),"")</f>
        <v>46194</v>
      </c>
      <c r="R12" s="774">
        <v>11</v>
      </c>
      <c r="S12" s="774">
        <v>11</v>
      </c>
      <c r="T12" s="775">
        <v>0.55000000000000004</v>
      </c>
    </row>
    <row r="13" spans="1:20" ht="15" customHeight="1">
      <c r="A13" s="5">
        <v>12</v>
      </c>
      <c r="B13" s="5" t="str">
        <f ca="1">+INDEX(Idiomas!$D$212:$D$259,MATCH(T_Equipos[[#This Row],[Num]],Idiomas!$C$212:$C$259,0))</f>
        <v>Escocia</v>
      </c>
      <c r="C13" s="5" t="s">
        <v>2</v>
      </c>
      <c r="D13" s="5">
        <v>4</v>
      </c>
      <c r="F13" s="5" t="s">
        <v>238</v>
      </c>
      <c r="K13" s="5" t="str">
        <f ca="1">Idiomas!D223</f>
        <v>Colombia</v>
      </c>
      <c r="L13" s="5" t="s">
        <v>1325</v>
      </c>
      <c r="M13" s="5" t="e" vm="64">
        <v>#VALUE!</v>
      </c>
      <c r="O13" s="776"/>
      <c r="P13" s="777"/>
      <c r="Q13" s="777" cm="1">
        <f t="array" aca="1" ref="Q13" ca="1">IFERROR(MIN(IF(COUNTIF($Q$1:Q12,ADMIN!$H$6:$H$77)=0,ADMIN!$H$6:$H$77)),"")</f>
        <v>46195</v>
      </c>
      <c r="R13" s="774">
        <v>12</v>
      </c>
      <c r="S13" s="774">
        <v>12</v>
      </c>
      <c r="T13" s="775">
        <v>0.6</v>
      </c>
    </row>
    <row r="14" spans="1:20" ht="15" customHeight="1">
      <c r="A14" s="5">
        <v>13</v>
      </c>
      <c r="B14" s="5" t="str">
        <f ca="1">+INDEX(Idiomas!$D$212:$D$259,MATCH(T_Equipos[[#This Row],[Num]],Idiomas!$C$212:$C$259,0))</f>
        <v>Estados Unidos</v>
      </c>
      <c r="C14" s="5" t="s">
        <v>73</v>
      </c>
      <c r="D14" s="5">
        <v>1</v>
      </c>
      <c r="K14" s="5" t="str">
        <f ca="1">Idiomas!D224</f>
        <v>Corea del Sur</v>
      </c>
      <c r="L14" s="5" t="s">
        <v>1279</v>
      </c>
      <c r="M14" s="5" t="e" vm="65">
        <v>#VALUE!</v>
      </c>
      <c r="O14" s="776"/>
      <c r="P14" s="777"/>
      <c r="Q14" s="777" cm="1">
        <f t="array" aca="1" ref="Q14" ca="1">IFERROR(MIN(IF(COUNTIF($Q$1:Q13,ADMIN!$H$6:$H$77)=0,ADMIN!$H$6:$H$77)),"")</f>
        <v>46196</v>
      </c>
      <c r="R14" s="774">
        <v>13</v>
      </c>
      <c r="S14" s="774">
        <v>13</v>
      </c>
      <c r="T14" s="775">
        <v>0.65</v>
      </c>
    </row>
    <row r="15" spans="1:20" ht="15" customHeight="1">
      <c r="A15" s="5">
        <v>14</v>
      </c>
      <c r="B15" s="5" t="str">
        <f ca="1">+INDEX(Idiomas!$D$212:$D$259,MATCH(T_Equipos[[#This Row],[Num]],Idiomas!$C$212:$C$259,0))</f>
        <v>Paraguay</v>
      </c>
      <c r="C15" s="5" t="s">
        <v>73</v>
      </c>
      <c r="D15" s="5">
        <v>2</v>
      </c>
      <c r="K15" s="5" t="str">
        <f ca="1">Idiomas!D225</f>
        <v>Costa de Marfil</v>
      </c>
      <c r="L15" s="5" t="s">
        <v>1642</v>
      </c>
      <c r="M15" s="9" t="e" vm="66">
        <v>#VALUE!</v>
      </c>
      <c r="O15" s="776"/>
      <c r="P15" s="777"/>
      <c r="Q15" s="777" cm="1">
        <f t="array" aca="1" ref="Q15" ca="1">IFERROR(MIN(IF(COUNTIF($Q$1:Q14,ADMIN!$H$6:$H$77)=0,ADMIN!$H$6:$H$77)),"")</f>
        <v>46197</v>
      </c>
      <c r="R15" s="774">
        <v>14</v>
      </c>
      <c r="S15" s="774">
        <v>14</v>
      </c>
      <c r="T15" s="775">
        <v>0.7</v>
      </c>
    </row>
    <row r="16" spans="1:20" ht="15" customHeight="1">
      <c r="A16" s="5">
        <v>15</v>
      </c>
      <c r="B16" s="5" t="str">
        <f ca="1">+INDEX(Idiomas!$D$212:$D$259,MATCH(T_Equipos[[#This Row],[Num]],Idiomas!$C$212:$C$259,0))</f>
        <v>Australia</v>
      </c>
      <c r="C16" s="5" t="s">
        <v>73</v>
      </c>
      <c r="D16" s="5">
        <v>3</v>
      </c>
      <c r="K16" s="5" t="str">
        <f ca="1">Idiomas!D226</f>
        <v>Croacia</v>
      </c>
      <c r="L16" s="5" t="s">
        <v>143</v>
      </c>
      <c r="M16" s="5" t="e" vm="67">
        <v>#VALUE!</v>
      </c>
      <c r="O16" s="776"/>
      <c r="P16" s="777"/>
      <c r="Q16" s="777" cm="1">
        <f t="array" aca="1" ref="Q16" ca="1">IFERROR(MIN(IF(COUNTIF($Q$1:Q15,ADMIN!$H$6:$H$77)=0,ADMIN!$H$6:$H$77)),"")</f>
        <v>46198</v>
      </c>
      <c r="R16" s="774">
        <v>15</v>
      </c>
      <c r="S16" s="774">
        <v>15</v>
      </c>
      <c r="T16" s="775">
        <v>0.75</v>
      </c>
    </row>
    <row r="17" spans="1:20" ht="15" customHeight="1">
      <c r="A17" s="5">
        <v>16</v>
      </c>
      <c r="B17" s="5" t="str">
        <f ca="1">+INDEX(Idiomas!$D$212:$D$259,MATCH(T_Equipos[[#This Row],[Num]],Idiomas!$C$212:$C$259,0))</f>
        <v>Turquía</v>
      </c>
      <c r="C17" s="5" t="s">
        <v>73</v>
      </c>
      <c r="D17" s="5">
        <v>4</v>
      </c>
      <c r="K17" s="5" t="str">
        <f ca="1">Idiomas!D227</f>
        <v>Curazao</v>
      </c>
      <c r="L17" s="5" t="s">
        <v>1732</v>
      </c>
      <c r="M17" s="5" t="e" vm="68">
        <v>#VALUE!</v>
      </c>
      <c r="O17" s="776"/>
      <c r="P17" s="777"/>
      <c r="Q17" s="777" cm="1">
        <f t="array" aca="1" ref="Q17" ca="1">IFERROR(MIN(IF(COUNTIF($Q$1:Q16,ADMIN!$H$6:$H$77)=0,ADMIN!$H$6:$H$77)),"")</f>
        <v>46199</v>
      </c>
      <c r="R17" s="774">
        <v>16</v>
      </c>
      <c r="S17" s="774">
        <v>16</v>
      </c>
      <c r="T17" s="775">
        <v>0.8</v>
      </c>
    </row>
    <row r="18" spans="1:20" ht="15" customHeight="1">
      <c r="A18" s="5">
        <v>17</v>
      </c>
      <c r="B18" s="5" t="str">
        <f ca="1">+INDEX(Idiomas!$D$212:$D$259,MATCH(T_Equipos[[#This Row],[Num]],Idiomas!$C$212:$C$259,0))</f>
        <v>Alemania</v>
      </c>
      <c r="C18" s="5" t="s">
        <v>3</v>
      </c>
      <c r="D18" s="5">
        <v>1</v>
      </c>
      <c r="K18" s="5" t="str">
        <f ca="1">Idiomas!D228</f>
        <v>Ecuador</v>
      </c>
      <c r="L18" s="5" t="s">
        <v>1280</v>
      </c>
      <c r="M18" s="9" t="e" vm="69">
        <v>#VALUE!</v>
      </c>
      <c r="O18" s="776"/>
      <c r="P18" s="777"/>
      <c r="Q18" s="777" cm="1">
        <f t="array" aca="1" ref="Q18" ca="1">IFERROR(MIN(IF(COUNTIF($Q$1:Q17,ADMIN!$H$6:$H$77)=0,ADMIN!$H$6:$H$77)),"")</f>
        <v>46200</v>
      </c>
      <c r="R18" s="774">
        <v>17</v>
      </c>
      <c r="S18" s="774">
        <v>17</v>
      </c>
      <c r="T18" s="775">
        <v>0.85</v>
      </c>
    </row>
    <row r="19" spans="1:20" ht="15" customHeight="1">
      <c r="A19" s="5">
        <v>18</v>
      </c>
      <c r="B19" s="5" t="str">
        <f ca="1">+INDEX(Idiomas!$D$212:$D$259,MATCH(T_Equipos[[#This Row],[Num]],Idiomas!$C$212:$C$259,0))</f>
        <v>Curazao</v>
      </c>
      <c r="C19" s="5" t="s">
        <v>3</v>
      </c>
      <c r="D19" s="5">
        <v>2</v>
      </c>
      <c r="K19" s="5" t="str">
        <f ca="1">Idiomas!D229</f>
        <v>Egipto</v>
      </c>
      <c r="L19" s="5" t="s">
        <v>1554</v>
      </c>
      <c r="M19" s="9" t="e" vm="70">
        <v>#VALUE!</v>
      </c>
      <c r="O19" s="776"/>
      <c r="P19" s="777"/>
      <c r="Q19" s="777" cm="1">
        <f t="array" aca="1" ref="Q19" ca="1">IFERROR(MIN(IF(COUNTIF($Q$1:Q18,ADMIN!$H$6:$H$77)=0,ADMIN!$H$6:$H$77)),"")</f>
        <v>0</v>
      </c>
      <c r="R19" s="774">
        <v>18</v>
      </c>
      <c r="S19" s="774">
        <v>18</v>
      </c>
      <c r="T19" s="775">
        <v>0.9</v>
      </c>
    </row>
    <row r="20" spans="1:20" ht="15" customHeight="1">
      <c r="A20" s="5">
        <v>19</v>
      </c>
      <c r="B20" s="5" t="str">
        <f ca="1">+INDEX(Idiomas!$D$212:$D$259,MATCH(T_Equipos[[#This Row],[Num]],Idiomas!$C$212:$C$259,0))</f>
        <v>Costa de Marfil</v>
      </c>
      <c r="C20" s="5" t="s">
        <v>3</v>
      </c>
      <c r="D20" s="5">
        <v>3</v>
      </c>
      <c r="K20" s="5" t="str">
        <f ca="1">Idiomas!D230</f>
        <v>Escocia</v>
      </c>
      <c r="L20" s="5" t="s">
        <v>146</v>
      </c>
      <c r="M20" s="5" t="e" vm="71">
        <v>#VALUE!</v>
      </c>
      <c r="O20" s="776"/>
      <c r="P20" s="777"/>
      <c r="Q20" s="776" t="str">
        <f>+PROPER(Idiomas!D137)</f>
        <v>Clasificados Para Dieciseisavos</v>
      </c>
      <c r="R20" s="776">
        <v>19</v>
      </c>
      <c r="S20" s="776">
        <v>19</v>
      </c>
      <c r="T20" s="775">
        <v>0.95</v>
      </c>
    </row>
    <row r="21" spans="1:20" ht="15" customHeight="1">
      <c r="A21" s="5">
        <v>20</v>
      </c>
      <c r="B21" s="5" t="str">
        <f ca="1">+INDEX(Idiomas!$D$212:$D$259,MATCH(T_Equipos[[#This Row],[Num]],Idiomas!$C$212:$C$259,0))</f>
        <v>Ecuador</v>
      </c>
      <c r="C21" s="5" t="s">
        <v>3</v>
      </c>
      <c r="D21" s="5">
        <v>4</v>
      </c>
      <c r="K21" s="5" t="str">
        <f ca="1">Idiomas!D231</f>
        <v>España</v>
      </c>
      <c r="L21" s="5" t="s">
        <v>142</v>
      </c>
      <c r="M21" s="5" t="e" vm="72">
        <v>#VALUE!</v>
      </c>
      <c r="O21" s="776"/>
      <c r="Q21" s="777" t="str">
        <f>Idiomas!D260</f>
        <v>Dieciseisavos de final</v>
      </c>
      <c r="R21" s="774">
        <v>20</v>
      </c>
      <c r="S21" s="774">
        <v>20</v>
      </c>
      <c r="T21" s="775"/>
    </row>
    <row r="22" spans="1:20" ht="15" customHeight="1">
      <c r="A22" s="5">
        <v>21</v>
      </c>
      <c r="B22" s="5" t="str">
        <f ca="1">+INDEX(Idiomas!$D$212:$D$259,MATCH(T_Equipos[[#This Row],[Num]],Idiomas!$C$212:$C$259,0))</f>
        <v>Países Bajos</v>
      </c>
      <c r="C22" s="5" t="s">
        <v>4</v>
      </c>
      <c r="D22" s="5">
        <v>1</v>
      </c>
      <c r="K22" s="5" t="str">
        <f ca="1">Idiomas!D232</f>
        <v>Estados Unidos</v>
      </c>
      <c r="L22" s="5" t="s">
        <v>1281</v>
      </c>
      <c r="M22" s="5" t="e" vm="73">
        <v>#VALUE!</v>
      </c>
      <c r="O22" s="776"/>
      <c r="Q22" s="777" t="str">
        <f>Idiomas!D261</f>
        <v>Octavos de final</v>
      </c>
      <c r="R22" s="774">
        <v>21</v>
      </c>
      <c r="S22" s="774">
        <v>21</v>
      </c>
      <c r="T22" s="775"/>
    </row>
    <row r="23" spans="1:20" ht="15" customHeight="1">
      <c r="A23" s="5">
        <v>22</v>
      </c>
      <c r="B23" s="5" t="str">
        <f ca="1">+INDEX(Idiomas!$D$212:$D$259,MATCH(T_Equipos[[#This Row],[Num]],Idiomas!$C$212:$C$259,0))</f>
        <v>Japón</v>
      </c>
      <c r="C23" s="5" t="s">
        <v>4</v>
      </c>
      <c r="D23" s="5">
        <v>2</v>
      </c>
      <c r="K23" s="5" t="str">
        <f ca="1">Idiomas!D233</f>
        <v>Francia</v>
      </c>
      <c r="L23" s="5" t="s">
        <v>141</v>
      </c>
      <c r="M23" s="5" t="e" vm="74">
        <v>#VALUE!</v>
      </c>
      <c r="O23" s="776"/>
      <c r="Q23" s="777" t="str">
        <f>Idiomas!D262</f>
        <v>Cuartos de final</v>
      </c>
      <c r="R23" s="774">
        <v>22</v>
      </c>
      <c r="S23" s="774">
        <v>22</v>
      </c>
    </row>
    <row r="24" spans="1:20" ht="15" customHeight="1">
      <c r="A24" s="5">
        <v>23</v>
      </c>
      <c r="B24" s="5" t="str">
        <f ca="1">+INDEX(Idiomas!$D$212:$D$259,MATCH(T_Equipos[[#This Row],[Num]],Idiomas!$C$212:$C$259,0))</f>
        <v>Suecia</v>
      </c>
      <c r="C24" s="5" t="s">
        <v>4</v>
      </c>
      <c r="D24" s="5">
        <v>3</v>
      </c>
      <c r="K24" s="5" t="str">
        <f ca="1">Idiomas!D234</f>
        <v>Ghana</v>
      </c>
      <c r="L24" s="5" t="s">
        <v>1555</v>
      </c>
      <c r="M24" s="5" t="e" vm="75">
        <v>#VALUE!</v>
      </c>
      <c r="O24" s="776"/>
      <c r="Q24" s="777" t="str">
        <f>Idiomas!D263</f>
        <v>Semifinales</v>
      </c>
      <c r="R24" s="774">
        <v>23</v>
      </c>
      <c r="S24" s="774">
        <v>23</v>
      </c>
    </row>
    <row r="25" spans="1:20" ht="15" customHeight="1">
      <c r="A25" s="5">
        <v>24</v>
      </c>
      <c r="B25" s="5" t="str">
        <f ca="1">+INDEX(Idiomas!$D$212:$D$259,MATCH(T_Equipos[[#This Row],[Num]],Idiomas!$C$212:$C$259,0))</f>
        <v>Túnez</v>
      </c>
      <c r="C25" s="5" t="s">
        <v>4</v>
      </c>
      <c r="D25" s="5">
        <v>4</v>
      </c>
      <c r="K25" s="5" t="str">
        <f ca="1">Idiomas!D235</f>
        <v>Haití</v>
      </c>
      <c r="L25" s="5" t="s">
        <v>1733</v>
      </c>
      <c r="M25" s="5" t="e" vm="76">
        <v>#VALUE!</v>
      </c>
      <c r="O25" s="776"/>
      <c r="Q25" s="777" t="str">
        <f>Idiomas!D264</f>
        <v>3-4 &amp; Final</v>
      </c>
      <c r="R25" s="774">
        <v>24</v>
      </c>
      <c r="S25" s="774">
        <v>24</v>
      </c>
    </row>
    <row r="26" spans="1:20" ht="15" customHeight="1">
      <c r="A26" s="5">
        <v>25</v>
      </c>
      <c r="B26" s="5" t="str">
        <f ca="1">+INDEX(Idiomas!$D$212:$D$259,MATCH(T_Equipos[[#This Row],[Num]],Idiomas!$C$212:$C$259,0))</f>
        <v>Bélgica</v>
      </c>
      <c r="C26" s="5" t="s">
        <v>6</v>
      </c>
      <c r="D26" s="5">
        <v>1</v>
      </c>
      <c r="K26" s="5" t="str">
        <f ca="1">Idiomas!D236</f>
        <v>Inglaterra</v>
      </c>
      <c r="L26" s="5" t="s">
        <v>139</v>
      </c>
      <c r="M26" s="5" t="e" vm="77">
        <v>#VALUE!</v>
      </c>
      <c r="O26" s="776"/>
      <c r="Q26" s="776" t="str">
        <f>+PROPER(Idiomas!G137)</f>
        <v>Clasificados Para Dieciseisavos</v>
      </c>
      <c r="R26" s="776">
        <v>19</v>
      </c>
      <c r="S26" s="774">
        <v>25</v>
      </c>
    </row>
    <row r="27" spans="1:20" ht="15" customHeight="1">
      <c r="A27" s="5">
        <v>26</v>
      </c>
      <c r="B27" s="5" t="str">
        <f ca="1">+INDEX(Idiomas!$D$212:$D$259,MATCH(T_Equipos[[#This Row],[Num]],Idiomas!$C$212:$C$259,0))</f>
        <v>Egipto</v>
      </c>
      <c r="C27" s="5" t="s">
        <v>6</v>
      </c>
      <c r="D27" s="5">
        <v>2</v>
      </c>
      <c r="K27" s="5" t="str">
        <f ca="1">Idiomas!D237</f>
        <v>Irán</v>
      </c>
      <c r="L27" s="5" t="str">
        <f>+INDEX(Credits!$W$87:$W$91,MATCH(Credits!$N$87,Credits!$U$87:$U$91,0))</f>
        <v>🇮🇷</v>
      </c>
      <c r="M27" s="5" t="e" vm="27">
        <f>+INDEX(Credits!$X$87:$X$91,MATCH(Credits!$N$87,Credits!$U$87:$U$91,0))</f>
        <v>#VALUE!</v>
      </c>
      <c r="O27" s="776"/>
      <c r="P27" s="778"/>
      <c r="Q27" s="777" t="str">
        <f>Idiomas!G260</f>
        <v>Dieciseisavos de final</v>
      </c>
      <c r="R27" s="774">
        <v>20</v>
      </c>
      <c r="S27" s="774">
        <v>26</v>
      </c>
    </row>
    <row r="28" spans="1:20" ht="15" customHeight="1">
      <c r="A28" s="5">
        <v>27</v>
      </c>
      <c r="B28" s="5" t="str">
        <f ca="1">+INDEX(Idiomas!$D$212:$D$259,MATCH(T_Equipos[[#This Row],[Num]],Idiomas!$C$212:$C$259,0))</f>
        <v>Irán</v>
      </c>
      <c r="C28" s="5" t="s">
        <v>6</v>
      </c>
      <c r="D28" s="5">
        <v>3</v>
      </c>
      <c r="K28" s="5" t="str">
        <f ca="1">Idiomas!D238</f>
        <v>Japón</v>
      </c>
      <c r="L28" s="5" t="s">
        <v>1285</v>
      </c>
      <c r="M28" s="5" t="e" vm="78">
        <v>#VALUE!</v>
      </c>
      <c r="O28" s="776"/>
      <c r="P28" s="778"/>
      <c r="Q28" s="777" t="str">
        <f>Idiomas!G261</f>
        <v>Octavos de final</v>
      </c>
      <c r="R28" s="774">
        <v>21</v>
      </c>
      <c r="S28" s="774">
        <v>27</v>
      </c>
    </row>
    <row r="29" spans="1:20" ht="15" customHeight="1">
      <c r="A29" s="5">
        <v>28</v>
      </c>
      <c r="B29" s="5" t="str">
        <f ca="1">+INDEX(Idiomas!$D$212:$D$259,MATCH(T_Equipos[[#This Row],[Num]],Idiomas!$C$212:$C$259,0))</f>
        <v>Nueva Zelanda</v>
      </c>
      <c r="C29" s="5" t="s">
        <v>6</v>
      </c>
      <c r="D29" s="5">
        <v>4</v>
      </c>
      <c r="K29" s="5" t="str">
        <f ca="1">Idiomas!D239</f>
        <v>Jordania</v>
      </c>
      <c r="L29" s="5" t="s">
        <v>1287</v>
      </c>
      <c r="M29" s="5" t="e" vm="79">
        <v>#VALUE!</v>
      </c>
      <c r="O29" s="776"/>
      <c r="P29" s="778"/>
      <c r="Q29" s="777" t="str">
        <f>Idiomas!G262</f>
        <v>Cuartos de final</v>
      </c>
      <c r="R29" s="774">
        <v>22</v>
      </c>
      <c r="S29" s="774">
        <v>28</v>
      </c>
    </row>
    <row r="30" spans="1:20" ht="15" customHeight="1">
      <c r="A30" s="5">
        <v>29</v>
      </c>
      <c r="B30" s="5" t="str">
        <f ca="1">+INDEX(Idiomas!$D$212:$D$259,MATCH(T_Equipos[[#This Row],[Num]],Idiomas!$C$212:$C$259,0))</f>
        <v>España</v>
      </c>
      <c r="C30" s="5" t="s">
        <v>437</v>
      </c>
      <c r="D30" s="5">
        <v>1</v>
      </c>
      <c r="K30" s="5" t="str">
        <f ca="1">Idiomas!D240</f>
        <v>Marruecos</v>
      </c>
      <c r="L30" s="5" t="s">
        <v>1327</v>
      </c>
      <c r="M30" s="5" t="e" vm="80">
        <v>#VALUE!</v>
      </c>
      <c r="O30" s="776"/>
      <c r="Q30" s="777" t="str">
        <f>Idiomas!G263</f>
        <v>Semifinales</v>
      </c>
      <c r="R30" s="774">
        <v>23</v>
      </c>
      <c r="S30" s="774">
        <v>29</v>
      </c>
    </row>
    <row r="31" spans="1:20" ht="15" customHeight="1">
      <c r="A31" s="5">
        <v>30</v>
      </c>
      <c r="B31" s="5" t="str">
        <f ca="1">+INDEX(Idiomas!$D$212:$D$259,MATCH(T_Equipos[[#This Row],[Num]],Idiomas!$C$212:$C$259,0))</f>
        <v>Cabo Verde</v>
      </c>
      <c r="C31" s="5" t="s">
        <v>437</v>
      </c>
      <c r="D31" s="5">
        <v>2</v>
      </c>
      <c r="K31" s="5" t="str">
        <f ca="1">Idiomas!D241</f>
        <v>México</v>
      </c>
      <c r="L31" s="5" t="s">
        <v>1289</v>
      </c>
      <c r="M31" s="5" t="e" vm="81">
        <v>#VALUE!</v>
      </c>
      <c r="O31" s="776"/>
      <c r="Q31" s="777" t="str">
        <f>Idiomas!G264</f>
        <v>3-4 &amp; Final</v>
      </c>
      <c r="R31" s="774">
        <v>24</v>
      </c>
      <c r="S31" s="774">
        <v>30</v>
      </c>
    </row>
    <row r="32" spans="1:20" ht="15" customHeight="1">
      <c r="A32" s="5">
        <v>31</v>
      </c>
      <c r="B32" s="5" t="str">
        <f ca="1">+INDEX(Idiomas!$D$212:$D$259,MATCH(T_Equipos[[#This Row],[Num]],Idiomas!$C$212:$C$259,0))</f>
        <v>Arabia Saudita</v>
      </c>
      <c r="C32" s="5" t="s">
        <v>437</v>
      </c>
      <c r="D32" s="5">
        <v>3</v>
      </c>
      <c r="K32" s="5" t="str">
        <f ca="1">Idiomas!D242</f>
        <v>Noruega</v>
      </c>
      <c r="L32" s="5" t="s">
        <v>147</v>
      </c>
      <c r="M32" s="5" t="e" vm="82">
        <v>#VALUE!</v>
      </c>
      <c r="O32" s="776"/>
      <c r="Q32" s="776" t="str">
        <f>+PROPER(Idiomas!H137)</f>
        <v>Qualified For Round Of 32</v>
      </c>
      <c r="R32" s="776">
        <v>19</v>
      </c>
      <c r="S32" s="774">
        <v>31</v>
      </c>
    </row>
    <row r="33" spans="1:20" ht="15" customHeight="1">
      <c r="A33" s="5">
        <v>32</v>
      </c>
      <c r="B33" s="5" t="str">
        <f ca="1">+INDEX(Idiomas!$D$212:$D$259,MATCH(T_Equipos[[#This Row],[Num]],Idiomas!$C$212:$C$259,0))</f>
        <v>Uruguay</v>
      </c>
      <c r="C33" s="5" t="s">
        <v>437</v>
      </c>
      <c r="D33" s="5">
        <v>4</v>
      </c>
      <c r="K33" s="5" t="str">
        <f ca="1">Idiomas!D243</f>
        <v>Nueva Zelanda</v>
      </c>
      <c r="L33" s="5" t="s">
        <v>1291</v>
      </c>
      <c r="M33" s="5" t="e" vm="83">
        <v>#VALUE!</v>
      </c>
      <c r="O33" s="776"/>
      <c r="Q33" s="777" t="str">
        <f>Idiomas!H260</f>
        <v>Round of 32</v>
      </c>
      <c r="R33" s="774">
        <v>20</v>
      </c>
      <c r="S33" s="774">
        <v>32</v>
      </c>
    </row>
    <row r="34" spans="1:20" ht="15" customHeight="1">
      <c r="A34" s="5">
        <v>33</v>
      </c>
      <c r="B34" s="5" t="str">
        <f ca="1">+INDEX(Idiomas!$D$212:$D$259,MATCH(T_Equipos[[#This Row],[Num]],Idiomas!$C$212:$C$259,0))</f>
        <v>Francia</v>
      </c>
      <c r="C34" s="5" t="s">
        <v>438</v>
      </c>
      <c r="D34" s="5">
        <v>1</v>
      </c>
      <c r="K34" s="5" t="str">
        <f ca="1">Idiomas!D244</f>
        <v>Países Bajos</v>
      </c>
      <c r="L34" s="5" t="s">
        <v>138</v>
      </c>
      <c r="M34" s="5" t="e" vm="84">
        <v>#VALUE!</v>
      </c>
      <c r="O34" s="776"/>
      <c r="Q34" s="777" t="str">
        <f>Idiomas!H261</f>
        <v>Round Of 16</v>
      </c>
      <c r="R34" s="774">
        <v>21</v>
      </c>
      <c r="S34" s="774">
        <v>33</v>
      </c>
    </row>
    <row r="35" spans="1:20" ht="15" customHeight="1">
      <c r="A35" s="5">
        <v>34</v>
      </c>
      <c r="B35" s="5" t="str">
        <f ca="1">+INDEX(Idiomas!$D$212:$D$259,MATCH(T_Equipos[[#This Row],[Num]],Idiomas!$C$212:$C$259,0))</f>
        <v>Senegal</v>
      </c>
      <c r="C35" s="5" t="s">
        <v>438</v>
      </c>
      <c r="D35" s="5">
        <v>2</v>
      </c>
      <c r="K35" s="5" t="str">
        <f ca="1">Idiomas!D245</f>
        <v>Panamá</v>
      </c>
      <c r="L35" s="5" t="s">
        <v>1734</v>
      </c>
      <c r="M35" s="5" t="e" vm="85">
        <v>#VALUE!</v>
      </c>
      <c r="O35" s="776"/>
      <c r="Q35" s="777" t="str">
        <f>Idiomas!H262</f>
        <v>Quarterfinals</v>
      </c>
      <c r="R35" s="774">
        <v>22</v>
      </c>
      <c r="S35" s="774">
        <v>34</v>
      </c>
    </row>
    <row r="36" spans="1:20" ht="15" customHeight="1">
      <c r="A36" s="5">
        <v>35</v>
      </c>
      <c r="B36" s="5" t="str">
        <f ca="1">+INDEX(Idiomas!$D$212:$D$259,MATCH(T_Equipos[[#This Row],[Num]],Idiomas!$C$212:$C$259,0))</f>
        <v>Irak</v>
      </c>
      <c r="C36" s="5" t="s">
        <v>438</v>
      </c>
      <c r="D36" s="5">
        <v>3</v>
      </c>
      <c r="K36" s="5" t="str">
        <f ca="1">Idiomas!D246</f>
        <v>Paraguay</v>
      </c>
      <c r="L36" s="5" t="s">
        <v>1324</v>
      </c>
      <c r="M36" s="5" t="e" vm="86">
        <v>#VALUE!</v>
      </c>
      <c r="O36" s="776"/>
      <c r="Q36" s="777" t="str">
        <f>Idiomas!H263</f>
        <v>Semifinals</v>
      </c>
      <c r="R36" s="774">
        <v>23</v>
      </c>
      <c r="S36" s="774">
        <v>35</v>
      </c>
    </row>
    <row r="37" spans="1:20" ht="15" customHeight="1">
      <c r="A37" s="5">
        <v>36</v>
      </c>
      <c r="B37" s="5" t="str">
        <f ca="1">+INDEX(Idiomas!$D$212:$D$259,MATCH(T_Equipos[[#This Row],[Num]],Idiomas!$C$212:$C$259,0))</f>
        <v>Noruega</v>
      </c>
      <c r="C37" s="5" t="s">
        <v>438</v>
      </c>
      <c r="D37" s="5">
        <v>4</v>
      </c>
      <c r="K37" s="5" t="str">
        <f ca="1">Idiomas!D247</f>
        <v>Portugal</v>
      </c>
      <c r="L37" s="5" t="s">
        <v>137</v>
      </c>
      <c r="M37" s="5" t="e" vm="87">
        <v>#VALUE!</v>
      </c>
      <c r="O37" s="776"/>
      <c r="Q37" s="777" t="str">
        <f>Idiomas!H264</f>
        <v>3-4 &amp; Final</v>
      </c>
      <c r="R37" s="774">
        <v>24</v>
      </c>
      <c r="S37" s="774">
        <v>36</v>
      </c>
      <c r="T37" s="777"/>
    </row>
    <row r="38" spans="1:20" ht="15" customHeight="1">
      <c r="A38" s="5">
        <v>37</v>
      </c>
      <c r="B38" s="5" t="str">
        <f ca="1">+INDEX(Idiomas!$D$212:$D$259,MATCH(T_Equipos[[#This Row],[Num]],Idiomas!$C$212:$C$259,0))</f>
        <v>Argentina</v>
      </c>
      <c r="C38" s="5" t="s">
        <v>5</v>
      </c>
      <c r="D38" s="5">
        <v>1</v>
      </c>
      <c r="K38" s="5" t="str">
        <f ca="1">Idiomas!D248</f>
        <v>Senegal</v>
      </c>
      <c r="L38" s="5" t="s">
        <v>1643</v>
      </c>
      <c r="M38" s="5" t="e" vm="88">
        <v>#VALUE!</v>
      </c>
      <c r="O38" s="776"/>
      <c r="S38" s="774">
        <v>37</v>
      </c>
      <c r="T38" s="777"/>
    </row>
    <row r="39" spans="1:20" ht="15" customHeight="1">
      <c r="A39" s="5">
        <v>38</v>
      </c>
      <c r="B39" s="5" t="str">
        <f ca="1">+INDEX(Idiomas!$D$212:$D$259,MATCH(T_Equipos[[#This Row],[Num]],Idiomas!$C$212:$C$259,0))</f>
        <v>Argelia</v>
      </c>
      <c r="C39" s="5" t="s">
        <v>5</v>
      </c>
      <c r="D39" s="5">
        <v>2</v>
      </c>
      <c r="K39" s="5" t="str">
        <f ca="1">Idiomas!D249</f>
        <v>Sudáfrica</v>
      </c>
      <c r="L39" s="5" t="s">
        <v>1636</v>
      </c>
      <c r="M39" s="5" t="e" vm="89">
        <v>#VALUE!</v>
      </c>
      <c r="O39" s="776"/>
      <c r="Q39" s="776" t="s">
        <v>1647</v>
      </c>
      <c r="R39" s="776" t="s">
        <v>1648</v>
      </c>
      <c r="S39" s="774">
        <v>38</v>
      </c>
      <c r="T39" s="777"/>
    </row>
    <row r="40" spans="1:20" ht="15" customHeight="1">
      <c r="A40" s="5">
        <v>39</v>
      </c>
      <c r="B40" s="5" t="str">
        <f ca="1">+INDEX(Idiomas!$D$212:$D$259,MATCH(T_Equipos[[#This Row],[Num]],Idiomas!$C$212:$C$259,0))</f>
        <v>Austria</v>
      </c>
      <c r="C40" s="5" t="s">
        <v>5</v>
      </c>
      <c r="D40" s="5">
        <v>3</v>
      </c>
      <c r="K40" s="5" t="str">
        <f ca="1">Idiomas!D250</f>
        <v>Suiza</v>
      </c>
      <c r="L40" s="5" t="s">
        <v>136</v>
      </c>
      <c r="M40" s="5" t="e" vm="90">
        <v>#VALUE!</v>
      </c>
      <c r="O40" s="776"/>
      <c r="Q40" s="777" cm="1">
        <f t="array" aca="1" ref="Q40" ca="1">IFERROR(INDEX($Q$2:$Q$25,SMALL(IF(($Q$2:$Q$25)=0,"",ROW($Q$2:$Q$25)),ROW(Q1))-MIN(ROW($Q$2:$Q$25))+1),"")</f>
        <v>46184</v>
      </c>
      <c r="R40" s="777" cm="1">
        <f t="array" aca="1" ref="R40:R62" ca="1">Equipos!$Q$40:INDEX(Equipos!$Q$40:$Q$63,SUMPRODUCT((NOT(ISERROR(Equipos!$Q$40:$Q$63)))*(Equipos!$Q$40:$Q$63&lt;&gt;"")))</f>
        <v>46184</v>
      </c>
      <c r="S40" s="774">
        <v>39</v>
      </c>
      <c r="T40" s="777"/>
    </row>
    <row r="41" spans="1:20" ht="15" customHeight="1">
      <c r="A41" s="5">
        <v>40</v>
      </c>
      <c r="B41" s="5" t="str">
        <f ca="1">+INDEX(Idiomas!$D$212:$D$259,MATCH(T_Equipos[[#This Row],[Num]],Idiomas!$C$212:$C$259,0))</f>
        <v>Jordania</v>
      </c>
      <c r="C41" s="5" t="s">
        <v>5</v>
      </c>
      <c r="D41" s="5">
        <v>4</v>
      </c>
      <c r="K41" s="5" t="str">
        <f ca="1">Idiomas!D251</f>
        <v>Túnez</v>
      </c>
      <c r="L41" s="5" t="s">
        <v>1329</v>
      </c>
      <c r="M41" s="5" t="e" vm="91">
        <v>#VALUE!</v>
      </c>
      <c r="O41" s="776"/>
      <c r="Q41" s="777" cm="1">
        <f t="array" aca="1" ref="Q41" ca="1">IFERROR(INDEX($Q$2:$Q$25,SMALL(IF(($Q$2:$Q$25)=0,"",ROW($Q$2:$Q$25)),ROW(Q2))-MIN(ROW($Q$2:$Q$25))+1),"")</f>
        <v>46185</v>
      </c>
      <c r="R41" s="777">
        <f ca="1"/>
        <v>46185</v>
      </c>
      <c r="S41" s="774">
        <v>40</v>
      </c>
      <c r="T41" s="777"/>
    </row>
    <row r="42" spans="1:20" ht="15" customHeight="1">
      <c r="A42" s="5">
        <v>41</v>
      </c>
      <c r="B42" s="5" t="str">
        <f ca="1">+INDEX(Idiomas!$D$212:$D$259,MATCH(T_Equipos[[#This Row],[Num]],Idiomas!$C$212:$C$259,0))</f>
        <v>Portugal</v>
      </c>
      <c r="C42" s="5" t="s">
        <v>439</v>
      </c>
      <c r="D42" s="5">
        <v>1</v>
      </c>
      <c r="K42" s="5" t="str">
        <f ca="1">Idiomas!D252</f>
        <v>Uruguay</v>
      </c>
      <c r="L42" s="5" t="s">
        <v>1323</v>
      </c>
      <c r="M42" s="5" t="e" vm="92">
        <v>#VALUE!</v>
      </c>
      <c r="O42" s="776"/>
      <c r="Q42" s="777" cm="1">
        <f t="array" aca="1" ref="Q42" ca="1">IFERROR(INDEX($Q$2:$Q$25,SMALL(IF(($Q$2:$Q$25)=0,"",ROW($Q$2:$Q$25)),ROW(Q3))-MIN(ROW($Q$2:$Q$25))+1),"")</f>
        <v>46186</v>
      </c>
      <c r="R42" s="777">
        <f ca="1"/>
        <v>46186</v>
      </c>
      <c r="S42" s="774">
        <v>41</v>
      </c>
      <c r="T42" s="777"/>
    </row>
    <row r="43" spans="1:20" ht="15" customHeight="1">
      <c r="A43" s="5">
        <v>42</v>
      </c>
      <c r="B43" s="5" t="str">
        <f ca="1">+INDEX(Idiomas!$D$212:$D$259,MATCH(T_Equipos[[#This Row],[Num]],Idiomas!$C$212:$C$259,0))</f>
        <v>RD Congo</v>
      </c>
      <c r="C43" s="5" t="s">
        <v>439</v>
      </c>
      <c r="D43" s="5">
        <v>2</v>
      </c>
      <c r="K43" s="5" t="str">
        <f ca="1">Idiomas!D253</f>
        <v>Uzbekistán</v>
      </c>
      <c r="L43" s="5" t="s">
        <v>1293</v>
      </c>
      <c r="M43" s="5" t="e" vm="93">
        <v>#VALUE!</v>
      </c>
      <c r="O43" s="776"/>
      <c r="Q43" s="777" cm="1">
        <f t="array" aca="1" ref="Q43" ca="1">IFERROR(INDEX($Q$2:$Q$25,SMALL(IF(($Q$2:$Q$25)=0,"",ROW($Q$2:$Q$25)),ROW(Q4))-MIN(ROW($Q$2:$Q$25))+1),"")</f>
        <v>46187</v>
      </c>
      <c r="R43" s="777">
        <f ca="1"/>
        <v>46187</v>
      </c>
      <c r="S43" s="774">
        <v>42</v>
      </c>
      <c r="T43" s="777"/>
    </row>
    <row r="44" spans="1:20" ht="15" customHeight="1">
      <c r="A44" s="5">
        <v>43</v>
      </c>
      <c r="B44" s="5" t="str">
        <f ca="1">+INDEX(Idiomas!$D$212:$D$259,MATCH(T_Equipos[[#This Row],[Num]],Idiomas!$C$212:$C$259,0))</f>
        <v>Uzbekistán</v>
      </c>
      <c r="C44" s="5" t="s">
        <v>439</v>
      </c>
      <c r="D44" s="5">
        <v>3</v>
      </c>
      <c r="K44" s="5" t="str">
        <f ca="1">Idiomas!D254</f>
        <v>RD Congo</v>
      </c>
      <c r="L44" s="779" t="s">
        <v>1845</v>
      </c>
      <c r="M44" s="5" t="e" vm="94">
        <v>#VALUE!</v>
      </c>
      <c r="O44" s="776"/>
      <c r="Q44" s="777" cm="1">
        <f t="array" aca="1" ref="Q44" ca="1">IFERROR(INDEX($Q$2:$Q$25,SMALL(IF(($Q$2:$Q$25)=0,"",ROW($Q$2:$Q$25)),ROW(Q5))-MIN(ROW($Q$2:$Q$25))+1),"")</f>
        <v>46188</v>
      </c>
      <c r="R44" s="777">
        <f ca="1"/>
        <v>46188</v>
      </c>
      <c r="S44" s="774">
        <v>43</v>
      </c>
      <c r="T44" s="777"/>
    </row>
    <row r="45" spans="1:20" ht="15" customHeight="1">
      <c r="A45" s="5">
        <v>44</v>
      </c>
      <c r="B45" s="5" t="str">
        <f ca="1">+INDEX(Idiomas!$D$212:$D$259,MATCH(T_Equipos[[#This Row],[Num]],Idiomas!$C$212:$C$259,0))</f>
        <v>Colombia</v>
      </c>
      <c r="C45" s="5" t="s">
        <v>439</v>
      </c>
      <c r="D45" s="5">
        <v>4</v>
      </c>
      <c r="K45" s="5" t="str">
        <f ca="1">Idiomas!D255</f>
        <v>Irak</v>
      </c>
      <c r="L45" s="779" t="s">
        <v>1759</v>
      </c>
      <c r="M45" s="5" t="e" vm="95">
        <v>#VALUE!</v>
      </c>
      <c r="O45" s="776"/>
      <c r="Q45" s="777" cm="1">
        <f t="array" aca="1" ref="Q45" ca="1">IFERROR(INDEX($Q$2:$Q$25,SMALL(IF(($Q$2:$Q$25)=0,"",ROW($Q$2:$Q$25)),ROW(Q6))-MIN(ROW($Q$2:$Q$25))+1),"")</f>
        <v>46189</v>
      </c>
      <c r="R45" s="777">
        <f ca="1"/>
        <v>46189</v>
      </c>
      <c r="S45" s="774">
        <v>44</v>
      </c>
      <c r="T45" s="777"/>
    </row>
    <row r="46" spans="1:20" ht="15" customHeight="1">
      <c r="A46" s="5">
        <v>45</v>
      </c>
      <c r="B46" s="5" t="str">
        <f ca="1">+INDEX(Idiomas!$D$212:$D$259,MATCH(T_Equipos[[#This Row],[Num]],Idiomas!$C$212:$C$259,0))</f>
        <v>Inglaterra</v>
      </c>
      <c r="C46" s="5" t="s">
        <v>238</v>
      </c>
      <c r="D46" s="5">
        <v>1</v>
      </c>
      <c r="K46" s="5" t="str">
        <f ca="1">Idiomas!D256</f>
        <v>Bosnia y Herzegovina</v>
      </c>
      <c r="L46" s="780" t="s">
        <v>1846</v>
      </c>
      <c r="M46" s="5" t="e" vm="96">
        <v>#VALUE!</v>
      </c>
      <c r="O46" s="776"/>
      <c r="Q46" s="777" cm="1">
        <f t="array" aca="1" ref="Q46" ca="1">IFERROR(INDEX($Q$2:$Q$25,SMALL(IF(($Q$2:$Q$25)=0,"",ROW($Q$2:$Q$25)),ROW(Q7))-MIN(ROW($Q$2:$Q$25))+1),"")</f>
        <v>46190</v>
      </c>
      <c r="R46" s="777">
        <f ca="1"/>
        <v>46190</v>
      </c>
      <c r="S46" s="774">
        <v>45</v>
      </c>
      <c r="T46" s="777"/>
    </row>
    <row r="47" spans="1:20" ht="15" customHeight="1">
      <c r="A47" s="5">
        <v>46</v>
      </c>
      <c r="B47" s="5" t="str">
        <f ca="1">+INDEX(Idiomas!$D$212:$D$259,MATCH(T_Equipos[[#This Row],[Num]],Idiomas!$C$212:$C$259,0))</f>
        <v>Croacia</v>
      </c>
      <c r="C47" s="5" t="s">
        <v>238</v>
      </c>
      <c r="D47" s="5">
        <v>2</v>
      </c>
      <c r="K47" s="5" t="str">
        <f ca="1">Idiomas!D257</f>
        <v>Suecia</v>
      </c>
      <c r="L47" s="779" t="s">
        <v>1837</v>
      </c>
      <c r="M47" s="5" t="e" vm="97">
        <v>#VALUE!</v>
      </c>
      <c r="O47" s="776"/>
      <c r="Q47" s="777" cm="1">
        <f t="array" aca="1" ref="Q47" ca="1">IFERROR(INDEX($Q$2:$Q$25,SMALL(IF(($Q$2:$Q$25)=0,"",ROW($Q$2:$Q$25)),ROW(Q8))-MIN(ROW($Q$2:$Q$25))+1),"")</f>
        <v>46191</v>
      </c>
      <c r="R47" s="777">
        <f ca="1"/>
        <v>46191</v>
      </c>
      <c r="S47" s="774">
        <v>46</v>
      </c>
      <c r="T47" s="777"/>
    </row>
    <row r="48" spans="1:20" ht="15" customHeight="1">
      <c r="A48" s="5">
        <v>47</v>
      </c>
      <c r="B48" s="5" t="str">
        <f ca="1">+INDEX(Idiomas!$D$212:$D$259,MATCH(T_Equipos[[#This Row],[Num]],Idiomas!$C$212:$C$259,0))</f>
        <v>Ghana</v>
      </c>
      <c r="C48" s="5" t="s">
        <v>238</v>
      </c>
      <c r="D48" s="5">
        <v>3</v>
      </c>
      <c r="K48" s="5" t="str">
        <f ca="1">Idiomas!D258</f>
        <v>Turquía</v>
      </c>
      <c r="L48" s="779" t="s">
        <v>1838</v>
      </c>
      <c r="M48" s="5" t="e" vm="98">
        <v>#VALUE!</v>
      </c>
      <c r="O48" s="776"/>
      <c r="Q48" s="777" cm="1">
        <f t="array" aca="1" ref="Q48" ca="1">IFERROR(INDEX($Q$2:$Q$25,SMALL(IF(($Q$2:$Q$25)=0,"",ROW($Q$2:$Q$25)),ROW(Q9))-MIN(ROW($Q$2:$Q$25))+1),"")</f>
        <v>46192</v>
      </c>
      <c r="R48" s="777">
        <f ca="1"/>
        <v>46192</v>
      </c>
      <c r="S48" s="774">
        <v>47</v>
      </c>
      <c r="T48" s="777"/>
    </row>
    <row r="49" spans="1:20" ht="15" customHeight="1">
      <c r="A49" s="5">
        <v>48</v>
      </c>
      <c r="B49" s="5" t="str">
        <f ca="1">+INDEX(Idiomas!$D$212:$D$259,MATCH(T_Equipos[[#This Row],[Num]],Idiomas!$C$212:$C$259,0))</f>
        <v>Panamá</v>
      </c>
      <c r="C49" s="5" t="s">
        <v>238</v>
      </c>
      <c r="D49" s="5">
        <v>4</v>
      </c>
      <c r="K49" s="5" t="str">
        <f ca="1">Idiomas!D259</f>
        <v>República Checa</v>
      </c>
      <c r="L49" s="779" t="s">
        <v>1847</v>
      </c>
      <c r="M49" s="5" t="e" vm="99">
        <v>#VALUE!</v>
      </c>
      <c r="O49" s="776"/>
      <c r="Q49" s="777" cm="1">
        <f t="array" aca="1" ref="Q49" ca="1">IFERROR(INDEX($Q$2:$Q$25,SMALL(IF(($Q$2:$Q$25)=0,"",ROW($Q$2:$Q$25)),ROW(Q10))-MIN(ROW($Q$2:$Q$25))+1),"")</f>
        <v>46193</v>
      </c>
      <c r="R49" s="777">
        <f ca="1"/>
        <v>46193</v>
      </c>
      <c r="S49" s="774">
        <v>48</v>
      </c>
      <c r="T49" s="777"/>
    </row>
    <row r="50" spans="1:20" ht="15" customHeight="1">
      <c r="L50" s="5" t="s">
        <v>1304</v>
      </c>
      <c r="O50" s="776"/>
      <c r="Q50" s="777" cm="1">
        <f t="array" aca="1" ref="Q50" ca="1">IFERROR(INDEX($Q$2:$Q$25,SMALL(IF(($Q$2:$Q$25)=0,"",ROW($Q$2:$Q$25)),ROW(Q11))-MIN(ROW($Q$2:$Q$25))+1),"")</f>
        <v>46194</v>
      </c>
      <c r="R50" s="777">
        <f ca="1"/>
        <v>46194</v>
      </c>
      <c r="S50" s="774">
        <v>49</v>
      </c>
      <c r="T50" s="777"/>
    </row>
    <row r="51" spans="1:20" ht="15" customHeight="1">
      <c r="O51" s="776"/>
      <c r="Q51" s="777" cm="1">
        <f t="array" aca="1" ref="Q51" ca="1">IFERROR(INDEX($Q$2:$Q$25,SMALL(IF(($Q$2:$Q$25)=0,"",ROW($Q$2:$Q$25)),ROW(Q12))-MIN(ROW($Q$2:$Q$25))+1),"")</f>
        <v>46195</v>
      </c>
      <c r="R51" s="777">
        <f ca="1"/>
        <v>46195</v>
      </c>
      <c r="S51" s="774">
        <v>50</v>
      </c>
      <c r="T51" s="777"/>
    </row>
    <row r="52" spans="1:20" ht="15" customHeight="1">
      <c r="O52" s="776"/>
      <c r="Q52" s="777" cm="1">
        <f t="array" aca="1" ref="Q52" ca="1">IFERROR(INDEX($Q$2:$Q$25,SMALL(IF(($Q$2:$Q$25)=0,"",ROW($Q$2:$Q$25)),ROW(Q13))-MIN(ROW($Q$2:$Q$25))+1),"")</f>
        <v>46196</v>
      </c>
      <c r="R52" s="777">
        <f ca="1"/>
        <v>46196</v>
      </c>
      <c r="S52" s="774">
        <v>51</v>
      </c>
      <c r="T52" s="777"/>
    </row>
    <row r="53" spans="1:20" ht="15" customHeight="1">
      <c r="O53" s="776"/>
      <c r="P53" s="778"/>
      <c r="Q53" s="777" cm="1">
        <f t="array" aca="1" ref="Q53" ca="1">IFERROR(INDEX($Q$2:$Q$25,SMALL(IF(($Q$2:$Q$25)=0,"",ROW($Q$2:$Q$25)),ROW(Q14))-MIN(ROW($Q$2:$Q$25))+1),"")</f>
        <v>46197</v>
      </c>
      <c r="R53" s="777">
        <f ca="1"/>
        <v>46197</v>
      </c>
      <c r="S53" s="774">
        <v>52</v>
      </c>
      <c r="T53" s="777"/>
    </row>
    <row r="54" spans="1:20" ht="15" customHeight="1">
      <c r="O54" s="776"/>
      <c r="Q54" s="777" cm="1">
        <f t="array" aca="1" ref="Q54" ca="1">IFERROR(INDEX($Q$2:$Q$25,SMALL(IF(($Q$2:$Q$25)=0,"",ROW($Q$2:$Q$25)),ROW(Q15))-MIN(ROW($Q$2:$Q$25))+1),"")</f>
        <v>46198</v>
      </c>
      <c r="R54" s="777">
        <f ca="1"/>
        <v>46198</v>
      </c>
      <c r="S54" s="776">
        <v>53</v>
      </c>
      <c r="T54" s="777"/>
    </row>
    <row r="55" spans="1:20" ht="15" customHeight="1">
      <c r="O55" s="776"/>
      <c r="Q55" s="777" cm="1">
        <f t="array" aca="1" ref="Q55" ca="1">IFERROR(INDEX($Q$2:$Q$25,SMALL(IF(($Q$2:$Q$25)=0,"",ROW($Q$2:$Q$25)),ROW(Q16))-MIN(ROW($Q$2:$Q$25))+1),"")</f>
        <v>46199</v>
      </c>
      <c r="R55" s="777">
        <f ca="1"/>
        <v>46199</v>
      </c>
      <c r="S55" s="774">
        <v>54</v>
      </c>
      <c r="T55" s="777"/>
    </row>
    <row r="56" spans="1:20" ht="15" customHeight="1">
      <c r="O56" s="776"/>
      <c r="Q56" s="777" cm="1">
        <f t="array" aca="1" ref="Q56" ca="1">IFERROR(INDEX($Q$2:$Q$25,SMALL(IF(($Q$2:$Q$25)=0,"",ROW($Q$2:$Q$25)),ROW(Q17))-MIN(ROW($Q$2:$Q$25))+1),"")</f>
        <v>46200</v>
      </c>
      <c r="R56" s="777">
        <f ca="1"/>
        <v>46200</v>
      </c>
      <c r="S56" s="774">
        <v>55</v>
      </c>
      <c r="T56" s="777"/>
    </row>
    <row r="57" spans="1:20" ht="15" customHeight="1">
      <c r="O57" s="776"/>
      <c r="Q57" s="777" t="str" cm="1">
        <f t="array" aca="1" ref="Q57" ca="1">IFERROR(INDEX($Q$2:$Q$25,SMALL(IF(($Q$2:$Q$25)=0,"",ROW($Q$2:$Q$25)),ROW(Q18))-MIN(ROW($Q$2:$Q$25))+1),"")</f>
        <v>Clasificados Para Dieciseisavos</v>
      </c>
      <c r="R57" s="777" t="str">
        <f ca="1"/>
        <v>Clasificados Para Dieciseisavos</v>
      </c>
      <c r="S57" s="774">
        <v>56</v>
      </c>
      <c r="T57" s="777"/>
    </row>
    <row r="58" spans="1:20" ht="15" customHeight="1">
      <c r="O58" s="776"/>
      <c r="Q58" s="777" t="str" cm="1">
        <f t="array" aca="1" ref="Q58" ca="1">IFERROR(INDEX($Q$2:$Q$25,SMALL(IF(($Q$2:$Q$25)=0,"",ROW($Q$2:$Q$25)),ROW(Q19))-MIN(ROW($Q$2:$Q$25))+1),"")</f>
        <v>Dieciseisavos de final</v>
      </c>
      <c r="R58" s="776" t="str">
        <f ca="1"/>
        <v>Dieciseisavos de final</v>
      </c>
      <c r="S58" s="774">
        <v>57</v>
      </c>
      <c r="T58" s="777"/>
    </row>
    <row r="59" spans="1:20" ht="15" customHeight="1">
      <c r="O59" s="776"/>
      <c r="Q59" s="777" t="str" cm="1">
        <f t="array" aca="1" ref="Q59" ca="1">IFERROR(INDEX($Q$2:$Q$25,SMALL(IF(($Q$2:$Q$25)=0,"",ROW($Q$2:$Q$25)),ROW(Q20))-MIN(ROW($Q$2:$Q$25))+1),"")</f>
        <v>Octavos de final</v>
      </c>
      <c r="R59" s="776" t="str">
        <f ca="1"/>
        <v>Octavos de final</v>
      </c>
      <c r="S59" s="774">
        <v>58</v>
      </c>
      <c r="T59" s="777"/>
    </row>
    <row r="60" spans="1:20" ht="15" customHeight="1">
      <c r="O60" s="776"/>
      <c r="Q60" s="777" t="str" cm="1">
        <f t="array" aca="1" ref="Q60" ca="1">IFERROR(INDEX($Q$2:$Q$25,SMALL(IF(($Q$2:$Q$25)=0,"",ROW($Q$2:$Q$25)),ROW(Q21))-MIN(ROW($Q$2:$Q$25))+1),"")</f>
        <v>Cuartos de final</v>
      </c>
      <c r="R60" s="776" t="str">
        <f ca="1"/>
        <v>Cuartos de final</v>
      </c>
      <c r="S60" s="774">
        <v>59</v>
      </c>
      <c r="T60" s="777"/>
    </row>
    <row r="61" spans="1:20" ht="15" customHeight="1">
      <c r="O61" s="776"/>
      <c r="Q61" s="777" t="str" cm="1">
        <f t="array" aca="1" ref="Q61" ca="1">IFERROR(INDEX($Q$2:$Q$25,SMALL(IF(($Q$2:$Q$25)=0,"",ROW($Q$2:$Q$25)),ROW(Q22))-MIN(ROW($Q$2:$Q$25))+1),"")</f>
        <v>Semifinales</v>
      </c>
      <c r="R61" s="776" t="str">
        <f ca="1"/>
        <v>Semifinales</v>
      </c>
      <c r="S61" s="774">
        <v>60</v>
      </c>
    </row>
    <row r="62" spans="1:20" ht="15" customHeight="1">
      <c r="O62" s="776"/>
      <c r="Q62" s="777" t="str" cm="1">
        <f t="array" aca="1" ref="Q62" ca="1">IFERROR(INDEX($Q$2:$Q$25,SMALL(IF(($Q$2:$Q$25)=0,"",ROW($Q$2:$Q$25)),ROW(Q23))-MIN(ROW($Q$2:$Q$25))+1),"")</f>
        <v>3-4 &amp; Final</v>
      </c>
      <c r="R62" s="776" t="str">
        <f ca="1"/>
        <v>3-4 &amp; Final</v>
      </c>
      <c r="S62" s="774">
        <v>61</v>
      </c>
    </row>
    <row r="63" spans="1:20" ht="15" customHeight="1">
      <c r="O63" s="776"/>
      <c r="Q63" s="777" t="str" cm="1">
        <f t="array" aca="1" ref="Q63" ca="1">IFERROR(INDEX($Q$2:$Q$25,SMALL(IF(($Q$2:$Q$25)=0,"",ROW($Q$2:$Q$25)),ROW(Q24))-MIN(ROW($Q$2:$Q$25))+1),"")</f>
        <v/>
      </c>
      <c r="R63" s="776"/>
      <c r="S63" s="774">
        <v>62</v>
      </c>
    </row>
    <row r="64" spans="1:20" ht="15" customHeight="1">
      <c r="O64" s="776"/>
      <c r="Q64" s="778" t="str" cm="1">
        <f t="array" aca="1" ref="Q64" ca="1">IFERROR(INDEX($Q$2:$Q$25,SMALL(IF(($Q$2:$Q$25)=0,"",ROW($Q$2:$Q$25)),ROW(Q25))-MIN(ROW($Q$2:$Q$25))+1),"")</f>
        <v/>
      </c>
      <c r="S64" s="774">
        <v>63</v>
      </c>
    </row>
    <row r="65" spans="19:19" ht="15" customHeight="1">
      <c r="S65" s="774">
        <v>64</v>
      </c>
    </row>
    <row r="66" spans="19:19" ht="15" customHeight="1">
      <c r="S66" s="774">
        <v>65</v>
      </c>
    </row>
    <row r="67" spans="19:19" ht="15" customHeight="1">
      <c r="S67" s="774">
        <v>66</v>
      </c>
    </row>
    <row r="68" spans="19:19" ht="15" customHeight="1">
      <c r="S68" s="774">
        <v>67</v>
      </c>
    </row>
    <row r="69" spans="19:19" ht="15" customHeight="1">
      <c r="S69" s="774">
        <v>68</v>
      </c>
    </row>
    <row r="70" spans="19:19" ht="15" customHeight="1">
      <c r="S70" s="774">
        <v>69</v>
      </c>
    </row>
    <row r="71" spans="19:19" ht="15" customHeight="1">
      <c r="S71" s="774">
        <v>70</v>
      </c>
    </row>
    <row r="72" spans="19:19" ht="15" customHeight="1">
      <c r="S72" s="774">
        <v>71</v>
      </c>
    </row>
    <row r="73" spans="19:19" ht="15" customHeight="1">
      <c r="S73" s="774">
        <v>72</v>
      </c>
    </row>
    <row r="74" spans="19:19" ht="15" customHeight="1">
      <c r="S74" s="774">
        <v>73</v>
      </c>
    </row>
    <row r="75" spans="19:19" ht="15" customHeight="1">
      <c r="S75" s="774">
        <v>74</v>
      </c>
    </row>
    <row r="76" spans="19:19" ht="15" customHeight="1">
      <c r="S76" s="774">
        <v>75</v>
      </c>
    </row>
    <row r="77" spans="19:19" ht="15" customHeight="1">
      <c r="S77" s="774">
        <v>76</v>
      </c>
    </row>
    <row r="78" spans="19:19" ht="15" customHeight="1">
      <c r="S78" s="774">
        <v>77</v>
      </c>
    </row>
    <row r="79" spans="19:19" ht="15" customHeight="1">
      <c r="S79" s="774">
        <v>78</v>
      </c>
    </row>
    <row r="80" spans="19:19" ht="15" customHeight="1">
      <c r="S80" s="774">
        <v>79</v>
      </c>
    </row>
    <row r="81" spans="19:19" ht="15" customHeight="1">
      <c r="S81" s="774">
        <v>80</v>
      </c>
    </row>
    <row r="82" spans="19:19" ht="15" customHeight="1">
      <c r="S82" s="774">
        <v>81</v>
      </c>
    </row>
    <row r="83" spans="19:19" ht="15" customHeight="1">
      <c r="S83" s="776">
        <v>82</v>
      </c>
    </row>
    <row r="84" spans="19:19" ht="15" customHeight="1">
      <c r="S84" s="774">
        <v>83</v>
      </c>
    </row>
    <row r="85" spans="19:19" ht="15" customHeight="1">
      <c r="S85" s="774">
        <v>84</v>
      </c>
    </row>
    <row r="86" spans="19:19" ht="15" customHeight="1">
      <c r="S86" s="774">
        <v>85</v>
      </c>
    </row>
    <row r="87" spans="19:19" ht="15" customHeight="1">
      <c r="S87" s="774">
        <v>86</v>
      </c>
    </row>
    <row r="88" spans="19:19" ht="15" customHeight="1">
      <c r="S88" s="774">
        <v>87</v>
      </c>
    </row>
    <row r="89" spans="19:19" ht="15" customHeight="1">
      <c r="S89" s="774">
        <v>88</v>
      </c>
    </row>
    <row r="90" spans="19:19" ht="15" customHeight="1">
      <c r="S90" s="774">
        <v>89</v>
      </c>
    </row>
    <row r="91" spans="19:19" ht="15" customHeight="1">
      <c r="S91" s="774">
        <v>90</v>
      </c>
    </row>
    <row r="92" spans="19:19" ht="15" customHeight="1">
      <c r="S92" s="774">
        <v>91</v>
      </c>
    </row>
    <row r="93" spans="19:19" ht="15" customHeight="1">
      <c r="S93" s="774">
        <v>92</v>
      </c>
    </row>
    <row r="94" spans="19:19" ht="15" customHeight="1">
      <c r="S94" s="774">
        <v>93</v>
      </c>
    </row>
    <row r="95" spans="19:19" ht="15" customHeight="1">
      <c r="S95" s="774">
        <v>94</v>
      </c>
    </row>
    <row r="96" spans="19:19" ht="15" customHeight="1">
      <c r="S96" s="774">
        <v>95</v>
      </c>
    </row>
    <row r="97" spans="19:19" ht="15" customHeight="1">
      <c r="S97" s="774">
        <v>96</v>
      </c>
    </row>
    <row r="98" spans="19:19" ht="15" customHeight="1">
      <c r="S98" s="774">
        <v>97</v>
      </c>
    </row>
    <row r="99" spans="19:19" ht="15" customHeight="1">
      <c r="S99" s="774">
        <v>98</v>
      </c>
    </row>
    <row r="100" spans="19:19" ht="15" customHeight="1">
      <c r="S100" s="774">
        <v>99</v>
      </c>
    </row>
    <row r="101" spans="19:19" ht="15" customHeight="1">
      <c r="S101" s="774">
        <v>100</v>
      </c>
    </row>
  </sheetData>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zoomScale="99" workbookViewId="0">
      <selection activeCell="A4" sqref="A4"/>
    </sheetView>
  </sheetViews>
  <sheetFormatPr baseColWidth="10" defaultColWidth="10.77734375" defaultRowHeight="14.4"/>
  <cols>
    <col min="1" max="1" width="13.109375" style="9" bestFit="1" customWidth="1"/>
    <col min="2" max="2" width="5" style="9" customWidth="1"/>
    <col min="3" max="3" width="12.44140625" style="9" customWidth="1"/>
    <col min="4" max="4" width="13.109375" style="9" customWidth="1"/>
    <col min="5" max="5" width="12.33203125" style="9" bestFit="1" customWidth="1"/>
    <col min="6" max="6" width="10.77734375" style="9"/>
    <col min="7" max="7" width="12.33203125" style="9" bestFit="1" customWidth="1"/>
    <col min="8" max="15" width="10.77734375" style="9"/>
    <col min="16" max="16" width="4.77734375" style="9" bestFit="1" customWidth="1"/>
    <col min="17" max="17" width="17.77734375" style="9" bestFit="1" customWidth="1"/>
    <col min="18" max="18" width="11.109375" style="9" bestFit="1" customWidth="1"/>
    <col min="19" max="19" width="11" style="9" bestFit="1" customWidth="1"/>
    <col min="20" max="20" width="10.33203125" style="9" bestFit="1" customWidth="1"/>
    <col min="21" max="21" width="10.44140625" style="9" customWidth="1"/>
    <col min="22" max="22" width="10.33203125" style="9" customWidth="1"/>
    <col min="23" max="23" width="3.33203125" style="9" bestFit="1" customWidth="1"/>
    <col min="24" max="26" width="10.77734375" style="9"/>
    <col min="27" max="27" width="6.44140625" style="9" customWidth="1"/>
    <col min="28" max="33" width="10.77734375" style="9"/>
    <col min="34" max="34" width="3.33203125" style="9" bestFit="1" customWidth="1"/>
    <col min="35" max="16384" width="10.77734375" style="9"/>
  </cols>
  <sheetData>
    <row r="1" spans="1:35" ht="15" thickBot="1">
      <c r="A1" s="704"/>
      <c r="K1" s="708" t="s">
        <v>376</v>
      </c>
      <c r="L1" s="708" t="s">
        <v>367</v>
      </c>
      <c r="M1" s="708" t="s">
        <v>149</v>
      </c>
      <c r="N1" s="708" t="s">
        <v>372</v>
      </c>
      <c r="P1" s="9" t="s">
        <v>1343</v>
      </c>
    </row>
    <row r="2" spans="1:35" ht="15" thickBot="1">
      <c r="K2" s="708" t="s">
        <v>366</v>
      </c>
      <c r="L2" s="708" t="str">
        <f>Idiomas!D266</f>
        <v>Estados Unidos</v>
      </c>
      <c r="M2" s="708">
        <f ca="1">+INDEX($R$3:$R$86,MATCH($L$2,$Q$3:$Q$86,0))</f>
        <v>-4</v>
      </c>
      <c r="N2" s="709">
        <f ca="1">+INDEX($S$3:$S$86,MATCH($L$2,$Q$3:$Q$86,0))</f>
        <v>0.16666666666666666</v>
      </c>
      <c r="P2" s="710" t="s">
        <v>368</v>
      </c>
      <c r="Q2" s="710" t="s">
        <v>367</v>
      </c>
      <c r="R2" s="710" t="s">
        <v>352</v>
      </c>
      <c r="S2" s="710" t="s">
        <v>371</v>
      </c>
      <c r="T2" s="710" t="s">
        <v>353</v>
      </c>
      <c r="U2" s="710" t="s">
        <v>354</v>
      </c>
      <c r="V2" s="710" t="s">
        <v>370</v>
      </c>
      <c r="W2" s="711" t="s">
        <v>369</v>
      </c>
      <c r="X2" s="710" t="s">
        <v>353</v>
      </c>
      <c r="AA2" s="710" t="s">
        <v>368</v>
      </c>
      <c r="AB2" s="710" t="s">
        <v>367</v>
      </c>
      <c r="AC2" s="710" t="s">
        <v>352</v>
      </c>
      <c r="AD2" s="710" t="s">
        <v>371</v>
      </c>
      <c r="AE2" s="710" t="s">
        <v>353</v>
      </c>
      <c r="AF2" s="710" t="s">
        <v>354</v>
      </c>
      <c r="AG2" s="710" t="s">
        <v>370</v>
      </c>
      <c r="AH2" s="711" t="s">
        <v>369</v>
      </c>
      <c r="AI2" s="710" t="s">
        <v>83</v>
      </c>
    </row>
    <row r="3" spans="1:35">
      <c r="A3" s="5" t="s">
        <v>39</v>
      </c>
      <c r="C3" s="9">
        <f ca="1">+IFERROR(INDEX($P$3:$P$86,MATCH(Home!$C$8,Horarios!$Q$3:$Q$86,0)),INDEX($P$3:$P$86,MATCH(1,$T$3:$T$86,0)))</f>
        <v>57</v>
      </c>
      <c r="K3" s="9" t="s">
        <v>148</v>
      </c>
      <c r="P3" s="9">
        <v>1</v>
      </c>
      <c r="Q3" s="9" t="str">
        <f ca="1">+INDEX($AB$3:$AB$50,MATCH(P3,$AI$3:$AI$50,0))</f>
        <v>Alemania</v>
      </c>
      <c r="R3" s="9">
        <f t="shared" ref="R3:W12" ca="1" si="0">+INDEX($AC$3:$AH$86,MATCH($Q3,$AB$3:$AB$86,0),MATCH(R$2,$AC$2:$AH$2,0))</f>
        <v>2</v>
      </c>
      <c r="S3" s="712">
        <f t="shared" ca="1" si="0"/>
        <v>8.3333333333333329E-2</v>
      </c>
      <c r="T3" s="9">
        <f t="shared" ca="1" si="0"/>
        <v>0</v>
      </c>
      <c r="U3" s="9">
        <f t="shared" ca="1" si="0"/>
        <v>6</v>
      </c>
      <c r="V3" s="712">
        <f t="shared" ca="1" si="0"/>
        <v>0.25</v>
      </c>
      <c r="W3" s="9">
        <f t="shared" ca="1" si="0"/>
        <v>1</v>
      </c>
      <c r="X3" s="9">
        <f t="shared" ref="X3:X50" ca="1" si="1">IFERROR(IF(Q3=$L$2,1,0),0)</f>
        <v>0</v>
      </c>
      <c r="AA3" s="9">
        <v>1</v>
      </c>
      <c r="AB3" s="9" t="str">
        <f ca="1">Idiomas!D212</f>
        <v>Alemania</v>
      </c>
      <c r="AC3" s="9">
        <v>2</v>
      </c>
      <c r="AD3" s="712">
        <f>ABS(AC3/24)</f>
        <v>8.3333333333333329E-2</v>
      </c>
      <c r="AE3" s="9">
        <v>0</v>
      </c>
      <c r="AF3" s="9">
        <f ca="1">AC3-$M$2</f>
        <v>6</v>
      </c>
      <c r="AG3" s="712">
        <f ca="1">ABS(AF3/24)</f>
        <v>0.25</v>
      </c>
      <c r="AH3" s="9">
        <f ca="1">IF(AC3&gt;$M$2,1,IF(AC3=$M$2,0,-1))</f>
        <v>1</v>
      </c>
      <c r="AI3" s="9">
        <f ca="1">+COUNTIF($AB$3:$AB$50,"&lt;="&amp;AB3)</f>
        <v>1</v>
      </c>
    </row>
    <row r="4" spans="1:35">
      <c r="A4" s="704">
        <v>46184.625</v>
      </c>
      <c r="C4" s="704">
        <f t="shared" ref="C4:C9" ca="1" si="2">A4+INDEX($V$3:$V$86,MATCH($C$3,$P$3:$P$86,0))*INDEX($W$3:$W$86,MATCH($C$3,$P$3:$P$86,0))</f>
        <v>46184.625</v>
      </c>
      <c r="D4" s="704"/>
      <c r="E4" s="704"/>
      <c r="P4" s="9">
        <v>2</v>
      </c>
      <c r="Q4" s="9" t="str">
        <f t="shared" ref="Q4:Q50" ca="1" si="3">+INDEX($AB$3:$AB$50,MATCH(P4,$AI$3:$AI$50,0))</f>
        <v>Arabia Saudita</v>
      </c>
      <c r="R4" s="9">
        <f t="shared" ca="1" si="0"/>
        <v>3</v>
      </c>
      <c r="S4" s="712">
        <f t="shared" ca="1" si="0"/>
        <v>0.125</v>
      </c>
      <c r="T4" s="9">
        <f t="shared" ca="1" si="0"/>
        <v>0</v>
      </c>
      <c r="U4" s="9">
        <f t="shared" ca="1" si="0"/>
        <v>7</v>
      </c>
      <c r="V4" s="712">
        <f t="shared" ca="1" si="0"/>
        <v>0.29166666666666669</v>
      </c>
      <c r="W4" s="9">
        <f t="shared" ca="1" si="0"/>
        <v>1</v>
      </c>
      <c r="X4" s="9">
        <f t="shared" ca="1" si="1"/>
        <v>0</v>
      </c>
      <c r="AA4" s="9">
        <v>2</v>
      </c>
      <c r="AB4" s="9" t="str">
        <f ca="1">Idiomas!D213</f>
        <v>Arabia Saudita</v>
      </c>
      <c r="AC4" s="9">
        <v>3</v>
      </c>
      <c r="AD4" s="712">
        <f t="shared" ref="AD4:AD67" si="4">ABS(AC4/24)</f>
        <v>0.125</v>
      </c>
      <c r="AE4" s="9">
        <v>0</v>
      </c>
      <c r="AF4" s="9">
        <f t="shared" ref="AF4:AF50" ca="1" si="5">AC4-$M$2</f>
        <v>7</v>
      </c>
      <c r="AG4" s="712">
        <f t="shared" ref="AG4:AG67" ca="1" si="6">ABS(AF4/24)</f>
        <v>0.29166666666666669</v>
      </c>
      <c r="AH4" s="9">
        <f t="shared" ref="AH4:AH50" ca="1" si="7">IF(AC4&gt;$M$2,1,IF(AC4=$M$2,0,-1))</f>
        <v>1</v>
      </c>
      <c r="AI4" s="9">
        <f t="shared" ref="AI4:AI50" ca="1" si="8">+COUNTIF($AB$3:$AB$50,"&lt;="&amp;AB4)</f>
        <v>2</v>
      </c>
    </row>
    <row r="5" spans="1:35">
      <c r="A5" s="704">
        <v>46184.916666666664</v>
      </c>
      <c r="C5" s="704">
        <f t="shared" ca="1" si="2"/>
        <v>46184.916666666664</v>
      </c>
      <c r="D5" s="704"/>
      <c r="E5" s="704"/>
      <c r="P5" s="9">
        <v>3</v>
      </c>
      <c r="Q5" s="9" t="str">
        <f t="shared" ca="1" si="3"/>
        <v>Argelia</v>
      </c>
      <c r="R5" s="9">
        <f t="shared" ca="1" si="0"/>
        <v>1</v>
      </c>
      <c r="S5" s="712">
        <f t="shared" ca="1" si="0"/>
        <v>4.1666666666666664E-2</v>
      </c>
      <c r="T5" s="9">
        <f t="shared" ca="1" si="0"/>
        <v>0</v>
      </c>
      <c r="U5" s="9">
        <f t="shared" ca="1" si="0"/>
        <v>5</v>
      </c>
      <c r="V5" s="712">
        <f t="shared" ca="1" si="0"/>
        <v>0.20833333333333334</v>
      </c>
      <c r="W5" s="9">
        <f t="shared" ca="1" si="0"/>
        <v>1</v>
      </c>
      <c r="X5" s="9">
        <f t="shared" ca="1" si="1"/>
        <v>0</v>
      </c>
      <c r="AA5" s="9">
        <v>3</v>
      </c>
      <c r="AB5" s="9" t="str">
        <f ca="1">Idiomas!D214</f>
        <v>Argelia</v>
      </c>
      <c r="AC5" s="9">
        <v>1</v>
      </c>
      <c r="AD5" s="712">
        <f t="shared" si="4"/>
        <v>4.1666666666666664E-2</v>
      </c>
      <c r="AE5" s="9">
        <v>0</v>
      </c>
      <c r="AF5" s="9">
        <f t="shared" ca="1" si="5"/>
        <v>5</v>
      </c>
      <c r="AG5" s="712">
        <f t="shared" ca="1" si="6"/>
        <v>0.20833333333333334</v>
      </c>
      <c r="AH5" s="9">
        <f t="shared" ca="1" si="7"/>
        <v>1</v>
      </c>
      <c r="AI5" s="9">
        <f t="shared" ca="1" si="8"/>
        <v>3</v>
      </c>
    </row>
    <row r="6" spans="1:35">
      <c r="A6" s="704">
        <v>46191.5</v>
      </c>
      <c r="C6" s="704">
        <f t="shared" ca="1" si="2"/>
        <v>46191.5</v>
      </c>
      <c r="D6" s="704"/>
      <c r="E6" s="704"/>
      <c r="P6" s="9">
        <v>4</v>
      </c>
      <c r="Q6" s="9" t="str">
        <f t="shared" ca="1" si="3"/>
        <v>Argentina</v>
      </c>
      <c r="R6" s="9">
        <f t="shared" ca="1" si="0"/>
        <v>-3</v>
      </c>
      <c r="S6" s="712">
        <f t="shared" ca="1" si="0"/>
        <v>0.125</v>
      </c>
      <c r="T6" s="9">
        <f t="shared" ca="1" si="0"/>
        <v>0</v>
      </c>
      <c r="U6" s="9">
        <f t="shared" ca="1" si="0"/>
        <v>1</v>
      </c>
      <c r="V6" s="712">
        <f t="shared" ca="1" si="0"/>
        <v>4.1666666666666664E-2</v>
      </c>
      <c r="W6" s="9">
        <f t="shared" ca="1" si="0"/>
        <v>1</v>
      </c>
      <c r="X6" s="9">
        <f t="shared" ca="1" si="1"/>
        <v>0</v>
      </c>
      <c r="AA6" s="9">
        <v>4</v>
      </c>
      <c r="AB6" s="9" t="str">
        <f ca="1">Idiomas!D215</f>
        <v>Argentina</v>
      </c>
      <c r="AC6" s="9">
        <v>-3</v>
      </c>
      <c r="AD6" s="712">
        <f t="shared" si="4"/>
        <v>0.125</v>
      </c>
      <c r="AE6" s="9">
        <v>0</v>
      </c>
      <c r="AF6" s="9">
        <f t="shared" ca="1" si="5"/>
        <v>1</v>
      </c>
      <c r="AG6" s="712">
        <f t="shared" ca="1" si="6"/>
        <v>4.1666666666666664E-2</v>
      </c>
      <c r="AH6" s="9">
        <f t="shared" ca="1" si="7"/>
        <v>1</v>
      </c>
      <c r="AI6" s="9">
        <f t="shared" ca="1" si="8"/>
        <v>4</v>
      </c>
    </row>
    <row r="7" spans="1:35">
      <c r="A7" s="704">
        <v>46191.875</v>
      </c>
      <c r="C7" s="704">
        <f t="shared" ca="1" si="2"/>
        <v>46191.875</v>
      </c>
      <c r="D7" s="704"/>
      <c r="E7" s="704"/>
      <c r="P7" s="9">
        <v>5</v>
      </c>
      <c r="Q7" s="9" t="str">
        <f t="shared" ca="1" si="3"/>
        <v>Australia</v>
      </c>
      <c r="R7" s="9">
        <f t="shared" ca="1" si="0"/>
        <v>10.5</v>
      </c>
      <c r="S7" s="712">
        <f t="shared" ca="1" si="0"/>
        <v>0.4375</v>
      </c>
      <c r="T7" s="9">
        <f t="shared" ca="1" si="0"/>
        <v>0</v>
      </c>
      <c r="U7" s="9">
        <f t="shared" ca="1" si="0"/>
        <v>14.5</v>
      </c>
      <c r="V7" s="712">
        <f t="shared" ca="1" si="0"/>
        <v>0.60416666666666663</v>
      </c>
      <c r="W7" s="9">
        <f t="shared" ca="1" si="0"/>
        <v>1</v>
      </c>
      <c r="X7" s="9">
        <f t="shared" ca="1" si="1"/>
        <v>0</v>
      </c>
      <c r="AA7" s="9">
        <v>5</v>
      </c>
      <c r="AB7" s="9" t="str">
        <f ca="1">Idiomas!D216</f>
        <v>Australia</v>
      </c>
      <c r="AC7" s="9">
        <v>10.5</v>
      </c>
      <c r="AD7" s="712">
        <f t="shared" si="4"/>
        <v>0.4375</v>
      </c>
      <c r="AE7" s="9">
        <v>0</v>
      </c>
      <c r="AF7" s="9">
        <f t="shared" ca="1" si="5"/>
        <v>14.5</v>
      </c>
      <c r="AG7" s="712">
        <f t="shared" ca="1" si="6"/>
        <v>0.60416666666666663</v>
      </c>
      <c r="AH7" s="9">
        <f t="shared" ca="1" si="7"/>
        <v>1</v>
      </c>
      <c r="AI7" s="9">
        <f t="shared" ca="1" si="8"/>
        <v>5</v>
      </c>
    </row>
    <row r="8" spans="1:35">
      <c r="A8" s="704">
        <v>46197.875</v>
      </c>
      <c r="C8" s="704">
        <f t="shared" ca="1" si="2"/>
        <v>46197.875</v>
      </c>
      <c r="D8" s="704"/>
      <c r="E8" s="704"/>
      <c r="P8" s="9">
        <v>6</v>
      </c>
      <c r="Q8" s="9" t="str">
        <f t="shared" ca="1" si="3"/>
        <v>Austria</v>
      </c>
      <c r="R8" s="9">
        <f t="shared" ca="1" si="0"/>
        <v>2</v>
      </c>
      <c r="S8" s="712">
        <f t="shared" ca="1" si="0"/>
        <v>8.3333333333333329E-2</v>
      </c>
      <c r="T8" s="9">
        <f t="shared" ca="1" si="0"/>
        <v>0</v>
      </c>
      <c r="U8" s="9">
        <f t="shared" ca="1" si="0"/>
        <v>6</v>
      </c>
      <c r="V8" s="712">
        <f t="shared" ca="1" si="0"/>
        <v>0.25</v>
      </c>
      <c r="W8" s="9">
        <f t="shared" ca="1" si="0"/>
        <v>1</v>
      </c>
      <c r="X8" s="9">
        <f t="shared" ca="1" si="1"/>
        <v>0</v>
      </c>
      <c r="AA8" s="9">
        <v>6</v>
      </c>
      <c r="AB8" s="9" t="str">
        <f ca="1">Idiomas!D217</f>
        <v>Austria</v>
      </c>
      <c r="AC8" s="9">
        <v>2</v>
      </c>
      <c r="AD8" s="712">
        <f t="shared" si="4"/>
        <v>8.3333333333333329E-2</v>
      </c>
      <c r="AE8" s="9">
        <v>0</v>
      </c>
      <c r="AF8" s="9">
        <f t="shared" ca="1" si="5"/>
        <v>6</v>
      </c>
      <c r="AG8" s="712">
        <f t="shared" ca="1" si="6"/>
        <v>0.25</v>
      </c>
      <c r="AH8" s="9">
        <f t="shared" ca="1" si="7"/>
        <v>1</v>
      </c>
      <c r="AI8" s="9">
        <f t="shared" ca="1" si="8"/>
        <v>6</v>
      </c>
    </row>
    <row r="9" spans="1:35">
      <c r="A9" s="704">
        <v>46197.875</v>
      </c>
      <c r="C9" s="704">
        <f t="shared" ca="1" si="2"/>
        <v>46197.875</v>
      </c>
      <c r="D9" s="704"/>
      <c r="E9" s="704"/>
      <c r="P9" s="9">
        <v>7</v>
      </c>
      <c r="Q9" s="9" t="str">
        <f t="shared" ca="1" si="3"/>
        <v>Bélgica</v>
      </c>
      <c r="R9" s="9">
        <f t="shared" ca="1" si="0"/>
        <v>2</v>
      </c>
      <c r="S9" s="712">
        <f t="shared" ca="1" si="0"/>
        <v>8.3333333333333329E-2</v>
      </c>
      <c r="T9" s="9">
        <f t="shared" ca="1" si="0"/>
        <v>0</v>
      </c>
      <c r="U9" s="9">
        <f t="shared" ca="1" si="0"/>
        <v>6</v>
      </c>
      <c r="V9" s="712">
        <f t="shared" ca="1" si="0"/>
        <v>0.25</v>
      </c>
      <c r="W9" s="9">
        <f t="shared" ca="1" si="0"/>
        <v>1</v>
      </c>
      <c r="X9" s="9">
        <f t="shared" ca="1" si="1"/>
        <v>0</v>
      </c>
      <c r="AA9" s="9">
        <v>7</v>
      </c>
      <c r="AB9" s="9" t="str">
        <f ca="1">Idiomas!D218</f>
        <v>Bélgica</v>
      </c>
      <c r="AC9" s="9">
        <v>2</v>
      </c>
      <c r="AD9" s="712">
        <f t="shared" si="4"/>
        <v>8.3333333333333329E-2</v>
      </c>
      <c r="AE9" s="9">
        <v>0</v>
      </c>
      <c r="AF9" s="9">
        <f t="shared" ca="1" si="5"/>
        <v>6</v>
      </c>
      <c r="AG9" s="712">
        <f t="shared" ca="1" si="6"/>
        <v>0.25</v>
      </c>
      <c r="AH9" s="9">
        <f t="shared" ca="1" si="7"/>
        <v>1</v>
      </c>
      <c r="AI9" s="9">
        <f t="shared" ca="1" si="8"/>
        <v>7</v>
      </c>
    </row>
    <row r="10" spans="1:35">
      <c r="C10" s="704"/>
      <c r="E10" s="704"/>
      <c r="P10" s="9">
        <v>8</v>
      </c>
      <c r="Q10" s="9" t="str">
        <f t="shared" ca="1" si="3"/>
        <v>Bosnia y Herzegovina</v>
      </c>
      <c r="R10" s="9">
        <f t="shared" ca="1" si="0"/>
        <v>2</v>
      </c>
      <c r="S10" s="712">
        <f t="shared" ca="1" si="0"/>
        <v>8.3333333333333329E-2</v>
      </c>
      <c r="T10" s="9">
        <f t="shared" ca="1" si="0"/>
        <v>0</v>
      </c>
      <c r="U10" s="9">
        <f t="shared" ca="1" si="0"/>
        <v>6</v>
      </c>
      <c r="V10" s="712">
        <f t="shared" ca="1" si="0"/>
        <v>0.25</v>
      </c>
      <c r="W10" s="9">
        <f t="shared" ca="1" si="0"/>
        <v>1</v>
      </c>
      <c r="X10" s="9">
        <f t="shared" ca="1" si="1"/>
        <v>0</v>
      </c>
      <c r="AA10" s="9">
        <v>8</v>
      </c>
      <c r="AB10" s="9" t="str">
        <f ca="1">Idiomas!D219</f>
        <v>Brasil</v>
      </c>
      <c r="AC10" s="9">
        <v>-3</v>
      </c>
      <c r="AD10" s="712">
        <f t="shared" si="4"/>
        <v>0.125</v>
      </c>
      <c r="AE10" s="9">
        <v>0</v>
      </c>
      <c r="AF10" s="9">
        <f t="shared" ca="1" si="5"/>
        <v>1</v>
      </c>
      <c r="AG10" s="712">
        <f t="shared" ca="1" si="6"/>
        <v>4.1666666666666664E-2</v>
      </c>
      <c r="AH10" s="9">
        <f t="shared" ca="1" si="7"/>
        <v>1</v>
      </c>
      <c r="AI10" s="9">
        <f t="shared" ca="1" si="8"/>
        <v>9</v>
      </c>
    </row>
    <row r="11" spans="1:35">
      <c r="A11" s="5" t="s">
        <v>40</v>
      </c>
      <c r="C11" s="704"/>
      <c r="E11" s="704"/>
      <c r="P11" s="9">
        <v>9</v>
      </c>
      <c r="Q11" s="9" t="str">
        <f t="shared" ca="1" si="3"/>
        <v>Brasil</v>
      </c>
      <c r="R11" s="9">
        <f t="shared" ca="1" si="0"/>
        <v>-3</v>
      </c>
      <c r="S11" s="712">
        <f t="shared" ca="1" si="0"/>
        <v>0.125</v>
      </c>
      <c r="T11" s="9">
        <f t="shared" ca="1" si="0"/>
        <v>0</v>
      </c>
      <c r="U11" s="9">
        <f t="shared" ca="1" si="0"/>
        <v>1</v>
      </c>
      <c r="V11" s="712">
        <f t="shared" ca="1" si="0"/>
        <v>4.1666666666666664E-2</v>
      </c>
      <c r="W11" s="9">
        <f t="shared" ca="1" si="0"/>
        <v>1</v>
      </c>
      <c r="X11" s="9">
        <f t="shared" ca="1" si="1"/>
        <v>0</v>
      </c>
      <c r="AA11" s="9">
        <v>9</v>
      </c>
      <c r="AB11" s="9" t="str">
        <f ca="1">Idiomas!D220</f>
        <v>Cabo Verde</v>
      </c>
      <c r="AC11" s="9">
        <v>-1</v>
      </c>
      <c r="AD11" s="712">
        <f t="shared" si="4"/>
        <v>4.1666666666666664E-2</v>
      </c>
      <c r="AE11" s="9">
        <v>0</v>
      </c>
      <c r="AF11" s="9">
        <f t="shared" ca="1" si="5"/>
        <v>3</v>
      </c>
      <c r="AG11" s="712">
        <f t="shared" ca="1" si="6"/>
        <v>0.125</v>
      </c>
      <c r="AH11" s="9">
        <f t="shared" ca="1" si="7"/>
        <v>1</v>
      </c>
      <c r="AI11" s="9">
        <f t="shared" ca="1" si="8"/>
        <v>10</v>
      </c>
    </row>
    <row r="12" spans="1:35">
      <c r="A12" s="704">
        <v>46185.625</v>
      </c>
      <c r="C12" s="704">
        <f t="shared" ref="C12:C17" ca="1" si="9">A12+INDEX($V$3:$V$86,MATCH($C$3,$P$3:$P$86,0))*INDEX($W$3:$W$86,MATCH($C$3,$P$3:$P$86,0))</f>
        <v>46185.625</v>
      </c>
      <c r="D12" s="704"/>
      <c r="E12" s="704"/>
      <c r="P12" s="9">
        <v>10</v>
      </c>
      <c r="Q12" s="9" t="str">
        <f t="shared" ca="1" si="3"/>
        <v>Cabo Verde</v>
      </c>
      <c r="R12" s="9">
        <f t="shared" ca="1" si="0"/>
        <v>-1</v>
      </c>
      <c r="S12" s="712">
        <f t="shared" ca="1" si="0"/>
        <v>4.1666666666666664E-2</v>
      </c>
      <c r="T12" s="9">
        <f t="shared" ca="1" si="0"/>
        <v>0</v>
      </c>
      <c r="U12" s="9">
        <f t="shared" ca="1" si="0"/>
        <v>3</v>
      </c>
      <c r="V12" s="712">
        <f t="shared" ca="1" si="0"/>
        <v>0.125</v>
      </c>
      <c r="W12" s="9">
        <f t="shared" ca="1" si="0"/>
        <v>1</v>
      </c>
      <c r="X12" s="9">
        <f t="shared" ca="1" si="1"/>
        <v>0</v>
      </c>
      <c r="AA12" s="9">
        <v>10</v>
      </c>
      <c r="AB12" s="9" t="str">
        <f ca="1">Idiomas!D221</f>
        <v>Canadá</v>
      </c>
      <c r="AC12" s="9">
        <v>-4</v>
      </c>
      <c r="AD12" s="712">
        <f t="shared" si="4"/>
        <v>0.16666666666666666</v>
      </c>
      <c r="AE12" s="9">
        <v>0</v>
      </c>
      <c r="AF12" s="9">
        <f t="shared" ca="1" si="5"/>
        <v>0</v>
      </c>
      <c r="AG12" s="712">
        <f t="shared" ca="1" si="6"/>
        <v>0</v>
      </c>
      <c r="AH12" s="9">
        <f t="shared" ca="1" si="7"/>
        <v>0</v>
      </c>
      <c r="AI12" s="9">
        <f t="shared" ca="1" si="8"/>
        <v>11</v>
      </c>
    </row>
    <row r="13" spans="1:35">
      <c r="A13" s="704">
        <v>46186.625</v>
      </c>
      <c r="C13" s="704">
        <f t="shared" ca="1" si="9"/>
        <v>46186.625</v>
      </c>
      <c r="D13" s="704"/>
      <c r="E13" s="704"/>
      <c r="P13" s="9">
        <v>11</v>
      </c>
      <c r="Q13" s="9" t="str">
        <f t="shared" ca="1" si="3"/>
        <v>Canadá</v>
      </c>
      <c r="R13" s="9">
        <f t="shared" ref="R13:W22" ca="1" si="10">+INDEX($AC$3:$AH$86,MATCH($Q13,$AB$3:$AB$86,0),MATCH(R$2,$AC$2:$AH$2,0))</f>
        <v>-4</v>
      </c>
      <c r="S13" s="712">
        <f t="shared" ca="1" si="10"/>
        <v>0.16666666666666666</v>
      </c>
      <c r="T13" s="9">
        <f t="shared" ca="1" si="10"/>
        <v>0</v>
      </c>
      <c r="U13" s="9">
        <f t="shared" ca="1" si="10"/>
        <v>0</v>
      </c>
      <c r="V13" s="712">
        <f t="shared" ca="1" si="10"/>
        <v>0</v>
      </c>
      <c r="W13" s="9">
        <f t="shared" ca="1" si="10"/>
        <v>0</v>
      </c>
      <c r="X13" s="9">
        <f t="shared" ca="1" si="1"/>
        <v>0</v>
      </c>
      <c r="AA13" s="9">
        <v>11</v>
      </c>
      <c r="AB13" s="9" t="str">
        <f ca="1">Idiomas!D222</f>
        <v>Catar</v>
      </c>
      <c r="AC13" s="9">
        <v>3</v>
      </c>
      <c r="AD13" s="712">
        <f t="shared" si="4"/>
        <v>0.125</v>
      </c>
      <c r="AE13" s="9">
        <v>0</v>
      </c>
      <c r="AF13" s="9">
        <f t="shared" ca="1" si="5"/>
        <v>7</v>
      </c>
      <c r="AG13" s="712">
        <f t="shared" ca="1" si="6"/>
        <v>0.29166666666666669</v>
      </c>
      <c r="AH13" s="9">
        <f t="shared" ca="1" si="7"/>
        <v>1</v>
      </c>
      <c r="AI13" s="9">
        <f t="shared" ca="1" si="8"/>
        <v>12</v>
      </c>
    </row>
    <row r="14" spans="1:35">
      <c r="A14" s="704">
        <v>46191.625</v>
      </c>
      <c r="C14" s="704">
        <f t="shared" ca="1" si="9"/>
        <v>46191.625</v>
      </c>
      <c r="D14" s="704"/>
      <c r="E14" s="704"/>
      <c r="P14" s="9">
        <v>12</v>
      </c>
      <c r="Q14" s="9" t="str">
        <f t="shared" ca="1" si="3"/>
        <v>Catar</v>
      </c>
      <c r="R14" s="9">
        <f t="shared" ca="1" si="10"/>
        <v>3</v>
      </c>
      <c r="S14" s="712">
        <f t="shared" ca="1" si="10"/>
        <v>0.125</v>
      </c>
      <c r="T14" s="9">
        <f t="shared" ca="1" si="10"/>
        <v>0</v>
      </c>
      <c r="U14" s="9">
        <f t="shared" ca="1" si="10"/>
        <v>7</v>
      </c>
      <c r="V14" s="712">
        <f t="shared" ca="1" si="10"/>
        <v>0.29166666666666669</v>
      </c>
      <c r="W14" s="9">
        <f t="shared" ca="1" si="10"/>
        <v>1</v>
      </c>
      <c r="X14" s="9">
        <f t="shared" ca="1" si="1"/>
        <v>0</v>
      </c>
      <c r="AA14" s="9">
        <v>12</v>
      </c>
      <c r="AB14" s="9" t="str">
        <f ca="1">Idiomas!D223</f>
        <v>Colombia</v>
      </c>
      <c r="AC14" s="9">
        <v>-5</v>
      </c>
      <c r="AD14" s="712">
        <f t="shared" si="4"/>
        <v>0.20833333333333334</v>
      </c>
      <c r="AE14" s="9">
        <v>0</v>
      </c>
      <c r="AF14" s="9">
        <f t="shared" ca="1" si="5"/>
        <v>-1</v>
      </c>
      <c r="AG14" s="712">
        <f t="shared" ca="1" si="6"/>
        <v>4.1666666666666664E-2</v>
      </c>
      <c r="AH14" s="9">
        <f t="shared" ca="1" si="7"/>
        <v>-1</v>
      </c>
      <c r="AI14" s="9">
        <f t="shared" ca="1" si="8"/>
        <v>13</v>
      </c>
    </row>
    <row r="15" spans="1:35">
      <c r="A15" s="704">
        <v>46191.75</v>
      </c>
      <c r="C15" s="704">
        <f t="shared" ca="1" si="9"/>
        <v>46191.75</v>
      </c>
      <c r="D15" s="704"/>
      <c r="E15" s="704"/>
      <c r="P15" s="9">
        <v>13</v>
      </c>
      <c r="Q15" s="9" t="str">
        <f t="shared" ca="1" si="3"/>
        <v>Colombia</v>
      </c>
      <c r="R15" s="9">
        <f t="shared" ca="1" si="10"/>
        <v>-5</v>
      </c>
      <c r="S15" s="712">
        <f t="shared" ca="1" si="10"/>
        <v>0.20833333333333334</v>
      </c>
      <c r="T15" s="9">
        <f t="shared" ca="1" si="10"/>
        <v>0</v>
      </c>
      <c r="U15" s="9">
        <f t="shared" ca="1" si="10"/>
        <v>-1</v>
      </c>
      <c r="V15" s="712">
        <f t="shared" ca="1" si="10"/>
        <v>4.1666666666666664E-2</v>
      </c>
      <c r="W15" s="9">
        <f t="shared" ca="1" si="10"/>
        <v>-1</v>
      </c>
      <c r="X15" s="9">
        <f t="shared" ca="1" si="1"/>
        <v>0</v>
      </c>
      <c r="AA15" s="9">
        <v>13</v>
      </c>
      <c r="AB15" s="9" t="str">
        <f ca="1">Idiomas!D224</f>
        <v>Corea del Sur</v>
      </c>
      <c r="AC15" s="9">
        <v>9</v>
      </c>
      <c r="AD15" s="712">
        <f t="shared" si="4"/>
        <v>0.375</v>
      </c>
      <c r="AE15" s="9">
        <v>0</v>
      </c>
      <c r="AF15" s="9">
        <f t="shared" ca="1" si="5"/>
        <v>13</v>
      </c>
      <c r="AG15" s="712">
        <f t="shared" ca="1" si="6"/>
        <v>0.54166666666666663</v>
      </c>
      <c r="AH15" s="9">
        <f t="shared" ca="1" si="7"/>
        <v>1</v>
      </c>
      <c r="AI15" s="9">
        <f t="shared" ca="1" si="8"/>
        <v>14</v>
      </c>
    </row>
    <row r="16" spans="1:35">
      <c r="A16" s="704">
        <v>46197.625</v>
      </c>
      <c r="C16" s="704">
        <f t="shared" ca="1" si="9"/>
        <v>46197.625</v>
      </c>
      <c r="D16" s="704"/>
      <c r="E16" s="704"/>
      <c r="P16" s="9">
        <v>14</v>
      </c>
      <c r="Q16" s="9" t="str">
        <f t="shared" ca="1" si="3"/>
        <v>Corea del Sur</v>
      </c>
      <c r="R16" s="9">
        <f t="shared" ca="1" si="10"/>
        <v>9</v>
      </c>
      <c r="S16" s="712">
        <f t="shared" ca="1" si="10"/>
        <v>0.375</v>
      </c>
      <c r="T16" s="9">
        <f t="shared" ca="1" si="10"/>
        <v>0</v>
      </c>
      <c r="U16" s="9">
        <f t="shared" ca="1" si="10"/>
        <v>13</v>
      </c>
      <c r="V16" s="712">
        <f t="shared" ca="1" si="10"/>
        <v>0.54166666666666663</v>
      </c>
      <c r="W16" s="9">
        <f t="shared" ca="1" si="10"/>
        <v>1</v>
      </c>
      <c r="X16" s="9">
        <f t="shared" ca="1" si="1"/>
        <v>0</v>
      </c>
      <c r="AA16" s="9">
        <v>14</v>
      </c>
      <c r="AB16" s="9" t="str">
        <f ca="1">Idiomas!D225</f>
        <v>Costa de Marfil</v>
      </c>
      <c r="AC16" s="9">
        <v>0</v>
      </c>
      <c r="AD16" s="712">
        <f t="shared" si="4"/>
        <v>0</v>
      </c>
      <c r="AE16" s="9">
        <v>0</v>
      </c>
      <c r="AF16" s="9">
        <f t="shared" ca="1" si="5"/>
        <v>4</v>
      </c>
      <c r="AG16" s="712">
        <f t="shared" ca="1" si="6"/>
        <v>0.16666666666666666</v>
      </c>
      <c r="AH16" s="9">
        <f t="shared" ca="1" si="7"/>
        <v>1</v>
      </c>
      <c r="AI16" s="9">
        <f t="shared" ca="1" si="8"/>
        <v>15</v>
      </c>
    </row>
    <row r="17" spans="1:35">
      <c r="A17" s="704">
        <v>46197.625</v>
      </c>
      <c r="C17" s="704">
        <f t="shared" ca="1" si="9"/>
        <v>46197.625</v>
      </c>
      <c r="D17" s="704"/>
      <c r="E17" s="704"/>
      <c r="P17" s="9">
        <v>15</v>
      </c>
      <c r="Q17" s="9" t="str">
        <f t="shared" ca="1" si="3"/>
        <v>Costa de Marfil</v>
      </c>
      <c r="R17" s="9">
        <f t="shared" ca="1" si="10"/>
        <v>0</v>
      </c>
      <c r="S17" s="712">
        <f t="shared" ca="1" si="10"/>
        <v>0</v>
      </c>
      <c r="T17" s="9">
        <f t="shared" ca="1" si="10"/>
        <v>0</v>
      </c>
      <c r="U17" s="9">
        <f t="shared" ca="1" si="10"/>
        <v>4</v>
      </c>
      <c r="V17" s="712">
        <f t="shared" ca="1" si="10"/>
        <v>0.16666666666666666</v>
      </c>
      <c r="W17" s="9">
        <f t="shared" ca="1" si="10"/>
        <v>1</v>
      </c>
      <c r="X17" s="9">
        <f t="shared" ca="1" si="1"/>
        <v>0</v>
      </c>
      <c r="AA17" s="9">
        <v>15</v>
      </c>
      <c r="AB17" s="9" t="str">
        <f ca="1">Idiomas!D226</f>
        <v>Croacia</v>
      </c>
      <c r="AC17" s="9">
        <v>2</v>
      </c>
      <c r="AD17" s="712">
        <f t="shared" si="4"/>
        <v>8.3333333333333329E-2</v>
      </c>
      <c r="AE17" s="9">
        <v>0</v>
      </c>
      <c r="AF17" s="9">
        <f t="shared" ca="1" si="5"/>
        <v>6</v>
      </c>
      <c r="AG17" s="712">
        <f t="shared" ca="1" si="6"/>
        <v>0.25</v>
      </c>
      <c r="AH17" s="9">
        <f t="shared" ca="1" si="7"/>
        <v>1</v>
      </c>
      <c r="AI17" s="9">
        <f t="shared" ca="1" si="8"/>
        <v>16</v>
      </c>
    </row>
    <row r="18" spans="1:35">
      <c r="C18" s="704"/>
      <c r="E18" s="704"/>
      <c r="P18" s="9">
        <v>16</v>
      </c>
      <c r="Q18" s="9" t="str">
        <f t="shared" ca="1" si="3"/>
        <v>Croacia</v>
      </c>
      <c r="R18" s="9">
        <f t="shared" ca="1" si="10"/>
        <v>2</v>
      </c>
      <c r="S18" s="712">
        <f t="shared" ca="1" si="10"/>
        <v>8.3333333333333329E-2</v>
      </c>
      <c r="T18" s="9">
        <f t="shared" ca="1" si="10"/>
        <v>0</v>
      </c>
      <c r="U18" s="9">
        <f t="shared" ca="1" si="10"/>
        <v>6</v>
      </c>
      <c r="V18" s="712">
        <f t="shared" ca="1" si="10"/>
        <v>0.25</v>
      </c>
      <c r="W18" s="9">
        <f t="shared" ca="1" si="10"/>
        <v>1</v>
      </c>
      <c r="X18" s="9">
        <f t="shared" ca="1" si="1"/>
        <v>0</v>
      </c>
      <c r="AA18" s="9">
        <v>16</v>
      </c>
      <c r="AB18" s="9" t="str">
        <f ca="1">Idiomas!D227</f>
        <v>Curazao</v>
      </c>
      <c r="AC18" s="9">
        <v>-4</v>
      </c>
      <c r="AD18" s="712">
        <f t="shared" si="4"/>
        <v>0.16666666666666666</v>
      </c>
      <c r="AE18" s="9">
        <v>0</v>
      </c>
      <c r="AF18" s="9">
        <f t="shared" ca="1" si="5"/>
        <v>0</v>
      </c>
      <c r="AG18" s="712">
        <f t="shared" ca="1" si="6"/>
        <v>0</v>
      </c>
      <c r="AH18" s="9">
        <f t="shared" ca="1" si="7"/>
        <v>0</v>
      </c>
      <c r="AI18" s="9">
        <f t="shared" ca="1" si="8"/>
        <v>17</v>
      </c>
    </row>
    <row r="19" spans="1:35">
      <c r="A19" s="5" t="s">
        <v>9</v>
      </c>
      <c r="C19" s="704"/>
      <c r="E19" s="704"/>
      <c r="P19" s="9">
        <v>17</v>
      </c>
      <c r="Q19" s="9" t="str">
        <f t="shared" ca="1" si="3"/>
        <v>Curazao</v>
      </c>
      <c r="R19" s="9">
        <f t="shared" ca="1" si="10"/>
        <v>-4</v>
      </c>
      <c r="S19" s="712">
        <f t="shared" ca="1" si="10"/>
        <v>0.16666666666666666</v>
      </c>
      <c r="T19" s="9">
        <f t="shared" ca="1" si="10"/>
        <v>0</v>
      </c>
      <c r="U19" s="9">
        <f t="shared" ca="1" si="10"/>
        <v>0</v>
      </c>
      <c r="V19" s="712">
        <f t="shared" ca="1" si="10"/>
        <v>0</v>
      </c>
      <c r="W19" s="9">
        <f t="shared" ca="1" si="10"/>
        <v>0</v>
      </c>
      <c r="X19" s="9">
        <f t="shared" ca="1" si="1"/>
        <v>0</v>
      </c>
      <c r="AA19" s="9">
        <v>17</v>
      </c>
      <c r="AB19" s="9" t="str">
        <f ca="1">Idiomas!D228</f>
        <v>Ecuador</v>
      </c>
      <c r="AC19" s="9">
        <v>-5</v>
      </c>
      <c r="AD19" s="712">
        <f t="shared" si="4"/>
        <v>0.20833333333333334</v>
      </c>
      <c r="AE19" s="9">
        <v>0</v>
      </c>
      <c r="AF19" s="9">
        <f t="shared" ca="1" si="5"/>
        <v>-1</v>
      </c>
      <c r="AG19" s="712">
        <f t="shared" ca="1" si="6"/>
        <v>4.1666666666666664E-2</v>
      </c>
      <c r="AH19" s="9">
        <f t="shared" ca="1" si="7"/>
        <v>-1</v>
      </c>
      <c r="AI19" s="9">
        <f t="shared" ca="1" si="8"/>
        <v>18</v>
      </c>
    </row>
    <row r="20" spans="1:35">
      <c r="A20" s="704">
        <v>46186.75</v>
      </c>
      <c r="C20" s="704">
        <f t="shared" ref="C20:C25" ca="1" si="11">A20+INDEX($V$3:$V$86,MATCH($C$3,$P$3:$P$86,0))*INDEX($W$3:$W$86,MATCH($C$3,$P$3:$P$86,0))</f>
        <v>46186.75</v>
      </c>
      <c r="D20" s="704"/>
      <c r="E20" s="704"/>
      <c r="P20" s="9">
        <v>18</v>
      </c>
      <c r="Q20" s="9" t="str">
        <f t="shared" ca="1" si="3"/>
        <v>Ecuador</v>
      </c>
      <c r="R20" s="9">
        <f t="shared" ca="1" si="10"/>
        <v>-5</v>
      </c>
      <c r="S20" s="712">
        <f t="shared" ca="1" si="10"/>
        <v>0.20833333333333334</v>
      </c>
      <c r="T20" s="9">
        <f t="shared" ca="1" si="10"/>
        <v>0</v>
      </c>
      <c r="U20" s="9">
        <f t="shared" ca="1" si="10"/>
        <v>-1</v>
      </c>
      <c r="V20" s="712">
        <f t="shared" ca="1" si="10"/>
        <v>4.1666666666666664E-2</v>
      </c>
      <c r="W20" s="9">
        <f t="shared" ca="1" si="10"/>
        <v>-1</v>
      </c>
      <c r="X20" s="9">
        <f t="shared" ca="1" si="1"/>
        <v>0</v>
      </c>
      <c r="AA20" s="9">
        <v>18</v>
      </c>
      <c r="AB20" s="9" t="str">
        <f ca="1">Idiomas!D229</f>
        <v>Egipto</v>
      </c>
      <c r="AC20" s="9">
        <v>3</v>
      </c>
      <c r="AD20" s="712">
        <f t="shared" si="4"/>
        <v>0.125</v>
      </c>
      <c r="AE20" s="9">
        <v>0</v>
      </c>
      <c r="AF20" s="9">
        <f t="shared" ca="1" si="5"/>
        <v>7</v>
      </c>
      <c r="AG20" s="712">
        <f t="shared" ca="1" si="6"/>
        <v>0.29166666666666669</v>
      </c>
      <c r="AH20" s="9">
        <f t="shared" ca="1" si="7"/>
        <v>1</v>
      </c>
      <c r="AI20" s="9">
        <f t="shared" ca="1" si="8"/>
        <v>19</v>
      </c>
    </row>
    <row r="21" spans="1:35">
      <c r="A21" s="704">
        <v>46186.875</v>
      </c>
      <c r="C21" s="704">
        <f t="shared" ca="1" si="11"/>
        <v>46186.875</v>
      </c>
      <c r="D21" s="704"/>
      <c r="E21" s="704"/>
      <c r="P21" s="9">
        <v>19</v>
      </c>
      <c r="Q21" s="9" t="str">
        <f t="shared" ca="1" si="3"/>
        <v>Egipto</v>
      </c>
      <c r="R21" s="9">
        <f t="shared" ca="1" si="10"/>
        <v>3</v>
      </c>
      <c r="S21" s="712">
        <f t="shared" ca="1" si="10"/>
        <v>0.125</v>
      </c>
      <c r="T21" s="9">
        <f t="shared" ca="1" si="10"/>
        <v>0</v>
      </c>
      <c r="U21" s="9">
        <f t="shared" ca="1" si="10"/>
        <v>7</v>
      </c>
      <c r="V21" s="712">
        <f t="shared" ca="1" si="10"/>
        <v>0.29166666666666669</v>
      </c>
      <c r="W21" s="9">
        <f t="shared" ca="1" si="10"/>
        <v>1</v>
      </c>
      <c r="X21" s="9">
        <f t="shared" ca="1" si="1"/>
        <v>0</v>
      </c>
      <c r="AA21" s="9">
        <v>19</v>
      </c>
      <c r="AB21" s="9" t="str">
        <f ca="1">Idiomas!D230</f>
        <v>Escocia</v>
      </c>
      <c r="AC21" s="9">
        <v>1</v>
      </c>
      <c r="AD21" s="712">
        <f t="shared" si="4"/>
        <v>4.1666666666666664E-2</v>
      </c>
      <c r="AE21" s="9">
        <v>0</v>
      </c>
      <c r="AF21" s="9">
        <f t="shared" ca="1" si="5"/>
        <v>5</v>
      </c>
      <c r="AG21" s="712">
        <f t="shared" ca="1" si="6"/>
        <v>0.20833333333333334</v>
      </c>
      <c r="AH21" s="9">
        <f t="shared" ca="1" si="7"/>
        <v>1</v>
      </c>
      <c r="AI21" s="9">
        <f t="shared" ca="1" si="8"/>
        <v>20</v>
      </c>
    </row>
    <row r="22" spans="1:35">
      <c r="A22" s="704">
        <v>46192.75</v>
      </c>
      <c r="C22" s="704">
        <f t="shared" ca="1" si="11"/>
        <v>46192.75</v>
      </c>
      <c r="D22" s="704"/>
      <c r="E22" s="704"/>
      <c r="P22" s="9">
        <v>20</v>
      </c>
      <c r="Q22" s="9" t="str">
        <f t="shared" ca="1" si="3"/>
        <v>Escocia</v>
      </c>
      <c r="R22" s="9">
        <f t="shared" ca="1" si="10"/>
        <v>1</v>
      </c>
      <c r="S22" s="712">
        <f t="shared" ca="1" si="10"/>
        <v>4.1666666666666664E-2</v>
      </c>
      <c r="T22" s="9">
        <f t="shared" ca="1" si="10"/>
        <v>0</v>
      </c>
      <c r="U22" s="9">
        <f t="shared" ca="1" si="10"/>
        <v>5</v>
      </c>
      <c r="V22" s="712">
        <f t="shared" ca="1" si="10"/>
        <v>0.20833333333333334</v>
      </c>
      <c r="W22" s="9">
        <f t="shared" ca="1" si="10"/>
        <v>1</v>
      </c>
      <c r="X22" s="9">
        <f t="shared" ca="1" si="1"/>
        <v>0</v>
      </c>
      <c r="AA22" s="9">
        <v>20</v>
      </c>
      <c r="AB22" s="9" t="str">
        <f ca="1">Idiomas!D231</f>
        <v>España</v>
      </c>
      <c r="AC22" s="9">
        <v>2</v>
      </c>
      <c r="AD22" s="712">
        <f t="shared" si="4"/>
        <v>8.3333333333333329E-2</v>
      </c>
      <c r="AE22" s="9">
        <v>0</v>
      </c>
      <c r="AF22" s="9">
        <f t="shared" ca="1" si="5"/>
        <v>6</v>
      </c>
      <c r="AG22" s="712">
        <f t="shared" ca="1" si="6"/>
        <v>0.25</v>
      </c>
      <c r="AH22" s="9">
        <f t="shared" ca="1" si="7"/>
        <v>1</v>
      </c>
      <c r="AI22" s="9">
        <f t="shared" ca="1" si="8"/>
        <v>21</v>
      </c>
    </row>
    <row r="23" spans="1:35">
      <c r="A23" s="704">
        <v>46192.854166666664</v>
      </c>
      <c r="C23" s="704">
        <f t="shared" ca="1" si="11"/>
        <v>46192.854166666664</v>
      </c>
      <c r="D23" s="704"/>
      <c r="E23" s="704"/>
      <c r="P23" s="9">
        <v>21</v>
      </c>
      <c r="Q23" s="9" t="str">
        <f t="shared" ca="1" si="3"/>
        <v>España</v>
      </c>
      <c r="R23" s="9">
        <f t="shared" ref="R23:W32" ca="1" si="12">+INDEX($AC$3:$AH$86,MATCH($Q23,$AB$3:$AB$86,0),MATCH(R$2,$AC$2:$AH$2,0))</f>
        <v>2</v>
      </c>
      <c r="S23" s="712">
        <f t="shared" ca="1" si="12"/>
        <v>8.3333333333333329E-2</v>
      </c>
      <c r="T23" s="9">
        <f t="shared" ca="1" si="12"/>
        <v>0</v>
      </c>
      <c r="U23" s="9">
        <f t="shared" ca="1" si="12"/>
        <v>6</v>
      </c>
      <c r="V23" s="712">
        <f t="shared" ca="1" si="12"/>
        <v>0.25</v>
      </c>
      <c r="W23" s="9">
        <f t="shared" ca="1" si="12"/>
        <v>1</v>
      </c>
      <c r="X23" s="9">
        <f t="shared" ca="1" si="1"/>
        <v>0</v>
      </c>
      <c r="AA23" s="9">
        <v>21</v>
      </c>
      <c r="AB23" s="9" t="str">
        <f ca="1">Idiomas!D232</f>
        <v>Estados Unidos</v>
      </c>
      <c r="AC23" s="9">
        <v>-4</v>
      </c>
      <c r="AD23" s="712">
        <f t="shared" si="4"/>
        <v>0.16666666666666666</v>
      </c>
      <c r="AE23" s="9">
        <v>1</v>
      </c>
      <c r="AF23" s="9">
        <f t="shared" ca="1" si="5"/>
        <v>0</v>
      </c>
      <c r="AG23" s="712">
        <f t="shared" ca="1" si="6"/>
        <v>0</v>
      </c>
      <c r="AH23" s="9">
        <f t="shared" ca="1" si="7"/>
        <v>0</v>
      </c>
      <c r="AI23" s="9">
        <f t="shared" ca="1" si="8"/>
        <v>22</v>
      </c>
    </row>
    <row r="24" spans="1:35">
      <c r="A24" s="704">
        <v>46197.75</v>
      </c>
      <c r="C24" s="704">
        <f t="shared" ca="1" si="11"/>
        <v>46197.75</v>
      </c>
      <c r="D24" s="704"/>
      <c r="E24" s="704"/>
      <c r="P24" s="9">
        <v>22</v>
      </c>
      <c r="Q24" s="9" t="str">
        <f t="shared" ca="1" si="3"/>
        <v>Estados Unidos</v>
      </c>
      <c r="R24" s="9">
        <f t="shared" ca="1" si="12"/>
        <v>-4</v>
      </c>
      <c r="S24" s="712">
        <f t="shared" ca="1" si="12"/>
        <v>0.16666666666666666</v>
      </c>
      <c r="T24" s="9">
        <f t="shared" ca="1" si="12"/>
        <v>1</v>
      </c>
      <c r="U24" s="9">
        <f t="shared" ca="1" si="12"/>
        <v>0</v>
      </c>
      <c r="V24" s="712">
        <f t="shared" ca="1" si="12"/>
        <v>0</v>
      </c>
      <c r="W24" s="9">
        <f t="shared" ca="1" si="12"/>
        <v>0</v>
      </c>
      <c r="X24" s="9">
        <f t="shared" ca="1" si="1"/>
        <v>1</v>
      </c>
      <c r="AA24" s="9">
        <v>22</v>
      </c>
      <c r="AB24" s="9" t="str">
        <f ca="1">Idiomas!D233</f>
        <v>Francia</v>
      </c>
      <c r="AC24" s="9">
        <v>2</v>
      </c>
      <c r="AD24" s="712">
        <f t="shared" si="4"/>
        <v>8.3333333333333329E-2</v>
      </c>
      <c r="AE24" s="9">
        <v>0</v>
      </c>
      <c r="AF24" s="9">
        <f t="shared" ca="1" si="5"/>
        <v>6</v>
      </c>
      <c r="AG24" s="712">
        <f t="shared" ca="1" si="6"/>
        <v>0.25</v>
      </c>
      <c r="AH24" s="9">
        <f t="shared" ca="1" si="7"/>
        <v>1</v>
      </c>
      <c r="AI24" s="9">
        <f t="shared" ca="1" si="8"/>
        <v>23</v>
      </c>
    </row>
    <row r="25" spans="1:35">
      <c r="A25" s="704">
        <v>46197.75</v>
      </c>
      <c r="C25" s="704">
        <f t="shared" ca="1" si="11"/>
        <v>46197.75</v>
      </c>
      <c r="D25" s="704"/>
      <c r="E25" s="704"/>
      <c r="P25" s="9">
        <v>23</v>
      </c>
      <c r="Q25" s="9" t="str">
        <f t="shared" ca="1" si="3"/>
        <v>Francia</v>
      </c>
      <c r="R25" s="9">
        <f t="shared" ca="1" si="12"/>
        <v>2</v>
      </c>
      <c r="S25" s="712">
        <f t="shared" ca="1" si="12"/>
        <v>8.3333333333333329E-2</v>
      </c>
      <c r="T25" s="9">
        <f t="shared" ca="1" si="12"/>
        <v>0</v>
      </c>
      <c r="U25" s="9">
        <f t="shared" ca="1" si="12"/>
        <v>6</v>
      </c>
      <c r="V25" s="712">
        <f t="shared" ca="1" si="12"/>
        <v>0.25</v>
      </c>
      <c r="W25" s="9">
        <f t="shared" ca="1" si="12"/>
        <v>1</v>
      </c>
      <c r="X25" s="9">
        <f t="shared" ca="1" si="1"/>
        <v>0</v>
      </c>
      <c r="AA25" s="9">
        <v>23</v>
      </c>
      <c r="AB25" s="9" t="str">
        <f ca="1">Idiomas!D234</f>
        <v>Ghana</v>
      </c>
      <c r="AC25" s="9">
        <v>0</v>
      </c>
      <c r="AD25" s="712">
        <f t="shared" si="4"/>
        <v>0</v>
      </c>
      <c r="AE25" s="9">
        <v>0</v>
      </c>
      <c r="AF25" s="9">
        <f t="shared" ca="1" si="5"/>
        <v>4</v>
      </c>
      <c r="AG25" s="712">
        <f t="shared" ca="1" si="6"/>
        <v>0.16666666666666666</v>
      </c>
      <c r="AH25" s="9">
        <f t="shared" ca="1" si="7"/>
        <v>1</v>
      </c>
      <c r="AI25" s="9">
        <f t="shared" ca="1" si="8"/>
        <v>24</v>
      </c>
    </row>
    <row r="26" spans="1:35">
      <c r="C26" s="704"/>
      <c r="E26" s="704"/>
      <c r="P26" s="9">
        <v>24</v>
      </c>
      <c r="Q26" s="9" t="str">
        <f t="shared" ca="1" si="3"/>
        <v>Ghana</v>
      </c>
      <c r="R26" s="9">
        <f t="shared" ca="1" si="12"/>
        <v>0</v>
      </c>
      <c r="S26" s="712">
        <f t="shared" ca="1" si="12"/>
        <v>0</v>
      </c>
      <c r="T26" s="9">
        <f t="shared" ca="1" si="12"/>
        <v>0</v>
      </c>
      <c r="U26" s="9">
        <f t="shared" ca="1" si="12"/>
        <v>4</v>
      </c>
      <c r="V26" s="712">
        <f t="shared" ca="1" si="12"/>
        <v>0.16666666666666666</v>
      </c>
      <c r="W26" s="9">
        <f t="shared" ca="1" si="12"/>
        <v>1</v>
      </c>
      <c r="X26" s="9">
        <f t="shared" ca="1" si="1"/>
        <v>0</v>
      </c>
      <c r="AA26" s="9">
        <v>24</v>
      </c>
      <c r="AB26" s="9" t="str">
        <f ca="1">Idiomas!D235</f>
        <v>Haití</v>
      </c>
      <c r="AC26" s="9">
        <v>-4</v>
      </c>
      <c r="AD26" s="712">
        <f t="shared" si="4"/>
        <v>0.16666666666666666</v>
      </c>
      <c r="AE26" s="9">
        <v>0</v>
      </c>
      <c r="AF26" s="9">
        <f t="shared" ca="1" si="5"/>
        <v>0</v>
      </c>
      <c r="AG26" s="712">
        <f t="shared" ca="1" si="6"/>
        <v>0</v>
      </c>
      <c r="AH26" s="9">
        <f t="shared" ca="1" si="7"/>
        <v>0</v>
      </c>
      <c r="AI26" s="9">
        <f t="shared" ca="1" si="8"/>
        <v>25</v>
      </c>
    </row>
    <row r="27" spans="1:35">
      <c r="A27" s="5" t="s">
        <v>81</v>
      </c>
      <c r="C27" s="704"/>
      <c r="E27" s="704"/>
      <c r="P27" s="9">
        <v>25</v>
      </c>
      <c r="Q27" s="9" t="str">
        <f t="shared" ca="1" si="3"/>
        <v>Haití</v>
      </c>
      <c r="R27" s="9">
        <f t="shared" ca="1" si="12"/>
        <v>-4</v>
      </c>
      <c r="S27" s="712">
        <f t="shared" ca="1" si="12"/>
        <v>0.16666666666666666</v>
      </c>
      <c r="T27" s="9">
        <f t="shared" ca="1" si="12"/>
        <v>0</v>
      </c>
      <c r="U27" s="9">
        <f t="shared" ca="1" si="12"/>
        <v>0</v>
      </c>
      <c r="V27" s="712">
        <f t="shared" ca="1" si="12"/>
        <v>0</v>
      </c>
      <c r="W27" s="9">
        <f t="shared" ca="1" si="12"/>
        <v>0</v>
      </c>
      <c r="X27" s="9">
        <f t="shared" ca="1" si="1"/>
        <v>0</v>
      </c>
      <c r="AA27" s="9">
        <v>25</v>
      </c>
      <c r="AB27" s="9" t="str">
        <f ca="1">Idiomas!D236</f>
        <v>Inglaterra</v>
      </c>
      <c r="AC27" s="9">
        <v>1</v>
      </c>
      <c r="AD27" s="712">
        <f t="shared" si="4"/>
        <v>4.1666666666666664E-2</v>
      </c>
      <c r="AE27" s="9">
        <v>0</v>
      </c>
      <c r="AF27" s="9">
        <f t="shared" ca="1" si="5"/>
        <v>5</v>
      </c>
      <c r="AG27" s="712">
        <f t="shared" ca="1" si="6"/>
        <v>0.20833333333333334</v>
      </c>
      <c r="AH27" s="9">
        <f t="shared" ca="1" si="7"/>
        <v>1</v>
      </c>
      <c r="AI27" s="9">
        <f t="shared" ca="1" si="8"/>
        <v>26</v>
      </c>
    </row>
    <row r="28" spans="1:35">
      <c r="A28" s="704">
        <v>46185.875</v>
      </c>
      <c r="C28" s="704">
        <f t="shared" ref="C28:C33" ca="1" si="13">A28+INDEX($V$3:$V$86,MATCH($C$3,$P$3:$P$86,0))*INDEX($W$3:$W$86,MATCH($C$3,$P$3:$P$86,0))</f>
        <v>46185.875</v>
      </c>
      <c r="D28" s="704"/>
      <c r="E28" s="704"/>
      <c r="P28" s="9">
        <v>26</v>
      </c>
      <c r="Q28" s="9" t="str">
        <f t="shared" ca="1" si="3"/>
        <v>Inglaterra</v>
      </c>
      <c r="R28" s="9">
        <f t="shared" ca="1" si="12"/>
        <v>1</v>
      </c>
      <c r="S28" s="712">
        <f t="shared" ca="1" si="12"/>
        <v>4.1666666666666664E-2</v>
      </c>
      <c r="T28" s="9">
        <f t="shared" ca="1" si="12"/>
        <v>0</v>
      </c>
      <c r="U28" s="9">
        <f t="shared" ca="1" si="12"/>
        <v>5</v>
      </c>
      <c r="V28" s="712">
        <f t="shared" ca="1" si="12"/>
        <v>0.20833333333333334</v>
      </c>
      <c r="W28" s="9">
        <f t="shared" ca="1" si="12"/>
        <v>1</v>
      </c>
      <c r="X28" s="9">
        <f t="shared" ca="1" si="1"/>
        <v>0</v>
      </c>
      <c r="AA28" s="9">
        <v>26</v>
      </c>
      <c r="AB28" s="9" t="str">
        <f ca="1">Idiomas!D237</f>
        <v>Irán</v>
      </c>
      <c r="AC28" s="9">
        <f>+INDEX(Credits!$Y$87:$Y$91,MATCH(Credits!$N$87,Credits!$U$87:$U$91,0))</f>
        <v>3.5</v>
      </c>
      <c r="AD28" s="712">
        <f t="shared" si="4"/>
        <v>0.14583333333333334</v>
      </c>
      <c r="AE28" s="9">
        <v>0</v>
      </c>
      <c r="AF28" s="9">
        <f t="shared" ca="1" si="5"/>
        <v>7.5</v>
      </c>
      <c r="AG28" s="712">
        <f t="shared" ca="1" si="6"/>
        <v>0.3125</v>
      </c>
      <c r="AH28" s="9">
        <f t="shared" ca="1" si="7"/>
        <v>1</v>
      </c>
      <c r="AI28" s="9">
        <f t="shared" ca="1" si="8"/>
        <v>28</v>
      </c>
    </row>
    <row r="29" spans="1:35">
      <c r="A29" s="704">
        <v>46187</v>
      </c>
      <c r="C29" s="704">
        <f t="shared" ca="1" si="13"/>
        <v>46187</v>
      </c>
      <c r="D29" s="704"/>
      <c r="E29" s="704"/>
      <c r="P29" s="9">
        <v>27</v>
      </c>
      <c r="Q29" s="9" t="str">
        <f t="shared" ca="1" si="3"/>
        <v>Irak</v>
      </c>
      <c r="R29" s="9">
        <f t="shared" ca="1" si="12"/>
        <v>3</v>
      </c>
      <c r="S29" s="712">
        <f t="shared" ca="1" si="12"/>
        <v>0.125</v>
      </c>
      <c r="T29" s="9">
        <f t="shared" ca="1" si="12"/>
        <v>0</v>
      </c>
      <c r="U29" s="9">
        <f t="shared" ca="1" si="12"/>
        <v>7</v>
      </c>
      <c r="V29" s="712">
        <f t="shared" ca="1" si="12"/>
        <v>0.29166666666666669</v>
      </c>
      <c r="W29" s="9">
        <f t="shared" ca="1" si="12"/>
        <v>1</v>
      </c>
      <c r="X29" s="9">
        <f t="shared" ca="1" si="1"/>
        <v>0</v>
      </c>
      <c r="AA29" s="9">
        <v>27</v>
      </c>
      <c r="AB29" s="9" t="str">
        <f ca="1">Idiomas!D238</f>
        <v>Japón</v>
      </c>
      <c r="AC29" s="9">
        <v>9</v>
      </c>
      <c r="AD29" s="712">
        <f t="shared" si="4"/>
        <v>0.375</v>
      </c>
      <c r="AE29" s="9">
        <v>0</v>
      </c>
      <c r="AF29" s="9">
        <f t="shared" ca="1" si="5"/>
        <v>13</v>
      </c>
      <c r="AG29" s="712">
        <f t="shared" ca="1" si="6"/>
        <v>0.54166666666666663</v>
      </c>
      <c r="AH29" s="9">
        <f t="shared" ca="1" si="7"/>
        <v>1</v>
      </c>
      <c r="AI29" s="9">
        <f t="shared" ca="1" si="8"/>
        <v>29</v>
      </c>
    </row>
    <row r="30" spans="1:35">
      <c r="A30" s="704">
        <v>46192.625</v>
      </c>
      <c r="C30" s="704">
        <f ca="1">A30+INDEX($V$3:$V$86,MATCH($C$3,$P$3:$P$86,0))*INDEX($W$3:$W$86,MATCH($C$3,$P$3:$P$86,0))</f>
        <v>46192.625</v>
      </c>
      <c r="D30" s="704"/>
      <c r="E30" s="704"/>
      <c r="P30" s="9">
        <v>28</v>
      </c>
      <c r="Q30" s="9" t="str">
        <f t="shared" ca="1" si="3"/>
        <v>Irán</v>
      </c>
      <c r="R30" s="9">
        <f t="shared" ca="1" si="12"/>
        <v>3.5</v>
      </c>
      <c r="S30" s="712">
        <f t="shared" ca="1" si="12"/>
        <v>0.14583333333333334</v>
      </c>
      <c r="T30" s="9">
        <f t="shared" ca="1" si="12"/>
        <v>0</v>
      </c>
      <c r="U30" s="9">
        <f t="shared" ca="1" si="12"/>
        <v>7.5</v>
      </c>
      <c r="V30" s="712">
        <f t="shared" ca="1" si="12"/>
        <v>0.3125</v>
      </c>
      <c r="W30" s="9">
        <f t="shared" ca="1" si="12"/>
        <v>1</v>
      </c>
      <c r="X30" s="9">
        <f t="shared" ca="1" si="1"/>
        <v>0</v>
      </c>
      <c r="AA30" s="9">
        <v>28</v>
      </c>
      <c r="AB30" s="9" t="str">
        <f ca="1">Idiomas!D239</f>
        <v>Jordania</v>
      </c>
      <c r="AC30" s="9">
        <v>3</v>
      </c>
      <c r="AD30" s="712">
        <f t="shared" si="4"/>
        <v>0.125</v>
      </c>
      <c r="AE30" s="9">
        <v>0</v>
      </c>
      <c r="AF30" s="9">
        <f t="shared" ca="1" si="5"/>
        <v>7</v>
      </c>
      <c r="AG30" s="712">
        <f t="shared" ca="1" si="6"/>
        <v>0.29166666666666669</v>
      </c>
      <c r="AH30" s="9">
        <f t="shared" ca="1" si="7"/>
        <v>1</v>
      </c>
      <c r="AI30" s="9">
        <f t="shared" ca="1" si="8"/>
        <v>30</v>
      </c>
    </row>
    <row r="31" spans="1:35">
      <c r="A31" s="704">
        <v>46192.958333333336</v>
      </c>
      <c r="C31" s="704">
        <f ca="1">A31+INDEX($V$3:$V$86,MATCH($C$3,$P$3:$P$86,0))*INDEX($W$3:$W$86,MATCH($C$3,$P$3:$P$86,0))</f>
        <v>46192.958333333336</v>
      </c>
      <c r="D31" s="704"/>
      <c r="E31" s="704"/>
      <c r="P31" s="9">
        <v>29</v>
      </c>
      <c r="Q31" s="9" t="str">
        <f t="shared" ca="1" si="3"/>
        <v>Japón</v>
      </c>
      <c r="R31" s="9">
        <f t="shared" ca="1" si="12"/>
        <v>9</v>
      </c>
      <c r="S31" s="712">
        <f t="shared" ca="1" si="12"/>
        <v>0.375</v>
      </c>
      <c r="T31" s="9">
        <f t="shared" ca="1" si="12"/>
        <v>0</v>
      </c>
      <c r="U31" s="9">
        <f t="shared" ca="1" si="12"/>
        <v>13</v>
      </c>
      <c r="V31" s="712">
        <f t="shared" ca="1" si="12"/>
        <v>0.54166666666666663</v>
      </c>
      <c r="W31" s="9">
        <f t="shared" ca="1" si="12"/>
        <v>1</v>
      </c>
      <c r="X31" s="9">
        <f t="shared" ca="1" si="1"/>
        <v>0</v>
      </c>
      <c r="AA31" s="9">
        <v>29</v>
      </c>
      <c r="AB31" s="9" t="str">
        <f ca="1">Idiomas!D240</f>
        <v>Marruecos</v>
      </c>
      <c r="AC31" s="9">
        <v>1</v>
      </c>
      <c r="AD31" s="712">
        <f t="shared" si="4"/>
        <v>4.1666666666666664E-2</v>
      </c>
      <c r="AE31" s="9">
        <v>0</v>
      </c>
      <c r="AF31" s="9">
        <f t="shared" ca="1" si="5"/>
        <v>5</v>
      </c>
      <c r="AG31" s="712">
        <f t="shared" ca="1" si="6"/>
        <v>0.20833333333333334</v>
      </c>
      <c r="AH31" s="9">
        <f t="shared" ca="1" si="7"/>
        <v>1</v>
      </c>
      <c r="AI31" s="9">
        <f t="shared" ca="1" si="8"/>
        <v>31</v>
      </c>
    </row>
    <row r="32" spans="1:35">
      <c r="A32" s="704">
        <v>46198.916666666664</v>
      </c>
      <c r="C32" s="704">
        <f t="shared" ca="1" si="13"/>
        <v>46198.916666666664</v>
      </c>
      <c r="D32" s="704"/>
      <c r="E32" s="704"/>
      <c r="P32" s="9">
        <v>30</v>
      </c>
      <c r="Q32" s="9" t="str">
        <f t="shared" ca="1" si="3"/>
        <v>Jordania</v>
      </c>
      <c r="R32" s="9">
        <f t="shared" ca="1" si="12"/>
        <v>3</v>
      </c>
      <c r="S32" s="712">
        <f t="shared" ca="1" si="12"/>
        <v>0.125</v>
      </c>
      <c r="T32" s="9">
        <f t="shared" ca="1" si="12"/>
        <v>0</v>
      </c>
      <c r="U32" s="9">
        <f t="shared" ca="1" si="12"/>
        <v>7</v>
      </c>
      <c r="V32" s="712">
        <f t="shared" ca="1" si="12"/>
        <v>0.29166666666666669</v>
      </c>
      <c r="W32" s="9">
        <f t="shared" ca="1" si="12"/>
        <v>1</v>
      </c>
      <c r="X32" s="9">
        <f t="shared" ca="1" si="1"/>
        <v>0</v>
      </c>
      <c r="AA32" s="9">
        <v>30</v>
      </c>
      <c r="AB32" s="9" t="str">
        <f ca="1">Idiomas!D241</f>
        <v>México</v>
      </c>
      <c r="AC32" s="9">
        <v>-6</v>
      </c>
      <c r="AD32" s="712">
        <f t="shared" si="4"/>
        <v>0.25</v>
      </c>
      <c r="AE32" s="9">
        <v>0</v>
      </c>
      <c r="AF32" s="9">
        <f t="shared" ca="1" si="5"/>
        <v>-2</v>
      </c>
      <c r="AG32" s="712">
        <f t="shared" ca="1" si="6"/>
        <v>8.3333333333333329E-2</v>
      </c>
      <c r="AH32" s="9">
        <f t="shared" ca="1" si="7"/>
        <v>-1</v>
      </c>
      <c r="AI32" s="9">
        <f t="shared" ca="1" si="8"/>
        <v>32</v>
      </c>
    </row>
    <row r="33" spans="1:35">
      <c r="A33" s="704">
        <v>46198.916666666664</v>
      </c>
      <c r="C33" s="704">
        <f t="shared" ca="1" si="13"/>
        <v>46198.916666666664</v>
      </c>
      <c r="D33" s="704"/>
      <c r="E33" s="704"/>
      <c r="P33" s="9">
        <v>31</v>
      </c>
      <c r="Q33" s="9" t="str">
        <f t="shared" ca="1" si="3"/>
        <v>Marruecos</v>
      </c>
      <c r="R33" s="9">
        <f t="shared" ref="R33:W48" ca="1" si="14">+INDEX($AC$3:$AH$86,MATCH($Q33,$AB$3:$AB$86,0),MATCH(R$2,$AC$2:$AH$2,0))</f>
        <v>1</v>
      </c>
      <c r="S33" s="712">
        <f t="shared" ca="1" si="14"/>
        <v>4.1666666666666664E-2</v>
      </c>
      <c r="T33" s="9">
        <f t="shared" ca="1" si="14"/>
        <v>0</v>
      </c>
      <c r="U33" s="9">
        <f t="shared" ca="1" si="14"/>
        <v>5</v>
      </c>
      <c r="V33" s="712">
        <f t="shared" ca="1" si="14"/>
        <v>0.20833333333333334</v>
      </c>
      <c r="W33" s="9">
        <f t="shared" ca="1" si="14"/>
        <v>1</v>
      </c>
      <c r="X33" s="9">
        <f t="shared" ca="1" si="1"/>
        <v>0</v>
      </c>
      <c r="AA33" s="9">
        <v>31</v>
      </c>
      <c r="AB33" s="9" t="str">
        <f ca="1">Idiomas!D242</f>
        <v>Noruega</v>
      </c>
      <c r="AC33" s="9">
        <v>2</v>
      </c>
      <c r="AD33" s="712">
        <f t="shared" si="4"/>
        <v>8.3333333333333329E-2</v>
      </c>
      <c r="AE33" s="9">
        <v>0</v>
      </c>
      <c r="AF33" s="9">
        <f t="shared" ca="1" si="5"/>
        <v>6</v>
      </c>
      <c r="AG33" s="712">
        <f t="shared" ca="1" si="6"/>
        <v>0.25</v>
      </c>
      <c r="AH33" s="9">
        <f t="shared" ca="1" si="7"/>
        <v>1</v>
      </c>
      <c r="AI33" s="9">
        <f t="shared" ca="1" si="8"/>
        <v>33</v>
      </c>
    </row>
    <row r="34" spans="1:35">
      <c r="C34" s="704"/>
      <c r="E34" s="704"/>
      <c r="P34" s="9">
        <v>32</v>
      </c>
      <c r="Q34" s="9" t="str">
        <f t="shared" ca="1" si="3"/>
        <v>México</v>
      </c>
      <c r="R34" s="9">
        <f t="shared" ca="1" si="14"/>
        <v>-6</v>
      </c>
      <c r="S34" s="712">
        <f t="shared" ca="1" si="14"/>
        <v>0.25</v>
      </c>
      <c r="T34" s="9">
        <f t="shared" ca="1" si="14"/>
        <v>0</v>
      </c>
      <c r="U34" s="9">
        <f t="shared" ca="1" si="14"/>
        <v>-2</v>
      </c>
      <c r="V34" s="712">
        <f t="shared" ca="1" si="14"/>
        <v>8.3333333333333329E-2</v>
      </c>
      <c r="W34" s="9">
        <f t="shared" ca="1" si="14"/>
        <v>-1</v>
      </c>
      <c r="X34" s="9">
        <f t="shared" ca="1" si="1"/>
        <v>0</v>
      </c>
      <c r="AA34" s="9">
        <v>32</v>
      </c>
      <c r="AB34" s="9" t="str">
        <f ca="1">Idiomas!D243</f>
        <v>Nueva Zelanda</v>
      </c>
      <c r="AC34" s="9">
        <v>12</v>
      </c>
      <c r="AD34" s="712">
        <f t="shared" si="4"/>
        <v>0.5</v>
      </c>
      <c r="AE34" s="9">
        <v>0</v>
      </c>
      <c r="AF34" s="9">
        <f t="shared" ca="1" si="5"/>
        <v>16</v>
      </c>
      <c r="AG34" s="712">
        <f t="shared" ca="1" si="6"/>
        <v>0.66666666666666663</v>
      </c>
      <c r="AH34" s="9">
        <f t="shared" ca="1" si="7"/>
        <v>1</v>
      </c>
      <c r="AI34" s="9">
        <f t="shared" ca="1" si="8"/>
        <v>34</v>
      </c>
    </row>
    <row r="35" spans="1:35">
      <c r="A35" s="5" t="s">
        <v>82</v>
      </c>
      <c r="C35" s="704"/>
      <c r="E35" s="704"/>
      <c r="P35" s="9">
        <v>33</v>
      </c>
      <c r="Q35" s="9" t="str">
        <f t="shared" ca="1" si="3"/>
        <v>Noruega</v>
      </c>
      <c r="R35" s="9">
        <f t="shared" ca="1" si="14"/>
        <v>2</v>
      </c>
      <c r="S35" s="712">
        <f t="shared" ca="1" si="14"/>
        <v>8.3333333333333329E-2</v>
      </c>
      <c r="T35" s="9">
        <f t="shared" ca="1" si="14"/>
        <v>0</v>
      </c>
      <c r="U35" s="9">
        <f t="shared" ca="1" si="14"/>
        <v>6</v>
      </c>
      <c r="V35" s="712">
        <f t="shared" ca="1" si="14"/>
        <v>0.25</v>
      </c>
      <c r="W35" s="9">
        <f t="shared" ca="1" si="14"/>
        <v>1</v>
      </c>
      <c r="X35" s="9">
        <f t="shared" ca="1" si="1"/>
        <v>0</v>
      </c>
      <c r="AA35" s="9">
        <v>33</v>
      </c>
      <c r="AB35" s="9" t="str">
        <f ca="1">Idiomas!D244</f>
        <v>Países Bajos</v>
      </c>
      <c r="AC35" s="9">
        <v>2</v>
      </c>
      <c r="AD35" s="712">
        <f t="shared" si="4"/>
        <v>8.3333333333333329E-2</v>
      </c>
      <c r="AE35" s="9">
        <v>0</v>
      </c>
      <c r="AF35" s="9">
        <f t="shared" ca="1" si="5"/>
        <v>6</v>
      </c>
      <c r="AG35" s="712">
        <f t="shared" ca="1" si="6"/>
        <v>0.25</v>
      </c>
      <c r="AH35" s="9">
        <f t="shared" ca="1" si="7"/>
        <v>1</v>
      </c>
      <c r="AI35" s="9">
        <f t="shared" ca="1" si="8"/>
        <v>35</v>
      </c>
    </row>
    <row r="36" spans="1:35">
      <c r="A36" s="704">
        <v>46187.541666666664</v>
      </c>
      <c r="C36" s="704">
        <f t="shared" ref="C36:C41" ca="1" si="15">A36+INDEX($V$3:$V$86,MATCH($C$3,$P$3:$P$86,0))*INDEX($W$3:$W$86,MATCH($C$3,$P$3:$P$86,0))</f>
        <v>46187.541666666664</v>
      </c>
      <c r="D36" s="704"/>
      <c r="E36" s="704"/>
      <c r="P36" s="9">
        <v>34</v>
      </c>
      <c r="Q36" s="9" t="str">
        <f t="shared" ca="1" si="3"/>
        <v>Nueva Zelanda</v>
      </c>
      <c r="R36" s="9">
        <f t="shared" ca="1" si="14"/>
        <v>12</v>
      </c>
      <c r="S36" s="712">
        <f t="shared" ca="1" si="14"/>
        <v>0.5</v>
      </c>
      <c r="T36" s="9">
        <f t="shared" ca="1" si="14"/>
        <v>0</v>
      </c>
      <c r="U36" s="9">
        <f t="shared" ca="1" si="14"/>
        <v>16</v>
      </c>
      <c r="V36" s="712">
        <f t="shared" ca="1" si="14"/>
        <v>0.66666666666666663</v>
      </c>
      <c r="W36" s="9">
        <f t="shared" ca="1" si="14"/>
        <v>1</v>
      </c>
      <c r="X36" s="9">
        <f t="shared" ca="1" si="1"/>
        <v>0</v>
      </c>
      <c r="AA36" s="9">
        <v>34</v>
      </c>
      <c r="AB36" s="9" t="str">
        <f ca="1">Idiomas!D245</f>
        <v>Panamá</v>
      </c>
      <c r="AC36" s="9">
        <v>-5</v>
      </c>
      <c r="AD36" s="712">
        <f t="shared" si="4"/>
        <v>0.20833333333333334</v>
      </c>
      <c r="AE36" s="9">
        <v>0</v>
      </c>
      <c r="AF36" s="9">
        <f t="shared" ca="1" si="5"/>
        <v>-1</v>
      </c>
      <c r="AG36" s="712">
        <f t="shared" ca="1" si="6"/>
        <v>4.1666666666666664E-2</v>
      </c>
      <c r="AH36" s="9">
        <f t="shared" ca="1" si="7"/>
        <v>-1</v>
      </c>
      <c r="AI36" s="9">
        <f t="shared" ca="1" si="8"/>
        <v>36</v>
      </c>
    </row>
    <row r="37" spans="1:35">
      <c r="A37" s="704">
        <v>46187.791666666664</v>
      </c>
      <c r="C37" s="704">
        <f t="shared" ca="1" si="15"/>
        <v>46187.791666666664</v>
      </c>
      <c r="D37" s="704"/>
      <c r="E37" s="704"/>
      <c r="P37" s="9">
        <v>35</v>
      </c>
      <c r="Q37" s="9" t="str">
        <f t="shared" ca="1" si="3"/>
        <v>Países Bajos</v>
      </c>
      <c r="R37" s="9">
        <f t="shared" ca="1" si="14"/>
        <v>2</v>
      </c>
      <c r="S37" s="712">
        <f t="shared" ca="1" si="14"/>
        <v>8.3333333333333329E-2</v>
      </c>
      <c r="T37" s="9">
        <f t="shared" ca="1" si="14"/>
        <v>0</v>
      </c>
      <c r="U37" s="9">
        <f t="shared" ca="1" si="14"/>
        <v>6</v>
      </c>
      <c r="V37" s="712">
        <f t="shared" ca="1" si="14"/>
        <v>0.25</v>
      </c>
      <c r="W37" s="9">
        <f t="shared" ca="1" si="14"/>
        <v>1</v>
      </c>
      <c r="X37" s="9">
        <f t="shared" ca="1" si="1"/>
        <v>0</v>
      </c>
      <c r="AA37" s="9">
        <v>35</v>
      </c>
      <c r="AB37" s="9" t="str">
        <f ca="1">Idiomas!D246</f>
        <v>Paraguay</v>
      </c>
      <c r="AC37" s="9">
        <v>-4</v>
      </c>
      <c r="AD37" s="712">
        <f t="shared" si="4"/>
        <v>0.16666666666666666</v>
      </c>
      <c r="AE37" s="9">
        <v>0</v>
      </c>
      <c r="AF37" s="9">
        <f t="shared" ca="1" si="5"/>
        <v>0</v>
      </c>
      <c r="AG37" s="712">
        <f t="shared" ca="1" si="6"/>
        <v>0</v>
      </c>
      <c r="AH37" s="9">
        <f t="shared" ca="1" si="7"/>
        <v>0</v>
      </c>
      <c r="AI37" s="9">
        <f t="shared" ca="1" si="8"/>
        <v>37</v>
      </c>
    </row>
    <row r="38" spans="1:35">
      <c r="A38" s="704">
        <v>46193.666666666664</v>
      </c>
      <c r="C38" s="704">
        <f t="shared" ca="1" si="15"/>
        <v>46193.666666666664</v>
      </c>
      <c r="D38" s="704"/>
      <c r="E38" s="704"/>
      <c r="P38" s="9">
        <v>36</v>
      </c>
      <c r="Q38" s="9" t="str">
        <f t="shared" ca="1" si="3"/>
        <v>Panamá</v>
      </c>
      <c r="R38" s="9">
        <f t="shared" ca="1" si="14"/>
        <v>-5</v>
      </c>
      <c r="S38" s="712">
        <f t="shared" ca="1" si="14"/>
        <v>0.20833333333333334</v>
      </c>
      <c r="T38" s="9">
        <f t="shared" ca="1" si="14"/>
        <v>0</v>
      </c>
      <c r="U38" s="9">
        <f t="shared" ca="1" si="14"/>
        <v>-1</v>
      </c>
      <c r="V38" s="712">
        <f t="shared" ca="1" si="14"/>
        <v>4.1666666666666664E-2</v>
      </c>
      <c r="W38" s="9">
        <f t="shared" ca="1" si="14"/>
        <v>-1</v>
      </c>
      <c r="X38" s="9">
        <f t="shared" ca="1" si="1"/>
        <v>0</v>
      </c>
      <c r="AA38" s="9">
        <v>36</v>
      </c>
      <c r="AB38" s="9" t="str">
        <f ca="1">Idiomas!D247</f>
        <v>Portugal</v>
      </c>
      <c r="AC38" s="9">
        <v>1</v>
      </c>
      <c r="AD38" s="712">
        <f t="shared" si="4"/>
        <v>4.1666666666666664E-2</v>
      </c>
      <c r="AE38" s="9">
        <v>0</v>
      </c>
      <c r="AF38" s="9">
        <f t="shared" ca="1" si="5"/>
        <v>5</v>
      </c>
      <c r="AG38" s="712">
        <f t="shared" ca="1" si="6"/>
        <v>0.20833333333333334</v>
      </c>
      <c r="AH38" s="9">
        <f t="shared" ca="1" si="7"/>
        <v>1</v>
      </c>
      <c r="AI38" s="9">
        <f t="shared" ca="1" si="8"/>
        <v>38</v>
      </c>
    </row>
    <row r="39" spans="1:35">
      <c r="A39" s="704">
        <v>46193.833333333336</v>
      </c>
      <c r="C39" s="704">
        <f t="shared" ca="1" si="15"/>
        <v>46193.833333333336</v>
      </c>
      <c r="D39" s="704"/>
      <c r="E39" s="704"/>
      <c r="P39" s="9">
        <v>37</v>
      </c>
      <c r="Q39" s="9" t="str">
        <f t="shared" ca="1" si="3"/>
        <v>Paraguay</v>
      </c>
      <c r="R39" s="9">
        <f t="shared" ca="1" si="14"/>
        <v>-4</v>
      </c>
      <c r="S39" s="712">
        <f t="shared" ca="1" si="14"/>
        <v>0.16666666666666666</v>
      </c>
      <c r="T39" s="9">
        <f t="shared" ca="1" si="14"/>
        <v>0</v>
      </c>
      <c r="U39" s="9">
        <f t="shared" ca="1" si="14"/>
        <v>0</v>
      </c>
      <c r="V39" s="712">
        <f t="shared" ca="1" si="14"/>
        <v>0</v>
      </c>
      <c r="W39" s="9">
        <f t="shared" ca="1" si="14"/>
        <v>0</v>
      </c>
      <c r="X39" s="9">
        <f t="shared" ca="1" si="1"/>
        <v>0</v>
      </c>
      <c r="AA39" s="9">
        <v>37</v>
      </c>
      <c r="AB39" s="9" t="str">
        <f ca="1">Idiomas!D248</f>
        <v>Senegal</v>
      </c>
      <c r="AC39" s="9">
        <v>0</v>
      </c>
      <c r="AD39" s="712">
        <f t="shared" si="4"/>
        <v>0</v>
      </c>
      <c r="AE39" s="9">
        <v>0</v>
      </c>
      <c r="AF39" s="9">
        <f t="shared" ca="1" si="5"/>
        <v>4</v>
      </c>
      <c r="AG39" s="712">
        <f t="shared" ca="1" si="6"/>
        <v>0.16666666666666666</v>
      </c>
      <c r="AH39" s="9">
        <f t="shared" ca="1" si="7"/>
        <v>1</v>
      </c>
      <c r="AI39" s="9">
        <f t="shared" ca="1" si="8"/>
        <v>41</v>
      </c>
    </row>
    <row r="40" spans="1:35">
      <c r="A40" s="704">
        <v>46198.666666666664</v>
      </c>
      <c r="C40" s="704">
        <f t="shared" ca="1" si="15"/>
        <v>46198.666666666664</v>
      </c>
      <c r="D40" s="704"/>
      <c r="E40" s="704"/>
      <c r="P40" s="9">
        <v>38</v>
      </c>
      <c r="Q40" s="9" t="str">
        <f t="shared" ca="1" si="3"/>
        <v>Portugal</v>
      </c>
      <c r="R40" s="9">
        <f t="shared" ca="1" si="14"/>
        <v>1</v>
      </c>
      <c r="S40" s="712">
        <f t="shared" ca="1" si="14"/>
        <v>4.1666666666666664E-2</v>
      </c>
      <c r="T40" s="9">
        <f t="shared" ca="1" si="14"/>
        <v>0</v>
      </c>
      <c r="U40" s="9">
        <f t="shared" ca="1" si="14"/>
        <v>5</v>
      </c>
      <c r="V40" s="712">
        <f t="shared" ca="1" si="14"/>
        <v>0.20833333333333334</v>
      </c>
      <c r="W40" s="9">
        <f t="shared" ca="1" si="14"/>
        <v>1</v>
      </c>
      <c r="X40" s="9">
        <f t="shared" ca="1" si="1"/>
        <v>0</v>
      </c>
      <c r="AA40" s="9">
        <v>38</v>
      </c>
      <c r="AB40" s="9" t="str">
        <f ca="1">Idiomas!D249</f>
        <v>Sudáfrica</v>
      </c>
      <c r="AC40" s="9">
        <v>2</v>
      </c>
      <c r="AD40" s="712">
        <f t="shared" si="4"/>
        <v>8.3333333333333329E-2</v>
      </c>
      <c r="AE40" s="9">
        <v>0</v>
      </c>
      <c r="AF40" s="9">
        <f t="shared" ca="1" si="5"/>
        <v>6</v>
      </c>
      <c r="AG40" s="712">
        <f t="shared" ca="1" si="6"/>
        <v>0.25</v>
      </c>
      <c r="AH40" s="9">
        <f t="shared" ca="1" si="7"/>
        <v>1</v>
      </c>
      <c r="AI40" s="9">
        <f t="shared" ca="1" si="8"/>
        <v>42</v>
      </c>
    </row>
    <row r="41" spans="1:35">
      <c r="A41" s="704">
        <v>46198.666666666664</v>
      </c>
      <c r="C41" s="704">
        <f t="shared" ca="1" si="15"/>
        <v>46198.666666666664</v>
      </c>
      <c r="D41" s="704"/>
      <c r="E41" s="704"/>
      <c r="P41" s="9">
        <v>39</v>
      </c>
      <c r="Q41" s="9" t="str">
        <f t="shared" ca="1" si="3"/>
        <v>RD Congo</v>
      </c>
      <c r="R41" s="9">
        <f t="shared" ca="1" si="14"/>
        <v>1</v>
      </c>
      <c r="S41" s="712">
        <f t="shared" ca="1" si="14"/>
        <v>4.1666666666666664E-2</v>
      </c>
      <c r="T41" s="9">
        <f t="shared" ca="1" si="14"/>
        <v>0</v>
      </c>
      <c r="U41" s="9">
        <f t="shared" ca="1" si="14"/>
        <v>5</v>
      </c>
      <c r="V41" s="712">
        <f t="shared" ca="1" si="14"/>
        <v>0.20833333333333334</v>
      </c>
      <c r="W41" s="9">
        <f t="shared" ca="1" si="14"/>
        <v>1</v>
      </c>
      <c r="X41" s="9">
        <f t="shared" ca="1" si="1"/>
        <v>0</v>
      </c>
      <c r="AA41" s="9">
        <v>39</v>
      </c>
      <c r="AB41" s="9" t="str">
        <f ca="1">Idiomas!D250</f>
        <v>Suiza</v>
      </c>
      <c r="AC41" s="9">
        <v>2</v>
      </c>
      <c r="AD41" s="712">
        <f t="shared" si="4"/>
        <v>8.3333333333333329E-2</v>
      </c>
      <c r="AE41" s="9">
        <v>0</v>
      </c>
      <c r="AF41" s="9">
        <f t="shared" ca="1" si="5"/>
        <v>6</v>
      </c>
      <c r="AG41" s="712">
        <f t="shared" ca="1" si="6"/>
        <v>0.25</v>
      </c>
      <c r="AH41" s="9">
        <f t="shared" ca="1" si="7"/>
        <v>1</v>
      </c>
      <c r="AI41" s="9">
        <f t="shared" ca="1" si="8"/>
        <v>44</v>
      </c>
    </row>
    <row r="42" spans="1:35">
      <c r="C42" s="704"/>
      <c r="E42" s="704"/>
      <c r="P42" s="9">
        <v>40</v>
      </c>
      <c r="Q42" s="9" t="str">
        <f t="shared" ca="1" si="3"/>
        <v>República Checa</v>
      </c>
      <c r="R42" s="9">
        <f t="shared" ca="1" si="14"/>
        <v>2</v>
      </c>
      <c r="S42" s="712">
        <f t="shared" ca="1" si="14"/>
        <v>8.3333333333333329E-2</v>
      </c>
      <c r="T42" s="9">
        <f t="shared" ca="1" si="14"/>
        <v>0</v>
      </c>
      <c r="U42" s="9">
        <f t="shared" ca="1" si="14"/>
        <v>6</v>
      </c>
      <c r="V42" s="712">
        <f t="shared" ca="1" si="14"/>
        <v>0.25</v>
      </c>
      <c r="W42" s="9">
        <f t="shared" ca="1" si="14"/>
        <v>1</v>
      </c>
      <c r="X42" s="9">
        <f t="shared" ca="1" si="1"/>
        <v>0</v>
      </c>
      <c r="AA42" s="9">
        <v>40</v>
      </c>
      <c r="AB42" s="9" t="str">
        <f ca="1">Idiomas!D251</f>
        <v>Túnez</v>
      </c>
      <c r="AC42" s="9">
        <v>1</v>
      </c>
      <c r="AD42" s="712">
        <f t="shared" si="4"/>
        <v>4.1666666666666664E-2</v>
      </c>
      <c r="AE42" s="9">
        <v>0</v>
      </c>
      <c r="AF42" s="9">
        <f t="shared" ca="1" si="5"/>
        <v>5</v>
      </c>
      <c r="AG42" s="712">
        <f t="shared" ca="1" si="6"/>
        <v>0.20833333333333334</v>
      </c>
      <c r="AH42" s="9">
        <f t="shared" ca="1" si="7"/>
        <v>1</v>
      </c>
      <c r="AI42" s="9">
        <f t="shared" ca="1" si="8"/>
        <v>45</v>
      </c>
    </row>
    <row r="43" spans="1:35">
      <c r="A43" s="5" t="s">
        <v>8</v>
      </c>
      <c r="C43" s="704"/>
      <c r="E43" s="704"/>
      <c r="P43" s="9">
        <v>41</v>
      </c>
      <c r="Q43" s="9" t="str">
        <f t="shared" ca="1" si="3"/>
        <v>Senegal</v>
      </c>
      <c r="R43" s="9">
        <f t="shared" ref="R43:W58" ca="1" si="16">+INDEX($AC$3:$AH$86,MATCH($Q43,$AB$3:$AB$86,0),MATCH(R$2,$AC$2:$AH$2,0))</f>
        <v>0</v>
      </c>
      <c r="S43" s="712">
        <f t="shared" ca="1" si="16"/>
        <v>0</v>
      </c>
      <c r="T43" s="9">
        <f t="shared" ca="1" si="16"/>
        <v>0</v>
      </c>
      <c r="U43" s="9">
        <f t="shared" ca="1" si="16"/>
        <v>4</v>
      </c>
      <c r="V43" s="712">
        <f t="shared" ca="1" si="14"/>
        <v>0.16666666666666666</v>
      </c>
      <c r="W43" s="9">
        <f t="shared" ca="1" si="16"/>
        <v>1</v>
      </c>
      <c r="X43" s="9">
        <f t="shared" ca="1" si="1"/>
        <v>0</v>
      </c>
      <c r="AA43" s="9">
        <v>41</v>
      </c>
      <c r="AB43" s="9" t="str">
        <f ca="1">Idiomas!D252</f>
        <v>Uruguay</v>
      </c>
      <c r="AC43" s="9">
        <v>-3</v>
      </c>
      <c r="AD43" s="712">
        <f t="shared" si="4"/>
        <v>0.125</v>
      </c>
      <c r="AE43" s="9">
        <v>0</v>
      </c>
      <c r="AF43" s="9">
        <f t="shared" ca="1" si="5"/>
        <v>1</v>
      </c>
      <c r="AG43" s="712">
        <f t="shared" ca="1" si="6"/>
        <v>4.1666666666666664E-2</v>
      </c>
      <c r="AH43" s="9">
        <f t="shared" ca="1" si="7"/>
        <v>1</v>
      </c>
      <c r="AI43" s="9">
        <f t="shared" ca="1" si="8"/>
        <v>47</v>
      </c>
    </row>
    <row r="44" spans="1:35">
      <c r="A44" s="704">
        <v>46187.666666666664</v>
      </c>
      <c r="C44" s="704">
        <f t="shared" ref="C44:C49" ca="1" si="17">A44+INDEX($V$3:$V$86,MATCH($C$3,$P$3:$P$86,0))*INDEX($W$3:$W$86,MATCH($C$3,$P$3:$P$86,0))</f>
        <v>46187.666666666664</v>
      </c>
      <c r="D44" s="704"/>
      <c r="E44" s="704"/>
      <c r="P44" s="9">
        <v>42</v>
      </c>
      <c r="Q44" s="9" t="str">
        <f t="shared" ca="1" si="3"/>
        <v>Sudáfrica</v>
      </c>
      <c r="R44" s="9">
        <f t="shared" ca="1" si="16"/>
        <v>2</v>
      </c>
      <c r="S44" s="712">
        <f t="shared" ca="1" si="16"/>
        <v>8.3333333333333329E-2</v>
      </c>
      <c r="T44" s="9">
        <f t="shared" ca="1" si="16"/>
        <v>0</v>
      </c>
      <c r="U44" s="9">
        <f t="shared" ca="1" si="16"/>
        <v>6</v>
      </c>
      <c r="V44" s="712">
        <f t="shared" ca="1" si="14"/>
        <v>0.25</v>
      </c>
      <c r="W44" s="9">
        <f t="shared" ca="1" si="16"/>
        <v>1</v>
      </c>
      <c r="X44" s="9">
        <f t="shared" ca="1" si="1"/>
        <v>0</v>
      </c>
      <c r="AA44" s="9">
        <v>42</v>
      </c>
      <c r="AB44" s="9" t="str">
        <f ca="1">Idiomas!D253</f>
        <v>Uzbekistán</v>
      </c>
      <c r="AC44" s="9">
        <v>5</v>
      </c>
      <c r="AD44" s="712">
        <f t="shared" si="4"/>
        <v>0.20833333333333334</v>
      </c>
      <c r="AE44" s="9">
        <v>0</v>
      </c>
      <c r="AF44" s="9">
        <f t="shared" ca="1" si="5"/>
        <v>9</v>
      </c>
      <c r="AG44" s="712">
        <f t="shared" ca="1" si="6"/>
        <v>0.375</v>
      </c>
      <c r="AH44" s="9">
        <f t="shared" ca="1" si="7"/>
        <v>1</v>
      </c>
      <c r="AI44" s="9">
        <f t="shared" ca="1" si="8"/>
        <v>48</v>
      </c>
    </row>
    <row r="45" spans="1:35">
      <c r="A45" s="704">
        <v>46187.916666666664</v>
      </c>
      <c r="C45" s="704">
        <f t="shared" ca="1" si="17"/>
        <v>46187.916666666664</v>
      </c>
      <c r="D45" s="704"/>
      <c r="E45" s="704"/>
      <c r="P45" s="9">
        <v>43</v>
      </c>
      <c r="Q45" s="9" t="str">
        <f t="shared" ca="1" si="3"/>
        <v>Suecia</v>
      </c>
      <c r="R45" s="9">
        <f t="shared" ca="1" si="16"/>
        <v>2</v>
      </c>
      <c r="S45" s="712">
        <f t="shared" ca="1" si="16"/>
        <v>8.3333333333333329E-2</v>
      </c>
      <c r="T45" s="9">
        <f t="shared" ca="1" si="16"/>
        <v>0</v>
      </c>
      <c r="U45" s="9">
        <f t="shared" ca="1" si="16"/>
        <v>6</v>
      </c>
      <c r="V45" s="712">
        <f t="shared" ca="1" si="14"/>
        <v>0.25</v>
      </c>
      <c r="W45" s="9">
        <f t="shared" ca="1" si="16"/>
        <v>1</v>
      </c>
      <c r="X45" s="9">
        <f t="shared" ca="1" si="1"/>
        <v>0</v>
      </c>
      <c r="AA45" s="9">
        <v>43</v>
      </c>
      <c r="AB45" s="9" t="str">
        <f ca="1">Idiomas!D254</f>
        <v>RD Congo</v>
      </c>
      <c r="AC45" s="9">
        <v>1</v>
      </c>
      <c r="AD45" s="712">
        <f t="shared" si="4"/>
        <v>4.1666666666666664E-2</v>
      </c>
      <c r="AE45" s="9">
        <v>0</v>
      </c>
      <c r="AF45" s="9">
        <f t="shared" ca="1" si="5"/>
        <v>5</v>
      </c>
      <c r="AG45" s="712">
        <f t="shared" ca="1" si="6"/>
        <v>0.20833333333333334</v>
      </c>
      <c r="AH45" s="9">
        <f t="shared" ca="1" si="7"/>
        <v>1</v>
      </c>
      <c r="AI45" s="9">
        <f t="shared" ca="1" si="8"/>
        <v>39</v>
      </c>
    </row>
    <row r="46" spans="1:35">
      <c r="A46" s="704">
        <v>46193.541666666664</v>
      </c>
      <c r="C46" s="704">
        <f t="shared" ca="1" si="17"/>
        <v>46193.541666666664</v>
      </c>
      <c r="D46" s="704"/>
      <c r="E46" s="704"/>
      <c r="P46" s="9">
        <v>44</v>
      </c>
      <c r="Q46" s="9" t="str">
        <f t="shared" ca="1" si="3"/>
        <v>Suiza</v>
      </c>
      <c r="R46" s="9">
        <f t="shared" ca="1" si="16"/>
        <v>2</v>
      </c>
      <c r="S46" s="712">
        <f t="shared" ca="1" si="16"/>
        <v>8.3333333333333329E-2</v>
      </c>
      <c r="T46" s="9">
        <f t="shared" ca="1" si="16"/>
        <v>0</v>
      </c>
      <c r="U46" s="9">
        <f t="shared" ca="1" si="16"/>
        <v>6</v>
      </c>
      <c r="V46" s="712">
        <f t="shared" ca="1" si="14"/>
        <v>0.25</v>
      </c>
      <c r="W46" s="9">
        <f t="shared" ca="1" si="16"/>
        <v>1</v>
      </c>
      <c r="X46" s="9">
        <f t="shared" ca="1" si="1"/>
        <v>0</v>
      </c>
      <c r="AA46" s="9">
        <v>44</v>
      </c>
      <c r="AB46" s="9" t="str">
        <f ca="1">Idiomas!D255</f>
        <v>Irak</v>
      </c>
      <c r="AC46" s="9">
        <v>3</v>
      </c>
      <c r="AD46" s="712">
        <f t="shared" si="4"/>
        <v>0.125</v>
      </c>
      <c r="AE46" s="9">
        <v>0</v>
      </c>
      <c r="AF46" s="9">
        <f t="shared" ca="1" si="5"/>
        <v>7</v>
      </c>
      <c r="AG46" s="712">
        <f t="shared" ca="1" si="6"/>
        <v>0.29166666666666669</v>
      </c>
      <c r="AH46" s="9">
        <f t="shared" ca="1" si="7"/>
        <v>1</v>
      </c>
      <c r="AI46" s="9">
        <f t="shared" ca="1" si="8"/>
        <v>27</v>
      </c>
    </row>
    <row r="47" spans="1:35">
      <c r="A47" s="704">
        <v>46194</v>
      </c>
      <c r="C47" s="704">
        <f t="shared" ca="1" si="17"/>
        <v>46194</v>
      </c>
      <c r="D47" s="704"/>
      <c r="E47" s="704"/>
      <c r="P47" s="9">
        <v>45</v>
      </c>
      <c r="Q47" s="9" t="str">
        <f t="shared" ca="1" si="3"/>
        <v>Túnez</v>
      </c>
      <c r="R47" s="9">
        <f t="shared" ca="1" si="16"/>
        <v>1</v>
      </c>
      <c r="S47" s="712">
        <f t="shared" ca="1" si="16"/>
        <v>4.1666666666666664E-2</v>
      </c>
      <c r="T47" s="9">
        <f t="shared" ca="1" si="16"/>
        <v>0</v>
      </c>
      <c r="U47" s="9">
        <f t="shared" ca="1" si="16"/>
        <v>5</v>
      </c>
      <c r="V47" s="712">
        <f t="shared" ca="1" si="14"/>
        <v>0.20833333333333334</v>
      </c>
      <c r="W47" s="9">
        <f t="shared" ca="1" si="16"/>
        <v>1</v>
      </c>
      <c r="X47" s="9">
        <f t="shared" ca="1" si="1"/>
        <v>0</v>
      </c>
      <c r="AA47" s="9">
        <v>45</v>
      </c>
      <c r="AB47" s="9" t="str">
        <f ca="1">Idiomas!D256</f>
        <v>Bosnia y Herzegovina</v>
      </c>
      <c r="AC47" s="9">
        <v>2</v>
      </c>
      <c r="AD47" s="712">
        <f t="shared" si="4"/>
        <v>8.3333333333333329E-2</v>
      </c>
      <c r="AE47" s="9">
        <v>0</v>
      </c>
      <c r="AF47" s="9">
        <f t="shared" ca="1" si="5"/>
        <v>6</v>
      </c>
      <c r="AG47" s="712">
        <f t="shared" ca="1" si="6"/>
        <v>0.25</v>
      </c>
      <c r="AH47" s="9">
        <f t="shared" ca="1" si="7"/>
        <v>1</v>
      </c>
      <c r="AI47" s="9">
        <f t="shared" ca="1" si="8"/>
        <v>8</v>
      </c>
    </row>
    <row r="48" spans="1:35">
      <c r="A48" s="704">
        <v>46198.791666666664</v>
      </c>
      <c r="C48" s="704">
        <f t="shared" ca="1" si="17"/>
        <v>46198.791666666664</v>
      </c>
      <c r="D48" s="704"/>
      <c r="E48" s="704"/>
      <c r="P48" s="9">
        <v>46</v>
      </c>
      <c r="Q48" s="9" t="str">
        <f t="shared" ca="1" si="3"/>
        <v>Turquía</v>
      </c>
      <c r="R48" s="9">
        <f t="shared" ca="1" si="16"/>
        <v>3</v>
      </c>
      <c r="S48" s="712">
        <f t="shared" ca="1" si="16"/>
        <v>0.125</v>
      </c>
      <c r="T48" s="9">
        <f t="shared" ca="1" si="16"/>
        <v>0</v>
      </c>
      <c r="U48" s="9">
        <f t="shared" ca="1" si="16"/>
        <v>7</v>
      </c>
      <c r="V48" s="712">
        <f t="shared" ca="1" si="14"/>
        <v>0.29166666666666669</v>
      </c>
      <c r="W48" s="9">
        <f t="shared" ca="1" si="16"/>
        <v>1</v>
      </c>
      <c r="X48" s="9">
        <f t="shared" ca="1" si="1"/>
        <v>0</v>
      </c>
      <c r="AA48" s="9">
        <v>46</v>
      </c>
      <c r="AB48" s="9" t="str">
        <f ca="1">Idiomas!D257</f>
        <v>Suecia</v>
      </c>
      <c r="AC48" s="9">
        <v>2</v>
      </c>
      <c r="AD48" s="712">
        <f t="shared" si="4"/>
        <v>8.3333333333333329E-2</v>
      </c>
      <c r="AE48" s="9">
        <v>0</v>
      </c>
      <c r="AF48" s="9">
        <f t="shared" ca="1" si="5"/>
        <v>6</v>
      </c>
      <c r="AG48" s="712">
        <f t="shared" ca="1" si="6"/>
        <v>0.25</v>
      </c>
      <c r="AH48" s="9">
        <f t="shared" ca="1" si="7"/>
        <v>1</v>
      </c>
      <c r="AI48" s="9">
        <f t="shared" ca="1" si="8"/>
        <v>43</v>
      </c>
    </row>
    <row r="49" spans="1:35">
      <c r="A49" s="704">
        <v>46198.791666666664</v>
      </c>
      <c r="C49" s="704">
        <f t="shared" ca="1" si="17"/>
        <v>46198.791666666664</v>
      </c>
      <c r="D49" s="704"/>
      <c r="E49" s="704"/>
      <c r="P49" s="9">
        <v>47</v>
      </c>
      <c r="Q49" s="9" t="str">
        <f t="shared" ca="1" si="3"/>
        <v>Uruguay</v>
      </c>
      <c r="R49" s="9">
        <f t="shared" ca="1" si="16"/>
        <v>-3</v>
      </c>
      <c r="S49" s="712">
        <f t="shared" ca="1" si="16"/>
        <v>0.125</v>
      </c>
      <c r="T49" s="9">
        <f t="shared" ca="1" si="16"/>
        <v>0</v>
      </c>
      <c r="U49" s="9">
        <f t="shared" ca="1" si="16"/>
        <v>1</v>
      </c>
      <c r="V49" s="712">
        <f t="shared" ca="1" si="16"/>
        <v>4.1666666666666664E-2</v>
      </c>
      <c r="W49" s="9">
        <f t="shared" ca="1" si="16"/>
        <v>1</v>
      </c>
      <c r="X49" s="9">
        <f t="shared" ca="1" si="1"/>
        <v>0</v>
      </c>
      <c r="AA49" s="9">
        <v>47</v>
      </c>
      <c r="AB49" s="9" t="str">
        <f ca="1">Idiomas!D258</f>
        <v>Turquía</v>
      </c>
      <c r="AC49" s="9">
        <v>3</v>
      </c>
      <c r="AD49" s="712">
        <f t="shared" si="4"/>
        <v>0.125</v>
      </c>
      <c r="AE49" s="9">
        <v>0</v>
      </c>
      <c r="AF49" s="9">
        <f t="shared" ca="1" si="5"/>
        <v>7</v>
      </c>
      <c r="AG49" s="712">
        <f t="shared" ca="1" si="6"/>
        <v>0.29166666666666669</v>
      </c>
      <c r="AH49" s="9">
        <f t="shared" ca="1" si="7"/>
        <v>1</v>
      </c>
      <c r="AI49" s="9">
        <f t="shared" ca="1" si="8"/>
        <v>46</v>
      </c>
    </row>
    <row r="50" spans="1:35">
      <c r="C50" s="704"/>
      <c r="E50" s="704"/>
      <c r="P50" s="9">
        <v>48</v>
      </c>
      <c r="Q50" s="9" t="str">
        <f t="shared" ca="1" si="3"/>
        <v>Uzbekistán</v>
      </c>
      <c r="R50" s="9">
        <f t="shared" ca="1" si="16"/>
        <v>5</v>
      </c>
      <c r="S50" s="712">
        <f t="shared" ca="1" si="16"/>
        <v>0.20833333333333334</v>
      </c>
      <c r="T50" s="9">
        <f t="shared" ca="1" si="16"/>
        <v>0</v>
      </c>
      <c r="U50" s="9">
        <f t="shared" ca="1" si="16"/>
        <v>9</v>
      </c>
      <c r="V50" s="712">
        <f t="shared" ca="1" si="16"/>
        <v>0.375</v>
      </c>
      <c r="W50" s="9">
        <f t="shared" ca="1" si="16"/>
        <v>1</v>
      </c>
      <c r="X50" s="9">
        <f t="shared" ca="1" si="1"/>
        <v>0</v>
      </c>
      <c r="AA50" s="9">
        <v>48</v>
      </c>
      <c r="AB50" s="9" t="str">
        <f ca="1">Idiomas!D259</f>
        <v>República Checa</v>
      </c>
      <c r="AC50" s="9">
        <v>2</v>
      </c>
      <c r="AD50" s="712">
        <f t="shared" si="4"/>
        <v>8.3333333333333329E-2</v>
      </c>
      <c r="AE50" s="9">
        <v>0</v>
      </c>
      <c r="AF50" s="9">
        <f t="shared" ca="1" si="5"/>
        <v>6</v>
      </c>
      <c r="AG50" s="712">
        <f t="shared" ca="1" si="6"/>
        <v>0.25</v>
      </c>
      <c r="AH50" s="9">
        <f t="shared" ca="1" si="7"/>
        <v>1</v>
      </c>
      <c r="AI50" s="9">
        <f t="shared" ca="1" si="8"/>
        <v>40</v>
      </c>
    </row>
    <row r="51" spans="1:35">
      <c r="A51" s="5" t="s">
        <v>484</v>
      </c>
      <c r="C51" s="704"/>
      <c r="E51" s="704"/>
      <c r="P51" s="9">
        <v>49</v>
      </c>
      <c r="Q51" s="9" t="s">
        <v>150</v>
      </c>
      <c r="R51" s="9">
        <f t="shared" ca="1" si="16"/>
        <v>-12</v>
      </c>
      <c r="S51" s="712">
        <f t="shared" ca="1" si="16"/>
        <v>0.5</v>
      </c>
      <c r="T51" s="9">
        <f t="shared" ca="1" si="16"/>
        <v>0</v>
      </c>
      <c r="U51" s="9">
        <f t="shared" ca="1" si="16"/>
        <v>-8</v>
      </c>
      <c r="V51" s="712">
        <f t="shared" ca="1" si="16"/>
        <v>0.33333333333333331</v>
      </c>
      <c r="W51" s="9">
        <f t="shared" ref="W51:W60" ca="1" si="18">IF(R51&gt;$M$2,1,IF(R51=$M$2,0,-1))</f>
        <v>-1</v>
      </c>
      <c r="AA51" s="9">
        <v>49</v>
      </c>
      <c r="AB51" s="9" t="s">
        <v>150</v>
      </c>
      <c r="AC51" s="9">
        <v>-12</v>
      </c>
      <c r="AD51" s="712">
        <f t="shared" si="4"/>
        <v>0.5</v>
      </c>
      <c r="AE51" s="9">
        <v>0</v>
      </c>
      <c r="AF51" s="9">
        <f t="shared" ref="AF51:AF60" ca="1" si="19">AC51-$M$2</f>
        <v>-8</v>
      </c>
      <c r="AG51" s="712">
        <f t="shared" ca="1" si="6"/>
        <v>0.33333333333333331</v>
      </c>
      <c r="AH51" s="9">
        <f t="shared" ref="AH51:AH60" ca="1" si="20">IF(AC51&gt;$M$2,1,IF(AC51=$M$2,0,-1))</f>
        <v>-1</v>
      </c>
    </row>
    <row r="52" spans="1:35">
      <c r="A52" s="704">
        <v>46188.625</v>
      </c>
      <c r="C52" s="704">
        <f t="shared" ref="C52:C57" ca="1" si="21">A52+INDEX($V$3:$V$86,MATCH($C$3,$P$3:$P$86,0))*INDEX($W$3:$W$86,MATCH($C$3,$P$3:$P$86,0))</f>
        <v>46188.625</v>
      </c>
      <c r="D52" s="704"/>
      <c r="E52" s="704"/>
      <c r="P52" s="9">
        <v>50</v>
      </c>
      <c r="Q52" s="9" t="s">
        <v>151</v>
      </c>
      <c r="R52" s="9">
        <f t="shared" ca="1" si="16"/>
        <v>-11</v>
      </c>
      <c r="S52" s="712">
        <f t="shared" ca="1" si="16"/>
        <v>0.45833333333333331</v>
      </c>
      <c r="T52" s="9">
        <f t="shared" ca="1" si="16"/>
        <v>0</v>
      </c>
      <c r="U52" s="9">
        <f t="shared" ca="1" si="16"/>
        <v>-7</v>
      </c>
      <c r="V52" s="712">
        <f t="shared" ca="1" si="16"/>
        <v>0.29166666666666669</v>
      </c>
      <c r="W52" s="9">
        <f t="shared" ca="1" si="18"/>
        <v>-1</v>
      </c>
      <c r="AA52" s="9">
        <v>50</v>
      </c>
      <c r="AB52" s="9" t="s">
        <v>151</v>
      </c>
      <c r="AC52" s="9">
        <v>-11</v>
      </c>
      <c r="AD52" s="712">
        <f t="shared" si="4"/>
        <v>0.45833333333333331</v>
      </c>
      <c r="AE52" s="9">
        <v>0</v>
      </c>
      <c r="AF52" s="9">
        <f t="shared" ca="1" si="19"/>
        <v>-7</v>
      </c>
      <c r="AG52" s="712">
        <f t="shared" ca="1" si="6"/>
        <v>0.29166666666666669</v>
      </c>
      <c r="AH52" s="9">
        <f t="shared" ca="1" si="20"/>
        <v>-1</v>
      </c>
    </row>
    <row r="53" spans="1:35">
      <c r="A53" s="704">
        <v>46188.875</v>
      </c>
      <c r="C53" s="704">
        <f t="shared" ca="1" si="21"/>
        <v>46188.875</v>
      </c>
      <c r="D53" s="704"/>
      <c r="E53" s="704"/>
      <c r="P53" s="9">
        <v>51</v>
      </c>
      <c r="Q53" s="9" t="s">
        <v>152</v>
      </c>
      <c r="R53" s="9">
        <f t="shared" ca="1" si="16"/>
        <v>-10</v>
      </c>
      <c r="S53" s="712">
        <f t="shared" ca="1" si="16"/>
        <v>0.41666666666666669</v>
      </c>
      <c r="T53" s="9">
        <f t="shared" ca="1" si="16"/>
        <v>0</v>
      </c>
      <c r="U53" s="9">
        <f t="shared" ca="1" si="16"/>
        <v>-6</v>
      </c>
      <c r="V53" s="712">
        <f t="shared" ca="1" si="16"/>
        <v>0.25</v>
      </c>
      <c r="W53" s="9">
        <f t="shared" ca="1" si="18"/>
        <v>-1</v>
      </c>
      <c r="AA53" s="9">
        <v>51</v>
      </c>
      <c r="AB53" s="9" t="s">
        <v>152</v>
      </c>
      <c r="AC53" s="9">
        <v>-10</v>
      </c>
      <c r="AD53" s="712">
        <f t="shared" si="4"/>
        <v>0.41666666666666669</v>
      </c>
      <c r="AE53" s="9">
        <v>0</v>
      </c>
      <c r="AF53" s="9">
        <f t="shared" ca="1" si="19"/>
        <v>-6</v>
      </c>
      <c r="AG53" s="712">
        <f t="shared" ca="1" si="6"/>
        <v>0.25</v>
      </c>
      <c r="AH53" s="9">
        <f t="shared" ca="1" si="20"/>
        <v>-1</v>
      </c>
    </row>
    <row r="54" spans="1:35">
      <c r="A54" s="704">
        <v>46194.625</v>
      </c>
      <c r="C54" s="704">
        <f t="shared" ca="1" si="21"/>
        <v>46194.625</v>
      </c>
      <c r="D54" s="704"/>
      <c r="E54" s="704"/>
      <c r="P54" s="9">
        <v>52</v>
      </c>
      <c r="Q54" s="9" t="s">
        <v>153</v>
      </c>
      <c r="R54" s="9">
        <f t="shared" ca="1" si="16"/>
        <v>-9</v>
      </c>
      <c r="S54" s="712">
        <f t="shared" ca="1" si="16"/>
        <v>0.375</v>
      </c>
      <c r="T54" s="9">
        <f t="shared" ca="1" si="16"/>
        <v>0</v>
      </c>
      <c r="U54" s="9">
        <f t="shared" ca="1" si="16"/>
        <v>-5</v>
      </c>
      <c r="V54" s="712">
        <f t="shared" ca="1" si="16"/>
        <v>0.20833333333333334</v>
      </c>
      <c r="W54" s="9">
        <f t="shared" ca="1" si="18"/>
        <v>-1</v>
      </c>
      <c r="AA54" s="9">
        <v>52</v>
      </c>
      <c r="AB54" s="9" t="s">
        <v>153</v>
      </c>
      <c r="AC54" s="9">
        <v>-9</v>
      </c>
      <c r="AD54" s="712">
        <f t="shared" si="4"/>
        <v>0.375</v>
      </c>
      <c r="AE54" s="9">
        <v>0</v>
      </c>
      <c r="AF54" s="9">
        <f t="shared" ca="1" si="19"/>
        <v>-5</v>
      </c>
      <c r="AG54" s="712">
        <f t="shared" ca="1" si="6"/>
        <v>0.20833333333333334</v>
      </c>
      <c r="AH54" s="9">
        <f t="shared" ca="1" si="20"/>
        <v>-1</v>
      </c>
    </row>
    <row r="55" spans="1:35">
      <c r="A55" s="704">
        <v>46194.875</v>
      </c>
      <c r="C55" s="704">
        <f t="shared" ca="1" si="21"/>
        <v>46194.875</v>
      </c>
      <c r="D55" s="704"/>
      <c r="E55" s="704"/>
      <c r="P55" s="9">
        <v>53</v>
      </c>
      <c r="Q55" s="9" t="s">
        <v>154</v>
      </c>
      <c r="R55" s="9">
        <f t="shared" ca="1" si="16"/>
        <v>-8</v>
      </c>
      <c r="S55" s="712">
        <f t="shared" ca="1" si="16"/>
        <v>0.33333333333333331</v>
      </c>
      <c r="T55" s="9">
        <f t="shared" ca="1" si="16"/>
        <v>0</v>
      </c>
      <c r="U55" s="9">
        <f t="shared" ca="1" si="16"/>
        <v>-4</v>
      </c>
      <c r="V55" s="712">
        <f t="shared" ca="1" si="16"/>
        <v>0.16666666666666666</v>
      </c>
      <c r="W55" s="9">
        <f t="shared" ca="1" si="18"/>
        <v>-1</v>
      </c>
      <c r="AA55" s="9">
        <v>53</v>
      </c>
      <c r="AB55" s="9" t="s">
        <v>154</v>
      </c>
      <c r="AC55" s="9">
        <v>-8</v>
      </c>
      <c r="AD55" s="712">
        <f t="shared" si="4"/>
        <v>0.33333333333333331</v>
      </c>
      <c r="AE55" s="9">
        <v>0</v>
      </c>
      <c r="AF55" s="9">
        <f t="shared" ca="1" si="19"/>
        <v>-4</v>
      </c>
      <c r="AG55" s="712">
        <f t="shared" ca="1" si="6"/>
        <v>0.16666666666666666</v>
      </c>
      <c r="AH55" s="9">
        <f t="shared" ca="1" si="20"/>
        <v>-1</v>
      </c>
    </row>
    <row r="56" spans="1:35">
      <c r="A56" s="704">
        <v>46199.958333333336</v>
      </c>
      <c r="C56" s="704">
        <f t="shared" ca="1" si="21"/>
        <v>46199.958333333336</v>
      </c>
      <c r="D56" s="704"/>
      <c r="E56" s="704"/>
      <c r="P56" s="9">
        <v>54</v>
      </c>
      <c r="Q56" s="9" t="s">
        <v>155</v>
      </c>
      <c r="R56" s="9">
        <f t="shared" ca="1" si="16"/>
        <v>-7</v>
      </c>
      <c r="S56" s="712">
        <f t="shared" ca="1" si="16"/>
        <v>0.29166666666666669</v>
      </c>
      <c r="T56" s="9">
        <f t="shared" ca="1" si="16"/>
        <v>0</v>
      </c>
      <c r="U56" s="9">
        <f t="shared" ca="1" si="16"/>
        <v>-3</v>
      </c>
      <c r="V56" s="712">
        <f t="shared" ca="1" si="16"/>
        <v>0.125</v>
      </c>
      <c r="W56" s="9">
        <f t="shared" ca="1" si="18"/>
        <v>-1</v>
      </c>
      <c r="AA56" s="9">
        <v>54</v>
      </c>
      <c r="AB56" s="9" t="s">
        <v>155</v>
      </c>
      <c r="AC56" s="9">
        <v>-7</v>
      </c>
      <c r="AD56" s="712">
        <f t="shared" si="4"/>
        <v>0.29166666666666669</v>
      </c>
      <c r="AE56" s="9">
        <v>0</v>
      </c>
      <c r="AF56" s="9">
        <f t="shared" ca="1" si="19"/>
        <v>-3</v>
      </c>
      <c r="AG56" s="712">
        <f t="shared" ca="1" si="6"/>
        <v>0.125</v>
      </c>
      <c r="AH56" s="9">
        <f t="shared" ca="1" si="20"/>
        <v>-1</v>
      </c>
    </row>
    <row r="57" spans="1:35">
      <c r="A57" s="704">
        <v>46199.958333333336</v>
      </c>
      <c r="C57" s="704">
        <f t="shared" ca="1" si="21"/>
        <v>46199.958333333336</v>
      </c>
      <c r="D57" s="704"/>
      <c r="E57" s="704"/>
      <c r="P57" s="9">
        <v>55</v>
      </c>
      <c r="Q57" s="9" t="s">
        <v>156</v>
      </c>
      <c r="R57" s="9">
        <f t="shared" ca="1" si="16"/>
        <v>-6</v>
      </c>
      <c r="S57" s="712">
        <f t="shared" ca="1" si="16"/>
        <v>0.25</v>
      </c>
      <c r="T57" s="9">
        <f t="shared" ca="1" si="16"/>
        <v>0</v>
      </c>
      <c r="U57" s="9">
        <f t="shared" ca="1" si="16"/>
        <v>-2</v>
      </c>
      <c r="V57" s="712">
        <f t="shared" ca="1" si="16"/>
        <v>8.3333333333333329E-2</v>
      </c>
      <c r="W57" s="9">
        <f t="shared" ca="1" si="18"/>
        <v>-1</v>
      </c>
      <c r="AA57" s="9">
        <v>55</v>
      </c>
      <c r="AB57" s="9" t="s">
        <v>156</v>
      </c>
      <c r="AC57" s="9">
        <v>-6</v>
      </c>
      <c r="AD57" s="712">
        <f t="shared" si="4"/>
        <v>0.25</v>
      </c>
      <c r="AE57" s="9">
        <v>0</v>
      </c>
      <c r="AF57" s="9">
        <f t="shared" ca="1" si="19"/>
        <v>-2</v>
      </c>
      <c r="AG57" s="712">
        <f t="shared" ca="1" si="6"/>
        <v>8.3333333333333329E-2</v>
      </c>
      <c r="AH57" s="9">
        <f t="shared" ca="1" si="20"/>
        <v>-1</v>
      </c>
    </row>
    <row r="58" spans="1:35">
      <c r="C58" s="704"/>
      <c r="E58" s="704"/>
      <c r="P58" s="9">
        <v>56</v>
      </c>
      <c r="Q58" s="9" t="s">
        <v>157</v>
      </c>
      <c r="R58" s="9">
        <f t="shared" ca="1" si="16"/>
        <v>-5</v>
      </c>
      <c r="S58" s="712">
        <f t="shared" ca="1" si="16"/>
        <v>0.20833333333333334</v>
      </c>
      <c r="T58" s="9">
        <f t="shared" ca="1" si="16"/>
        <v>0</v>
      </c>
      <c r="U58" s="9">
        <f t="shared" ca="1" si="16"/>
        <v>-1</v>
      </c>
      <c r="V58" s="712">
        <f t="shared" ca="1" si="16"/>
        <v>4.1666666666666664E-2</v>
      </c>
      <c r="W58" s="9">
        <f t="shared" ca="1" si="18"/>
        <v>-1</v>
      </c>
      <c r="AA58" s="9">
        <v>56</v>
      </c>
      <c r="AB58" s="9" t="s">
        <v>157</v>
      </c>
      <c r="AC58" s="9">
        <v>-5</v>
      </c>
      <c r="AD58" s="712">
        <f t="shared" si="4"/>
        <v>0.20833333333333334</v>
      </c>
      <c r="AE58" s="9">
        <v>0</v>
      </c>
      <c r="AF58" s="9">
        <f t="shared" ca="1" si="19"/>
        <v>-1</v>
      </c>
      <c r="AG58" s="712">
        <f t="shared" ca="1" si="6"/>
        <v>4.1666666666666664E-2</v>
      </c>
      <c r="AH58" s="9">
        <f t="shared" ca="1" si="20"/>
        <v>-1</v>
      </c>
    </row>
    <row r="59" spans="1:35">
      <c r="A59" s="5" t="s">
        <v>485</v>
      </c>
      <c r="C59" s="704"/>
      <c r="E59" s="704"/>
      <c r="P59" s="9">
        <v>57</v>
      </c>
      <c r="Q59" s="9" t="s">
        <v>158</v>
      </c>
      <c r="R59" s="9">
        <f t="shared" ref="R59:S86" ca="1" si="22">+INDEX($AC$3:$AH$86,MATCH($Q59,$AB$3:$AB$86,0),MATCH(R$2,$AC$2:$AH$2,0))</f>
        <v>-4</v>
      </c>
      <c r="S59" s="712">
        <f t="shared" ca="1" si="22"/>
        <v>0.16666666666666666</v>
      </c>
      <c r="T59" s="9">
        <f t="shared" ref="T59:T86" ca="1" si="23">+INDEX($AC$3:$AH$86,MATCH($Q59,$AB$3:$AB$86,0),MATCH(T$2,$AC$2:$AH$2,0))</f>
        <v>0</v>
      </c>
      <c r="U59" s="9">
        <f t="shared" ref="U59:U86" ca="1" si="24">+INDEX($AC$3:$AH$86,MATCH($Q59,$AB$3:$AB$86,0),MATCH(U$2,$AC$2:$AH$2,0))</f>
        <v>0</v>
      </c>
      <c r="V59" s="712">
        <f t="shared" ref="V59:V86" ca="1" si="25">+INDEX($AC$3:$AH$86,MATCH($Q59,$AB$3:$AB$86,0),MATCH(V$2,$AC$2:$AH$2,0))</f>
        <v>0</v>
      </c>
      <c r="W59" s="9">
        <f t="shared" ca="1" si="18"/>
        <v>0</v>
      </c>
      <c r="AA59" s="9">
        <v>57</v>
      </c>
      <c r="AB59" s="9" t="s">
        <v>158</v>
      </c>
      <c r="AC59" s="9">
        <v>-4</v>
      </c>
      <c r="AD59" s="712">
        <f t="shared" si="4"/>
        <v>0.16666666666666666</v>
      </c>
      <c r="AE59" s="9">
        <v>0</v>
      </c>
      <c r="AF59" s="9">
        <f t="shared" ca="1" si="19"/>
        <v>0</v>
      </c>
      <c r="AG59" s="712">
        <f t="shared" ca="1" si="6"/>
        <v>0</v>
      </c>
      <c r="AH59" s="9">
        <f t="shared" ca="1" si="20"/>
        <v>0</v>
      </c>
    </row>
    <row r="60" spans="1:35">
      <c r="A60" s="704">
        <v>46188.5</v>
      </c>
      <c r="C60" s="704">
        <f t="shared" ref="C60:C65" ca="1" si="26">A60+INDEX($V$3:$V$86,MATCH($C$3,$P$3:$P$86,0))*INDEX($W$3:$W$86,MATCH($C$3,$P$3:$P$86,0))</f>
        <v>46188.5</v>
      </c>
      <c r="D60" s="704"/>
      <c r="E60" s="704"/>
      <c r="P60" s="9">
        <v>58</v>
      </c>
      <c r="Q60" s="9" t="s">
        <v>365</v>
      </c>
      <c r="R60" s="9">
        <f t="shared" ca="1" si="22"/>
        <v>-3.5</v>
      </c>
      <c r="S60" s="712">
        <f t="shared" ca="1" si="22"/>
        <v>0.14583333333333334</v>
      </c>
      <c r="T60" s="9">
        <f t="shared" ca="1" si="23"/>
        <v>0</v>
      </c>
      <c r="U60" s="9">
        <f t="shared" ca="1" si="24"/>
        <v>0.5</v>
      </c>
      <c r="V60" s="712">
        <f t="shared" ca="1" si="25"/>
        <v>2.0833333333333332E-2</v>
      </c>
      <c r="W60" s="9">
        <f t="shared" ca="1" si="18"/>
        <v>1</v>
      </c>
      <c r="AA60" s="9">
        <v>58</v>
      </c>
      <c r="AB60" s="9" t="s">
        <v>365</v>
      </c>
      <c r="AC60" s="9">
        <v>-3.5</v>
      </c>
      <c r="AD60" s="712">
        <f t="shared" si="4"/>
        <v>0.14583333333333334</v>
      </c>
      <c r="AE60" s="9">
        <v>0</v>
      </c>
      <c r="AF60" s="9">
        <f t="shared" ca="1" si="19"/>
        <v>0.5</v>
      </c>
      <c r="AG60" s="712">
        <f t="shared" ca="1" si="6"/>
        <v>2.0833333333333332E-2</v>
      </c>
      <c r="AH60" s="9">
        <f t="shared" ca="1" si="20"/>
        <v>1</v>
      </c>
    </row>
    <row r="61" spans="1:35">
      <c r="A61" s="704">
        <v>46188.75</v>
      </c>
      <c r="C61" s="704">
        <f t="shared" ca="1" si="26"/>
        <v>46188.75</v>
      </c>
      <c r="D61" s="704"/>
      <c r="E61" s="704"/>
      <c r="P61" s="9">
        <v>59</v>
      </c>
      <c r="Q61" s="9" t="s">
        <v>159</v>
      </c>
      <c r="R61" s="9">
        <f t="shared" ca="1" si="22"/>
        <v>-3</v>
      </c>
      <c r="S61" s="712">
        <f t="shared" ca="1" si="22"/>
        <v>0.125</v>
      </c>
      <c r="T61" s="9">
        <f t="shared" ca="1" si="23"/>
        <v>0</v>
      </c>
      <c r="U61" s="9">
        <f t="shared" ca="1" si="24"/>
        <v>1</v>
      </c>
      <c r="V61" s="712">
        <f t="shared" ca="1" si="25"/>
        <v>4.1666666666666664E-2</v>
      </c>
      <c r="W61" s="9">
        <f t="shared" ref="W61:W86" ca="1" si="27">IF(R61&gt;$M$2,1,IF(R61=$M$2,0,-1))</f>
        <v>1</v>
      </c>
      <c r="AA61" s="9">
        <v>59</v>
      </c>
      <c r="AB61" s="9" t="s">
        <v>159</v>
      </c>
      <c r="AC61" s="9">
        <v>-3</v>
      </c>
      <c r="AD61" s="712">
        <f t="shared" si="4"/>
        <v>0.125</v>
      </c>
      <c r="AE61" s="9">
        <v>0</v>
      </c>
      <c r="AF61" s="9">
        <f t="shared" ref="AF61:AF86" ca="1" si="28">AC61-$M$2</f>
        <v>1</v>
      </c>
      <c r="AG61" s="712">
        <f t="shared" ca="1" si="6"/>
        <v>4.1666666666666664E-2</v>
      </c>
      <c r="AH61" s="9">
        <f t="shared" ref="AH61:AH86" ca="1" si="29">IF(AC61&gt;$M$2,1,IF(AC61=$M$2,0,-1))</f>
        <v>1</v>
      </c>
    </row>
    <row r="62" spans="1:35">
      <c r="A62" s="704">
        <v>46194.5</v>
      </c>
      <c r="C62" s="704">
        <f t="shared" ca="1" si="26"/>
        <v>46194.5</v>
      </c>
      <c r="D62" s="704"/>
      <c r="E62" s="704"/>
      <c r="P62" s="9">
        <v>60</v>
      </c>
      <c r="Q62" s="9" t="s">
        <v>160</v>
      </c>
      <c r="R62" s="9">
        <f t="shared" ca="1" si="22"/>
        <v>-2</v>
      </c>
      <c r="S62" s="712">
        <f t="shared" ca="1" si="22"/>
        <v>8.3333333333333329E-2</v>
      </c>
      <c r="T62" s="9">
        <f t="shared" ca="1" si="23"/>
        <v>0</v>
      </c>
      <c r="U62" s="9">
        <f t="shared" ca="1" si="24"/>
        <v>2</v>
      </c>
      <c r="V62" s="712">
        <f t="shared" ca="1" si="25"/>
        <v>8.3333333333333329E-2</v>
      </c>
      <c r="W62" s="9">
        <f t="shared" ca="1" si="27"/>
        <v>1</v>
      </c>
      <c r="AA62" s="9">
        <v>60</v>
      </c>
      <c r="AB62" s="9" t="s">
        <v>160</v>
      </c>
      <c r="AC62" s="9">
        <v>-2</v>
      </c>
      <c r="AD62" s="712">
        <f t="shared" si="4"/>
        <v>8.3333333333333329E-2</v>
      </c>
      <c r="AE62" s="9">
        <v>0</v>
      </c>
      <c r="AF62" s="9">
        <f t="shared" ca="1" si="28"/>
        <v>2</v>
      </c>
      <c r="AG62" s="712">
        <f t="shared" ca="1" si="6"/>
        <v>8.3333333333333329E-2</v>
      </c>
      <c r="AH62" s="9">
        <f t="shared" ca="1" si="29"/>
        <v>1</v>
      </c>
    </row>
    <row r="63" spans="1:35">
      <c r="A63" s="704">
        <v>46194.75</v>
      </c>
      <c r="C63" s="704">
        <f t="shared" ca="1" si="26"/>
        <v>46194.75</v>
      </c>
      <c r="D63" s="704"/>
      <c r="E63" s="704"/>
      <c r="P63" s="9">
        <v>61</v>
      </c>
      <c r="Q63" s="9" t="s">
        <v>161</v>
      </c>
      <c r="R63" s="9">
        <f t="shared" ca="1" si="22"/>
        <v>-1</v>
      </c>
      <c r="S63" s="712">
        <f t="shared" ca="1" si="22"/>
        <v>4.1666666666666664E-2</v>
      </c>
      <c r="T63" s="9">
        <f t="shared" ca="1" si="23"/>
        <v>0</v>
      </c>
      <c r="U63" s="9">
        <f t="shared" ca="1" si="24"/>
        <v>3</v>
      </c>
      <c r="V63" s="712">
        <f t="shared" ca="1" si="25"/>
        <v>0.125</v>
      </c>
      <c r="W63" s="9">
        <f t="shared" ca="1" si="27"/>
        <v>1</v>
      </c>
      <c r="AA63" s="9">
        <v>61</v>
      </c>
      <c r="AB63" s="9" t="s">
        <v>161</v>
      </c>
      <c r="AC63" s="9">
        <v>-1</v>
      </c>
      <c r="AD63" s="712">
        <f t="shared" si="4"/>
        <v>4.1666666666666664E-2</v>
      </c>
      <c r="AE63" s="9">
        <v>0</v>
      </c>
      <c r="AF63" s="9">
        <f t="shared" ca="1" si="28"/>
        <v>3</v>
      </c>
      <c r="AG63" s="712">
        <f t="shared" ca="1" si="6"/>
        <v>0.125</v>
      </c>
      <c r="AH63" s="9">
        <f t="shared" ca="1" si="29"/>
        <v>1</v>
      </c>
    </row>
    <row r="64" spans="1:35">
      <c r="A64" s="704">
        <v>46199.833333333336</v>
      </c>
      <c r="C64" s="704">
        <f t="shared" ca="1" si="26"/>
        <v>46199.833333333336</v>
      </c>
      <c r="D64" s="704"/>
      <c r="E64" s="704"/>
      <c r="P64" s="9">
        <v>62</v>
      </c>
      <c r="Q64" s="9" t="s">
        <v>149</v>
      </c>
      <c r="R64" s="9">
        <f t="shared" ca="1" si="22"/>
        <v>0</v>
      </c>
      <c r="S64" s="712">
        <f t="shared" ca="1" si="22"/>
        <v>0</v>
      </c>
      <c r="T64" s="9">
        <f t="shared" ca="1" si="23"/>
        <v>0</v>
      </c>
      <c r="U64" s="9">
        <f t="shared" ca="1" si="24"/>
        <v>4</v>
      </c>
      <c r="V64" s="712">
        <f t="shared" ca="1" si="25"/>
        <v>0.16666666666666666</v>
      </c>
      <c r="W64" s="9">
        <f t="shared" ca="1" si="27"/>
        <v>1</v>
      </c>
      <c r="AA64" s="9">
        <v>62</v>
      </c>
      <c r="AB64" s="9" t="s">
        <v>149</v>
      </c>
      <c r="AC64" s="9">
        <v>0</v>
      </c>
      <c r="AD64" s="712">
        <f t="shared" si="4"/>
        <v>0</v>
      </c>
      <c r="AE64" s="9">
        <v>0</v>
      </c>
      <c r="AF64" s="9">
        <f t="shared" ca="1" si="28"/>
        <v>4</v>
      </c>
      <c r="AG64" s="712">
        <f t="shared" ca="1" si="6"/>
        <v>0.16666666666666666</v>
      </c>
      <c r="AH64" s="9">
        <f t="shared" ca="1" si="29"/>
        <v>1</v>
      </c>
    </row>
    <row r="65" spans="1:34">
      <c r="A65" s="704">
        <v>46199.833333333336</v>
      </c>
      <c r="C65" s="704">
        <f t="shared" ca="1" si="26"/>
        <v>46199.833333333336</v>
      </c>
      <c r="D65" s="704"/>
      <c r="E65" s="704"/>
      <c r="P65" s="9">
        <v>63</v>
      </c>
      <c r="Q65" s="9" t="s">
        <v>162</v>
      </c>
      <c r="R65" s="9">
        <f t="shared" ca="1" si="22"/>
        <v>1</v>
      </c>
      <c r="S65" s="712">
        <f t="shared" ca="1" si="22"/>
        <v>4.1666666666666664E-2</v>
      </c>
      <c r="T65" s="9">
        <f t="shared" ca="1" si="23"/>
        <v>0</v>
      </c>
      <c r="U65" s="9">
        <f t="shared" ca="1" si="24"/>
        <v>5</v>
      </c>
      <c r="V65" s="712">
        <f t="shared" ca="1" si="25"/>
        <v>0.20833333333333334</v>
      </c>
      <c r="W65" s="9">
        <f t="shared" ca="1" si="27"/>
        <v>1</v>
      </c>
      <c r="AA65" s="9">
        <v>63</v>
      </c>
      <c r="AB65" s="9" t="s">
        <v>162</v>
      </c>
      <c r="AC65" s="9">
        <v>1</v>
      </c>
      <c r="AD65" s="712">
        <f t="shared" si="4"/>
        <v>4.1666666666666664E-2</v>
      </c>
      <c r="AE65" s="9">
        <v>0</v>
      </c>
      <c r="AF65" s="9">
        <f t="shared" ca="1" si="28"/>
        <v>5</v>
      </c>
      <c r="AG65" s="712">
        <f t="shared" ca="1" si="6"/>
        <v>0.20833333333333334</v>
      </c>
      <c r="AH65" s="9">
        <f t="shared" ca="1" si="29"/>
        <v>1</v>
      </c>
    </row>
    <row r="66" spans="1:34">
      <c r="C66" s="704"/>
      <c r="E66" s="704"/>
      <c r="P66" s="9">
        <v>64</v>
      </c>
      <c r="Q66" s="9" t="s">
        <v>163</v>
      </c>
      <c r="R66" s="9">
        <f t="shared" ca="1" si="22"/>
        <v>2</v>
      </c>
      <c r="S66" s="712">
        <f t="shared" ca="1" si="22"/>
        <v>8.3333333333333329E-2</v>
      </c>
      <c r="T66" s="9">
        <f t="shared" ca="1" si="23"/>
        <v>0</v>
      </c>
      <c r="U66" s="9">
        <f t="shared" ca="1" si="24"/>
        <v>6</v>
      </c>
      <c r="V66" s="712">
        <f t="shared" ca="1" si="25"/>
        <v>0.25</v>
      </c>
      <c r="W66" s="9">
        <f t="shared" ca="1" si="27"/>
        <v>1</v>
      </c>
      <c r="AA66" s="9">
        <v>64</v>
      </c>
      <c r="AB66" s="9" t="s">
        <v>163</v>
      </c>
      <c r="AC66" s="9">
        <v>2</v>
      </c>
      <c r="AD66" s="712">
        <f t="shared" si="4"/>
        <v>8.3333333333333329E-2</v>
      </c>
      <c r="AE66" s="9">
        <v>0</v>
      </c>
      <c r="AF66" s="9">
        <f t="shared" ca="1" si="28"/>
        <v>6</v>
      </c>
      <c r="AG66" s="712">
        <f t="shared" ca="1" si="6"/>
        <v>0.25</v>
      </c>
      <c r="AH66" s="9">
        <f t="shared" ca="1" si="29"/>
        <v>1</v>
      </c>
    </row>
    <row r="67" spans="1:34">
      <c r="A67" s="5" t="s">
        <v>486</v>
      </c>
      <c r="C67" s="704"/>
      <c r="E67" s="704"/>
      <c r="P67" s="9">
        <v>65</v>
      </c>
      <c r="Q67" s="9" t="s">
        <v>164</v>
      </c>
      <c r="R67" s="9">
        <f t="shared" ca="1" si="22"/>
        <v>3</v>
      </c>
      <c r="S67" s="712">
        <f t="shared" ca="1" si="22"/>
        <v>0.125</v>
      </c>
      <c r="T67" s="9">
        <f t="shared" ca="1" si="23"/>
        <v>0</v>
      </c>
      <c r="U67" s="9">
        <f t="shared" ca="1" si="24"/>
        <v>7</v>
      </c>
      <c r="V67" s="712">
        <f t="shared" ca="1" si="25"/>
        <v>0.29166666666666669</v>
      </c>
      <c r="W67" s="9">
        <f t="shared" ca="1" si="27"/>
        <v>1</v>
      </c>
      <c r="AA67" s="9">
        <v>65</v>
      </c>
      <c r="AB67" s="9" t="s">
        <v>164</v>
      </c>
      <c r="AC67" s="9">
        <v>3</v>
      </c>
      <c r="AD67" s="712">
        <f t="shared" si="4"/>
        <v>0.125</v>
      </c>
      <c r="AE67" s="9">
        <v>0</v>
      </c>
      <c r="AF67" s="9">
        <f t="shared" ca="1" si="28"/>
        <v>7</v>
      </c>
      <c r="AG67" s="712">
        <f t="shared" ca="1" si="6"/>
        <v>0.29166666666666669</v>
      </c>
      <c r="AH67" s="9">
        <f t="shared" ca="1" si="29"/>
        <v>1</v>
      </c>
    </row>
    <row r="68" spans="1:34">
      <c r="A68" s="704">
        <v>46189.625</v>
      </c>
      <c r="C68" s="704">
        <f t="shared" ref="C68:C73" ca="1" si="30">A68+INDEX($V$3:$V$86,MATCH($C$3,$P$3:$P$86,0))*INDEX($W$3:$W$86,MATCH($C$3,$P$3:$P$86,0))</f>
        <v>46189.625</v>
      </c>
      <c r="D68" s="704"/>
      <c r="E68" s="704"/>
      <c r="P68" s="9">
        <v>66</v>
      </c>
      <c r="Q68" s="9" t="s">
        <v>355</v>
      </c>
      <c r="R68" s="9">
        <f t="shared" ca="1" si="22"/>
        <v>3.5</v>
      </c>
      <c r="S68" s="712">
        <f t="shared" ca="1" si="22"/>
        <v>0.14583333333333334</v>
      </c>
      <c r="T68" s="9">
        <f t="shared" ca="1" si="23"/>
        <v>0</v>
      </c>
      <c r="U68" s="9">
        <f t="shared" ca="1" si="24"/>
        <v>7.5</v>
      </c>
      <c r="V68" s="712">
        <f t="shared" ca="1" si="25"/>
        <v>0.3125</v>
      </c>
      <c r="W68" s="9">
        <f t="shared" ca="1" si="27"/>
        <v>1</v>
      </c>
      <c r="AA68" s="9">
        <v>66</v>
      </c>
      <c r="AB68" s="9" t="s">
        <v>355</v>
      </c>
      <c r="AC68" s="9">
        <v>3.5</v>
      </c>
      <c r="AD68" s="712">
        <f t="shared" ref="AD68:AD86" si="31">ABS(AC68/24)</f>
        <v>0.14583333333333334</v>
      </c>
      <c r="AE68" s="9">
        <v>0</v>
      </c>
      <c r="AF68" s="9">
        <f t="shared" ca="1" si="28"/>
        <v>7.5</v>
      </c>
      <c r="AG68" s="712">
        <f t="shared" ref="AG68:AG86" ca="1" si="32">ABS(AF68/24)</f>
        <v>0.3125</v>
      </c>
      <c r="AH68" s="9">
        <f t="shared" ca="1" si="29"/>
        <v>1</v>
      </c>
    </row>
    <row r="69" spans="1:34">
      <c r="A69" s="704">
        <v>46189.75</v>
      </c>
      <c r="C69" s="704">
        <f t="shared" ca="1" si="30"/>
        <v>46189.75</v>
      </c>
      <c r="D69" s="704"/>
      <c r="E69" s="704"/>
      <c r="P69" s="9">
        <v>67</v>
      </c>
      <c r="Q69" s="9" t="s">
        <v>165</v>
      </c>
      <c r="R69" s="9">
        <f t="shared" ca="1" si="22"/>
        <v>4</v>
      </c>
      <c r="S69" s="712">
        <f t="shared" ca="1" si="22"/>
        <v>0.16666666666666666</v>
      </c>
      <c r="T69" s="9">
        <f t="shared" ca="1" si="23"/>
        <v>0</v>
      </c>
      <c r="U69" s="9">
        <f t="shared" ca="1" si="24"/>
        <v>8</v>
      </c>
      <c r="V69" s="712">
        <f t="shared" ca="1" si="25"/>
        <v>0.33333333333333331</v>
      </c>
      <c r="W69" s="9">
        <f t="shared" ca="1" si="27"/>
        <v>1</v>
      </c>
      <c r="AA69" s="9">
        <v>67</v>
      </c>
      <c r="AB69" s="9" t="s">
        <v>165</v>
      </c>
      <c r="AC69" s="9">
        <v>4</v>
      </c>
      <c r="AD69" s="712">
        <f t="shared" si="31"/>
        <v>0.16666666666666666</v>
      </c>
      <c r="AE69" s="9">
        <v>0</v>
      </c>
      <c r="AF69" s="9">
        <f t="shared" ca="1" si="28"/>
        <v>8</v>
      </c>
      <c r="AG69" s="712">
        <f t="shared" ca="1" si="32"/>
        <v>0.33333333333333331</v>
      </c>
      <c r="AH69" s="9">
        <f t="shared" ca="1" si="29"/>
        <v>1</v>
      </c>
    </row>
    <row r="70" spans="1:34">
      <c r="A70" s="704">
        <v>46195.708333333336</v>
      </c>
      <c r="C70" s="704">
        <f t="shared" ca="1" si="30"/>
        <v>46195.708333333336</v>
      </c>
      <c r="D70" s="704"/>
      <c r="E70" s="704"/>
      <c r="P70" s="9">
        <v>68</v>
      </c>
      <c r="Q70" s="9" t="s">
        <v>356</v>
      </c>
      <c r="R70" s="9">
        <f t="shared" ca="1" si="22"/>
        <v>4.5</v>
      </c>
      <c r="S70" s="712">
        <f t="shared" ca="1" si="22"/>
        <v>0.1875</v>
      </c>
      <c r="T70" s="9">
        <f t="shared" ca="1" si="23"/>
        <v>0</v>
      </c>
      <c r="U70" s="9">
        <f t="shared" ca="1" si="24"/>
        <v>8.5</v>
      </c>
      <c r="V70" s="712">
        <f t="shared" ca="1" si="25"/>
        <v>0.35416666666666669</v>
      </c>
      <c r="W70" s="9">
        <f t="shared" ca="1" si="27"/>
        <v>1</v>
      </c>
      <c r="AA70" s="9">
        <v>68</v>
      </c>
      <c r="AB70" s="9" t="s">
        <v>356</v>
      </c>
      <c r="AC70" s="9">
        <v>4.5</v>
      </c>
      <c r="AD70" s="712">
        <f t="shared" si="31"/>
        <v>0.1875</v>
      </c>
      <c r="AE70" s="9">
        <v>0</v>
      </c>
      <c r="AF70" s="9">
        <f t="shared" ca="1" si="28"/>
        <v>8.5</v>
      </c>
      <c r="AG70" s="712">
        <f t="shared" ca="1" si="32"/>
        <v>0.35416666666666669</v>
      </c>
      <c r="AH70" s="9">
        <f t="shared" ca="1" si="29"/>
        <v>1</v>
      </c>
    </row>
    <row r="71" spans="1:34">
      <c r="A71" s="704">
        <v>46195.833333333336</v>
      </c>
      <c r="C71" s="704">
        <f t="shared" ca="1" si="30"/>
        <v>46195.833333333336</v>
      </c>
      <c r="D71" s="704"/>
      <c r="E71" s="704"/>
      <c r="P71" s="9">
        <v>69</v>
      </c>
      <c r="Q71" s="9" t="s">
        <v>166</v>
      </c>
      <c r="R71" s="9">
        <f t="shared" ca="1" si="22"/>
        <v>5</v>
      </c>
      <c r="S71" s="712">
        <f t="shared" ca="1" si="22"/>
        <v>0.20833333333333334</v>
      </c>
      <c r="T71" s="9">
        <f t="shared" ca="1" si="23"/>
        <v>0</v>
      </c>
      <c r="U71" s="9">
        <f t="shared" ca="1" si="24"/>
        <v>9</v>
      </c>
      <c r="V71" s="712">
        <f t="shared" ca="1" si="25"/>
        <v>0.375</v>
      </c>
      <c r="W71" s="9">
        <f t="shared" ca="1" si="27"/>
        <v>1</v>
      </c>
      <c r="AA71" s="9">
        <v>69</v>
      </c>
      <c r="AB71" s="9" t="s">
        <v>166</v>
      </c>
      <c r="AC71" s="9">
        <v>5</v>
      </c>
      <c r="AD71" s="712">
        <f t="shared" si="31"/>
        <v>0.20833333333333334</v>
      </c>
      <c r="AE71" s="9">
        <v>0</v>
      </c>
      <c r="AF71" s="9">
        <f t="shared" ca="1" si="28"/>
        <v>9</v>
      </c>
      <c r="AG71" s="712">
        <f t="shared" ca="1" si="32"/>
        <v>0.375</v>
      </c>
      <c r="AH71" s="9">
        <f t="shared" ca="1" si="29"/>
        <v>1</v>
      </c>
    </row>
    <row r="72" spans="1:34">
      <c r="A72" s="704">
        <v>46199.625</v>
      </c>
      <c r="C72" s="704">
        <f t="shared" ca="1" si="30"/>
        <v>46199.625</v>
      </c>
      <c r="D72" s="704"/>
      <c r="E72" s="704"/>
      <c r="P72" s="9">
        <v>70</v>
      </c>
      <c r="Q72" s="9" t="s">
        <v>357</v>
      </c>
      <c r="R72" s="9">
        <f t="shared" ca="1" si="22"/>
        <v>5.5</v>
      </c>
      <c r="S72" s="712">
        <f t="shared" ca="1" si="22"/>
        <v>0.22916666666666666</v>
      </c>
      <c r="T72" s="9">
        <f t="shared" ca="1" si="23"/>
        <v>0</v>
      </c>
      <c r="U72" s="9">
        <f t="shared" ca="1" si="24"/>
        <v>9.5</v>
      </c>
      <c r="V72" s="712">
        <f t="shared" ca="1" si="25"/>
        <v>0.39583333333333331</v>
      </c>
      <c r="W72" s="9">
        <f t="shared" ca="1" si="27"/>
        <v>1</v>
      </c>
      <c r="AA72" s="9">
        <v>70</v>
      </c>
      <c r="AB72" s="9" t="s">
        <v>357</v>
      </c>
      <c r="AC72" s="9">
        <v>5.5</v>
      </c>
      <c r="AD72" s="712">
        <f t="shared" si="31"/>
        <v>0.22916666666666666</v>
      </c>
      <c r="AE72" s="9">
        <v>0</v>
      </c>
      <c r="AF72" s="9">
        <f t="shared" ca="1" si="28"/>
        <v>9.5</v>
      </c>
      <c r="AG72" s="712">
        <f t="shared" ca="1" si="32"/>
        <v>0.39583333333333331</v>
      </c>
      <c r="AH72" s="9">
        <f t="shared" ca="1" si="29"/>
        <v>1</v>
      </c>
    </row>
    <row r="73" spans="1:34">
      <c r="A73" s="704">
        <v>46199.625</v>
      </c>
      <c r="C73" s="704">
        <f t="shared" ca="1" si="30"/>
        <v>46199.625</v>
      </c>
      <c r="D73" s="704"/>
      <c r="E73" s="704"/>
      <c r="P73" s="9">
        <v>71</v>
      </c>
      <c r="Q73" s="9" t="s">
        <v>358</v>
      </c>
      <c r="R73" s="9">
        <f t="shared" ca="1" si="22"/>
        <v>5.75</v>
      </c>
      <c r="S73" s="712">
        <f t="shared" ca="1" si="22"/>
        <v>0.23958333333333334</v>
      </c>
      <c r="T73" s="9">
        <f t="shared" ca="1" si="23"/>
        <v>0</v>
      </c>
      <c r="U73" s="9">
        <f t="shared" ca="1" si="24"/>
        <v>9.75</v>
      </c>
      <c r="V73" s="712">
        <f t="shared" ca="1" si="25"/>
        <v>0.40625</v>
      </c>
      <c r="W73" s="9">
        <f t="shared" ca="1" si="27"/>
        <v>1</v>
      </c>
      <c r="AA73" s="9">
        <v>71</v>
      </c>
      <c r="AB73" s="9" t="s">
        <v>358</v>
      </c>
      <c r="AC73" s="9">
        <v>5.75</v>
      </c>
      <c r="AD73" s="712">
        <f t="shared" si="31"/>
        <v>0.23958333333333334</v>
      </c>
      <c r="AE73" s="9">
        <v>0</v>
      </c>
      <c r="AF73" s="9">
        <f t="shared" ca="1" si="28"/>
        <v>9.75</v>
      </c>
      <c r="AG73" s="712">
        <f t="shared" ca="1" si="32"/>
        <v>0.40625</v>
      </c>
      <c r="AH73" s="9">
        <f t="shared" ca="1" si="29"/>
        <v>1</v>
      </c>
    </row>
    <row r="74" spans="1:34">
      <c r="C74" s="704"/>
      <c r="E74" s="704"/>
      <c r="P74" s="9">
        <v>72</v>
      </c>
      <c r="Q74" s="9" t="s">
        <v>167</v>
      </c>
      <c r="R74" s="9">
        <f t="shared" ca="1" si="22"/>
        <v>6</v>
      </c>
      <c r="S74" s="712">
        <f t="shared" ca="1" si="22"/>
        <v>0.25</v>
      </c>
      <c r="T74" s="9">
        <f t="shared" ca="1" si="23"/>
        <v>0</v>
      </c>
      <c r="U74" s="9">
        <f t="shared" ca="1" si="24"/>
        <v>10</v>
      </c>
      <c r="V74" s="712">
        <f t="shared" ca="1" si="25"/>
        <v>0.41666666666666669</v>
      </c>
      <c r="W74" s="9">
        <f t="shared" ca="1" si="27"/>
        <v>1</v>
      </c>
      <c r="AA74" s="9">
        <v>72</v>
      </c>
      <c r="AB74" s="9" t="s">
        <v>167</v>
      </c>
      <c r="AC74" s="9">
        <v>6</v>
      </c>
      <c r="AD74" s="712">
        <f t="shared" si="31"/>
        <v>0.25</v>
      </c>
      <c r="AE74" s="9">
        <v>0</v>
      </c>
      <c r="AF74" s="9">
        <f t="shared" ca="1" si="28"/>
        <v>10</v>
      </c>
      <c r="AG74" s="712">
        <f t="shared" ca="1" si="32"/>
        <v>0.41666666666666669</v>
      </c>
      <c r="AH74" s="9">
        <f t="shared" ca="1" si="29"/>
        <v>1</v>
      </c>
    </row>
    <row r="75" spans="1:34">
      <c r="A75" s="5" t="s">
        <v>487</v>
      </c>
      <c r="C75" s="704"/>
      <c r="E75" s="704"/>
      <c r="P75" s="9">
        <v>73</v>
      </c>
      <c r="Q75" s="9" t="s">
        <v>359</v>
      </c>
      <c r="R75" s="9">
        <f t="shared" ca="1" si="22"/>
        <v>6.5</v>
      </c>
      <c r="S75" s="712">
        <f t="shared" ca="1" si="22"/>
        <v>0.27083333333333331</v>
      </c>
      <c r="T75" s="9">
        <f t="shared" ca="1" si="23"/>
        <v>0</v>
      </c>
      <c r="U75" s="9">
        <f t="shared" ca="1" si="24"/>
        <v>10.5</v>
      </c>
      <c r="V75" s="712">
        <f t="shared" ca="1" si="25"/>
        <v>0.4375</v>
      </c>
      <c r="W75" s="9">
        <f t="shared" ca="1" si="27"/>
        <v>1</v>
      </c>
      <c r="AA75" s="9">
        <v>73</v>
      </c>
      <c r="AB75" s="9" t="s">
        <v>359</v>
      </c>
      <c r="AC75" s="9">
        <v>6.5</v>
      </c>
      <c r="AD75" s="712">
        <f t="shared" si="31"/>
        <v>0.27083333333333331</v>
      </c>
      <c r="AE75" s="9">
        <v>0</v>
      </c>
      <c r="AF75" s="9">
        <f t="shared" ca="1" si="28"/>
        <v>10.5</v>
      </c>
      <c r="AG75" s="712">
        <f t="shared" ca="1" si="32"/>
        <v>0.4375</v>
      </c>
      <c r="AH75" s="9">
        <f t="shared" ca="1" si="29"/>
        <v>1</v>
      </c>
    </row>
    <row r="76" spans="1:34">
      <c r="A76" s="704">
        <v>46189.875</v>
      </c>
      <c r="C76" s="704">
        <f t="shared" ref="C76:C81" ca="1" si="33">A76+INDEX($V$3:$V$86,MATCH($C$3,$P$3:$P$86,0))*INDEX($W$3:$W$86,MATCH($C$3,$P$3:$P$86,0))</f>
        <v>46189.875</v>
      </c>
      <c r="D76" s="704"/>
      <c r="E76" s="704"/>
      <c r="P76" s="9">
        <v>74</v>
      </c>
      <c r="Q76" s="9" t="s">
        <v>168</v>
      </c>
      <c r="R76" s="9">
        <f t="shared" ca="1" si="22"/>
        <v>7</v>
      </c>
      <c r="S76" s="712">
        <f t="shared" ca="1" si="22"/>
        <v>0.29166666666666669</v>
      </c>
      <c r="T76" s="9">
        <f t="shared" ca="1" si="23"/>
        <v>0</v>
      </c>
      <c r="U76" s="9">
        <f t="shared" ca="1" si="24"/>
        <v>11</v>
      </c>
      <c r="V76" s="712">
        <f t="shared" ca="1" si="25"/>
        <v>0.45833333333333331</v>
      </c>
      <c r="W76" s="9">
        <f t="shared" ca="1" si="27"/>
        <v>1</v>
      </c>
      <c r="AA76" s="9">
        <v>74</v>
      </c>
      <c r="AB76" s="9" t="s">
        <v>168</v>
      </c>
      <c r="AC76" s="9">
        <v>7</v>
      </c>
      <c r="AD76" s="712">
        <f t="shared" si="31"/>
        <v>0.29166666666666669</v>
      </c>
      <c r="AE76" s="9">
        <v>0</v>
      </c>
      <c r="AF76" s="9">
        <f t="shared" ca="1" si="28"/>
        <v>11</v>
      </c>
      <c r="AG76" s="712">
        <f t="shared" ca="1" si="32"/>
        <v>0.45833333333333331</v>
      </c>
      <c r="AH76" s="9">
        <f t="shared" ca="1" si="29"/>
        <v>1</v>
      </c>
    </row>
    <row r="77" spans="1:34">
      <c r="A77" s="704">
        <v>46190</v>
      </c>
      <c r="C77" s="704">
        <f t="shared" ca="1" si="33"/>
        <v>46190</v>
      </c>
      <c r="D77" s="704"/>
      <c r="E77" s="704"/>
      <c r="P77" s="9">
        <v>75</v>
      </c>
      <c r="Q77" s="9" t="s">
        <v>169</v>
      </c>
      <c r="R77" s="9">
        <f t="shared" ca="1" si="22"/>
        <v>8</v>
      </c>
      <c r="S77" s="712">
        <f t="shared" ca="1" si="22"/>
        <v>0.33333333333333331</v>
      </c>
      <c r="T77" s="9">
        <f t="shared" ca="1" si="23"/>
        <v>0</v>
      </c>
      <c r="U77" s="9">
        <f t="shared" ca="1" si="24"/>
        <v>12</v>
      </c>
      <c r="V77" s="712">
        <f t="shared" ca="1" si="25"/>
        <v>0.5</v>
      </c>
      <c r="W77" s="9">
        <f t="shared" ca="1" si="27"/>
        <v>1</v>
      </c>
      <c r="AA77" s="9">
        <v>75</v>
      </c>
      <c r="AB77" s="9" t="s">
        <v>169</v>
      </c>
      <c r="AC77" s="9">
        <v>8</v>
      </c>
      <c r="AD77" s="712">
        <f t="shared" si="31"/>
        <v>0.33333333333333331</v>
      </c>
      <c r="AE77" s="9">
        <v>0</v>
      </c>
      <c r="AF77" s="9">
        <f t="shared" ca="1" si="28"/>
        <v>12</v>
      </c>
      <c r="AG77" s="712">
        <f t="shared" ca="1" si="32"/>
        <v>0.5</v>
      </c>
      <c r="AH77" s="9">
        <f t="shared" ca="1" si="29"/>
        <v>1</v>
      </c>
    </row>
    <row r="78" spans="1:34">
      <c r="A78" s="704">
        <v>46195.541666666664</v>
      </c>
      <c r="C78" s="704">
        <f t="shared" ca="1" si="33"/>
        <v>46195.541666666664</v>
      </c>
      <c r="D78" s="704"/>
      <c r="E78" s="704"/>
      <c r="P78" s="9">
        <v>76</v>
      </c>
      <c r="Q78" s="9" t="s">
        <v>170</v>
      </c>
      <c r="R78" s="9">
        <f t="shared" ca="1" si="22"/>
        <v>9</v>
      </c>
      <c r="S78" s="712">
        <f t="shared" ca="1" si="22"/>
        <v>0.375</v>
      </c>
      <c r="T78" s="9">
        <f t="shared" ca="1" si="23"/>
        <v>0</v>
      </c>
      <c r="U78" s="9">
        <f t="shared" ca="1" si="24"/>
        <v>13</v>
      </c>
      <c r="V78" s="712">
        <f t="shared" ca="1" si="25"/>
        <v>0.54166666666666663</v>
      </c>
      <c r="W78" s="9">
        <f t="shared" ca="1" si="27"/>
        <v>1</v>
      </c>
      <c r="AA78" s="9">
        <v>76</v>
      </c>
      <c r="AB78" s="9" t="s">
        <v>170</v>
      </c>
      <c r="AC78" s="9">
        <v>9</v>
      </c>
      <c r="AD78" s="712">
        <f t="shared" si="31"/>
        <v>0.375</v>
      </c>
      <c r="AE78" s="9">
        <v>0</v>
      </c>
      <c r="AF78" s="9">
        <f t="shared" ca="1" si="28"/>
        <v>13</v>
      </c>
      <c r="AG78" s="712">
        <f t="shared" ca="1" si="32"/>
        <v>0.54166666666666663</v>
      </c>
      <c r="AH78" s="9">
        <f t="shared" ca="1" si="29"/>
        <v>1</v>
      </c>
    </row>
    <row r="79" spans="1:34">
      <c r="A79" s="704">
        <v>46195.958333333336</v>
      </c>
      <c r="C79" s="704">
        <f t="shared" ca="1" si="33"/>
        <v>46195.958333333336</v>
      </c>
      <c r="D79" s="704"/>
      <c r="E79" s="704"/>
      <c r="P79" s="9">
        <v>77</v>
      </c>
      <c r="Q79" s="9" t="s">
        <v>360</v>
      </c>
      <c r="R79" s="9">
        <f t="shared" ca="1" si="22"/>
        <v>9.5</v>
      </c>
      <c r="S79" s="712">
        <f t="shared" ca="1" si="22"/>
        <v>0.39583333333333331</v>
      </c>
      <c r="T79" s="9">
        <f t="shared" ca="1" si="23"/>
        <v>0</v>
      </c>
      <c r="U79" s="9">
        <f t="shared" ca="1" si="24"/>
        <v>13.5</v>
      </c>
      <c r="V79" s="712">
        <f t="shared" ca="1" si="25"/>
        <v>0.5625</v>
      </c>
      <c r="W79" s="9">
        <f t="shared" ca="1" si="27"/>
        <v>1</v>
      </c>
      <c r="AA79" s="9">
        <v>77</v>
      </c>
      <c r="AB79" s="9" t="s">
        <v>360</v>
      </c>
      <c r="AC79" s="9">
        <v>9.5</v>
      </c>
      <c r="AD79" s="712">
        <f t="shared" si="31"/>
        <v>0.39583333333333331</v>
      </c>
      <c r="AE79" s="9">
        <v>0</v>
      </c>
      <c r="AF79" s="9">
        <f t="shared" ca="1" si="28"/>
        <v>13.5</v>
      </c>
      <c r="AG79" s="712">
        <f t="shared" ca="1" si="32"/>
        <v>0.5625</v>
      </c>
      <c r="AH79" s="9">
        <f t="shared" ca="1" si="29"/>
        <v>1</v>
      </c>
    </row>
    <row r="80" spans="1:34">
      <c r="A80" s="704">
        <v>46200.916666666664</v>
      </c>
      <c r="C80" s="704">
        <f t="shared" ca="1" si="33"/>
        <v>46200.916666666664</v>
      </c>
      <c r="D80" s="704"/>
      <c r="E80" s="704"/>
      <c r="P80" s="9">
        <v>78</v>
      </c>
      <c r="Q80" s="9" t="s">
        <v>171</v>
      </c>
      <c r="R80" s="9">
        <f t="shared" ca="1" si="22"/>
        <v>10</v>
      </c>
      <c r="S80" s="712">
        <f t="shared" ca="1" si="22"/>
        <v>0.41666666666666669</v>
      </c>
      <c r="T80" s="9">
        <f t="shared" ca="1" si="23"/>
        <v>0</v>
      </c>
      <c r="U80" s="9">
        <f t="shared" ca="1" si="24"/>
        <v>14</v>
      </c>
      <c r="V80" s="712">
        <f t="shared" ca="1" si="25"/>
        <v>0.58333333333333337</v>
      </c>
      <c r="W80" s="9">
        <f t="shared" ca="1" si="27"/>
        <v>1</v>
      </c>
      <c r="AA80" s="9">
        <v>78</v>
      </c>
      <c r="AB80" s="9" t="s">
        <v>171</v>
      </c>
      <c r="AC80" s="9">
        <v>10</v>
      </c>
      <c r="AD80" s="712">
        <f t="shared" si="31"/>
        <v>0.41666666666666669</v>
      </c>
      <c r="AE80" s="9">
        <v>0</v>
      </c>
      <c r="AF80" s="9">
        <f t="shared" ca="1" si="28"/>
        <v>14</v>
      </c>
      <c r="AG80" s="712">
        <f t="shared" ca="1" si="32"/>
        <v>0.58333333333333337</v>
      </c>
      <c r="AH80" s="9">
        <f t="shared" ca="1" si="29"/>
        <v>1</v>
      </c>
    </row>
    <row r="81" spans="1:34">
      <c r="A81" s="704">
        <v>46200.916666666664</v>
      </c>
      <c r="C81" s="704">
        <f t="shared" ca="1" si="33"/>
        <v>46200.916666666664</v>
      </c>
      <c r="D81" s="704"/>
      <c r="E81" s="704"/>
      <c r="P81" s="9">
        <v>79</v>
      </c>
      <c r="Q81" s="9" t="s">
        <v>361</v>
      </c>
      <c r="R81" s="9">
        <f t="shared" ca="1" si="22"/>
        <v>10.5</v>
      </c>
      <c r="S81" s="712">
        <f t="shared" ca="1" si="22"/>
        <v>0.4375</v>
      </c>
      <c r="T81" s="9">
        <f t="shared" ca="1" si="23"/>
        <v>0</v>
      </c>
      <c r="U81" s="9">
        <f t="shared" ca="1" si="24"/>
        <v>14.5</v>
      </c>
      <c r="V81" s="712">
        <f t="shared" ca="1" si="25"/>
        <v>0.60416666666666663</v>
      </c>
      <c r="W81" s="9">
        <f t="shared" ca="1" si="27"/>
        <v>1</v>
      </c>
      <c r="AA81" s="9">
        <v>79</v>
      </c>
      <c r="AB81" s="9" t="s">
        <v>361</v>
      </c>
      <c r="AC81" s="9">
        <v>10.5</v>
      </c>
      <c r="AD81" s="712">
        <f t="shared" si="31"/>
        <v>0.4375</v>
      </c>
      <c r="AE81" s="9">
        <v>0</v>
      </c>
      <c r="AF81" s="9">
        <f t="shared" ca="1" si="28"/>
        <v>14.5</v>
      </c>
      <c r="AG81" s="712">
        <f t="shared" ca="1" si="32"/>
        <v>0.60416666666666663</v>
      </c>
      <c r="AH81" s="9">
        <f t="shared" ca="1" si="29"/>
        <v>1</v>
      </c>
    </row>
    <row r="82" spans="1:34">
      <c r="C82" s="704"/>
      <c r="E82" s="704"/>
      <c r="P82" s="9">
        <v>80</v>
      </c>
      <c r="Q82" s="9" t="s">
        <v>172</v>
      </c>
      <c r="R82" s="9">
        <f t="shared" ca="1" si="22"/>
        <v>11</v>
      </c>
      <c r="S82" s="712">
        <f t="shared" ca="1" si="22"/>
        <v>0.45833333333333331</v>
      </c>
      <c r="T82" s="9">
        <f t="shared" ca="1" si="23"/>
        <v>0</v>
      </c>
      <c r="U82" s="9">
        <f t="shared" ca="1" si="24"/>
        <v>15</v>
      </c>
      <c r="V82" s="712">
        <f t="shared" ca="1" si="25"/>
        <v>0.625</v>
      </c>
      <c r="W82" s="9">
        <f t="shared" ca="1" si="27"/>
        <v>1</v>
      </c>
      <c r="AA82" s="9">
        <v>80</v>
      </c>
      <c r="AB82" s="9" t="s">
        <v>172</v>
      </c>
      <c r="AC82" s="9">
        <v>11</v>
      </c>
      <c r="AD82" s="712">
        <f t="shared" si="31"/>
        <v>0.45833333333333331</v>
      </c>
      <c r="AE82" s="9">
        <v>0</v>
      </c>
      <c r="AF82" s="9">
        <f t="shared" ca="1" si="28"/>
        <v>15</v>
      </c>
      <c r="AG82" s="712">
        <f t="shared" ca="1" si="32"/>
        <v>0.625</v>
      </c>
      <c r="AH82" s="9">
        <f t="shared" ca="1" si="29"/>
        <v>1</v>
      </c>
    </row>
    <row r="83" spans="1:34">
      <c r="A83" s="5" t="s">
        <v>488</v>
      </c>
      <c r="C83" s="704"/>
      <c r="E83" s="704"/>
      <c r="P83" s="9">
        <v>81</v>
      </c>
      <c r="Q83" s="9" t="s">
        <v>173</v>
      </c>
      <c r="R83" s="9">
        <f t="shared" ca="1" si="22"/>
        <v>12</v>
      </c>
      <c r="S83" s="712">
        <f t="shared" ca="1" si="22"/>
        <v>0.5</v>
      </c>
      <c r="T83" s="9">
        <f t="shared" ca="1" si="23"/>
        <v>0</v>
      </c>
      <c r="U83" s="9">
        <f t="shared" ca="1" si="24"/>
        <v>16</v>
      </c>
      <c r="V83" s="712">
        <f t="shared" ca="1" si="25"/>
        <v>0.66666666666666663</v>
      </c>
      <c r="W83" s="9">
        <f t="shared" ca="1" si="27"/>
        <v>1</v>
      </c>
      <c r="AA83" s="9">
        <v>81</v>
      </c>
      <c r="AB83" s="9" t="s">
        <v>173</v>
      </c>
      <c r="AC83" s="9">
        <v>12</v>
      </c>
      <c r="AD83" s="712">
        <f t="shared" si="31"/>
        <v>0.5</v>
      </c>
      <c r="AE83" s="9">
        <v>0</v>
      </c>
      <c r="AF83" s="9">
        <f t="shared" ca="1" si="28"/>
        <v>16</v>
      </c>
      <c r="AG83" s="712">
        <f t="shared" ca="1" si="32"/>
        <v>0.66666666666666663</v>
      </c>
      <c r="AH83" s="9">
        <f t="shared" ca="1" si="29"/>
        <v>1</v>
      </c>
    </row>
    <row r="84" spans="1:34">
      <c r="A84" s="704">
        <v>46190.541666666664</v>
      </c>
      <c r="C84" s="704">
        <f t="shared" ref="C84:C89" ca="1" si="34">A84+INDEX($V$3:$V$86,MATCH($C$3,$P$3:$P$86,0))*INDEX($W$3:$W$86,MATCH($C$3,$P$3:$P$86,0))</f>
        <v>46190.541666666664</v>
      </c>
      <c r="D84" s="704"/>
      <c r="E84" s="704"/>
      <c r="P84" s="9">
        <v>82</v>
      </c>
      <c r="Q84" s="9" t="s">
        <v>362</v>
      </c>
      <c r="R84" s="9">
        <f t="shared" ca="1" si="22"/>
        <v>12.75</v>
      </c>
      <c r="S84" s="712">
        <f t="shared" ca="1" si="22"/>
        <v>0.53125</v>
      </c>
      <c r="T84" s="9">
        <f t="shared" ca="1" si="23"/>
        <v>0</v>
      </c>
      <c r="U84" s="9">
        <f t="shared" ca="1" si="24"/>
        <v>16.75</v>
      </c>
      <c r="V84" s="712">
        <f t="shared" ca="1" si="25"/>
        <v>0.69791666666666663</v>
      </c>
      <c r="W84" s="9">
        <f t="shared" ca="1" si="27"/>
        <v>1</v>
      </c>
      <c r="AA84" s="9">
        <v>82</v>
      </c>
      <c r="AB84" s="9" t="s">
        <v>362</v>
      </c>
      <c r="AC84" s="9">
        <v>12.75</v>
      </c>
      <c r="AD84" s="712">
        <f t="shared" si="31"/>
        <v>0.53125</v>
      </c>
      <c r="AE84" s="9">
        <v>0</v>
      </c>
      <c r="AF84" s="9">
        <f t="shared" ca="1" si="28"/>
        <v>16.75</v>
      </c>
      <c r="AG84" s="712">
        <f t="shared" ca="1" si="32"/>
        <v>0.69791666666666663</v>
      </c>
      <c r="AH84" s="9">
        <f t="shared" ca="1" si="29"/>
        <v>1</v>
      </c>
    </row>
    <row r="85" spans="1:34">
      <c r="A85" s="704">
        <v>46190.916666666664</v>
      </c>
      <c r="C85" s="704">
        <f t="shared" ca="1" si="34"/>
        <v>46190.916666666664</v>
      </c>
      <c r="D85" s="704"/>
      <c r="E85" s="704"/>
      <c r="P85" s="9">
        <v>83</v>
      </c>
      <c r="Q85" s="9" t="s">
        <v>363</v>
      </c>
      <c r="R85" s="9">
        <f t="shared" ca="1" si="22"/>
        <v>13</v>
      </c>
      <c r="S85" s="712">
        <f t="shared" ca="1" si="22"/>
        <v>0.54166666666666663</v>
      </c>
      <c r="T85" s="9">
        <f t="shared" ca="1" si="23"/>
        <v>0</v>
      </c>
      <c r="U85" s="9">
        <f t="shared" ca="1" si="24"/>
        <v>17</v>
      </c>
      <c r="V85" s="712">
        <f t="shared" ca="1" si="25"/>
        <v>0.70833333333333337</v>
      </c>
      <c r="W85" s="9">
        <f t="shared" ca="1" si="27"/>
        <v>1</v>
      </c>
      <c r="AA85" s="9">
        <v>83</v>
      </c>
      <c r="AB85" s="9" t="s">
        <v>363</v>
      </c>
      <c r="AC85" s="9">
        <v>13</v>
      </c>
      <c r="AD85" s="712">
        <f t="shared" si="31"/>
        <v>0.54166666666666663</v>
      </c>
      <c r="AE85" s="9">
        <v>0</v>
      </c>
      <c r="AF85" s="9">
        <f t="shared" ca="1" si="28"/>
        <v>17</v>
      </c>
      <c r="AG85" s="712">
        <f t="shared" ca="1" si="32"/>
        <v>0.70833333333333337</v>
      </c>
      <c r="AH85" s="9">
        <f t="shared" ca="1" si="29"/>
        <v>1</v>
      </c>
    </row>
    <row r="86" spans="1:34">
      <c r="A86" s="704">
        <v>46196.541666666664</v>
      </c>
      <c r="C86" s="704">
        <f t="shared" ca="1" si="34"/>
        <v>46196.541666666664</v>
      </c>
      <c r="D86" s="704"/>
      <c r="E86" s="704"/>
      <c r="P86" s="9">
        <v>84</v>
      </c>
      <c r="Q86" s="9" t="s">
        <v>364</v>
      </c>
      <c r="R86" s="9">
        <f t="shared" ca="1" si="22"/>
        <v>14</v>
      </c>
      <c r="S86" s="712">
        <f t="shared" ca="1" si="22"/>
        <v>0.58333333333333337</v>
      </c>
      <c r="T86" s="9">
        <f t="shared" ca="1" si="23"/>
        <v>0</v>
      </c>
      <c r="U86" s="9">
        <f t="shared" ca="1" si="24"/>
        <v>18</v>
      </c>
      <c r="V86" s="712">
        <f t="shared" ca="1" si="25"/>
        <v>0.75</v>
      </c>
      <c r="W86" s="9">
        <f t="shared" ca="1" si="27"/>
        <v>1</v>
      </c>
      <c r="AA86" s="9">
        <v>84</v>
      </c>
      <c r="AB86" s="9" t="s">
        <v>364</v>
      </c>
      <c r="AC86" s="9">
        <v>14</v>
      </c>
      <c r="AD86" s="712">
        <f t="shared" si="31"/>
        <v>0.58333333333333337</v>
      </c>
      <c r="AE86" s="9">
        <v>0</v>
      </c>
      <c r="AF86" s="9">
        <f t="shared" ca="1" si="28"/>
        <v>18</v>
      </c>
      <c r="AG86" s="712">
        <f t="shared" ca="1" si="32"/>
        <v>0.75</v>
      </c>
      <c r="AH86" s="9">
        <f t="shared" ca="1" si="29"/>
        <v>1</v>
      </c>
    </row>
    <row r="87" spans="1:34">
      <c r="A87" s="704">
        <v>46196.916666666664</v>
      </c>
      <c r="C87" s="704">
        <f t="shared" ca="1" si="34"/>
        <v>46196.916666666664</v>
      </c>
    </row>
    <row r="88" spans="1:34">
      <c r="A88" s="704">
        <v>46200.8125</v>
      </c>
      <c r="C88" s="704">
        <f t="shared" ca="1" si="34"/>
        <v>46200.8125</v>
      </c>
    </row>
    <row r="89" spans="1:34">
      <c r="A89" s="704">
        <v>46200.8125</v>
      </c>
      <c r="C89" s="704">
        <f t="shared" ca="1" si="34"/>
        <v>46200.8125</v>
      </c>
    </row>
    <row r="90" spans="1:34">
      <c r="C90" s="704"/>
    </row>
    <row r="91" spans="1:34">
      <c r="A91" s="5" t="s">
        <v>489</v>
      </c>
      <c r="C91" s="704"/>
    </row>
    <row r="92" spans="1:34">
      <c r="A92" s="704">
        <v>46190.666666666664</v>
      </c>
      <c r="C92" s="704">
        <f t="shared" ref="C92:C97" ca="1" si="35">A92+INDEX($V$3:$V$86,MATCH($C$3,$P$3:$P$86,0))*INDEX($W$3:$W$86,MATCH($C$3,$P$3:$P$86,0))</f>
        <v>46190.666666666664</v>
      </c>
    </row>
    <row r="93" spans="1:34">
      <c r="A93" s="704">
        <v>46190.791666666664</v>
      </c>
      <c r="C93" s="704">
        <f t="shared" ca="1" si="35"/>
        <v>46190.791666666664</v>
      </c>
    </row>
    <row r="94" spans="1:34">
      <c r="A94" s="704">
        <v>46196.666666666664</v>
      </c>
      <c r="C94" s="704">
        <f t="shared" ca="1" si="35"/>
        <v>46196.666666666664</v>
      </c>
    </row>
    <row r="95" spans="1:34">
      <c r="A95" s="704">
        <v>46196.791666666664</v>
      </c>
      <c r="C95" s="704">
        <f t="shared" ca="1" si="35"/>
        <v>46196.791666666664</v>
      </c>
    </row>
    <row r="96" spans="1:34">
      <c r="A96" s="704">
        <v>46200.708333333336</v>
      </c>
      <c r="C96" s="704">
        <f t="shared" ca="1" si="35"/>
        <v>46200.708333333336</v>
      </c>
    </row>
    <row r="97" spans="1:3">
      <c r="A97" s="704">
        <v>46200.708333333336</v>
      </c>
      <c r="C97" s="704">
        <f t="shared" ca="1" si="35"/>
        <v>46200.708333333336</v>
      </c>
    </row>
    <row r="100" spans="1:3">
      <c r="A100" s="713" t="s">
        <v>490</v>
      </c>
      <c r="C100" s="704"/>
    </row>
    <row r="101" spans="1:3">
      <c r="A101" s="704">
        <v>46201.625</v>
      </c>
      <c r="C101" s="704">
        <f t="shared" ref="C101:C116" ca="1" si="36">A101+INDEX($V$3:$V$86,MATCH($C$3,$P$3:$P$86,0))*INDEX($W$3:$W$86,MATCH($C$3,$P$3:$P$86,0))</f>
        <v>46201.625</v>
      </c>
    </row>
    <row r="102" spans="1:3">
      <c r="A102" s="704">
        <v>46202.541666666664</v>
      </c>
      <c r="C102" s="704">
        <f t="shared" ca="1" si="36"/>
        <v>46202.541666666664</v>
      </c>
    </row>
    <row r="103" spans="1:3">
      <c r="A103" s="704">
        <v>46202.6875</v>
      </c>
      <c r="C103" s="704">
        <f t="shared" ca="1" si="36"/>
        <v>46202.6875</v>
      </c>
    </row>
    <row r="104" spans="1:3">
      <c r="A104" s="704">
        <v>46202.875</v>
      </c>
      <c r="C104" s="704">
        <f t="shared" ca="1" si="36"/>
        <v>46202.875</v>
      </c>
    </row>
    <row r="105" spans="1:3">
      <c r="A105" s="704">
        <v>46203.541666666664</v>
      </c>
      <c r="C105" s="704">
        <f t="shared" ca="1" si="36"/>
        <v>46203.541666666664</v>
      </c>
    </row>
    <row r="106" spans="1:3">
      <c r="A106" s="704">
        <v>46203.708333333336</v>
      </c>
      <c r="C106" s="704">
        <f t="shared" ca="1" si="36"/>
        <v>46203.708333333336</v>
      </c>
    </row>
    <row r="107" spans="1:3">
      <c r="A107" s="704">
        <v>46203.875</v>
      </c>
      <c r="C107" s="704">
        <f t="shared" ca="1" si="36"/>
        <v>46203.875</v>
      </c>
    </row>
    <row r="108" spans="1:3">
      <c r="A108" s="704">
        <v>46204.5</v>
      </c>
      <c r="C108" s="704">
        <f t="shared" ca="1" si="36"/>
        <v>46204.5</v>
      </c>
    </row>
    <row r="109" spans="1:3">
      <c r="A109" s="704">
        <v>46204.666666666664</v>
      </c>
      <c r="C109" s="704">
        <f t="shared" ca="1" si="36"/>
        <v>46204.666666666664</v>
      </c>
    </row>
    <row r="110" spans="1:3">
      <c r="A110" s="704">
        <v>46204.833333333336</v>
      </c>
      <c r="C110" s="704">
        <f t="shared" ca="1" si="36"/>
        <v>46204.833333333336</v>
      </c>
    </row>
    <row r="111" spans="1:3">
      <c r="A111" s="704">
        <v>46205.625</v>
      </c>
      <c r="C111" s="704">
        <f t="shared" ca="1" si="36"/>
        <v>46205.625</v>
      </c>
    </row>
    <row r="112" spans="1:3">
      <c r="A112" s="704">
        <v>46205.791666666664</v>
      </c>
      <c r="C112" s="704">
        <f t="shared" ca="1" si="36"/>
        <v>46205.791666666664</v>
      </c>
    </row>
    <row r="113" spans="1:3">
      <c r="A113" s="704">
        <v>46205.958333333336</v>
      </c>
      <c r="C113" s="704">
        <f t="shared" ca="1" si="36"/>
        <v>46205.958333333336</v>
      </c>
    </row>
    <row r="114" spans="1:3">
      <c r="A114" s="704">
        <v>46206.583333333336</v>
      </c>
      <c r="C114" s="704">
        <f t="shared" ca="1" si="36"/>
        <v>46206.583333333336</v>
      </c>
    </row>
    <row r="115" spans="1:3">
      <c r="A115" s="704">
        <v>46206.75</v>
      </c>
      <c r="C115" s="704">
        <f t="shared" ca="1" si="36"/>
        <v>46206.75</v>
      </c>
    </row>
    <row r="116" spans="1:3">
      <c r="A116" s="704">
        <v>46206.895833333336</v>
      </c>
      <c r="C116" s="704">
        <f t="shared" ca="1" si="36"/>
        <v>46206.895833333336</v>
      </c>
    </row>
    <row r="117" spans="1:3">
      <c r="C117" s="704"/>
    </row>
    <row r="118" spans="1:3">
      <c r="C118" s="704"/>
    </row>
    <row r="119" spans="1:3">
      <c r="A119" s="713" t="s">
        <v>718</v>
      </c>
    </row>
    <row r="120" spans="1:3">
      <c r="A120" s="704">
        <v>46207.541666666664</v>
      </c>
      <c r="C120" s="704">
        <f t="shared" ref="C120:C127" ca="1" si="37">A120+INDEX($V$3:$V$86,MATCH($C$3,$P$3:$P$86,0))*INDEX($W$3:$W$86,MATCH($C$3,$P$3:$P$86,0))</f>
        <v>46207.541666666664</v>
      </c>
    </row>
    <row r="121" spans="1:3">
      <c r="A121" s="704">
        <v>46207.708333333336</v>
      </c>
      <c r="C121" s="704">
        <f t="shared" ca="1" si="37"/>
        <v>46207.708333333336</v>
      </c>
    </row>
    <row r="122" spans="1:3">
      <c r="A122" s="704">
        <v>46208.666666666664</v>
      </c>
      <c r="C122" s="704">
        <f t="shared" ca="1" si="37"/>
        <v>46208.666666666664</v>
      </c>
    </row>
    <row r="123" spans="1:3">
      <c r="A123" s="704">
        <v>46208.833333333336</v>
      </c>
      <c r="C123" s="704">
        <f t="shared" ca="1" si="37"/>
        <v>46208.833333333336</v>
      </c>
    </row>
    <row r="124" spans="1:3">
      <c r="A124" s="704">
        <v>46209.625</v>
      </c>
      <c r="C124" s="704">
        <f t="shared" ca="1" si="37"/>
        <v>46209.625</v>
      </c>
    </row>
    <row r="125" spans="1:3">
      <c r="A125" s="704">
        <v>46209.833333333336</v>
      </c>
      <c r="C125" s="704">
        <f t="shared" ca="1" si="37"/>
        <v>46209.833333333336</v>
      </c>
    </row>
    <row r="126" spans="1:3">
      <c r="A126" s="704">
        <v>46210.5</v>
      </c>
      <c r="C126" s="704">
        <f t="shared" ca="1" si="37"/>
        <v>46210.5</v>
      </c>
    </row>
    <row r="127" spans="1:3">
      <c r="A127" s="704">
        <v>46210.666666666664</v>
      </c>
      <c r="C127" s="704">
        <f t="shared" ca="1" si="37"/>
        <v>46210.666666666664</v>
      </c>
    </row>
    <row r="130" spans="1:3">
      <c r="A130" s="713" t="s">
        <v>95</v>
      </c>
      <c r="C130" s="704"/>
    </row>
    <row r="131" spans="1:3">
      <c r="A131" s="704">
        <v>46212.666666666664</v>
      </c>
      <c r="C131" s="704">
        <f ca="1">A131+INDEX($V$3:$V$86,MATCH($C$3,$P$3:$P$86,0))*INDEX($W$3:$W$86,MATCH($C$3,$P$3:$P$86,0))</f>
        <v>46212.666666666664</v>
      </c>
    </row>
    <row r="132" spans="1:3">
      <c r="A132" s="704">
        <v>46213.625</v>
      </c>
      <c r="C132" s="704">
        <f ca="1">A132+INDEX($V$3:$V$86,MATCH($C$3,$P$3:$P$86,0))*INDEX($W$3:$W$86,MATCH($C$3,$P$3:$P$86,0))</f>
        <v>46213.625</v>
      </c>
    </row>
    <row r="133" spans="1:3">
      <c r="A133" s="704">
        <v>46214.708333333336</v>
      </c>
      <c r="C133" s="704">
        <f ca="1">A133+INDEX($V$3:$V$86,MATCH($C$3,$P$3:$P$86,0))*INDEX($W$3:$W$86,MATCH($C$3,$P$3:$P$86,0))</f>
        <v>46214.708333333336</v>
      </c>
    </row>
    <row r="134" spans="1:3">
      <c r="A134" s="704">
        <v>46214.875</v>
      </c>
      <c r="C134" s="704">
        <f ca="1">A134+INDEX($V$3:$V$86,MATCH($C$3,$P$3:$P$86,0))*INDEX($W$3:$W$86,MATCH($C$3,$P$3:$P$86,0))</f>
        <v>46214.875</v>
      </c>
    </row>
    <row r="135" spans="1:3">
      <c r="C135" s="704"/>
    </row>
    <row r="137" spans="1:3">
      <c r="A137" s="714" t="s">
        <v>41</v>
      </c>
      <c r="C137" s="704"/>
    </row>
    <row r="138" spans="1:3">
      <c r="A138" s="704">
        <v>46217.625</v>
      </c>
      <c r="C138" s="704">
        <f ca="1">A138+INDEX($V$3:$V$86,MATCH($C$3,$P$3:$P$86,0))*INDEX($W$3:$W$86,MATCH($C$3,$P$3:$P$86,0))</f>
        <v>46217.625</v>
      </c>
    </row>
    <row r="139" spans="1:3">
      <c r="A139" s="704">
        <v>46218.625</v>
      </c>
      <c r="C139" s="704">
        <f ca="1">A139+INDEX($V$3:$V$86,MATCH($C$3,$P$3:$P$86,0))*INDEX($W$3:$W$86,MATCH($C$3,$P$3:$P$86,0))</f>
        <v>46218.625</v>
      </c>
    </row>
    <row r="140" spans="1:3">
      <c r="C140" s="704"/>
    </row>
    <row r="142" spans="1:3">
      <c r="A142" s="715" t="s">
        <v>493</v>
      </c>
    </row>
    <row r="143" spans="1:3">
      <c r="A143" s="704">
        <v>46221.708333333336</v>
      </c>
      <c r="C143" s="704">
        <f ca="1">A143+INDEX($V$3:$V$86,MATCH($C$3,$P$3:$P$86,0))*INDEX($W$3:$W$86,MATCH($C$3,$P$3:$P$86,0))</f>
        <v>46221.708333333336</v>
      </c>
    </row>
    <row r="146" spans="1:3">
      <c r="A146" s="716" t="s">
        <v>4</v>
      </c>
      <c r="C146" s="704"/>
    </row>
    <row r="147" spans="1:3">
      <c r="A147" s="704">
        <v>46222.625</v>
      </c>
      <c r="C147" s="704">
        <f ca="1">A147+INDEX($V$3:$V$86,MATCH($C$3,$P$3:$P$86,0))*INDEX($W$3:$W$86,MATCH($C$3,$P$3:$P$86,0))</f>
        <v>46222.625</v>
      </c>
    </row>
  </sheetData>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workbookViewId="0">
      <selection activeCell="BO1433" sqref="BO1433"/>
    </sheetView>
  </sheetViews>
  <sheetFormatPr baseColWidth="10" defaultColWidth="10.77734375" defaultRowHeight="14.4"/>
  <cols>
    <col min="1" max="1" width="9.44140625" style="9" bestFit="1" customWidth="1"/>
    <col min="2" max="2" width="6" style="9" bestFit="1" customWidth="1"/>
    <col min="3" max="13" width="10.77734375" style="9"/>
    <col min="14" max="14" width="9.44140625" style="9" bestFit="1" customWidth="1"/>
    <col min="15" max="15" width="6.44140625" style="9" bestFit="1" customWidth="1"/>
    <col min="16" max="16384" width="10.77734375" style="9"/>
  </cols>
  <sheetData>
    <row r="1" spans="1:23">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c r="A3" s="9" t="s">
        <v>611</v>
      </c>
      <c r="B3" s="9">
        <f ca="1">+IF(A3=WORLDCUP!$BI$112,1,0)</f>
        <v>0</v>
      </c>
      <c r="C3" s="9" t="str">
        <f ca="1">+WORLDCUP!BD65</f>
        <v>Arabia Saudita</v>
      </c>
      <c r="D3" s="9" t="str">
        <f ca="1">+WORLDCUP!BD64</f>
        <v>Irán</v>
      </c>
      <c r="E3" s="9" t="str">
        <f ca="1">+WORLDCUP!BD66</f>
        <v>Irak</v>
      </c>
      <c r="F3" s="9" t="str">
        <f ca="1">+WORLDCUP!BD61</f>
        <v>Turquía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c r="A4" s="9" t="s">
        <v>1190</v>
      </c>
      <c r="B4" s="9">
        <f ca="1">+IF(A4=WORLDCUP!$BI$112,1,0)</f>
        <v>0</v>
      </c>
      <c r="C4" s="9" t="str">
        <f ca="1">+WORLDCUP!BD62</f>
        <v>Costa de Marfil</v>
      </c>
      <c r="D4" s="9" t="str">
        <f ca="1">+WORLDCUP!BD67</f>
        <v>Austria</v>
      </c>
      <c r="E4" s="9" t="str">
        <f ca="1">+WORLDCUP!BD66</f>
        <v>Irak</v>
      </c>
      <c r="F4" s="9" t="str">
        <f ca="1">+WORLDCUP!BD61</f>
        <v>Turquía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c r="A5" s="9" t="s">
        <v>1189</v>
      </c>
      <c r="B5" s="9">
        <f ca="1">+IF(A5=WORLDCUP!$BI$112,1,0)</f>
        <v>0</v>
      </c>
      <c r="C5" s="9" t="str">
        <f ca="1">+WORLDCUP!BD62</f>
        <v>Costa de Marfil</v>
      </c>
      <c r="D5" s="9" t="str">
        <f ca="1">+WORLDCUP!BD67</f>
        <v>Austria</v>
      </c>
      <c r="E5" s="9" t="str">
        <f ca="1">+WORLDCUP!BD66</f>
        <v>Irak</v>
      </c>
      <c r="F5" s="9" t="str">
        <f ca="1">+WORLDCUP!BD61</f>
        <v>Turquía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c r="A6" s="9" t="s">
        <v>1188</v>
      </c>
      <c r="B6" s="9">
        <f ca="1">+IF(A6=WORLDCUP!$BI$112,1,0)</f>
        <v>0</v>
      </c>
      <c r="C6" s="9" t="str">
        <f ca="1">+WORLDCUP!BD62</f>
        <v>Costa de Marfil</v>
      </c>
      <c r="D6" s="9" t="str">
        <f ca="1">+WORLDCUP!BD64</f>
        <v>Irán</v>
      </c>
      <c r="E6" s="9" t="str">
        <f ca="1">+WORLDCUP!BD66</f>
        <v>Irak</v>
      </c>
      <c r="F6" s="9" t="str">
        <f ca="1">+WORLDCUP!BD61</f>
        <v>Turquía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c r="A7" s="9" t="s">
        <v>1187</v>
      </c>
      <c r="B7" s="9">
        <f ca="1">+IF(A7=WORLDCUP!$BI$112,1,0)</f>
        <v>0</v>
      </c>
      <c r="C7" s="9" t="str">
        <f ca="1">+WORLDCUP!BD62</f>
        <v>Costa de Marfil</v>
      </c>
      <c r="D7" s="9" t="str">
        <f ca="1">+WORLDCUP!BD64</f>
        <v>Irán</v>
      </c>
      <c r="E7" s="9" t="str">
        <f ca="1">+WORLDCUP!BD67</f>
        <v>Austria</v>
      </c>
      <c r="F7" s="9" t="str">
        <f ca="1">+WORLDCUP!BD61</f>
        <v>Turquía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c r="A8" s="9" t="s">
        <v>478</v>
      </c>
      <c r="B8" s="9">
        <f ca="1">+IF(A8=WORLDCUP!$BI$112,1,0)</f>
        <v>0</v>
      </c>
      <c r="C8" s="9" t="str">
        <f ca="1">+WORLDCUP!BD62</f>
        <v>Costa de Marfil</v>
      </c>
      <c r="D8" s="9" t="str">
        <f ca="1">+WORLDCUP!BD64</f>
        <v>Irán</v>
      </c>
      <c r="E8" s="9" t="str">
        <f ca="1">+WORLDCUP!BD66</f>
        <v>Irak</v>
      </c>
      <c r="F8" s="9" t="str">
        <f ca="1">+WORLDCUP!BD61</f>
        <v>Turquía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c r="A9" s="9" t="s">
        <v>477</v>
      </c>
      <c r="B9" s="9">
        <f ca="1">+IF(A9=WORLDCUP!$BI$112,1,0)</f>
        <v>0</v>
      </c>
      <c r="C9" s="9" t="str">
        <f ca="1">+WORLDCUP!BD62</f>
        <v>Costa de Marfil</v>
      </c>
      <c r="D9" s="9" t="str">
        <f ca="1">+WORLDCUP!BD64</f>
        <v>Irán</v>
      </c>
      <c r="E9" s="9" t="str">
        <f ca="1">+WORLDCUP!BD67</f>
        <v>Austria</v>
      </c>
      <c r="F9" s="9" t="str">
        <f ca="1">+WORLDCUP!BD61</f>
        <v>Turquía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c r="A10" s="9" t="s">
        <v>476</v>
      </c>
      <c r="B10" s="9">
        <f ca="1">+IF(A10=WORLDCUP!$BI$112,1,0)</f>
        <v>0</v>
      </c>
      <c r="C10" s="9" t="str">
        <f ca="1">+WORLDCUP!BD62</f>
        <v>Costa de Marfil</v>
      </c>
      <c r="D10" s="9" t="str">
        <f ca="1">+WORLDCUP!BD64</f>
        <v>Irán</v>
      </c>
      <c r="E10" s="9" t="str">
        <f ca="1">+WORLDCUP!BD67</f>
        <v>Austria</v>
      </c>
      <c r="F10" s="9" t="str">
        <f ca="1">+WORLDCUP!BD61</f>
        <v>Turquía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Turquía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c r="A20" s="9" t="s">
        <v>1181</v>
      </c>
      <c r="B20" s="9">
        <f ca="1">+IF(A20=WORLDCUP!$BI$112,1,0)</f>
        <v>0</v>
      </c>
      <c r="C20" s="9" t="str">
        <f ca="1">+WORLDCUP!BD60</f>
        <v>Haití</v>
      </c>
      <c r="D20" s="9" t="str">
        <f ca="1">+WORLDCUP!BD67</f>
        <v>Austria</v>
      </c>
      <c r="E20" s="9" t="str">
        <f ca="1">+WORLDCUP!BD66</f>
        <v>Irak</v>
      </c>
      <c r="F20" s="9" t="str">
        <f ca="1">+WORLDCUP!BD61</f>
        <v>Turquía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c r="A21" s="9" t="s">
        <v>1180</v>
      </c>
      <c r="B21" s="9">
        <f ca="1">+IF(A21=WORLDCUP!$BI$112,1,0)</f>
        <v>0</v>
      </c>
      <c r="C21" s="9" t="str">
        <f ca="1">+WORLDCUP!BD60</f>
        <v>Haití</v>
      </c>
      <c r="D21" s="9" t="str">
        <f ca="1">+WORLDCUP!BD64</f>
        <v>Irán</v>
      </c>
      <c r="E21" s="9" t="str">
        <f ca="1">+WORLDCUP!BD66</f>
        <v>Irak</v>
      </c>
      <c r="F21" s="9" t="str">
        <f ca="1">+WORLDCUP!BD61</f>
        <v>Turquía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c r="A22" s="9" t="s">
        <v>1179</v>
      </c>
      <c r="B22" s="9">
        <f ca="1">+IF(A22=WORLDCUP!$BI$112,1,0)</f>
        <v>0</v>
      </c>
      <c r="C22" s="9" t="str">
        <f ca="1">+WORLDCUP!BD60</f>
        <v>Haití</v>
      </c>
      <c r="D22" s="9" t="str">
        <f ca="1">+WORLDCUP!BD64</f>
        <v>Irán</v>
      </c>
      <c r="E22" s="9" t="str">
        <f ca="1">+WORLDCUP!BD67</f>
        <v>Austria</v>
      </c>
      <c r="F22" s="9" t="str">
        <f ca="1">+WORLDCUP!BD61</f>
        <v>Turquía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c r="A23" s="9" t="s">
        <v>1178</v>
      </c>
      <c r="B23" s="9">
        <f ca="1">+IF(A23=WORLDCUP!$BI$112,1,0)</f>
        <v>0</v>
      </c>
      <c r="C23" s="9" t="str">
        <f ca="1">+WORLDCUP!BD60</f>
        <v>Haití</v>
      </c>
      <c r="D23" s="9" t="str">
        <f ca="1">+WORLDCUP!BD64</f>
        <v>Irán</v>
      </c>
      <c r="E23" s="9" t="str">
        <f ca="1">+WORLDCUP!BD66</f>
        <v>Irak</v>
      </c>
      <c r="F23" s="9" t="str">
        <f ca="1">+WORLDCUP!BD61</f>
        <v>Turquía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c r="A24" s="9" t="s">
        <v>1177</v>
      </c>
      <c r="B24" s="9">
        <f ca="1">+IF(A24=WORLDCUP!$BI$112,1,0)</f>
        <v>0</v>
      </c>
      <c r="C24" s="9" t="str">
        <f ca="1">+WORLDCUP!BD60</f>
        <v>Haití</v>
      </c>
      <c r="D24" s="9" t="str">
        <f ca="1">+WORLDCUP!BD64</f>
        <v>Irán</v>
      </c>
      <c r="E24" s="9" t="str">
        <f ca="1">+WORLDCUP!BD67</f>
        <v>Austria</v>
      </c>
      <c r="F24" s="9" t="str">
        <f ca="1">+WORLDCUP!BD61</f>
        <v>Turquía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c r="A25" s="9" t="s">
        <v>1176</v>
      </c>
      <c r="B25" s="9">
        <f ca="1">+IF(A25=WORLDCUP!$BI$112,1,0)</f>
        <v>0</v>
      </c>
      <c r="C25" s="9" t="str">
        <f ca="1">+WORLDCUP!BD60</f>
        <v>Haití</v>
      </c>
      <c r="D25" s="9" t="str">
        <f ca="1">+WORLDCUP!BD64</f>
        <v>Irán</v>
      </c>
      <c r="E25" s="9" t="str">
        <f ca="1">+WORLDCUP!BD67</f>
        <v>Austria</v>
      </c>
      <c r="F25" s="9" t="str">
        <f ca="1">+WORLDCUP!BD61</f>
        <v>Turquía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Turquía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Turquía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Turquía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Turquía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Turquía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Turquía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c r="A32" s="9" t="s">
        <v>1169</v>
      </c>
      <c r="B32" s="9">
        <f ca="1">+IF(A32=WORLDCUP!$BI$112,1,0)</f>
        <v>0</v>
      </c>
      <c r="C32" s="9" t="str">
        <f ca="1">+WORLDCUP!BD60</f>
        <v>Haití</v>
      </c>
      <c r="D32" s="9" t="str">
        <f ca="1">+WORLDCUP!BD67</f>
        <v>Austria</v>
      </c>
      <c r="E32" s="9" t="str">
        <f ca="1">+WORLDCUP!BD62</f>
        <v>Costa de Marfil</v>
      </c>
      <c r="F32" s="9" t="str">
        <f ca="1">+WORLDCUP!BD61</f>
        <v>Turquía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c r="A33" s="9" t="s">
        <v>1168</v>
      </c>
      <c r="B33" s="9">
        <f ca="1">+IF(A33=WORLDCUP!$BI$112,1,0)</f>
        <v>0</v>
      </c>
      <c r="C33" s="9" t="str">
        <f ca="1">+WORLDCUP!BD60</f>
        <v>Haití</v>
      </c>
      <c r="D33" s="9" t="str">
        <f ca="1">+WORLDCUP!BD67</f>
        <v>Austria</v>
      </c>
      <c r="E33" s="9" t="str">
        <f ca="1">+WORLDCUP!BD62</f>
        <v>Costa de Marfil</v>
      </c>
      <c r="F33" s="9" t="str">
        <f ca="1">+WORLDCUP!BD61</f>
        <v>Turquía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c r="A34" s="9" t="s">
        <v>1167</v>
      </c>
      <c r="B34" s="9">
        <f ca="1">+IF(A34=WORLDCUP!$BI$112,1,0)</f>
        <v>0</v>
      </c>
      <c r="C34" s="9" t="str">
        <f ca="1">+WORLDCUP!BD60</f>
        <v>Haití</v>
      </c>
      <c r="D34" s="9" t="str">
        <f ca="1">+WORLDCUP!BD62</f>
        <v>Costa de Marfil</v>
      </c>
      <c r="E34" s="9" t="str">
        <f ca="1">+WORLDCUP!BD66</f>
        <v>Irak</v>
      </c>
      <c r="F34" s="9" t="str">
        <f ca="1">+WORLDCUP!BD61</f>
        <v>Turquía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c r="A35" s="9" t="s">
        <v>1166</v>
      </c>
      <c r="B35" s="9">
        <f ca="1">+IF(A35=WORLDCUP!$BI$112,1,0)</f>
        <v>0</v>
      </c>
      <c r="C35" s="9" t="str">
        <f ca="1">+WORLDCUP!BD60</f>
        <v>Haití</v>
      </c>
      <c r="D35" s="9" t="str">
        <f ca="1">+WORLDCUP!BD67</f>
        <v>Austria</v>
      </c>
      <c r="E35" s="9" t="str">
        <f ca="1">+WORLDCUP!BD62</f>
        <v>Costa de Marfil</v>
      </c>
      <c r="F35" s="9" t="str">
        <f ca="1">+WORLDCUP!BD61</f>
        <v>Turquía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c r="A36" s="9" t="s">
        <v>1165</v>
      </c>
      <c r="B36" s="9">
        <f ca="1">+IF(A36=WORLDCUP!$BI$112,1,0)</f>
        <v>0</v>
      </c>
      <c r="C36" s="9" t="str">
        <f ca="1">+WORLDCUP!BD60</f>
        <v>Haití</v>
      </c>
      <c r="D36" s="9" t="str">
        <f ca="1">+WORLDCUP!BD67</f>
        <v>Austria</v>
      </c>
      <c r="E36" s="9" t="str">
        <f ca="1">+WORLDCUP!BD62</f>
        <v>Costa de Marfil</v>
      </c>
      <c r="F36" s="9" t="str">
        <f ca="1">+WORLDCUP!BD61</f>
        <v>Turquía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c r="A37" s="9" t="s">
        <v>1164</v>
      </c>
      <c r="B37" s="9">
        <f ca="1">+IF(A37=WORLDCUP!$BI$112,1,0)</f>
        <v>0</v>
      </c>
      <c r="C37" s="9" t="str">
        <f ca="1">+WORLDCUP!BD60</f>
        <v>Haití</v>
      </c>
      <c r="D37" s="9" t="str">
        <f ca="1">+WORLDCUP!BD64</f>
        <v>Irán</v>
      </c>
      <c r="E37" s="9" t="str">
        <f ca="1">+WORLDCUP!BD62</f>
        <v>Costa de Marfil</v>
      </c>
      <c r="F37" s="9" t="str">
        <f ca="1">+WORLDCUP!BD61</f>
        <v>Turquía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c r="A38" s="9" t="s">
        <v>1163</v>
      </c>
      <c r="B38" s="9">
        <f ca="1">+IF(A38=WORLDCUP!$BI$112,1,0)</f>
        <v>0</v>
      </c>
      <c r="C38" s="9" t="str">
        <f ca="1">+WORLDCUP!BD60</f>
        <v>Haití</v>
      </c>
      <c r="D38" s="9" t="str">
        <f ca="1">+WORLDCUP!BD64</f>
        <v>Irán</v>
      </c>
      <c r="E38" s="9" t="str">
        <f ca="1">+WORLDCUP!BD62</f>
        <v>Costa de Marfil</v>
      </c>
      <c r="F38" s="9" t="str">
        <f ca="1">+WORLDCUP!BD61</f>
        <v>Turquía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c r="A39" s="9" t="s">
        <v>1162</v>
      </c>
      <c r="B39" s="9">
        <f ca="1">+IF(A39=WORLDCUP!$BI$112,1,0)</f>
        <v>0</v>
      </c>
      <c r="C39" s="9" t="str">
        <f ca="1">+WORLDCUP!BD60</f>
        <v>Haití</v>
      </c>
      <c r="D39" s="9" t="str">
        <f ca="1">+WORLDCUP!BD64</f>
        <v>Irán</v>
      </c>
      <c r="E39" s="9" t="str">
        <f ca="1">+WORLDCUP!BD62</f>
        <v>Costa de Marfil</v>
      </c>
      <c r="F39" s="9" t="str">
        <f ca="1">+WORLDCUP!BD61</f>
        <v>Turquía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c r="A40" s="9" t="s">
        <v>1161</v>
      </c>
      <c r="B40" s="9">
        <f ca="1">+IF(A40=WORLDCUP!$BI$112,1,0)</f>
        <v>0</v>
      </c>
      <c r="C40" s="9" t="str">
        <f ca="1">+WORLDCUP!BD60</f>
        <v>Haití</v>
      </c>
      <c r="D40" s="9" t="str">
        <f ca="1">+WORLDCUP!BD64</f>
        <v>Irán</v>
      </c>
      <c r="E40" s="9" t="str">
        <f ca="1">+WORLDCUP!BD62</f>
        <v>Costa de Marfil</v>
      </c>
      <c r="F40" s="9" t="str">
        <f ca="1">+WORLDCUP!BD61</f>
        <v>Turquía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c r="A41" s="9" t="s">
        <v>474</v>
      </c>
      <c r="B41" s="9">
        <f ca="1">+IF(A41=WORLDCUP!$BI$112,1,0)</f>
        <v>0</v>
      </c>
      <c r="C41" s="9" t="str">
        <f ca="1">+WORLDCUP!BD60</f>
        <v>Haití</v>
      </c>
      <c r="D41" s="9" t="str">
        <f ca="1">+WORLDCUP!BD64</f>
        <v>Irán</v>
      </c>
      <c r="E41" s="9" t="str">
        <f ca="1">+WORLDCUP!BD62</f>
        <v>Costa de Marfil</v>
      </c>
      <c r="F41" s="9" t="str">
        <f ca="1">+WORLDCUP!BD61</f>
        <v>Turquía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c r="A42" s="9" t="s">
        <v>473</v>
      </c>
      <c r="B42" s="9">
        <f ca="1">+IF(A42=WORLDCUP!$BI$112,1,0)</f>
        <v>0</v>
      </c>
      <c r="C42" s="9" t="str">
        <f ca="1">+WORLDCUP!BD60</f>
        <v>Haití</v>
      </c>
      <c r="D42" s="9" t="str">
        <f ca="1">+WORLDCUP!BD64</f>
        <v>Irán</v>
      </c>
      <c r="E42" s="9" t="str">
        <f ca="1">+WORLDCUP!BD67</f>
        <v>Austria</v>
      </c>
      <c r="F42" s="9" t="str">
        <f ca="1">+WORLDCUP!BD61</f>
        <v>Turquía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c r="A43" s="9" t="s">
        <v>472</v>
      </c>
      <c r="B43" s="9">
        <f ca="1">+IF(A43=WORLDCUP!$BI$112,1,0)</f>
        <v>0</v>
      </c>
      <c r="C43" s="9" t="str">
        <f ca="1">+WORLDCUP!BD60</f>
        <v>Haití</v>
      </c>
      <c r="D43" s="9" t="str">
        <f ca="1">+WORLDCUP!BD64</f>
        <v>Irán</v>
      </c>
      <c r="E43" s="9" t="str">
        <f ca="1">+WORLDCUP!BD67</f>
        <v>Austria</v>
      </c>
      <c r="F43" s="9" t="str">
        <f ca="1">+WORLDCUP!BD61</f>
        <v>Turquía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c r="A44" s="9" t="s">
        <v>471</v>
      </c>
      <c r="B44" s="9">
        <f ca="1">+IF(A44=WORLDCUP!$BI$112,1,0)</f>
        <v>0</v>
      </c>
      <c r="C44" s="9" t="str">
        <f ca="1">+WORLDCUP!BD60</f>
        <v>Haití</v>
      </c>
      <c r="D44" s="9" t="str">
        <f ca="1">+WORLDCUP!BD64</f>
        <v>Irán</v>
      </c>
      <c r="E44" s="9" t="str">
        <f ca="1">+WORLDCUP!BD62</f>
        <v>Costa de Marfil</v>
      </c>
      <c r="F44" s="9" t="str">
        <f ca="1">+WORLDCUP!BD61</f>
        <v>Turquía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c r="A45" s="9" t="s">
        <v>470</v>
      </c>
      <c r="B45" s="9">
        <f ca="1">+IF(A45=WORLDCUP!$BI$112,1,0)</f>
        <v>0</v>
      </c>
      <c r="C45" s="9" t="str">
        <f ca="1">+WORLDCUP!BD60</f>
        <v>Haití</v>
      </c>
      <c r="D45" s="9" t="str">
        <f ca="1">+WORLDCUP!BD64</f>
        <v>Irán</v>
      </c>
      <c r="E45" s="9" t="str">
        <f ca="1">+WORLDCUP!BD62</f>
        <v>Costa de Marfil</v>
      </c>
      <c r="F45" s="9" t="str">
        <f ca="1">+WORLDCUP!BD61</f>
        <v>Turquía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c r="A46" s="9" t="s">
        <v>469</v>
      </c>
      <c r="B46" s="9">
        <f ca="1">+IF(A46=WORLDCUP!$BI$112,1,0)</f>
        <v>0</v>
      </c>
      <c r="C46" s="9" t="str">
        <f ca="1">+WORLDCUP!BD60</f>
        <v>Haití</v>
      </c>
      <c r="D46" s="9" t="str">
        <f ca="1">+WORLDCUP!BD64</f>
        <v>Irán</v>
      </c>
      <c r="E46" s="9" t="str">
        <f ca="1">+WORLDCUP!BD67</f>
        <v>Austria</v>
      </c>
      <c r="F46" s="9" t="str">
        <f ca="1">+WORLDCUP!BD61</f>
        <v>Turquía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c r="A55" s="9" t="s">
        <v>1156</v>
      </c>
      <c r="B55" s="9">
        <f ca="1">+IF(A55=WORLDCUP!$BI$112,1,0)</f>
        <v>0</v>
      </c>
      <c r="C55" s="9" t="str">
        <f ca="1">+WORLDCUP!BD65</f>
        <v>Arabia Saudita</v>
      </c>
      <c r="D55" s="9" t="str">
        <f ca="1">+WORLDCUP!BD67</f>
        <v>Austria</v>
      </c>
      <c r="E55" s="9" t="str">
        <f ca="1">+WORLDCUP!BD59</f>
        <v>Catar</v>
      </c>
      <c r="F55" s="9" t="str">
        <f ca="1">+WORLDCUP!BD61</f>
        <v>Turquía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c r="A56" s="9" t="s">
        <v>1155</v>
      </c>
      <c r="B56" s="9">
        <f ca="1">+IF(A56=WORLDCUP!$BI$112,1,0)</f>
        <v>0</v>
      </c>
      <c r="C56" s="9" t="str">
        <f ca="1">+WORLDCUP!BD65</f>
        <v>Arabia Saudita</v>
      </c>
      <c r="D56" s="9" t="str">
        <f ca="1">+WORLDCUP!BD67</f>
        <v>Austria</v>
      </c>
      <c r="E56" s="9" t="str">
        <f ca="1">+WORLDCUP!BD59</f>
        <v>Catar</v>
      </c>
      <c r="F56" s="9" t="str">
        <f ca="1">+WORLDCUP!BD61</f>
        <v>Turquía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c r="A57" s="9" t="s">
        <v>1154</v>
      </c>
      <c r="B57" s="9">
        <f ca="1">+IF(A57=WORLDCUP!$BI$112,1,0)</f>
        <v>0</v>
      </c>
      <c r="C57" s="9" t="str">
        <f ca="1">+WORLDCUP!BD66</f>
        <v>Irak</v>
      </c>
      <c r="D57" s="9" t="str">
        <f ca="1">+WORLDCUP!BD64</f>
        <v>Irán</v>
      </c>
      <c r="E57" s="9" t="str">
        <f ca="1">+WORLDCUP!BD59</f>
        <v>Catar</v>
      </c>
      <c r="F57" s="9" t="str">
        <f ca="1">+WORLDCUP!BD61</f>
        <v>Turquía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c r="A58" s="9" t="s">
        <v>1153</v>
      </c>
      <c r="B58" s="9">
        <f ca="1">+IF(A58=WORLDCUP!$BI$112,1,0)</f>
        <v>0</v>
      </c>
      <c r="C58" s="9" t="str">
        <f ca="1">+WORLDCUP!BD65</f>
        <v>Arabia Saudita</v>
      </c>
      <c r="D58" s="9" t="str">
        <f ca="1">+WORLDCUP!BD64</f>
        <v>Irán</v>
      </c>
      <c r="E58" s="9" t="str">
        <f ca="1">+WORLDCUP!BD59</f>
        <v>Catar</v>
      </c>
      <c r="F58" s="9" t="str">
        <f ca="1">+WORLDCUP!BD61</f>
        <v>Turquía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c r="A59" s="9" t="s">
        <v>1152</v>
      </c>
      <c r="B59" s="9">
        <f ca="1">+IF(A59=WORLDCUP!$BI$112,1,0)</f>
        <v>0</v>
      </c>
      <c r="C59" s="9" t="str">
        <f ca="1">+WORLDCUP!BD65</f>
        <v>Arabia Saudita</v>
      </c>
      <c r="D59" s="9" t="str">
        <f ca="1">+WORLDCUP!BD64</f>
        <v>Irán</v>
      </c>
      <c r="E59" s="9" t="str">
        <f ca="1">+WORLDCUP!BD59</f>
        <v>Catar</v>
      </c>
      <c r="F59" s="9" t="str">
        <f ca="1">+WORLDCUP!BD61</f>
        <v>Turquía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c r="A60" s="9" t="s">
        <v>1151</v>
      </c>
      <c r="B60" s="9">
        <f ca="1">+IF(A60=WORLDCUP!$BI$112,1,0)</f>
        <v>0</v>
      </c>
      <c r="C60" s="9" t="str">
        <f ca="1">+WORLDCUP!BD65</f>
        <v>Arabia Saudita</v>
      </c>
      <c r="D60" s="9" t="str">
        <f ca="1">+WORLDCUP!BD64</f>
        <v>Irán</v>
      </c>
      <c r="E60" s="9" t="str">
        <f ca="1">+WORLDCUP!BD59</f>
        <v>Catar</v>
      </c>
      <c r="F60" s="9" t="str">
        <f ca="1">+WORLDCUP!BD61</f>
        <v>Turquía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c r="A61" s="9" t="s">
        <v>1150</v>
      </c>
      <c r="B61" s="9">
        <f ca="1">+IF(A61=WORLDCUP!$BI$112,1,0)</f>
        <v>0</v>
      </c>
      <c r="C61" s="9" t="str">
        <f ca="1">+WORLDCUP!BD65</f>
        <v>Arabia Saudita</v>
      </c>
      <c r="D61" s="9" t="str">
        <f ca="1">+WORLDCUP!BD64</f>
        <v>Irán</v>
      </c>
      <c r="E61" s="9" t="str">
        <f ca="1">+WORLDCUP!BD59</f>
        <v>Catar</v>
      </c>
      <c r="F61" s="9" t="str">
        <f ca="1">+WORLDCUP!BD61</f>
        <v>Turquía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c r="A62" s="9" t="s">
        <v>1149</v>
      </c>
      <c r="B62" s="9">
        <f ca="1">+IF(A62=WORLDCUP!$BI$112,1,0)</f>
        <v>0</v>
      </c>
      <c r="C62" s="9" t="str">
        <f ca="1">+WORLDCUP!BD62</f>
        <v>Costa de Marfil</v>
      </c>
      <c r="D62" s="9" t="str">
        <f ca="1">+WORLDCUP!BD67</f>
        <v>Austria</v>
      </c>
      <c r="E62" s="9" t="str">
        <f ca="1">+WORLDCUP!BD59</f>
        <v>Catar</v>
      </c>
      <c r="F62" s="9" t="str">
        <f ca="1">+WORLDCUP!BD61</f>
        <v>Turquía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c r="A63" s="9" t="s">
        <v>1148</v>
      </c>
      <c r="B63" s="9">
        <f ca="1">+IF(A63=WORLDCUP!$BI$112,1,0)</f>
        <v>0</v>
      </c>
      <c r="C63" s="9" t="str">
        <f ca="1">+WORLDCUP!BD62</f>
        <v>Costa de Marfil</v>
      </c>
      <c r="D63" s="9" t="str">
        <f ca="1">+WORLDCUP!BD67</f>
        <v>Austria</v>
      </c>
      <c r="E63" s="9" t="str">
        <f ca="1">+WORLDCUP!BD59</f>
        <v>Catar</v>
      </c>
      <c r="F63" s="9" t="str">
        <f ca="1">+WORLDCUP!BD61</f>
        <v>Turquía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c r="A64" s="9" t="s">
        <v>1147</v>
      </c>
      <c r="B64" s="9">
        <f ca="1">+IF(A64=WORLDCUP!$BI$112,1,0)</f>
        <v>0</v>
      </c>
      <c r="C64" s="9" t="str">
        <f ca="1">+WORLDCUP!BD62</f>
        <v>Costa de Marfil</v>
      </c>
      <c r="D64" s="9" t="str">
        <f ca="1">+WORLDCUP!BD67</f>
        <v>Austria</v>
      </c>
      <c r="E64" s="9" t="str">
        <f ca="1">+WORLDCUP!BD59</f>
        <v>Catar</v>
      </c>
      <c r="F64" s="9" t="str">
        <f ca="1">+WORLDCUP!BD61</f>
        <v>Turquía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c r="A65" s="9" t="s">
        <v>1146</v>
      </c>
      <c r="B65" s="9">
        <f ca="1">+IF(A65=WORLDCUP!$BI$112,1,0)</f>
        <v>0</v>
      </c>
      <c r="C65" s="9" t="str">
        <f ca="1">+WORLDCUP!BD62</f>
        <v>Costa de Marfil</v>
      </c>
      <c r="D65" s="9" t="str">
        <f ca="1">+WORLDCUP!BD64</f>
        <v>Irán</v>
      </c>
      <c r="E65" s="9" t="str">
        <f ca="1">+WORLDCUP!BD59</f>
        <v>Catar</v>
      </c>
      <c r="F65" s="9" t="str">
        <f ca="1">+WORLDCUP!BD61</f>
        <v>Turquía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c r="A66" s="9" t="s">
        <v>1145</v>
      </c>
      <c r="B66" s="9">
        <f ca="1">+IF(A66=WORLDCUP!$BI$112,1,0)</f>
        <v>0</v>
      </c>
      <c r="C66" s="9" t="str">
        <f ca="1">+WORLDCUP!BD62</f>
        <v>Costa de Marfil</v>
      </c>
      <c r="D66" s="9" t="str">
        <f ca="1">+WORLDCUP!BD67</f>
        <v>Austria</v>
      </c>
      <c r="E66" s="9" t="str">
        <f ca="1">+WORLDCUP!BD59</f>
        <v>Catar</v>
      </c>
      <c r="F66" s="9" t="str">
        <f ca="1">+WORLDCUP!BD61</f>
        <v>Turquía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c r="A67" s="9" t="s">
        <v>1144</v>
      </c>
      <c r="B67" s="9">
        <f ca="1">+IF(A67=WORLDCUP!$BI$112,1,0)</f>
        <v>0</v>
      </c>
      <c r="C67" s="9" t="str">
        <f ca="1">+WORLDCUP!BD62</f>
        <v>Costa de Marfil</v>
      </c>
      <c r="D67" s="9" t="str">
        <f ca="1">+WORLDCUP!BD67</f>
        <v>Austria</v>
      </c>
      <c r="E67" s="9" t="str">
        <f ca="1">+WORLDCUP!BD59</f>
        <v>Catar</v>
      </c>
      <c r="F67" s="9" t="str">
        <f ca="1">+WORLDCUP!BD61</f>
        <v>Turquía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c r="A68" s="9" t="s">
        <v>1143</v>
      </c>
      <c r="B68" s="9">
        <f ca="1">+IF(A68=WORLDCUP!$BI$112,1,0)</f>
        <v>0</v>
      </c>
      <c r="C68" s="9" t="str">
        <f ca="1">+WORLDCUP!BD62</f>
        <v>Costa de Marfil</v>
      </c>
      <c r="D68" s="9" t="str">
        <f ca="1">+WORLDCUP!BD67</f>
        <v>Austria</v>
      </c>
      <c r="E68" s="9" t="str">
        <f ca="1">+WORLDCUP!BD59</f>
        <v>Catar</v>
      </c>
      <c r="F68" s="9" t="str">
        <f ca="1">+WORLDCUP!BD61</f>
        <v>Turquía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c r="A69" s="9" t="s">
        <v>1142</v>
      </c>
      <c r="B69" s="9">
        <f ca="1">+IF(A69=WORLDCUP!$BI$112,1,0)</f>
        <v>0</v>
      </c>
      <c r="C69" s="9" t="str">
        <f ca="1">+WORLDCUP!BD62</f>
        <v>Costa de Marfil</v>
      </c>
      <c r="D69" s="9" t="str">
        <f ca="1">+WORLDCUP!BD67</f>
        <v>Austria</v>
      </c>
      <c r="E69" s="9" t="str">
        <f ca="1">+WORLDCUP!BD59</f>
        <v>Catar</v>
      </c>
      <c r="F69" s="9" t="str">
        <f ca="1">+WORLDCUP!BD61</f>
        <v>Turquía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c r="A70" s="9" t="s">
        <v>1141</v>
      </c>
      <c r="B70" s="9">
        <f ca="1">+IF(A70=WORLDCUP!$BI$112,1,0)</f>
        <v>0</v>
      </c>
      <c r="C70" s="9" t="str">
        <f ca="1">+WORLDCUP!BD62</f>
        <v>Costa de Marfil</v>
      </c>
      <c r="D70" s="9" t="str">
        <f ca="1">+WORLDCUP!BD66</f>
        <v>Irak</v>
      </c>
      <c r="E70" s="9" t="str">
        <f ca="1">+WORLDCUP!BD59</f>
        <v>Catar</v>
      </c>
      <c r="F70" s="9" t="str">
        <f ca="1">+WORLDCUP!BD61</f>
        <v>Turquía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c r="A71" s="9" t="s">
        <v>1140</v>
      </c>
      <c r="B71" s="9">
        <f ca="1">+IF(A71=WORLDCUP!$BI$112,1,0)</f>
        <v>0</v>
      </c>
      <c r="C71" s="9" t="str">
        <f ca="1">+WORLDCUP!BD62</f>
        <v>Costa de Marfil</v>
      </c>
      <c r="D71" s="9" t="str">
        <f ca="1">+WORLDCUP!BD67</f>
        <v>Austria</v>
      </c>
      <c r="E71" s="9" t="str">
        <f ca="1">+WORLDCUP!BD59</f>
        <v>Catar</v>
      </c>
      <c r="F71" s="9" t="str">
        <f ca="1">+WORLDCUP!BD61</f>
        <v>Turquía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c r="A72" s="9" t="s">
        <v>1139</v>
      </c>
      <c r="B72" s="9">
        <f ca="1">+IF(A72=WORLDCUP!$BI$112,1,0)</f>
        <v>0</v>
      </c>
      <c r="C72" s="9" t="str">
        <f ca="1">+WORLDCUP!BD62</f>
        <v>Costa de Marfil</v>
      </c>
      <c r="D72" s="9" t="str">
        <f ca="1">+WORLDCUP!BD67</f>
        <v>Austria</v>
      </c>
      <c r="E72" s="9" t="str">
        <f ca="1">+WORLDCUP!BD59</f>
        <v>Catar</v>
      </c>
      <c r="F72" s="9" t="str">
        <f ca="1">+WORLDCUP!BD61</f>
        <v>Turquía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c r="A73" s="9" t="s">
        <v>1138</v>
      </c>
      <c r="B73" s="9">
        <f ca="1">+IF(A73=WORLDCUP!$BI$112,1,0)</f>
        <v>0</v>
      </c>
      <c r="C73" s="9" t="str">
        <f ca="1">+WORLDCUP!BD62</f>
        <v>Costa de Marfil</v>
      </c>
      <c r="D73" s="9" t="str">
        <f ca="1">+WORLDCUP!BD64</f>
        <v>Irán</v>
      </c>
      <c r="E73" s="9" t="str">
        <f ca="1">+WORLDCUP!BD59</f>
        <v>Catar</v>
      </c>
      <c r="F73" s="9" t="str">
        <f ca="1">+WORLDCUP!BD61</f>
        <v>Turquía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c r="A74" s="9" t="s">
        <v>1137</v>
      </c>
      <c r="B74" s="9">
        <f ca="1">+IF(A74=WORLDCUP!$BI$112,1,0)</f>
        <v>0</v>
      </c>
      <c r="C74" s="9" t="str">
        <f ca="1">+WORLDCUP!BD62</f>
        <v>Costa de Marfil</v>
      </c>
      <c r="D74" s="9" t="str">
        <f ca="1">+WORLDCUP!BD64</f>
        <v>Irán</v>
      </c>
      <c r="E74" s="9" t="str">
        <f ca="1">+WORLDCUP!BD59</f>
        <v>Catar</v>
      </c>
      <c r="F74" s="9" t="str">
        <f ca="1">+WORLDCUP!BD61</f>
        <v>Turquía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c r="A75" s="9" t="s">
        <v>1136</v>
      </c>
      <c r="B75" s="9">
        <f ca="1">+IF(A75=WORLDCUP!$BI$112,1,0)</f>
        <v>0</v>
      </c>
      <c r="C75" s="9" t="str">
        <f ca="1">+WORLDCUP!BD62</f>
        <v>Costa de Marfil</v>
      </c>
      <c r="D75" s="9" t="str">
        <f ca="1">+WORLDCUP!BD64</f>
        <v>Irán</v>
      </c>
      <c r="E75" s="9" t="str">
        <f ca="1">+WORLDCUP!BD59</f>
        <v>Catar</v>
      </c>
      <c r="F75" s="9" t="str">
        <f ca="1">+WORLDCUP!BD61</f>
        <v>Turquía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c r="A76" s="9" t="s">
        <v>1135</v>
      </c>
      <c r="B76" s="9">
        <f ca="1">+IF(A76=WORLDCUP!$BI$112,1,0)</f>
        <v>0</v>
      </c>
      <c r="C76" s="9" t="str">
        <f ca="1">+WORLDCUP!BD62</f>
        <v>Costa de Marfil</v>
      </c>
      <c r="D76" s="9" t="str">
        <f ca="1">+WORLDCUP!BD64</f>
        <v>Irán</v>
      </c>
      <c r="E76" s="9" t="str">
        <f ca="1">+WORLDCUP!BD59</f>
        <v>Catar</v>
      </c>
      <c r="F76" s="9" t="str">
        <f ca="1">+WORLDCUP!BD61</f>
        <v>Turquía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c r="A77" s="9" t="s">
        <v>602</v>
      </c>
      <c r="B77" s="9">
        <f ca="1">+IF(A77=WORLDCUP!$BI$112,1,0)</f>
        <v>0</v>
      </c>
      <c r="C77" s="9" t="str">
        <f ca="1">+WORLDCUP!BD62</f>
        <v>Costa de Marfil</v>
      </c>
      <c r="D77" s="9" t="str">
        <f ca="1">+WORLDCUP!BD64</f>
        <v>Irán</v>
      </c>
      <c r="E77" s="9" t="str">
        <f ca="1">+WORLDCUP!BD59</f>
        <v>Catar</v>
      </c>
      <c r="F77" s="9" t="str">
        <f ca="1">+WORLDCUP!BD61</f>
        <v>Turquía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c r="A78" s="9" t="s">
        <v>601</v>
      </c>
      <c r="B78" s="9">
        <f ca="1">+IF(A78=WORLDCUP!$BI$112,1,0)</f>
        <v>0</v>
      </c>
      <c r="C78" s="9" t="str">
        <f ca="1">+WORLDCUP!BD65</f>
        <v>Arabia Saudita</v>
      </c>
      <c r="D78" s="9" t="str">
        <f ca="1">+WORLDCUP!BD64</f>
        <v>Irán</v>
      </c>
      <c r="E78" s="9" t="str">
        <f ca="1">+WORLDCUP!BD59</f>
        <v>Catar</v>
      </c>
      <c r="F78" s="9" t="str">
        <f ca="1">+WORLDCUP!BD61</f>
        <v>Turquía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c r="A79" s="9" t="s">
        <v>600</v>
      </c>
      <c r="B79" s="9">
        <f ca="1">+IF(A79=WORLDCUP!$BI$112,1,0)</f>
        <v>0</v>
      </c>
      <c r="C79" s="9" t="str">
        <f ca="1">+WORLDCUP!BD65</f>
        <v>Arabia Saudita</v>
      </c>
      <c r="D79" s="9" t="str">
        <f ca="1">+WORLDCUP!BD64</f>
        <v>Irán</v>
      </c>
      <c r="E79" s="9" t="str">
        <f ca="1">+WORLDCUP!BD59</f>
        <v>Catar</v>
      </c>
      <c r="F79" s="9" t="str">
        <f ca="1">+WORLDCUP!BD61</f>
        <v>Turquía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c r="A80" s="9" t="s">
        <v>599</v>
      </c>
      <c r="B80" s="9">
        <f ca="1">+IF(A80=WORLDCUP!$BI$112,1,0)</f>
        <v>0</v>
      </c>
      <c r="C80" s="9" t="str">
        <f ca="1">+WORLDCUP!BD62</f>
        <v>Costa de Marfil</v>
      </c>
      <c r="D80" s="9" t="str">
        <f ca="1">+WORLDCUP!BD64</f>
        <v>Irán</v>
      </c>
      <c r="E80" s="9" t="str">
        <f ca="1">+WORLDCUP!BD59</f>
        <v>Catar</v>
      </c>
      <c r="F80" s="9" t="str">
        <f ca="1">+WORLDCUP!BD61</f>
        <v>Turquía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c r="A81" s="9" t="s">
        <v>598</v>
      </c>
      <c r="B81" s="9">
        <f ca="1">+IF(A81=WORLDCUP!$BI$112,1,0)</f>
        <v>0</v>
      </c>
      <c r="C81" s="9" t="str">
        <f ca="1">+WORLDCUP!BD62</f>
        <v>Costa de Marfil</v>
      </c>
      <c r="D81" s="9" t="str">
        <f ca="1">+WORLDCUP!BD64</f>
        <v>Irán</v>
      </c>
      <c r="E81" s="9" t="str">
        <f ca="1">+WORLDCUP!BD59</f>
        <v>Catar</v>
      </c>
      <c r="F81" s="9" t="str">
        <f ca="1">+WORLDCUP!BD61</f>
        <v>Turquía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c r="A82" s="9" t="s">
        <v>597</v>
      </c>
      <c r="B82" s="9">
        <f ca="1">+IF(A82=WORLDCUP!$BI$112,1,0)</f>
        <v>0</v>
      </c>
      <c r="C82" s="9" t="str">
        <f ca="1">+WORLDCUP!BD65</f>
        <v>Arabia Saudita</v>
      </c>
      <c r="D82" s="9" t="str">
        <f ca="1">+WORLDCUP!BD64</f>
        <v>Irán</v>
      </c>
      <c r="E82" s="9" t="str">
        <f ca="1">+WORLDCUP!BD59</f>
        <v>Catar</v>
      </c>
      <c r="F82" s="9" t="str">
        <f ca="1">+WORLDCUP!BD61</f>
        <v>Turquía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Turquía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Turquía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Turquía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Turquía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Turquía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Turquía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c r="A117" s="9" t="s">
        <v>1100</v>
      </c>
      <c r="B117" s="9">
        <f ca="1">+IF(A117=WORLDCUP!$BI$112,1,0)</f>
        <v>0</v>
      </c>
      <c r="C117" s="9" t="str">
        <f ca="1">+WORLDCUP!BD60</f>
        <v>Haití</v>
      </c>
      <c r="D117" s="9" t="str">
        <f ca="1">+WORLDCUP!BD67</f>
        <v>Austria</v>
      </c>
      <c r="E117" s="9" t="str">
        <f ca="1">+WORLDCUP!BD59</f>
        <v>Catar</v>
      </c>
      <c r="F117" s="9" t="str">
        <f ca="1">+WORLDCUP!BD61</f>
        <v>Turquía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c r="A118" s="9" t="s">
        <v>1099</v>
      </c>
      <c r="B118" s="9">
        <f ca="1">+IF(A118=WORLDCUP!$BI$112,1,0)</f>
        <v>0</v>
      </c>
      <c r="C118" s="9" t="str">
        <f ca="1">+WORLDCUP!BD60</f>
        <v>Haití</v>
      </c>
      <c r="D118" s="9" t="str">
        <f ca="1">+WORLDCUP!BD67</f>
        <v>Austria</v>
      </c>
      <c r="E118" s="9" t="str">
        <f ca="1">+WORLDCUP!BD59</f>
        <v>Catar</v>
      </c>
      <c r="F118" s="9" t="str">
        <f ca="1">+WORLDCUP!BD61</f>
        <v>Turquía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c r="A119" s="9" t="s">
        <v>1098</v>
      </c>
      <c r="B119" s="9">
        <f ca="1">+IF(A119=WORLDCUP!$BI$112,1,0)</f>
        <v>0</v>
      </c>
      <c r="C119" s="9" t="str">
        <f ca="1">+WORLDCUP!BD60</f>
        <v>Haití</v>
      </c>
      <c r="D119" s="9" t="str">
        <f ca="1">+WORLDCUP!BD66</f>
        <v>Irak</v>
      </c>
      <c r="E119" s="9" t="str">
        <f ca="1">+WORLDCUP!BD59</f>
        <v>Catar</v>
      </c>
      <c r="F119" s="9" t="str">
        <f ca="1">+WORLDCUP!BD61</f>
        <v>Turquía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c r="A120" s="9" t="s">
        <v>1097</v>
      </c>
      <c r="B120" s="9">
        <f ca="1">+IF(A120=WORLDCUP!$BI$112,1,0)</f>
        <v>0</v>
      </c>
      <c r="C120" s="9" t="str">
        <f ca="1">+WORLDCUP!BD60</f>
        <v>Haití</v>
      </c>
      <c r="D120" s="9" t="str">
        <f ca="1">+WORLDCUP!BD67</f>
        <v>Austria</v>
      </c>
      <c r="E120" s="9" t="str">
        <f ca="1">+WORLDCUP!BD59</f>
        <v>Catar</v>
      </c>
      <c r="F120" s="9" t="str">
        <f ca="1">+WORLDCUP!BD61</f>
        <v>Turquía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c r="A121" s="9" t="s">
        <v>1096</v>
      </c>
      <c r="B121" s="9">
        <f ca="1">+IF(A121=WORLDCUP!$BI$112,1,0)</f>
        <v>0</v>
      </c>
      <c r="C121" s="9" t="str">
        <f ca="1">+WORLDCUP!BD60</f>
        <v>Haití</v>
      </c>
      <c r="D121" s="9" t="str">
        <f ca="1">+WORLDCUP!BD67</f>
        <v>Austria</v>
      </c>
      <c r="E121" s="9" t="str">
        <f ca="1">+WORLDCUP!BD59</f>
        <v>Catar</v>
      </c>
      <c r="F121" s="9" t="str">
        <f ca="1">+WORLDCUP!BD61</f>
        <v>Turquía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c r="A122" s="9" t="s">
        <v>1095</v>
      </c>
      <c r="B122" s="9">
        <f ca="1">+IF(A122=WORLDCUP!$BI$112,1,0)</f>
        <v>0</v>
      </c>
      <c r="C122" s="9" t="str">
        <f ca="1">+WORLDCUP!BD60</f>
        <v>Haití</v>
      </c>
      <c r="D122" s="9" t="str">
        <f ca="1">+WORLDCUP!BD64</f>
        <v>Irán</v>
      </c>
      <c r="E122" s="9" t="str">
        <f ca="1">+WORLDCUP!BD59</f>
        <v>Catar</v>
      </c>
      <c r="F122" s="9" t="str">
        <f ca="1">+WORLDCUP!BD61</f>
        <v>Turquía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c r="A123" s="9" t="s">
        <v>1094</v>
      </c>
      <c r="B123" s="9">
        <f ca="1">+IF(A123=WORLDCUP!$BI$112,1,0)</f>
        <v>0</v>
      </c>
      <c r="C123" s="9" t="str">
        <f ca="1">+WORLDCUP!BD60</f>
        <v>Haití</v>
      </c>
      <c r="D123" s="9" t="str">
        <f ca="1">+WORLDCUP!BD64</f>
        <v>Irán</v>
      </c>
      <c r="E123" s="9" t="str">
        <f ca="1">+WORLDCUP!BD59</f>
        <v>Catar</v>
      </c>
      <c r="F123" s="9" t="str">
        <f ca="1">+WORLDCUP!BD61</f>
        <v>Turquía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c r="A124" s="9" t="s">
        <v>1093</v>
      </c>
      <c r="B124" s="9">
        <f ca="1">+IF(A124=WORLDCUP!$BI$112,1,0)</f>
        <v>0</v>
      </c>
      <c r="C124" s="9" t="str">
        <f ca="1">+WORLDCUP!BD60</f>
        <v>Haití</v>
      </c>
      <c r="D124" s="9" t="str">
        <f ca="1">+WORLDCUP!BD64</f>
        <v>Irán</v>
      </c>
      <c r="E124" s="9" t="str">
        <f ca="1">+WORLDCUP!BD59</f>
        <v>Catar</v>
      </c>
      <c r="F124" s="9" t="str">
        <f ca="1">+WORLDCUP!BD61</f>
        <v>Turquía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c r="A125" s="9" t="s">
        <v>1092</v>
      </c>
      <c r="B125" s="9">
        <f ca="1">+IF(A125=WORLDCUP!$BI$112,1,0)</f>
        <v>0</v>
      </c>
      <c r="C125" s="9" t="str">
        <f ca="1">+WORLDCUP!BD60</f>
        <v>Haití</v>
      </c>
      <c r="D125" s="9" t="str">
        <f ca="1">+WORLDCUP!BD64</f>
        <v>Irán</v>
      </c>
      <c r="E125" s="9" t="str">
        <f ca="1">+WORLDCUP!BD59</f>
        <v>Catar</v>
      </c>
      <c r="F125" s="9" t="str">
        <f ca="1">+WORLDCUP!BD61</f>
        <v>Turquía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c r="A126" s="9" t="s">
        <v>1091</v>
      </c>
      <c r="B126" s="9">
        <f ca="1">+IF(A126=WORLDCUP!$BI$112,1,0)</f>
        <v>0</v>
      </c>
      <c r="C126" s="9" t="str">
        <f ca="1">+WORLDCUP!BD60</f>
        <v>Haití</v>
      </c>
      <c r="D126" s="9" t="str">
        <f ca="1">+WORLDCUP!BD64</f>
        <v>Irán</v>
      </c>
      <c r="E126" s="9" t="str">
        <f ca="1">+WORLDCUP!BD59</f>
        <v>Catar</v>
      </c>
      <c r="F126" s="9" t="str">
        <f ca="1">+WORLDCUP!BD61</f>
        <v>Turquía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c r="A127" s="9" t="s">
        <v>1090</v>
      </c>
      <c r="B127" s="9">
        <f ca="1">+IF(A127=WORLDCUP!$BI$112,1,0)</f>
        <v>0</v>
      </c>
      <c r="C127" s="9" t="str">
        <f ca="1">+WORLDCUP!BD60</f>
        <v>Haití</v>
      </c>
      <c r="D127" s="9" t="str">
        <f ca="1">+WORLDCUP!BD64</f>
        <v>Irán</v>
      </c>
      <c r="E127" s="9" t="str">
        <f ca="1">+WORLDCUP!BD59</f>
        <v>Catar</v>
      </c>
      <c r="F127" s="9" t="str">
        <f ca="1">+WORLDCUP!BD61</f>
        <v>Turquía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Turquía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c r="A129" s="9" t="s">
        <v>1088</v>
      </c>
      <c r="B129" s="9">
        <f ca="1">+IF(A129=WORLDCUP!$BI$112,1,0)</f>
        <v>0</v>
      </c>
      <c r="C129" s="9" t="str">
        <f ca="1">+WORLDCUP!BD60</f>
        <v>Haití</v>
      </c>
      <c r="D129" s="9" t="str">
        <f ca="1">+WORLDCUP!BD64</f>
        <v>Irán</v>
      </c>
      <c r="E129" s="9" t="str">
        <f ca="1">+WORLDCUP!BD59</f>
        <v>Catar</v>
      </c>
      <c r="F129" s="9" t="str">
        <f ca="1">+WORLDCUP!BD61</f>
        <v>Turquía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c r="A130" s="9" t="s">
        <v>1087</v>
      </c>
      <c r="B130" s="9">
        <f ca="1">+IF(A130=WORLDCUP!$BI$112,1,0)</f>
        <v>0</v>
      </c>
      <c r="C130" s="9" t="str">
        <f ca="1">+WORLDCUP!BD60</f>
        <v>Haití</v>
      </c>
      <c r="D130" s="9" t="str">
        <f ca="1">+WORLDCUP!BD64</f>
        <v>Irán</v>
      </c>
      <c r="E130" s="9" t="str">
        <f ca="1">+WORLDCUP!BD59</f>
        <v>Catar</v>
      </c>
      <c r="F130" s="9" t="str">
        <f ca="1">+WORLDCUP!BD61</f>
        <v>Turquía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Turquía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Turquía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Turquía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Turquía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Turquía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Turquía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Turquía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Turquía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Turquía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Turquía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Turquía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Turquía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Turquía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Turquía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Turquía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Turquía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c r="A147" s="9" t="s">
        <v>1070</v>
      </c>
      <c r="B147" s="9">
        <f ca="1">+IF(A147=WORLDCUP!$BI$112,1,0)</f>
        <v>0</v>
      </c>
      <c r="C147" s="9" t="str">
        <f ca="1">+WORLDCUP!BD60</f>
        <v>Haití</v>
      </c>
      <c r="D147" s="9" t="str">
        <f ca="1">+WORLDCUP!BD67</f>
        <v>Austria</v>
      </c>
      <c r="E147" s="9" t="str">
        <f ca="1">+WORLDCUP!BD59</f>
        <v>Catar</v>
      </c>
      <c r="F147" s="9" t="str">
        <f ca="1">+WORLDCUP!BD61</f>
        <v>Turquía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c r="A148" s="9" t="s">
        <v>1069</v>
      </c>
      <c r="B148" s="9">
        <f ca="1">+IF(A148=WORLDCUP!$BI$112,1,0)</f>
        <v>0</v>
      </c>
      <c r="C148" s="9" t="str">
        <f ca="1">+WORLDCUP!BD60</f>
        <v>Haití</v>
      </c>
      <c r="D148" s="9" t="str">
        <f ca="1">+WORLDCUP!BD62</f>
        <v>Costa de Marfil</v>
      </c>
      <c r="E148" s="9" t="str">
        <f ca="1">+WORLDCUP!BD59</f>
        <v>Catar</v>
      </c>
      <c r="F148" s="9" t="str">
        <f ca="1">+WORLDCUP!BD61</f>
        <v>Turquía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c r="A149" s="9" t="s">
        <v>1068</v>
      </c>
      <c r="B149" s="9">
        <f ca="1">+IF(A149=WORLDCUP!$BI$112,1,0)</f>
        <v>0</v>
      </c>
      <c r="C149" s="9" t="str">
        <f ca="1">+WORLDCUP!BD60</f>
        <v>Haití</v>
      </c>
      <c r="D149" s="9" t="str">
        <f ca="1">+WORLDCUP!BD67</f>
        <v>Austria</v>
      </c>
      <c r="E149" s="9" t="str">
        <f ca="1">+WORLDCUP!BD59</f>
        <v>Catar</v>
      </c>
      <c r="F149" s="9" t="str">
        <f ca="1">+WORLDCUP!BD61</f>
        <v>Turquía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c r="A150" s="9" t="s">
        <v>1067</v>
      </c>
      <c r="B150" s="9">
        <f ca="1">+IF(A150=WORLDCUP!$BI$112,1,0)</f>
        <v>0</v>
      </c>
      <c r="C150" s="9" t="str">
        <f ca="1">+WORLDCUP!BD60</f>
        <v>Haití</v>
      </c>
      <c r="D150" s="9" t="str">
        <f ca="1">+WORLDCUP!BD67</f>
        <v>Austria</v>
      </c>
      <c r="E150" s="9" t="str">
        <f ca="1">+WORLDCUP!BD59</f>
        <v>Catar</v>
      </c>
      <c r="F150" s="9" t="str">
        <f ca="1">+WORLDCUP!BD61</f>
        <v>Turquía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c r="A151" s="9" t="s">
        <v>1066</v>
      </c>
      <c r="B151" s="9">
        <f ca="1">+IF(A151=WORLDCUP!$BI$112,1,0)</f>
        <v>0</v>
      </c>
      <c r="C151" s="9" t="str">
        <f ca="1">+WORLDCUP!BD60</f>
        <v>Haití</v>
      </c>
      <c r="D151" s="9" t="str">
        <f ca="1">+WORLDCUP!BD62</f>
        <v>Costa de Marfil</v>
      </c>
      <c r="E151" s="9" t="str">
        <f ca="1">+WORLDCUP!BD59</f>
        <v>Catar</v>
      </c>
      <c r="F151" s="9" t="str">
        <f ca="1">+WORLDCUP!BD61</f>
        <v>Turquía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c r="A152" s="9" t="s">
        <v>1065</v>
      </c>
      <c r="B152" s="9">
        <f ca="1">+IF(A152=WORLDCUP!$BI$112,1,0)</f>
        <v>0</v>
      </c>
      <c r="C152" s="9" t="str">
        <f ca="1">+WORLDCUP!BD60</f>
        <v>Haití</v>
      </c>
      <c r="D152" s="9" t="str">
        <f ca="1">+WORLDCUP!BD67</f>
        <v>Austria</v>
      </c>
      <c r="E152" s="9" t="str">
        <f ca="1">+WORLDCUP!BD59</f>
        <v>Catar</v>
      </c>
      <c r="F152" s="9" t="str">
        <f ca="1">+WORLDCUP!BD61</f>
        <v>Turquía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c r="A153" s="9" t="s">
        <v>1064</v>
      </c>
      <c r="B153" s="9">
        <f ca="1">+IF(A153=WORLDCUP!$BI$112,1,0)</f>
        <v>0</v>
      </c>
      <c r="C153" s="9" t="str">
        <f ca="1">+WORLDCUP!BD60</f>
        <v>Haití</v>
      </c>
      <c r="D153" s="9" t="str">
        <f ca="1">+WORLDCUP!BD67</f>
        <v>Austria</v>
      </c>
      <c r="E153" s="9" t="str">
        <f ca="1">+WORLDCUP!BD59</f>
        <v>Catar</v>
      </c>
      <c r="F153" s="9" t="str">
        <f ca="1">+WORLDCUP!BD61</f>
        <v>Turquía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c r="A154" s="9" t="s">
        <v>1063</v>
      </c>
      <c r="B154" s="9">
        <f ca="1">+IF(A154=WORLDCUP!$BI$112,1,0)</f>
        <v>0</v>
      </c>
      <c r="C154" s="9" t="str">
        <f ca="1">+WORLDCUP!BD60</f>
        <v>Haití</v>
      </c>
      <c r="D154" s="9" t="str">
        <f ca="1">+WORLDCUP!BD62</f>
        <v>Costa de Marfil</v>
      </c>
      <c r="E154" s="9" t="str">
        <f ca="1">+WORLDCUP!BD59</f>
        <v>Catar</v>
      </c>
      <c r="F154" s="9" t="str">
        <f ca="1">+WORLDCUP!BD61</f>
        <v>Turquía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c r="A155" s="9" t="s">
        <v>1062</v>
      </c>
      <c r="B155" s="9">
        <f ca="1">+IF(A155=WORLDCUP!$BI$112,1,0)</f>
        <v>0</v>
      </c>
      <c r="C155" s="9" t="str">
        <f ca="1">+WORLDCUP!BD60</f>
        <v>Haití</v>
      </c>
      <c r="D155" s="9" t="str">
        <f ca="1">+WORLDCUP!BD62</f>
        <v>Costa de Marfil</v>
      </c>
      <c r="E155" s="9" t="str">
        <f ca="1">+WORLDCUP!BD59</f>
        <v>Catar</v>
      </c>
      <c r="F155" s="9" t="str">
        <f ca="1">+WORLDCUP!BD61</f>
        <v>Turquía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c r="A156" s="9" t="s">
        <v>1061</v>
      </c>
      <c r="B156" s="9">
        <f ca="1">+IF(A156=WORLDCUP!$BI$112,1,0)</f>
        <v>0</v>
      </c>
      <c r="C156" s="9" t="str">
        <f ca="1">+WORLDCUP!BD60</f>
        <v>Haití</v>
      </c>
      <c r="D156" s="9" t="str">
        <f ca="1">+WORLDCUP!BD67</f>
        <v>Austria</v>
      </c>
      <c r="E156" s="9" t="str">
        <f ca="1">+WORLDCUP!BD59</f>
        <v>Catar</v>
      </c>
      <c r="F156" s="9" t="str">
        <f ca="1">+WORLDCUP!BD61</f>
        <v>Turquía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c r="A157" s="9" t="s">
        <v>475</v>
      </c>
      <c r="B157" s="9">
        <f ca="1">+IF(A157=WORLDCUP!$BI$112,1,0)</f>
        <v>0</v>
      </c>
      <c r="C157" s="9" t="str">
        <f ca="1">+WORLDCUP!BD60</f>
        <v>Haití</v>
      </c>
      <c r="D157" s="9" t="str">
        <f ca="1">+WORLDCUP!BD64</f>
        <v>Irán</v>
      </c>
      <c r="E157" s="9" t="str">
        <f ca="1">+WORLDCUP!BD59</f>
        <v>Catar</v>
      </c>
      <c r="F157" s="9" t="str">
        <f ca="1">+WORLDCUP!BD61</f>
        <v>Turquía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c r="A158" s="9" t="s">
        <v>468</v>
      </c>
      <c r="B158" s="9">
        <f ca="1">+IF(A158=WORLDCUP!$BI$112,1,0)</f>
        <v>0</v>
      </c>
      <c r="C158" s="9" t="str">
        <f ca="1">+WORLDCUP!BD60</f>
        <v>Haití</v>
      </c>
      <c r="D158" s="9" t="str">
        <f ca="1">+WORLDCUP!BD64</f>
        <v>Irán</v>
      </c>
      <c r="E158" s="9" t="str">
        <f ca="1">+WORLDCUP!BD59</f>
        <v>Catar</v>
      </c>
      <c r="F158" s="9" t="str">
        <f ca="1">+WORLDCUP!BD61</f>
        <v>Turquía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c r="A159" s="9" t="s">
        <v>467</v>
      </c>
      <c r="B159" s="9">
        <f ca="1">+IF(A159=WORLDCUP!$BI$112,1,0)</f>
        <v>0</v>
      </c>
      <c r="C159" s="9" t="str">
        <f ca="1">+WORLDCUP!BD60</f>
        <v>Haití</v>
      </c>
      <c r="D159" s="9" t="str">
        <f ca="1">+WORLDCUP!BD64</f>
        <v>Irán</v>
      </c>
      <c r="E159" s="9" t="str">
        <f ca="1">+WORLDCUP!BD59</f>
        <v>Catar</v>
      </c>
      <c r="F159" s="9" t="str">
        <f ca="1">+WORLDCUP!BD61</f>
        <v>Turquía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c r="A160" s="9" t="s">
        <v>466</v>
      </c>
      <c r="B160" s="9">
        <f ca="1">+IF(A160=WORLDCUP!$BI$112,1,0)</f>
        <v>0</v>
      </c>
      <c r="C160" s="9" t="str">
        <f ca="1">+WORLDCUP!BD60</f>
        <v>Haití</v>
      </c>
      <c r="D160" s="9" t="str">
        <f ca="1">+WORLDCUP!BD64</f>
        <v>Irán</v>
      </c>
      <c r="E160" s="9" t="str">
        <f ca="1">+WORLDCUP!BD59</f>
        <v>Catar</v>
      </c>
      <c r="F160" s="9" t="str">
        <f ca="1">+WORLDCUP!BD61</f>
        <v>Turquía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c r="A161" s="9" t="s">
        <v>465</v>
      </c>
      <c r="B161" s="9">
        <f ca="1">+IF(A161=WORLDCUP!$BI$112,1,0)</f>
        <v>0</v>
      </c>
      <c r="C161" s="9" t="str">
        <f ca="1">+WORLDCUP!BD60</f>
        <v>Haití</v>
      </c>
      <c r="D161" s="9" t="str">
        <f ca="1">+WORLDCUP!BD64</f>
        <v>Irán</v>
      </c>
      <c r="E161" s="9" t="str">
        <f ca="1">+WORLDCUP!BD59</f>
        <v>Catar</v>
      </c>
      <c r="F161" s="9" t="str">
        <f ca="1">+WORLDCUP!BD61</f>
        <v>Turquía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c r="A162" s="9" t="s">
        <v>464</v>
      </c>
      <c r="B162" s="9">
        <f ca="1">+IF(A162=WORLDCUP!$BI$112,1,0)</f>
        <v>0</v>
      </c>
      <c r="C162" s="9" t="str">
        <f ca="1">+WORLDCUP!BD60</f>
        <v>Haití</v>
      </c>
      <c r="D162" s="9" t="str">
        <f ca="1">+WORLDCUP!BD64</f>
        <v>Irán</v>
      </c>
      <c r="E162" s="9" t="str">
        <f ca="1">+WORLDCUP!BD59</f>
        <v>Catar</v>
      </c>
      <c r="F162" s="9" t="str">
        <f ca="1">+WORLDCUP!BD61</f>
        <v>Turquía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c r="A163" s="9" t="s">
        <v>463</v>
      </c>
      <c r="B163" s="9">
        <f ca="1">+IF(A163=WORLDCUP!$BI$112,1,0)</f>
        <v>0</v>
      </c>
      <c r="C163" s="9" t="str">
        <f ca="1">+WORLDCUP!BD60</f>
        <v>Haití</v>
      </c>
      <c r="D163" s="9" t="str">
        <f ca="1">+WORLDCUP!BD64</f>
        <v>Irán</v>
      </c>
      <c r="E163" s="9" t="str">
        <f ca="1">+WORLDCUP!BD59</f>
        <v>Catar</v>
      </c>
      <c r="F163" s="9" t="str">
        <f ca="1">+WORLDCUP!BD61</f>
        <v>Turquía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c r="A164" s="9" t="s">
        <v>462</v>
      </c>
      <c r="B164" s="9">
        <f ca="1">+IF(A164=WORLDCUP!$BI$112,1,0)</f>
        <v>0</v>
      </c>
      <c r="C164" s="9" t="str">
        <f ca="1">+WORLDCUP!BD60</f>
        <v>Haití</v>
      </c>
      <c r="D164" s="9" t="str">
        <f ca="1">+WORLDCUP!BD64</f>
        <v>Irán</v>
      </c>
      <c r="E164" s="9" t="str">
        <f ca="1">+WORLDCUP!BD59</f>
        <v>Catar</v>
      </c>
      <c r="F164" s="9" t="str">
        <f ca="1">+WORLDCUP!BD61</f>
        <v>Turquía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Turquía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c r="A166" s="9" t="s">
        <v>460</v>
      </c>
      <c r="B166" s="9">
        <f ca="1">+IF(A166=WORLDCUP!$BI$112,1,0)</f>
        <v>0</v>
      </c>
      <c r="C166" s="9" t="str">
        <f ca="1">+WORLDCUP!BD60</f>
        <v>Haití</v>
      </c>
      <c r="D166" s="9" t="str">
        <f ca="1">+WORLDCUP!BD64</f>
        <v>Irán</v>
      </c>
      <c r="E166" s="9" t="str">
        <f ca="1">+WORLDCUP!BD59</f>
        <v>Catar</v>
      </c>
      <c r="F166" s="9" t="str">
        <f ca="1">+WORLDCUP!BD61</f>
        <v>Turquía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c r="A175" s="9" t="s">
        <v>1056</v>
      </c>
      <c r="B175" s="9">
        <f ca="1">+IF(A175=WORLDCUP!$BI$112,1,0)</f>
        <v>0</v>
      </c>
      <c r="C175" s="9" t="str">
        <f ca="1">+WORLDCUP!BD65</f>
        <v>Arabia Saudita</v>
      </c>
      <c r="D175" s="9" t="str">
        <f ca="1">+WORLDCUP!BD67</f>
        <v>Austria</v>
      </c>
      <c r="E175" s="9" t="str">
        <f ca="1">+WORLDCUP!BD66</f>
        <v>Irak</v>
      </c>
      <c r="F175" s="9" t="str">
        <f ca="1">+WORLDCUP!BD61</f>
        <v>Turquía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c r="A176" s="9" t="s">
        <v>1055</v>
      </c>
      <c r="B176" s="9">
        <f ca="1">+IF(A176=WORLDCUP!$BI$112,1,0)</f>
        <v>0</v>
      </c>
      <c r="C176" s="9" t="str">
        <f ca="1">+WORLDCUP!BD65</f>
        <v>Arabia Saudita</v>
      </c>
      <c r="D176" s="9" t="str">
        <f ca="1">+WORLDCUP!BD67</f>
        <v>Austria</v>
      </c>
      <c r="E176" s="9" t="str">
        <f ca="1">+WORLDCUP!BD66</f>
        <v>Irak</v>
      </c>
      <c r="F176" s="9" t="str">
        <f ca="1">+WORLDCUP!BD61</f>
        <v>Turquía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c r="A177" s="9" t="s">
        <v>1054</v>
      </c>
      <c r="B177" s="9">
        <f ca="1">+IF(A177=WORLDCUP!$BI$112,1,0)</f>
        <v>0</v>
      </c>
      <c r="C177" s="9" t="str">
        <f ca="1">+WORLDCUP!BD66</f>
        <v>Irak</v>
      </c>
      <c r="D177" s="9" t="str">
        <f ca="1">+WORLDCUP!BD64</f>
        <v>Irán</v>
      </c>
      <c r="E177" s="9" t="str">
        <f ca="1">+WORLDCUP!BD67</f>
        <v>Austria</v>
      </c>
      <c r="F177" s="9" t="str">
        <f ca="1">+WORLDCUP!BD61</f>
        <v>Turquía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c r="A178" s="9" t="s">
        <v>1053</v>
      </c>
      <c r="B178" s="9">
        <f ca="1">+IF(A178=WORLDCUP!$BI$112,1,0)</f>
        <v>0</v>
      </c>
      <c r="C178" s="9" t="str">
        <f ca="1">+WORLDCUP!BD65</f>
        <v>Arabia Saudita</v>
      </c>
      <c r="D178" s="9" t="str">
        <f ca="1">+WORLDCUP!BD64</f>
        <v>Irán</v>
      </c>
      <c r="E178" s="9" t="str">
        <f ca="1">+WORLDCUP!BD67</f>
        <v>Austria</v>
      </c>
      <c r="F178" s="9" t="str">
        <f ca="1">+WORLDCUP!BD61</f>
        <v>Turquía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c r="A179" s="9" t="s">
        <v>1052</v>
      </c>
      <c r="B179" s="9">
        <f ca="1">+IF(A179=WORLDCUP!$BI$112,1,0)</f>
        <v>0</v>
      </c>
      <c r="C179" s="9" t="str">
        <f ca="1">+WORLDCUP!BD65</f>
        <v>Arabia Saudita</v>
      </c>
      <c r="D179" s="9" t="str">
        <f ca="1">+WORLDCUP!BD64</f>
        <v>Irán</v>
      </c>
      <c r="E179" s="9" t="str">
        <f ca="1">+WORLDCUP!BD66</f>
        <v>Irak</v>
      </c>
      <c r="F179" s="9" t="str">
        <f ca="1">+WORLDCUP!BD61</f>
        <v>Turquía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c r="A180" s="9" t="s">
        <v>1051</v>
      </c>
      <c r="B180" s="9">
        <f ca="1">+IF(A180=WORLDCUP!$BI$112,1,0)</f>
        <v>0</v>
      </c>
      <c r="C180" s="9" t="str">
        <f ca="1">+WORLDCUP!BD65</f>
        <v>Arabia Saudita</v>
      </c>
      <c r="D180" s="9" t="str">
        <f ca="1">+WORLDCUP!BD64</f>
        <v>Irán</v>
      </c>
      <c r="E180" s="9" t="str">
        <f ca="1">+WORLDCUP!BD67</f>
        <v>Austria</v>
      </c>
      <c r="F180" s="9" t="str">
        <f ca="1">+WORLDCUP!BD61</f>
        <v>Turquía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c r="A181" s="9" t="s">
        <v>1050</v>
      </c>
      <c r="B181" s="9">
        <f ca="1">+IF(A181=WORLDCUP!$BI$112,1,0)</f>
        <v>0</v>
      </c>
      <c r="C181" s="9" t="str">
        <f ca="1">+WORLDCUP!BD65</f>
        <v>Arabia Saudita</v>
      </c>
      <c r="D181" s="9" t="str">
        <f ca="1">+WORLDCUP!BD64</f>
        <v>Irán</v>
      </c>
      <c r="E181" s="9" t="str">
        <f ca="1">+WORLDCUP!BD67</f>
        <v>Austria</v>
      </c>
      <c r="F181" s="9" t="str">
        <f ca="1">+WORLDCUP!BD61</f>
        <v>Turquía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c r="A182" s="9" t="s">
        <v>1049</v>
      </c>
      <c r="B182" s="9">
        <f ca="1">+IF(A182=WORLDCUP!$BI$112,1,0)</f>
        <v>0</v>
      </c>
      <c r="C182" s="9" t="str">
        <f ca="1">+WORLDCUP!BD62</f>
        <v>Costa de Marfil</v>
      </c>
      <c r="D182" s="9" t="str">
        <f ca="1">+WORLDCUP!BD67</f>
        <v>Austria</v>
      </c>
      <c r="E182" s="9" t="str">
        <f ca="1">+WORLDCUP!BD66</f>
        <v>Irak</v>
      </c>
      <c r="F182" s="9" t="str">
        <f ca="1">+WORLDCUP!BD61</f>
        <v>Turquía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c r="A183" s="9" t="s">
        <v>1048</v>
      </c>
      <c r="B183" s="9">
        <f ca="1">+IF(A183=WORLDCUP!$BI$112,1,0)</f>
        <v>0</v>
      </c>
      <c r="C183" s="9" t="str">
        <f ca="1">+WORLDCUP!BD62</f>
        <v>Costa de Marfil</v>
      </c>
      <c r="D183" s="9" t="str">
        <f ca="1">+WORLDCUP!BD67</f>
        <v>Austria</v>
      </c>
      <c r="E183" s="9" t="str">
        <f ca="1">+WORLDCUP!BD66</f>
        <v>Irak</v>
      </c>
      <c r="F183" s="9" t="str">
        <f ca="1">+WORLDCUP!BD61</f>
        <v>Turquía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c r="A184" s="9" t="s">
        <v>1047</v>
      </c>
      <c r="B184" s="9">
        <f ca="1">+IF(A184=WORLDCUP!$BI$112,1,0)</f>
        <v>0</v>
      </c>
      <c r="C184" s="9" t="str">
        <f ca="1">+WORLDCUP!BD62</f>
        <v>Costa de Marfil</v>
      </c>
      <c r="D184" s="9" t="str">
        <f ca="1">+WORLDCUP!BD64</f>
        <v>Irán</v>
      </c>
      <c r="E184" s="9" t="str">
        <f ca="1">+WORLDCUP!BD67</f>
        <v>Austria</v>
      </c>
      <c r="F184" s="9" t="str">
        <f ca="1">+WORLDCUP!BD61</f>
        <v>Turquía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c r="A185" s="9" t="s">
        <v>1046</v>
      </c>
      <c r="B185" s="9">
        <f ca="1">+IF(A185=WORLDCUP!$BI$112,1,0)</f>
        <v>0</v>
      </c>
      <c r="C185" s="9" t="str">
        <f ca="1">+WORLDCUP!BD62</f>
        <v>Costa de Marfil</v>
      </c>
      <c r="D185" s="9" t="str">
        <f ca="1">+WORLDCUP!BD64</f>
        <v>Irán</v>
      </c>
      <c r="E185" s="9" t="str">
        <f ca="1">+WORLDCUP!BD66</f>
        <v>Irak</v>
      </c>
      <c r="F185" s="9" t="str">
        <f ca="1">+WORLDCUP!BD61</f>
        <v>Turquía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c r="A186" s="9" t="s">
        <v>1045</v>
      </c>
      <c r="B186" s="9">
        <f ca="1">+IF(A186=WORLDCUP!$BI$112,1,0)</f>
        <v>0</v>
      </c>
      <c r="C186" s="9" t="str">
        <f ca="1">+WORLDCUP!BD62</f>
        <v>Costa de Marfil</v>
      </c>
      <c r="D186" s="9" t="str">
        <f ca="1">+WORLDCUP!BD64</f>
        <v>Irán</v>
      </c>
      <c r="E186" s="9" t="str">
        <f ca="1">+WORLDCUP!BD67</f>
        <v>Austria</v>
      </c>
      <c r="F186" s="9" t="str">
        <f ca="1">+WORLDCUP!BD61</f>
        <v>Turquía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c r="A187" s="9" t="s">
        <v>1044</v>
      </c>
      <c r="B187" s="9">
        <f ca="1">+IF(A187=WORLDCUP!$BI$112,1,0)</f>
        <v>0</v>
      </c>
      <c r="C187" s="9" t="str">
        <f ca="1">+WORLDCUP!BD62</f>
        <v>Costa de Marfil</v>
      </c>
      <c r="D187" s="9" t="str">
        <f ca="1">+WORLDCUP!BD64</f>
        <v>Irán</v>
      </c>
      <c r="E187" s="9" t="str">
        <f ca="1">+WORLDCUP!BD67</f>
        <v>Austria</v>
      </c>
      <c r="F187" s="9" t="str">
        <f ca="1">+WORLDCUP!BD61</f>
        <v>Turquía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c r="A188" s="9" t="s">
        <v>1043</v>
      </c>
      <c r="B188" s="9">
        <f ca="1">+IF(A188=WORLDCUP!$BI$112,1,0)</f>
        <v>0</v>
      </c>
      <c r="C188" s="9" t="str">
        <f ca="1">+WORLDCUP!BD62</f>
        <v>Costa de Marfil</v>
      </c>
      <c r="D188" s="9" t="str">
        <f ca="1">+WORLDCUP!BD67</f>
        <v>Austria</v>
      </c>
      <c r="E188" s="9" t="str">
        <f ca="1">+WORLDCUP!BD66</f>
        <v>Irak</v>
      </c>
      <c r="F188" s="9" t="str">
        <f ca="1">+WORLDCUP!BD61</f>
        <v>Turquía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c r="A189" s="9" t="s">
        <v>1042</v>
      </c>
      <c r="B189" s="9">
        <f ca="1">+IF(A189=WORLDCUP!$BI$112,1,0)</f>
        <v>0</v>
      </c>
      <c r="C189" s="9" t="str">
        <f ca="1">+WORLDCUP!BD65</f>
        <v>Arabia Saudita</v>
      </c>
      <c r="D189" s="9" t="str">
        <f ca="1">+WORLDCUP!BD67</f>
        <v>Austria</v>
      </c>
      <c r="E189" s="9" t="str">
        <f ca="1">+WORLDCUP!BD62</f>
        <v>Costa de Marfil</v>
      </c>
      <c r="F189" s="9" t="str">
        <f ca="1">+WORLDCUP!BD61</f>
        <v>Turquía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c r="A190" s="9" t="s">
        <v>1041</v>
      </c>
      <c r="B190" s="9">
        <f ca="1">+IF(A190=WORLDCUP!$BI$112,1,0)</f>
        <v>0</v>
      </c>
      <c r="C190" s="9" t="str">
        <f ca="1">+WORLDCUP!BD65</f>
        <v>Arabia Saudita</v>
      </c>
      <c r="D190" s="9" t="str">
        <f ca="1">+WORLDCUP!BD62</f>
        <v>Costa de Marfil</v>
      </c>
      <c r="E190" s="9" t="str">
        <f ca="1">+WORLDCUP!BD66</f>
        <v>Irak</v>
      </c>
      <c r="F190" s="9" t="str">
        <f ca="1">+WORLDCUP!BD61</f>
        <v>Turquía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c r="A191" s="9" t="s">
        <v>1040</v>
      </c>
      <c r="B191" s="9">
        <f ca="1">+IF(A191=WORLDCUP!$BI$112,1,0)</f>
        <v>0</v>
      </c>
      <c r="C191" s="9" t="str">
        <f ca="1">+WORLDCUP!BD65</f>
        <v>Arabia Saudita</v>
      </c>
      <c r="D191" s="9" t="str">
        <f ca="1">+WORLDCUP!BD67</f>
        <v>Austria</v>
      </c>
      <c r="E191" s="9" t="str">
        <f ca="1">+WORLDCUP!BD62</f>
        <v>Costa de Marfil</v>
      </c>
      <c r="F191" s="9" t="str">
        <f ca="1">+WORLDCUP!BD61</f>
        <v>Turquía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c r="A192" s="9" t="s">
        <v>1039</v>
      </c>
      <c r="B192" s="9">
        <f ca="1">+IF(A192=WORLDCUP!$BI$112,1,0)</f>
        <v>0</v>
      </c>
      <c r="C192" s="9" t="str">
        <f ca="1">+WORLDCUP!BD65</f>
        <v>Arabia Saudita</v>
      </c>
      <c r="D192" s="9" t="str">
        <f ca="1">+WORLDCUP!BD67</f>
        <v>Austria</v>
      </c>
      <c r="E192" s="9" t="str">
        <f ca="1">+WORLDCUP!BD62</f>
        <v>Costa de Marfil</v>
      </c>
      <c r="F192" s="9" t="str">
        <f ca="1">+WORLDCUP!BD61</f>
        <v>Turquía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c r="A193" s="9" t="s">
        <v>1038</v>
      </c>
      <c r="B193" s="9">
        <f ca="1">+IF(A193=WORLDCUP!$BI$112,1,0)</f>
        <v>0</v>
      </c>
      <c r="C193" s="9" t="str">
        <f ca="1">+WORLDCUP!BD62</f>
        <v>Costa de Marfil</v>
      </c>
      <c r="D193" s="9" t="str">
        <f ca="1">+WORLDCUP!BD64</f>
        <v>Irán</v>
      </c>
      <c r="E193" s="9" t="str">
        <f ca="1">+WORLDCUP!BD67</f>
        <v>Austria</v>
      </c>
      <c r="F193" s="9" t="str">
        <f ca="1">+WORLDCUP!BD61</f>
        <v>Turquía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c r="A194" s="9" t="s">
        <v>1037</v>
      </c>
      <c r="B194" s="9">
        <f ca="1">+IF(A194=WORLDCUP!$BI$112,1,0)</f>
        <v>0</v>
      </c>
      <c r="C194" s="9" t="str">
        <f ca="1">+WORLDCUP!BD62</f>
        <v>Costa de Marfil</v>
      </c>
      <c r="D194" s="9" t="str">
        <f ca="1">+WORLDCUP!BD64</f>
        <v>Irán</v>
      </c>
      <c r="E194" s="9" t="str">
        <f ca="1">+WORLDCUP!BD66</f>
        <v>Irak</v>
      </c>
      <c r="F194" s="9" t="str">
        <f ca="1">+WORLDCUP!BD61</f>
        <v>Turquía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c r="A195" s="9" t="s">
        <v>1036</v>
      </c>
      <c r="B195" s="9">
        <f ca="1">+IF(A195=WORLDCUP!$BI$112,1,0)</f>
        <v>0</v>
      </c>
      <c r="C195" s="9" t="str">
        <f ca="1">+WORLDCUP!BD62</f>
        <v>Costa de Marfil</v>
      </c>
      <c r="D195" s="9" t="str">
        <f ca="1">+WORLDCUP!BD64</f>
        <v>Irán</v>
      </c>
      <c r="E195" s="9" t="str">
        <f ca="1">+WORLDCUP!BD67</f>
        <v>Austria</v>
      </c>
      <c r="F195" s="9" t="str">
        <f ca="1">+WORLDCUP!BD61</f>
        <v>Turquía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c r="A196" s="9" t="s">
        <v>1035</v>
      </c>
      <c r="B196" s="9">
        <f ca="1">+IF(A196=WORLDCUP!$BI$112,1,0)</f>
        <v>0</v>
      </c>
      <c r="C196" s="9" t="str">
        <f ca="1">+WORLDCUP!BD62</f>
        <v>Costa de Marfil</v>
      </c>
      <c r="D196" s="9" t="str">
        <f ca="1">+WORLDCUP!BD64</f>
        <v>Irán</v>
      </c>
      <c r="E196" s="9" t="str">
        <f ca="1">+WORLDCUP!BD67</f>
        <v>Austria</v>
      </c>
      <c r="F196" s="9" t="str">
        <f ca="1">+WORLDCUP!BD61</f>
        <v>Turquía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c r="A197" s="9" t="s">
        <v>592</v>
      </c>
      <c r="B197" s="9">
        <f ca="1">+IF(A197=WORLDCUP!$BI$112,1,0)</f>
        <v>0</v>
      </c>
      <c r="C197" s="9" t="str">
        <f ca="1">+WORLDCUP!BD65</f>
        <v>Arabia Saudita</v>
      </c>
      <c r="D197" s="9" t="str">
        <f ca="1">+WORLDCUP!BD64</f>
        <v>Irán</v>
      </c>
      <c r="E197" s="9" t="str">
        <f ca="1">+WORLDCUP!BD62</f>
        <v>Costa de Marfil</v>
      </c>
      <c r="F197" s="9" t="str">
        <f ca="1">+WORLDCUP!BD61</f>
        <v>Turquía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c r="A198" s="9" t="s">
        <v>591</v>
      </c>
      <c r="B198" s="9">
        <f ca="1">+IF(A198=WORLDCUP!$BI$112,1,0)</f>
        <v>0</v>
      </c>
      <c r="C198" s="9" t="str">
        <f ca="1">+WORLDCUP!BD65</f>
        <v>Arabia Saudita</v>
      </c>
      <c r="D198" s="9" t="str">
        <f ca="1">+WORLDCUP!BD64</f>
        <v>Irán</v>
      </c>
      <c r="E198" s="9" t="str">
        <f ca="1">+WORLDCUP!BD67</f>
        <v>Austria</v>
      </c>
      <c r="F198" s="9" t="str">
        <f ca="1">+WORLDCUP!BD61</f>
        <v>Turquía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c r="A199" s="9" t="s">
        <v>590</v>
      </c>
      <c r="B199" s="9">
        <f ca="1">+IF(A199=WORLDCUP!$BI$112,1,0)</f>
        <v>0</v>
      </c>
      <c r="C199" s="9" t="str">
        <f ca="1">+WORLDCUP!BD65</f>
        <v>Arabia Saudita</v>
      </c>
      <c r="D199" s="9" t="str">
        <f ca="1">+WORLDCUP!BD64</f>
        <v>Irán</v>
      </c>
      <c r="E199" s="9" t="str">
        <f ca="1">+WORLDCUP!BD67</f>
        <v>Austria</v>
      </c>
      <c r="F199" s="9" t="str">
        <f ca="1">+WORLDCUP!BD61</f>
        <v>Turquía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c r="A200" s="9" t="s">
        <v>589</v>
      </c>
      <c r="B200" s="9">
        <f ca="1">+IF(A200=WORLDCUP!$BI$112,1,0)</f>
        <v>0</v>
      </c>
      <c r="C200" s="9" t="str">
        <f ca="1">+WORLDCUP!BD65</f>
        <v>Arabia Saudita</v>
      </c>
      <c r="D200" s="9" t="str">
        <f ca="1">+WORLDCUP!BD64</f>
        <v>Irán</v>
      </c>
      <c r="E200" s="9" t="str">
        <f ca="1">+WORLDCUP!BD62</f>
        <v>Costa de Marfil</v>
      </c>
      <c r="F200" s="9" t="str">
        <f ca="1">+WORLDCUP!BD61</f>
        <v>Turquía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c r="A201" s="9" t="s">
        <v>588</v>
      </c>
      <c r="B201" s="9">
        <f ca="1">+IF(A201=WORLDCUP!$BI$112,1,0)</f>
        <v>0</v>
      </c>
      <c r="C201" s="9" t="str">
        <f ca="1">+WORLDCUP!BD65</f>
        <v>Arabia Saudita</v>
      </c>
      <c r="D201" s="9" t="str">
        <f ca="1">+WORLDCUP!BD64</f>
        <v>Irán</v>
      </c>
      <c r="E201" s="9" t="str">
        <f ca="1">+WORLDCUP!BD62</f>
        <v>Costa de Marfil</v>
      </c>
      <c r="F201" s="9" t="str">
        <f ca="1">+WORLDCUP!BD61</f>
        <v>Turquía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c r="A202" s="9" t="s">
        <v>587</v>
      </c>
      <c r="B202" s="9">
        <f ca="1">+IF(A202=WORLDCUP!$BI$112,1,0)</f>
        <v>0</v>
      </c>
      <c r="C202" s="9" t="str">
        <f ca="1">+WORLDCUP!BD65</f>
        <v>Arabia Saudita</v>
      </c>
      <c r="D202" s="9" t="str">
        <f ca="1">+WORLDCUP!BD64</f>
        <v>Irán</v>
      </c>
      <c r="E202" s="9" t="str">
        <f ca="1">+WORLDCUP!BD67</f>
        <v>Austria</v>
      </c>
      <c r="F202" s="9" t="str">
        <f ca="1">+WORLDCUP!BD61</f>
        <v>Turquía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Turquía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Turquía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Turquía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Turquía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Turquía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Turquía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c r="A237" s="9" t="s">
        <v>1000</v>
      </c>
      <c r="B237" s="9">
        <f ca="1">+IF(A237=WORLDCUP!$BI$112,1,0)</f>
        <v>0</v>
      </c>
      <c r="C237" s="9" t="str">
        <f ca="1">+WORLDCUP!BD60</f>
        <v>Haití</v>
      </c>
      <c r="D237" s="9" t="str">
        <f ca="1">+WORLDCUP!BD67</f>
        <v>Austria</v>
      </c>
      <c r="E237" s="9" t="str">
        <f ca="1">+WORLDCUP!BD66</f>
        <v>Irak</v>
      </c>
      <c r="F237" s="9" t="str">
        <f ca="1">+WORLDCUP!BD61</f>
        <v>Turquía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Turquía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Turquía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Turquía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Turquía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c r="A242" s="9" t="s">
        <v>995</v>
      </c>
      <c r="B242" s="9">
        <f ca="1">+IF(A242=WORLDCUP!$BI$112,1,0)</f>
        <v>0</v>
      </c>
      <c r="C242" s="9" t="str">
        <f ca="1">+WORLDCUP!BD60</f>
        <v>Haití</v>
      </c>
      <c r="D242" s="9" t="str">
        <f ca="1">+WORLDCUP!BD64</f>
        <v>Irán</v>
      </c>
      <c r="E242" s="9" t="str">
        <f ca="1">+WORLDCUP!BD67</f>
        <v>Austria</v>
      </c>
      <c r="F242" s="9" t="str">
        <f ca="1">+WORLDCUP!BD61</f>
        <v>Turquía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c r="A243" s="9" t="s">
        <v>994</v>
      </c>
      <c r="B243" s="9">
        <f ca="1">+IF(A243=WORLDCUP!$BI$112,1,0)</f>
        <v>0</v>
      </c>
      <c r="C243" s="9" t="str">
        <f ca="1">+WORLDCUP!BD60</f>
        <v>Haití</v>
      </c>
      <c r="D243" s="9" t="str">
        <f ca="1">+WORLDCUP!BD64</f>
        <v>Irán</v>
      </c>
      <c r="E243" s="9" t="str">
        <f ca="1">+WORLDCUP!BD66</f>
        <v>Irak</v>
      </c>
      <c r="F243" s="9" t="str">
        <f ca="1">+WORLDCUP!BD61</f>
        <v>Turquía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c r="A244" s="9" t="s">
        <v>993</v>
      </c>
      <c r="B244" s="9">
        <f ca="1">+IF(A244=WORLDCUP!$BI$112,1,0)</f>
        <v>0</v>
      </c>
      <c r="C244" s="9" t="str">
        <f ca="1">+WORLDCUP!BD60</f>
        <v>Haití</v>
      </c>
      <c r="D244" s="9" t="str">
        <f ca="1">+WORLDCUP!BD64</f>
        <v>Irán</v>
      </c>
      <c r="E244" s="9" t="str">
        <f ca="1">+WORLDCUP!BD67</f>
        <v>Austria</v>
      </c>
      <c r="F244" s="9" t="str">
        <f ca="1">+WORLDCUP!BD61</f>
        <v>Turquía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c r="A245" s="9" t="s">
        <v>992</v>
      </c>
      <c r="B245" s="9">
        <f ca="1">+IF(A245=WORLDCUP!$BI$112,1,0)</f>
        <v>0</v>
      </c>
      <c r="C245" s="9" t="str">
        <f ca="1">+WORLDCUP!BD60</f>
        <v>Haití</v>
      </c>
      <c r="D245" s="9" t="str">
        <f ca="1">+WORLDCUP!BD64</f>
        <v>Irán</v>
      </c>
      <c r="E245" s="9" t="str">
        <f ca="1">+WORLDCUP!BD67</f>
        <v>Austria</v>
      </c>
      <c r="F245" s="9" t="str">
        <f ca="1">+WORLDCUP!BD61</f>
        <v>Turquía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Turquía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c r="A247" s="9" t="s">
        <v>990</v>
      </c>
      <c r="B247" s="9">
        <f ca="1">+IF(A247=WORLDCUP!$BI$112,1,0)</f>
        <v>0</v>
      </c>
      <c r="C247" s="9" t="str">
        <f ca="1">+WORLDCUP!BD60</f>
        <v>Haití</v>
      </c>
      <c r="D247" s="9" t="str">
        <f ca="1">+WORLDCUP!BD64</f>
        <v>Irán</v>
      </c>
      <c r="E247" s="9" t="str">
        <f ca="1">+WORLDCUP!BD67</f>
        <v>Austria</v>
      </c>
      <c r="F247" s="9" t="str">
        <f ca="1">+WORLDCUP!BD61</f>
        <v>Turquía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Turquía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Turquía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Turquía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Turquía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Turquía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Turquía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Turquía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Turquía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Turquía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Turquía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Turquía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Turquía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Turquía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Turquía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Turquía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Turquía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Turquía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Turquía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Turquía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c r="A267" s="9" t="s">
        <v>970</v>
      </c>
      <c r="B267" s="9">
        <f ca="1">+IF(A267=WORLDCUP!$BI$112,1,0)</f>
        <v>0</v>
      </c>
      <c r="C267" s="9" t="str">
        <f ca="1">+WORLDCUP!BD60</f>
        <v>Haití</v>
      </c>
      <c r="D267" s="9" t="str">
        <f ca="1">+WORLDCUP!BD67</f>
        <v>Austria</v>
      </c>
      <c r="E267" s="9" t="str">
        <f ca="1">+WORLDCUP!BD62</f>
        <v>Costa de Marfil</v>
      </c>
      <c r="F267" s="9" t="str">
        <f ca="1">+WORLDCUP!BD61</f>
        <v>Turquía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c r="A268" s="9" t="s">
        <v>969</v>
      </c>
      <c r="B268" s="9">
        <f ca="1">+IF(A268=WORLDCUP!$BI$112,1,0)</f>
        <v>0</v>
      </c>
      <c r="C268" s="9" t="str">
        <f ca="1">+WORLDCUP!BD60</f>
        <v>Haití</v>
      </c>
      <c r="D268" s="9" t="str">
        <f ca="1">+WORLDCUP!BD62</f>
        <v>Costa de Marfil</v>
      </c>
      <c r="E268" s="9" t="str">
        <f ca="1">+WORLDCUP!BD66</f>
        <v>Irak</v>
      </c>
      <c r="F268" s="9" t="str">
        <f ca="1">+WORLDCUP!BD61</f>
        <v>Turquía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c r="A269" s="9" t="s">
        <v>968</v>
      </c>
      <c r="B269" s="9">
        <f ca="1">+IF(A269=WORLDCUP!$BI$112,1,0)</f>
        <v>0</v>
      </c>
      <c r="C269" s="9" t="str">
        <f ca="1">+WORLDCUP!BD60</f>
        <v>Haití</v>
      </c>
      <c r="D269" s="9" t="str">
        <f ca="1">+WORLDCUP!BD67</f>
        <v>Austria</v>
      </c>
      <c r="E269" s="9" t="str">
        <f ca="1">+WORLDCUP!BD62</f>
        <v>Costa de Marfil</v>
      </c>
      <c r="F269" s="9" t="str">
        <f ca="1">+WORLDCUP!BD61</f>
        <v>Turquía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c r="A270" s="9" t="s">
        <v>967</v>
      </c>
      <c r="B270" s="9">
        <f ca="1">+IF(A270=WORLDCUP!$BI$112,1,0)</f>
        <v>0</v>
      </c>
      <c r="C270" s="9" t="str">
        <f ca="1">+WORLDCUP!BD60</f>
        <v>Haití</v>
      </c>
      <c r="D270" s="9" t="str">
        <f ca="1">+WORLDCUP!BD67</f>
        <v>Austria</v>
      </c>
      <c r="E270" s="9" t="str">
        <f ca="1">+WORLDCUP!BD62</f>
        <v>Costa de Marfil</v>
      </c>
      <c r="F270" s="9" t="str">
        <f ca="1">+WORLDCUP!BD61</f>
        <v>Turquía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Turquía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Turquía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Turquía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Turquía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Turquía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Turquía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c r="A277" s="9" t="s">
        <v>960</v>
      </c>
      <c r="B277" s="9">
        <f ca="1">+IF(A277=WORLDCUP!$BI$112,1,0)</f>
        <v>0</v>
      </c>
      <c r="C277" s="9" t="str">
        <f ca="1">+WORLDCUP!BD60</f>
        <v>Haití</v>
      </c>
      <c r="D277" s="9" t="str">
        <f ca="1">+WORLDCUP!BD64</f>
        <v>Irán</v>
      </c>
      <c r="E277" s="9" t="str">
        <f ca="1">+WORLDCUP!BD62</f>
        <v>Costa de Marfil</v>
      </c>
      <c r="F277" s="9" t="str">
        <f ca="1">+WORLDCUP!BD61</f>
        <v>Turquía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c r="A278" s="9" t="s">
        <v>586</v>
      </c>
      <c r="B278" s="9">
        <f ca="1">+IF(A278=WORLDCUP!$BI$112,1,0)</f>
        <v>0</v>
      </c>
      <c r="C278" s="9" t="str">
        <f ca="1">+WORLDCUP!BD60</f>
        <v>Haití</v>
      </c>
      <c r="D278" s="9" t="str">
        <f ca="1">+WORLDCUP!BD64</f>
        <v>Irán</v>
      </c>
      <c r="E278" s="9" t="str">
        <f ca="1">+WORLDCUP!BD67</f>
        <v>Austria</v>
      </c>
      <c r="F278" s="9" t="str">
        <f ca="1">+WORLDCUP!BD61</f>
        <v>Turquía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c r="A279" s="9" t="s">
        <v>585</v>
      </c>
      <c r="B279" s="9">
        <f ca="1">+IF(A279=WORLDCUP!$BI$112,1,0)</f>
        <v>0</v>
      </c>
      <c r="C279" s="9" t="str">
        <f ca="1">+WORLDCUP!BD60</f>
        <v>Haití</v>
      </c>
      <c r="D279" s="9" t="str">
        <f ca="1">+WORLDCUP!BD64</f>
        <v>Irán</v>
      </c>
      <c r="E279" s="9" t="str">
        <f ca="1">+WORLDCUP!BD67</f>
        <v>Austria</v>
      </c>
      <c r="F279" s="9" t="str">
        <f ca="1">+WORLDCUP!BD61</f>
        <v>Turquía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c r="A280" s="9" t="s">
        <v>584</v>
      </c>
      <c r="B280" s="9">
        <f ca="1">+IF(A280=WORLDCUP!$BI$112,1,0)</f>
        <v>0</v>
      </c>
      <c r="C280" s="9" t="str">
        <f ca="1">+WORLDCUP!BD60</f>
        <v>Haití</v>
      </c>
      <c r="D280" s="9" t="str">
        <f ca="1">+WORLDCUP!BD64</f>
        <v>Irán</v>
      </c>
      <c r="E280" s="9" t="str">
        <f ca="1">+WORLDCUP!BD62</f>
        <v>Costa de Marfil</v>
      </c>
      <c r="F280" s="9" t="str">
        <f ca="1">+WORLDCUP!BD61</f>
        <v>Turquía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c r="A281" s="9" t="s">
        <v>583</v>
      </c>
      <c r="B281" s="9">
        <f ca="1">+IF(A281=WORLDCUP!$BI$112,1,0)</f>
        <v>0</v>
      </c>
      <c r="C281" s="9" t="str">
        <f ca="1">+WORLDCUP!BD60</f>
        <v>Haití</v>
      </c>
      <c r="D281" s="9" t="str">
        <f ca="1">+WORLDCUP!BD64</f>
        <v>Irán</v>
      </c>
      <c r="E281" s="9" t="str">
        <f ca="1">+WORLDCUP!BD62</f>
        <v>Costa de Marfil</v>
      </c>
      <c r="F281" s="9" t="str">
        <f ca="1">+WORLDCUP!BD61</f>
        <v>Turquía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c r="A282" s="9" t="s">
        <v>582</v>
      </c>
      <c r="B282" s="9">
        <f ca="1">+IF(A282=WORLDCUP!$BI$112,1,0)</f>
        <v>0</v>
      </c>
      <c r="C282" s="9" t="str">
        <f ca="1">+WORLDCUP!BD60</f>
        <v>Haití</v>
      </c>
      <c r="D282" s="9" t="str">
        <f ca="1">+WORLDCUP!BD64</f>
        <v>Irán</v>
      </c>
      <c r="E282" s="9" t="str">
        <f ca="1">+WORLDCUP!BD67</f>
        <v>Austria</v>
      </c>
      <c r="F282" s="9" t="str">
        <f ca="1">+WORLDCUP!BD61</f>
        <v>Turquía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Turquía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Turquía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Turquía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Turquía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c r="A315" s="9" t="s">
        <v>931</v>
      </c>
      <c r="B315" s="9">
        <f ca="1">+IF(A315=WORLDCUP!$BI$112,1,0)</f>
        <v>0</v>
      </c>
      <c r="C315" s="9" t="str">
        <f ca="1">+WORLDCUP!BD66</f>
        <v>Irak</v>
      </c>
      <c r="D315" s="9" t="str">
        <f ca="1">+WORLDCUP!BD67</f>
        <v>Austria</v>
      </c>
      <c r="E315" s="9" t="str">
        <f ca="1">+WORLDCUP!BD59</f>
        <v>Catar</v>
      </c>
      <c r="F315" s="9" t="str">
        <f ca="1">+WORLDCUP!BD61</f>
        <v>Turquía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c r="A316" s="9" t="s">
        <v>930</v>
      </c>
      <c r="B316" s="9">
        <f ca="1">+IF(A316=WORLDCUP!$BI$112,1,0)</f>
        <v>0</v>
      </c>
      <c r="C316" s="9" t="str">
        <f ca="1">+WORLDCUP!BD66</f>
        <v>Irak</v>
      </c>
      <c r="D316" s="9" t="str">
        <f ca="1">+WORLDCUP!BD67</f>
        <v>Austria</v>
      </c>
      <c r="E316" s="9" t="str">
        <f ca="1">+WORLDCUP!BD59</f>
        <v>Catar</v>
      </c>
      <c r="F316" s="9" t="str">
        <f ca="1">+WORLDCUP!BD61</f>
        <v>Turquía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c r="A317" s="9" t="s">
        <v>929</v>
      </c>
      <c r="B317" s="9">
        <f ca="1">+IF(A317=WORLDCUP!$BI$112,1,0)</f>
        <v>0</v>
      </c>
      <c r="C317" s="9" t="str">
        <f ca="1">+WORLDCUP!BD65</f>
        <v>Arabia Saudita</v>
      </c>
      <c r="D317" s="9" t="str">
        <f ca="1">+WORLDCUP!BD67</f>
        <v>Austria</v>
      </c>
      <c r="E317" s="9" t="str">
        <f ca="1">+WORLDCUP!BD59</f>
        <v>Catar</v>
      </c>
      <c r="F317" s="9" t="str">
        <f ca="1">+WORLDCUP!BD61</f>
        <v>Turquía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c r="A318" s="9" t="s">
        <v>928</v>
      </c>
      <c r="B318" s="9">
        <f ca="1">+IF(A318=WORLDCUP!$BI$112,1,0)</f>
        <v>0</v>
      </c>
      <c r="C318" s="9" t="str">
        <f ca="1">+WORLDCUP!BD66</f>
        <v>Irak</v>
      </c>
      <c r="D318" s="9" t="str">
        <f ca="1">+WORLDCUP!BD64</f>
        <v>Irán</v>
      </c>
      <c r="E318" s="9" t="str">
        <f ca="1">+WORLDCUP!BD59</f>
        <v>Catar</v>
      </c>
      <c r="F318" s="9" t="str">
        <f ca="1">+WORLDCUP!BD61</f>
        <v>Turquía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c r="A319" s="9" t="s">
        <v>927</v>
      </c>
      <c r="B319" s="9">
        <f ca="1">+IF(A319=WORLDCUP!$BI$112,1,0)</f>
        <v>0</v>
      </c>
      <c r="C319" s="9" t="str">
        <f ca="1">+WORLDCUP!BD65</f>
        <v>Arabia Saudita</v>
      </c>
      <c r="D319" s="9" t="str">
        <f ca="1">+WORLDCUP!BD67</f>
        <v>Austria</v>
      </c>
      <c r="E319" s="9" t="str">
        <f ca="1">+WORLDCUP!BD59</f>
        <v>Catar</v>
      </c>
      <c r="F319" s="9" t="str">
        <f ca="1">+WORLDCUP!BD61</f>
        <v>Turquía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c r="A320" s="9" t="s">
        <v>926</v>
      </c>
      <c r="B320" s="9">
        <f ca="1">+IF(A320=WORLDCUP!$BI$112,1,0)</f>
        <v>0</v>
      </c>
      <c r="C320" s="9" t="str">
        <f ca="1">+WORLDCUP!BD65</f>
        <v>Arabia Saudita</v>
      </c>
      <c r="D320" s="9" t="str">
        <f ca="1">+WORLDCUP!BD67</f>
        <v>Austria</v>
      </c>
      <c r="E320" s="9" t="str">
        <f ca="1">+WORLDCUP!BD59</f>
        <v>Catar</v>
      </c>
      <c r="F320" s="9" t="str">
        <f ca="1">+WORLDCUP!BD61</f>
        <v>Turquía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c r="A321" s="9" t="s">
        <v>925</v>
      </c>
      <c r="B321" s="9">
        <f ca="1">+IF(A321=WORLDCUP!$BI$112,1,0)</f>
        <v>0</v>
      </c>
      <c r="C321" s="9" t="str">
        <f ca="1">+WORLDCUP!BD66</f>
        <v>Irak</v>
      </c>
      <c r="D321" s="9" t="str">
        <f ca="1">+WORLDCUP!BD67</f>
        <v>Austria</v>
      </c>
      <c r="E321" s="9" t="str">
        <f ca="1">+WORLDCUP!BD59</f>
        <v>Catar</v>
      </c>
      <c r="F321" s="9" t="str">
        <f ca="1">+WORLDCUP!BD61</f>
        <v>Turquía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c r="A322" s="9" t="s">
        <v>924</v>
      </c>
      <c r="B322" s="9">
        <f ca="1">+IF(A322=WORLDCUP!$BI$112,1,0)</f>
        <v>0</v>
      </c>
      <c r="C322" s="9" t="str">
        <f ca="1">+WORLDCUP!BD65</f>
        <v>Arabia Saudita</v>
      </c>
      <c r="D322" s="9" t="str">
        <f ca="1">+WORLDCUP!BD67</f>
        <v>Austria</v>
      </c>
      <c r="E322" s="9" t="str">
        <f ca="1">+WORLDCUP!BD59</f>
        <v>Catar</v>
      </c>
      <c r="F322" s="9" t="str">
        <f ca="1">+WORLDCUP!BD61</f>
        <v>Turquía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c r="A323" s="9" t="s">
        <v>923</v>
      </c>
      <c r="B323" s="9">
        <f ca="1">+IF(A323=WORLDCUP!$BI$112,1,0)</f>
        <v>0</v>
      </c>
      <c r="C323" s="9" t="str">
        <f ca="1">+WORLDCUP!BD65</f>
        <v>Arabia Saudita</v>
      </c>
      <c r="D323" s="9" t="str">
        <f ca="1">+WORLDCUP!BD66</f>
        <v>Irak</v>
      </c>
      <c r="E323" s="9" t="str">
        <f ca="1">+WORLDCUP!BD59</f>
        <v>Catar</v>
      </c>
      <c r="F323" s="9" t="str">
        <f ca="1">+WORLDCUP!BD61</f>
        <v>Turquía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c r="A324" s="9" t="s">
        <v>922</v>
      </c>
      <c r="B324" s="9">
        <f ca="1">+IF(A324=WORLDCUP!$BI$112,1,0)</f>
        <v>0</v>
      </c>
      <c r="C324" s="9" t="str">
        <f ca="1">+WORLDCUP!BD65</f>
        <v>Arabia Saudita</v>
      </c>
      <c r="D324" s="9" t="str">
        <f ca="1">+WORLDCUP!BD67</f>
        <v>Austria</v>
      </c>
      <c r="E324" s="9" t="str">
        <f ca="1">+WORLDCUP!BD59</f>
        <v>Catar</v>
      </c>
      <c r="F324" s="9" t="str">
        <f ca="1">+WORLDCUP!BD61</f>
        <v>Turquía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c r="A325" s="9" t="s">
        <v>921</v>
      </c>
      <c r="B325" s="9">
        <f ca="1">+IF(A325=WORLDCUP!$BI$112,1,0)</f>
        <v>0</v>
      </c>
      <c r="C325" s="9" t="str">
        <f ca="1">+WORLDCUP!BD65</f>
        <v>Arabia Saudita</v>
      </c>
      <c r="D325" s="9" t="str">
        <f ca="1">+WORLDCUP!BD67</f>
        <v>Austria</v>
      </c>
      <c r="E325" s="9" t="str">
        <f ca="1">+WORLDCUP!BD59</f>
        <v>Catar</v>
      </c>
      <c r="F325" s="9" t="str">
        <f ca="1">+WORLDCUP!BD61</f>
        <v>Turquía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c r="A326" s="9" t="s">
        <v>920</v>
      </c>
      <c r="B326" s="9">
        <f ca="1">+IF(A326=WORLDCUP!$BI$112,1,0)</f>
        <v>0</v>
      </c>
      <c r="C326" s="9" t="str">
        <f ca="1">+WORLDCUP!BD63</f>
        <v>Suecia</v>
      </c>
      <c r="D326" s="9" t="str">
        <f ca="1">+WORLDCUP!BD67</f>
        <v>Austria</v>
      </c>
      <c r="E326" s="9" t="str">
        <f ca="1">+WORLDCUP!BD59</f>
        <v>Catar</v>
      </c>
      <c r="F326" s="9" t="str">
        <f ca="1">+WORLDCUP!BD61</f>
        <v>Turquía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c r="A327" s="9" t="s">
        <v>919</v>
      </c>
      <c r="B327" s="9">
        <f ca="1">+IF(A327=WORLDCUP!$BI$112,1,0)</f>
        <v>0</v>
      </c>
      <c r="C327" s="9" t="str">
        <f ca="1">+WORLDCUP!BD66</f>
        <v>Irak</v>
      </c>
      <c r="D327" s="9" t="str">
        <f ca="1">+WORLDCUP!BD64</f>
        <v>Irán</v>
      </c>
      <c r="E327" s="9" t="str">
        <f ca="1">+WORLDCUP!BD59</f>
        <v>Catar</v>
      </c>
      <c r="F327" s="9" t="str">
        <f ca="1">+WORLDCUP!BD61</f>
        <v>Turquía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c r="A328" s="9" t="s">
        <v>918</v>
      </c>
      <c r="B328" s="9">
        <f ca="1">+IF(A328=WORLDCUP!$BI$112,1,0)</f>
        <v>0</v>
      </c>
      <c r="C328" s="9" t="str">
        <f ca="1">+WORLDCUP!BD63</f>
        <v>Suecia</v>
      </c>
      <c r="D328" s="9" t="str">
        <f ca="1">+WORLDCUP!BD67</f>
        <v>Austria</v>
      </c>
      <c r="E328" s="9" t="str">
        <f ca="1">+WORLDCUP!BD59</f>
        <v>Catar</v>
      </c>
      <c r="F328" s="9" t="str">
        <f ca="1">+WORLDCUP!BD61</f>
        <v>Turquía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c r="A329" s="9" t="s">
        <v>917</v>
      </c>
      <c r="B329" s="9">
        <f ca="1">+IF(A329=WORLDCUP!$BI$112,1,0)</f>
        <v>0</v>
      </c>
      <c r="C329" s="9" t="str">
        <f ca="1">+WORLDCUP!BD63</f>
        <v>Suecia</v>
      </c>
      <c r="D329" s="9" t="str">
        <f ca="1">+WORLDCUP!BD67</f>
        <v>Austria</v>
      </c>
      <c r="E329" s="9" t="str">
        <f ca="1">+WORLDCUP!BD59</f>
        <v>Catar</v>
      </c>
      <c r="F329" s="9" t="str">
        <f ca="1">+WORLDCUP!BD61</f>
        <v>Turquía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c r="A330" s="9" t="s">
        <v>916</v>
      </c>
      <c r="B330" s="9">
        <f ca="1">+IF(A330=WORLDCUP!$BI$112,1,0)</f>
        <v>0</v>
      </c>
      <c r="C330" s="9" t="str">
        <f ca="1">+WORLDCUP!BD65</f>
        <v>Arabia Saudita</v>
      </c>
      <c r="D330" s="9" t="str">
        <f ca="1">+WORLDCUP!BD64</f>
        <v>Irán</v>
      </c>
      <c r="E330" s="9" t="str">
        <f ca="1">+WORLDCUP!BD59</f>
        <v>Catar</v>
      </c>
      <c r="F330" s="9" t="str">
        <f ca="1">+WORLDCUP!BD61</f>
        <v>Turquía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c r="A331" s="9" t="s">
        <v>915</v>
      </c>
      <c r="B331" s="9">
        <f ca="1">+IF(A331=WORLDCUP!$BI$112,1,0)</f>
        <v>0</v>
      </c>
      <c r="C331" s="9" t="str">
        <f ca="1">+WORLDCUP!BD65</f>
        <v>Arabia Saudita</v>
      </c>
      <c r="D331" s="9" t="str">
        <f ca="1">+WORLDCUP!BD64</f>
        <v>Irán</v>
      </c>
      <c r="E331" s="9" t="str">
        <f ca="1">+WORLDCUP!BD59</f>
        <v>Catar</v>
      </c>
      <c r="F331" s="9" t="str">
        <f ca="1">+WORLDCUP!BD61</f>
        <v>Turquía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c r="A332" s="9" t="s">
        <v>914</v>
      </c>
      <c r="B332" s="9">
        <f ca="1">+IF(A332=WORLDCUP!$BI$112,1,0)</f>
        <v>0</v>
      </c>
      <c r="C332" s="9" t="str">
        <f ca="1">+WORLDCUP!BD65</f>
        <v>Arabia Saudita</v>
      </c>
      <c r="D332" s="9" t="str">
        <f ca="1">+WORLDCUP!BD64</f>
        <v>Irán</v>
      </c>
      <c r="E332" s="9" t="str">
        <f ca="1">+WORLDCUP!BD59</f>
        <v>Catar</v>
      </c>
      <c r="F332" s="9" t="str">
        <f ca="1">+WORLDCUP!BD61</f>
        <v>Turquía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c r="A333" s="9" t="s">
        <v>913</v>
      </c>
      <c r="B333" s="9">
        <f ca="1">+IF(A333=WORLDCUP!$BI$112,1,0)</f>
        <v>0</v>
      </c>
      <c r="C333" s="9" t="str">
        <f ca="1">+WORLDCUP!BD65</f>
        <v>Arabia Saudita</v>
      </c>
      <c r="D333" s="9" t="str">
        <f ca="1">+WORLDCUP!BD64</f>
        <v>Irán</v>
      </c>
      <c r="E333" s="9" t="str">
        <f ca="1">+WORLDCUP!BD59</f>
        <v>Catar</v>
      </c>
      <c r="F333" s="9" t="str">
        <f ca="1">+WORLDCUP!BD61</f>
        <v>Turquía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c r="A334" s="9" t="s">
        <v>912</v>
      </c>
      <c r="B334" s="9">
        <f ca="1">+IF(A334=WORLDCUP!$BI$112,1,0)</f>
        <v>0</v>
      </c>
      <c r="C334" s="9" t="str">
        <f ca="1">+WORLDCUP!BD65</f>
        <v>Arabia Saudita</v>
      </c>
      <c r="D334" s="9" t="str">
        <f ca="1">+WORLDCUP!BD64</f>
        <v>Irán</v>
      </c>
      <c r="E334" s="9" t="str">
        <f ca="1">+WORLDCUP!BD59</f>
        <v>Catar</v>
      </c>
      <c r="F334" s="9" t="str">
        <f ca="1">+WORLDCUP!BD61</f>
        <v>Turquía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c r="A335" s="9" t="s">
        <v>911</v>
      </c>
      <c r="B335" s="9">
        <f ca="1">+IF(A335=WORLDCUP!$BI$112,1,0)</f>
        <v>0</v>
      </c>
      <c r="C335" s="9" t="str">
        <f ca="1">+WORLDCUP!BD65</f>
        <v>Arabia Saudita</v>
      </c>
      <c r="D335" s="9" t="str">
        <f ca="1">+WORLDCUP!BD64</f>
        <v>Irán</v>
      </c>
      <c r="E335" s="9" t="str">
        <f ca="1">+WORLDCUP!BD59</f>
        <v>Catar</v>
      </c>
      <c r="F335" s="9" t="str">
        <f ca="1">+WORLDCUP!BD61</f>
        <v>Turquía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Turquía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c r="A337" s="9" t="s">
        <v>909</v>
      </c>
      <c r="B337" s="9">
        <f ca="1">+IF(A337=WORLDCUP!$BI$112,1,0)</f>
        <v>0</v>
      </c>
      <c r="C337" s="9" t="str">
        <f ca="1">+WORLDCUP!BD62</f>
        <v>Costa de Marfil</v>
      </c>
      <c r="D337" s="9" t="str">
        <f ca="1">+WORLDCUP!BD67</f>
        <v>Austria</v>
      </c>
      <c r="E337" s="9" t="str">
        <f ca="1">+WORLDCUP!BD59</f>
        <v>Catar</v>
      </c>
      <c r="F337" s="9" t="str">
        <f ca="1">+WORLDCUP!BD61</f>
        <v>Turquía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c r="A338" s="9" t="s">
        <v>908</v>
      </c>
      <c r="B338" s="9">
        <f ca="1">+IF(A338=WORLDCUP!$BI$112,1,0)</f>
        <v>0</v>
      </c>
      <c r="C338" s="9" t="str">
        <f ca="1">+WORLDCUP!BD62</f>
        <v>Costa de Marfil</v>
      </c>
      <c r="D338" s="9" t="str">
        <f ca="1">+WORLDCUP!BD66</f>
        <v>Irak</v>
      </c>
      <c r="E338" s="9" t="str">
        <f ca="1">+WORLDCUP!BD59</f>
        <v>Catar</v>
      </c>
      <c r="F338" s="9" t="str">
        <f ca="1">+WORLDCUP!BD61</f>
        <v>Turquía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c r="A339" s="9" t="s">
        <v>907</v>
      </c>
      <c r="B339" s="9">
        <f ca="1">+IF(A339=WORLDCUP!$BI$112,1,0)</f>
        <v>0</v>
      </c>
      <c r="C339" s="9" t="str">
        <f ca="1">+WORLDCUP!BD62</f>
        <v>Costa de Marfil</v>
      </c>
      <c r="D339" s="9" t="str">
        <f ca="1">+WORLDCUP!BD67</f>
        <v>Austria</v>
      </c>
      <c r="E339" s="9" t="str">
        <f ca="1">+WORLDCUP!BD59</f>
        <v>Catar</v>
      </c>
      <c r="F339" s="9" t="str">
        <f ca="1">+WORLDCUP!BD61</f>
        <v>Turquía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c r="A340" s="9" t="s">
        <v>906</v>
      </c>
      <c r="B340" s="9">
        <f ca="1">+IF(A340=WORLDCUP!$BI$112,1,0)</f>
        <v>0</v>
      </c>
      <c r="C340" s="9" t="str">
        <f ca="1">+WORLDCUP!BD62</f>
        <v>Costa de Marfil</v>
      </c>
      <c r="D340" s="9" t="str">
        <f ca="1">+WORLDCUP!BD67</f>
        <v>Austria</v>
      </c>
      <c r="E340" s="9" t="str">
        <f ca="1">+WORLDCUP!BD59</f>
        <v>Catar</v>
      </c>
      <c r="F340" s="9" t="str">
        <f ca="1">+WORLDCUP!BD61</f>
        <v>Turquía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c r="A341" s="9" t="s">
        <v>905</v>
      </c>
      <c r="B341" s="9">
        <f ca="1">+IF(A341=WORLDCUP!$BI$112,1,0)</f>
        <v>0</v>
      </c>
      <c r="C341" s="9" t="str">
        <f ca="1">+WORLDCUP!BD62</f>
        <v>Costa de Marfil</v>
      </c>
      <c r="D341" s="9" t="str">
        <f ca="1">+WORLDCUP!BD67</f>
        <v>Austria</v>
      </c>
      <c r="E341" s="9" t="str">
        <f ca="1">+WORLDCUP!BD59</f>
        <v>Catar</v>
      </c>
      <c r="F341" s="9" t="str">
        <f ca="1">+WORLDCUP!BD61</f>
        <v>Turquía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Turquía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c r="A343" s="9" t="s">
        <v>903</v>
      </c>
      <c r="B343" s="9">
        <f ca="1">+IF(A343=WORLDCUP!$BI$112,1,0)</f>
        <v>0</v>
      </c>
      <c r="C343" s="9" t="str">
        <f ca="1">+WORLDCUP!BD62</f>
        <v>Costa de Marfil</v>
      </c>
      <c r="D343" s="9" t="str">
        <f ca="1">+WORLDCUP!BD67</f>
        <v>Austria</v>
      </c>
      <c r="E343" s="9" t="str">
        <f ca="1">+WORLDCUP!BD59</f>
        <v>Catar</v>
      </c>
      <c r="F343" s="9" t="str">
        <f ca="1">+WORLDCUP!BD61</f>
        <v>Turquía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c r="A344" s="9" t="s">
        <v>902</v>
      </c>
      <c r="B344" s="9">
        <f ca="1">+IF(A344=WORLDCUP!$BI$112,1,0)</f>
        <v>0</v>
      </c>
      <c r="C344" s="9" t="str">
        <f ca="1">+WORLDCUP!BD62</f>
        <v>Costa de Marfil</v>
      </c>
      <c r="D344" s="9" t="str">
        <f ca="1">+WORLDCUP!BD67</f>
        <v>Austria</v>
      </c>
      <c r="E344" s="9" t="str">
        <f ca="1">+WORLDCUP!BD59</f>
        <v>Catar</v>
      </c>
      <c r="F344" s="9" t="str">
        <f ca="1">+WORLDCUP!BD61</f>
        <v>Turquía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c r="A345" s="9" t="s">
        <v>901</v>
      </c>
      <c r="B345" s="9">
        <f ca="1">+IF(A345=WORLDCUP!$BI$112,1,0)</f>
        <v>0</v>
      </c>
      <c r="C345" s="9" t="str">
        <f ca="1">+WORLDCUP!BD62</f>
        <v>Costa de Marfil</v>
      </c>
      <c r="D345" s="9" t="str">
        <f ca="1">+WORLDCUP!BD64</f>
        <v>Irán</v>
      </c>
      <c r="E345" s="9" t="str">
        <f ca="1">+WORLDCUP!BD59</f>
        <v>Catar</v>
      </c>
      <c r="F345" s="9" t="str">
        <f ca="1">+WORLDCUP!BD61</f>
        <v>Turquía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c r="A346" s="9" t="s">
        <v>900</v>
      </c>
      <c r="B346" s="9">
        <f ca="1">+IF(A346=WORLDCUP!$BI$112,1,0)</f>
        <v>0</v>
      </c>
      <c r="C346" s="9" t="str">
        <f ca="1">+WORLDCUP!BD65</f>
        <v>Arabia Saudita</v>
      </c>
      <c r="D346" s="9" t="str">
        <f ca="1">+WORLDCUP!BD67</f>
        <v>Austria</v>
      </c>
      <c r="E346" s="9" t="str">
        <f ca="1">+WORLDCUP!BD59</f>
        <v>Catar</v>
      </c>
      <c r="F346" s="9" t="str">
        <f ca="1">+WORLDCUP!BD61</f>
        <v>Turquía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c r="A347" s="9" t="s">
        <v>899</v>
      </c>
      <c r="B347" s="9">
        <f ca="1">+IF(A347=WORLDCUP!$BI$112,1,0)</f>
        <v>0</v>
      </c>
      <c r="C347" s="9" t="str">
        <f ca="1">+WORLDCUP!BD65</f>
        <v>Arabia Saudita</v>
      </c>
      <c r="D347" s="9" t="str">
        <f ca="1">+WORLDCUP!BD67</f>
        <v>Austria</v>
      </c>
      <c r="E347" s="9" t="str">
        <f ca="1">+WORLDCUP!BD59</f>
        <v>Catar</v>
      </c>
      <c r="F347" s="9" t="str">
        <f ca="1">+WORLDCUP!BD61</f>
        <v>Turquía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c r="A348" s="9" t="s">
        <v>898</v>
      </c>
      <c r="B348" s="9">
        <f ca="1">+IF(A348=WORLDCUP!$BI$112,1,0)</f>
        <v>0</v>
      </c>
      <c r="C348" s="9" t="str">
        <f ca="1">+WORLDCUP!BD62</f>
        <v>Costa de Marfil</v>
      </c>
      <c r="D348" s="9" t="str">
        <f ca="1">+WORLDCUP!BD64</f>
        <v>Irán</v>
      </c>
      <c r="E348" s="9" t="str">
        <f ca="1">+WORLDCUP!BD59</f>
        <v>Catar</v>
      </c>
      <c r="F348" s="9" t="str">
        <f ca="1">+WORLDCUP!BD61</f>
        <v>Turquía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c r="A349" s="9" t="s">
        <v>897</v>
      </c>
      <c r="B349" s="9">
        <f ca="1">+IF(A349=WORLDCUP!$BI$112,1,0)</f>
        <v>0</v>
      </c>
      <c r="C349" s="9" t="str">
        <f ca="1">+WORLDCUP!BD62</f>
        <v>Costa de Marfil</v>
      </c>
      <c r="D349" s="9" t="str">
        <f ca="1">+WORLDCUP!BD64</f>
        <v>Irán</v>
      </c>
      <c r="E349" s="9" t="str">
        <f ca="1">+WORLDCUP!BD59</f>
        <v>Catar</v>
      </c>
      <c r="F349" s="9" t="str">
        <f ca="1">+WORLDCUP!BD61</f>
        <v>Turquía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c r="A350" s="9" t="s">
        <v>896</v>
      </c>
      <c r="B350" s="9">
        <f ca="1">+IF(A350=WORLDCUP!$BI$112,1,0)</f>
        <v>0</v>
      </c>
      <c r="C350" s="9" t="str">
        <f ca="1">+WORLDCUP!BD65</f>
        <v>Arabia Saudita</v>
      </c>
      <c r="D350" s="9" t="str">
        <f ca="1">+WORLDCUP!BD67</f>
        <v>Austria</v>
      </c>
      <c r="E350" s="9" t="str">
        <f ca="1">+WORLDCUP!BD59</f>
        <v>Catar</v>
      </c>
      <c r="F350" s="9" t="str">
        <f ca="1">+WORLDCUP!BD61</f>
        <v>Turquía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c r="A351" s="9" t="s">
        <v>895</v>
      </c>
      <c r="B351" s="9">
        <f ca="1">+IF(A351=WORLDCUP!$BI$112,1,0)</f>
        <v>0</v>
      </c>
      <c r="C351" s="9" t="str">
        <f ca="1">+WORLDCUP!BD62</f>
        <v>Costa de Marfil</v>
      </c>
      <c r="D351" s="9" t="str">
        <f ca="1">+WORLDCUP!BD67</f>
        <v>Austria</v>
      </c>
      <c r="E351" s="9" t="str">
        <f ca="1">+WORLDCUP!BD59</f>
        <v>Catar</v>
      </c>
      <c r="F351" s="9" t="str">
        <f ca="1">+WORLDCUP!BD61</f>
        <v>Turquía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c r="A352" s="9" t="s">
        <v>894</v>
      </c>
      <c r="B352" s="9">
        <f ca="1">+IF(A352=WORLDCUP!$BI$112,1,0)</f>
        <v>0</v>
      </c>
      <c r="C352" s="9" t="str">
        <f ca="1">+WORLDCUP!BD62</f>
        <v>Costa de Marfil</v>
      </c>
      <c r="D352" s="9" t="str">
        <f ca="1">+WORLDCUP!BD66</f>
        <v>Irak</v>
      </c>
      <c r="E352" s="9" t="str">
        <f ca="1">+WORLDCUP!BD59</f>
        <v>Catar</v>
      </c>
      <c r="F352" s="9" t="str">
        <f ca="1">+WORLDCUP!BD61</f>
        <v>Turquía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c r="A353" s="9" t="s">
        <v>893</v>
      </c>
      <c r="B353" s="9">
        <f ca="1">+IF(A353=WORLDCUP!$BI$112,1,0)</f>
        <v>0</v>
      </c>
      <c r="C353" s="9" t="str">
        <f ca="1">+WORLDCUP!BD62</f>
        <v>Costa de Marfil</v>
      </c>
      <c r="D353" s="9" t="str">
        <f ca="1">+WORLDCUP!BD67</f>
        <v>Austria</v>
      </c>
      <c r="E353" s="9" t="str">
        <f ca="1">+WORLDCUP!BD59</f>
        <v>Catar</v>
      </c>
      <c r="F353" s="9" t="str">
        <f ca="1">+WORLDCUP!BD61</f>
        <v>Turquía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c r="A354" s="9" t="s">
        <v>892</v>
      </c>
      <c r="B354" s="9">
        <f ca="1">+IF(A354=WORLDCUP!$BI$112,1,0)</f>
        <v>0</v>
      </c>
      <c r="C354" s="9" t="str">
        <f ca="1">+WORLDCUP!BD62</f>
        <v>Costa de Marfil</v>
      </c>
      <c r="D354" s="9" t="str">
        <f ca="1">+WORLDCUP!BD67</f>
        <v>Austria</v>
      </c>
      <c r="E354" s="9" t="str">
        <f ca="1">+WORLDCUP!BD59</f>
        <v>Catar</v>
      </c>
      <c r="F354" s="9" t="str">
        <f ca="1">+WORLDCUP!BD61</f>
        <v>Turquía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c r="A355" s="9" t="s">
        <v>891</v>
      </c>
      <c r="B355" s="9">
        <f ca="1">+IF(A355=WORLDCUP!$BI$112,1,0)</f>
        <v>0</v>
      </c>
      <c r="C355" s="9" t="str">
        <f ca="1">+WORLDCUP!BD65</f>
        <v>Arabia Saudita</v>
      </c>
      <c r="D355" s="9" t="str">
        <f ca="1">+WORLDCUP!BD62</f>
        <v>Costa de Marfil</v>
      </c>
      <c r="E355" s="9" t="str">
        <f ca="1">+WORLDCUP!BD59</f>
        <v>Catar</v>
      </c>
      <c r="F355" s="9" t="str">
        <f ca="1">+WORLDCUP!BD61</f>
        <v>Turquía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c r="A356" s="9" t="s">
        <v>890</v>
      </c>
      <c r="B356" s="9">
        <f ca="1">+IF(A356=WORLDCUP!$BI$112,1,0)</f>
        <v>0</v>
      </c>
      <c r="C356" s="9" t="str">
        <f ca="1">+WORLDCUP!BD65</f>
        <v>Arabia Saudita</v>
      </c>
      <c r="D356" s="9" t="str">
        <f ca="1">+WORLDCUP!BD67</f>
        <v>Austria</v>
      </c>
      <c r="E356" s="9" t="str">
        <f ca="1">+WORLDCUP!BD59</f>
        <v>Catar</v>
      </c>
      <c r="F356" s="9" t="str">
        <f ca="1">+WORLDCUP!BD61</f>
        <v>Turquía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c r="A357" s="9" t="s">
        <v>889</v>
      </c>
      <c r="B357" s="9">
        <f ca="1">+IF(A357=WORLDCUP!$BI$112,1,0)</f>
        <v>0</v>
      </c>
      <c r="C357" s="9" t="str">
        <f ca="1">+WORLDCUP!BD65</f>
        <v>Arabia Saudita</v>
      </c>
      <c r="D357" s="9" t="str">
        <f ca="1">+WORLDCUP!BD67</f>
        <v>Austria</v>
      </c>
      <c r="E357" s="9" t="str">
        <f ca="1">+WORLDCUP!BD59</f>
        <v>Catar</v>
      </c>
      <c r="F357" s="9" t="str">
        <f ca="1">+WORLDCUP!BD61</f>
        <v>Turquía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c r="A358" s="9" t="s">
        <v>888</v>
      </c>
      <c r="B358" s="9">
        <f ca="1">+IF(A358=WORLDCUP!$BI$112,1,0)</f>
        <v>0</v>
      </c>
      <c r="C358" s="9" t="str">
        <f ca="1">+WORLDCUP!BD65</f>
        <v>Arabia Saudita</v>
      </c>
      <c r="D358" s="9" t="str">
        <f ca="1">+WORLDCUP!BD62</f>
        <v>Costa de Marfil</v>
      </c>
      <c r="E358" s="9" t="str">
        <f ca="1">+WORLDCUP!BD59</f>
        <v>Catar</v>
      </c>
      <c r="F358" s="9" t="str">
        <f ca="1">+WORLDCUP!BD61</f>
        <v>Turquía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c r="A359" s="9" t="s">
        <v>887</v>
      </c>
      <c r="B359" s="9">
        <f ca="1">+IF(A359=WORLDCUP!$BI$112,1,0)</f>
        <v>0</v>
      </c>
      <c r="C359" s="9" t="str">
        <f ca="1">+WORLDCUP!BD65</f>
        <v>Arabia Saudita</v>
      </c>
      <c r="D359" s="9" t="str">
        <f ca="1">+WORLDCUP!BD62</f>
        <v>Costa de Marfil</v>
      </c>
      <c r="E359" s="9" t="str">
        <f ca="1">+WORLDCUP!BD59</f>
        <v>Catar</v>
      </c>
      <c r="F359" s="9" t="str">
        <f ca="1">+WORLDCUP!BD61</f>
        <v>Turquía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c r="A360" s="9" t="s">
        <v>886</v>
      </c>
      <c r="B360" s="9">
        <f ca="1">+IF(A360=WORLDCUP!$BI$112,1,0)</f>
        <v>0</v>
      </c>
      <c r="C360" s="9" t="str">
        <f ca="1">+WORLDCUP!BD65</f>
        <v>Arabia Saudita</v>
      </c>
      <c r="D360" s="9" t="str">
        <f ca="1">+WORLDCUP!BD67</f>
        <v>Austria</v>
      </c>
      <c r="E360" s="9" t="str">
        <f ca="1">+WORLDCUP!BD59</f>
        <v>Catar</v>
      </c>
      <c r="F360" s="9" t="str">
        <f ca="1">+WORLDCUP!BD61</f>
        <v>Turquía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c r="A361" s="9" t="s">
        <v>885</v>
      </c>
      <c r="B361" s="9">
        <f ca="1">+IF(A361=WORLDCUP!$BI$112,1,0)</f>
        <v>0</v>
      </c>
      <c r="C361" s="9" t="str">
        <f ca="1">+WORLDCUP!BD62</f>
        <v>Costa de Marfil</v>
      </c>
      <c r="D361" s="9" t="str">
        <f ca="1">+WORLDCUP!BD64</f>
        <v>Irán</v>
      </c>
      <c r="E361" s="9" t="str">
        <f ca="1">+WORLDCUP!BD59</f>
        <v>Catar</v>
      </c>
      <c r="F361" s="9" t="str">
        <f ca="1">+WORLDCUP!BD61</f>
        <v>Turquía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c r="A362" s="9" t="s">
        <v>884</v>
      </c>
      <c r="B362" s="9">
        <f ca="1">+IF(A362=WORLDCUP!$BI$112,1,0)</f>
        <v>0</v>
      </c>
      <c r="C362" s="9" t="str">
        <f ca="1">+WORLDCUP!BD62</f>
        <v>Costa de Marfil</v>
      </c>
      <c r="D362" s="9" t="str">
        <f ca="1">+WORLDCUP!BD64</f>
        <v>Irán</v>
      </c>
      <c r="E362" s="9" t="str">
        <f ca="1">+WORLDCUP!BD59</f>
        <v>Catar</v>
      </c>
      <c r="F362" s="9" t="str">
        <f ca="1">+WORLDCUP!BD61</f>
        <v>Turquía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c r="A363" s="9" t="s">
        <v>883</v>
      </c>
      <c r="B363" s="9">
        <f ca="1">+IF(A363=WORLDCUP!$BI$112,1,0)</f>
        <v>0</v>
      </c>
      <c r="C363" s="9" t="str">
        <f ca="1">+WORLDCUP!BD62</f>
        <v>Costa de Marfil</v>
      </c>
      <c r="D363" s="9" t="str">
        <f ca="1">+WORLDCUP!BD64</f>
        <v>Irán</v>
      </c>
      <c r="E363" s="9" t="str">
        <f ca="1">+WORLDCUP!BD59</f>
        <v>Catar</v>
      </c>
      <c r="F363" s="9" t="str">
        <f ca="1">+WORLDCUP!BD61</f>
        <v>Turquía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c r="A364" s="9" t="s">
        <v>882</v>
      </c>
      <c r="B364" s="9">
        <f ca="1">+IF(A364=WORLDCUP!$BI$112,1,0)</f>
        <v>0</v>
      </c>
      <c r="C364" s="9" t="str">
        <f ca="1">+WORLDCUP!BD62</f>
        <v>Costa de Marfil</v>
      </c>
      <c r="D364" s="9" t="str">
        <f ca="1">+WORLDCUP!BD64</f>
        <v>Irán</v>
      </c>
      <c r="E364" s="9" t="str">
        <f ca="1">+WORLDCUP!BD59</f>
        <v>Catar</v>
      </c>
      <c r="F364" s="9" t="str">
        <f ca="1">+WORLDCUP!BD61</f>
        <v>Turquía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c r="A365" s="9" t="s">
        <v>881</v>
      </c>
      <c r="B365" s="9">
        <f ca="1">+IF(A365=WORLDCUP!$BI$112,1,0)</f>
        <v>0</v>
      </c>
      <c r="C365" s="9" t="str">
        <f ca="1">+WORLDCUP!BD62</f>
        <v>Costa de Marfil</v>
      </c>
      <c r="D365" s="9" t="str">
        <f ca="1">+WORLDCUP!BD64</f>
        <v>Irán</v>
      </c>
      <c r="E365" s="9" t="str">
        <f ca="1">+WORLDCUP!BD59</f>
        <v>Catar</v>
      </c>
      <c r="F365" s="9" t="str">
        <f ca="1">+WORLDCUP!BD61</f>
        <v>Turquía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c r="A366" s="9" t="s">
        <v>880</v>
      </c>
      <c r="B366" s="9">
        <f ca="1">+IF(A366=WORLDCUP!$BI$112,1,0)</f>
        <v>0</v>
      </c>
      <c r="C366" s="9" t="str">
        <f ca="1">+WORLDCUP!BD62</f>
        <v>Costa de Marfil</v>
      </c>
      <c r="D366" s="9" t="str">
        <f ca="1">+WORLDCUP!BD64</f>
        <v>Irán</v>
      </c>
      <c r="E366" s="9" t="str">
        <f ca="1">+WORLDCUP!BD59</f>
        <v>Catar</v>
      </c>
      <c r="F366" s="9" t="str">
        <f ca="1">+WORLDCUP!BD61</f>
        <v>Turquía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c r="A367" s="9" t="s">
        <v>879</v>
      </c>
      <c r="B367" s="9">
        <f ca="1">+IF(A367=WORLDCUP!$BI$112,1,0)</f>
        <v>0</v>
      </c>
      <c r="C367" s="9" t="str">
        <f ca="1">+WORLDCUP!BD65</f>
        <v>Arabia Saudita</v>
      </c>
      <c r="D367" s="9" t="str">
        <f ca="1">+WORLDCUP!BD64</f>
        <v>Irán</v>
      </c>
      <c r="E367" s="9" t="str">
        <f ca="1">+WORLDCUP!BD59</f>
        <v>Catar</v>
      </c>
      <c r="F367" s="9" t="str">
        <f ca="1">+WORLDCUP!BD61</f>
        <v>Turquía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c r="A368" s="9" t="s">
        <v>878</v>
      </c>
      <c r="B368" s="9">
        <f ca="1">+IF(A368=WORLDCUP!$BI$112,1,0)</f>
        <v>0</v>
      </c>
      <c r="C368" s="9" t="str">
        <f ca="1">+WORLDCUP!BD65</f>
        <v>Arabia Saudita</v>
      </c>
      <c r="D368" s="9" t="str">
        <f ca="1">+WORLDCUP!BD64</f>
        <v>Irán</v>
      </c>
      <c r="E368" s="9" t="str">
        <f ca="1">+WORLDCUP!BD59</f>
        <v>Catar</v>
      </c>
      <c r="F368" s="9" t="str">
        <f ca="1">+WORLDCUP!BD61</f>
        <v>Turquía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c r="A369" s="9" t="s">
        <v>877</v>
      </c>
      <c r="B369" s="9">
        <f ca="1">+IF(A369=WORLDCUP!$BI$112,1,0)</f>
        <v>0</v>
      </c>
      <c r="C369" s="9" t="str">
        <f ca="1">+WORLDCUP!BD65</f>
        <v>Arabia Saudita</v>
      </c>
      <c r="D369" s="9" t="str">
        <f ca="1">+WORLDCUP!BD64</f>
        <v>Irán</v>
      </c>
      <c r="E369" s="9" t="str">
        <f ca="1">+WORLDCUP!BD59</f>
        <v>Catar</v>
      </c>
      <c r="F369" s="9" t="str">
        <f ca="1">+WORLDCUP!BD61</f>
        <v>Turquía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c r="A370" s="9" t="s">
        <v>876</v>
      </c>
      <c r="B370" s="9">
        <f ca="1">+IF(A370=WORLDCUP!$BI$112,1,0)</f>
        <v>0</v>
      </c>
      <c r="C370" s="9" t="str">
        <f ca="1">+WORLDCUP!BD65</f>
        <v>Arabia Saudita</v>
      </c>
      <c r="D370" s="9" t="str">
        <f ca="1">+WORLDCUP!BD64</f>
        <v>Irán</v>
      </c>
      <c r="E370" s="9" t="str">
        <f ca="1">+WORLDCUP!BD59</f>
        <v>Catar</v>
      </c>
      <c r="F370" s="9" t="str">
        <f ca="1">+WORLDCUP!BD61</f>
        <v>Turquía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Turquía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Turquía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Turquía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Turquía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Turquía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c r="A432" s="9" t="s">
        <v>815</v>
      </c>
      <c r="B432" s="9">
        <f ca="1">+IF(A432=WORLDCUP!$BI$112,1,0)</f>
        <v>0</v>
      </c>
      <c r="C432" s="9" t="str">
        <f ca="1">+WORLDCUP!BD60</f>
        <v>Haití</v>
      </c>
      <c r="D432" s="9" t="str">
        <f ca="1">+WORLDCUP!BD67</f>
        <v>Austria</v>
      </c>
      <c r="E432" s="9" t="str">
        <f ca="1">+WORLDCUP!BD59</f>
        <v>Catar</v>
      </c>
      <c r="F432" s="9" t="str">
        <f ca="1">+WORLDCUP!BD61</f>
        <v>Turquía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Turquía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c r="A434" s="9" t="s">
        <v>813</v>
      </c>
      <c r="B434" s="9">
        <f ca="1">+IF(A434=WORLDCUP!$BI$112,1,0)</f>
        <v>0</v>
      </c>
      <c r="C434" s="9" t="str">
        <f ca="1">+WORLDCUP!BD60</f>
        <v>Haití</v>
      </c>
      <c r="D434" s="9" t="str">
        <f ca="1">+WORLDCUP!BD67</f>
        <v>Austria</v>
      </c>
      <c r="E434" s="9" t="str">
        <f ca="1">+WORLDCUP!BD59</f>
        <v>Catar</v>
      </c>
      <c r="F434" s="9" t="str">
        <f ca="1">+WORLDCUP!BD61</f>
        <v>Turquía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c r="A435" s="9" t="s">
        <v>812</v>
      </c>
      <c r="B435" s="9">
        <f ca="1">+IF(A435=WORLDCUP!$BI$112,1,0)</f>
        <v>0</v>
      </c>
      <c r="C435" s="9" t="str">
        <f ca="1">+WORLDCUP!BD60</f>
        <v>Haití</v>
      </c>
      <c r="D435" s="9" t="str">
        <f ca="1">+WORLDCUP!BD67</f>
        <v>Austria</v>
      </c>
      <c r="E435" s="9" t="str">
        <f ca="1">+WORLDCUP!BD59</f>
        <v>Catar</v>
      </c>
      <c r="F435" s="9" t="str">
        <f ca="1">+WORLDCUP!BD61</f>
        <v>Turquía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Turquía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Turquía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Turquía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Turquía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Turquía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Turquía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c r="A442" s="9" t="s">
        <v>805</v>
      </c>
      <c r="B442" s="9">
        <f ca="1">+IF(A442=WORLDCUP!$BI$112,1,0)</f>
        <v>0</v>
      </c>
      <c r="C442" s="9" t="str">
        <f ca="1">+WORLDCUP!BD60</f>
        <v>Haití</v>
      </c>
      <c r="D442" s="9" t="str">
        <f ca="1">+WORLDCUP!BD67</f>
        <v>Austria</v>
      </c>
      <c r="E442" s="9" t="str">
        <f ca="1">+WORLDCUP!BD59</f>
        <v>Catar</v>
      </c>
      <c r="F442" s="9" t="str">
        <f ca="1">+WORLDCUP!BD61</f>
        <v>Turquía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c r="A443" s="9" t="s">
        <v>804</v>
      </c>
      <c r="B443" s="9">
        <f ca="1">+IF(A443=WORLDCUP!$BI$112,1,0)</f>
        <v>0</v>
      </c>
      <c r="C443" s="9" t="str">
        <f ca="1">+WORLDCUP!BD60</f>
        <v>Haití</v>
      </c>
      <c r="D443" s="9" t="str">
        <f ca="1">+WORLDCUP!BD66</f>
        <v>Irak</v>
      </c>
      <c r="E443" s="9" t="str">
        <f ca="1">+WORLDCUP!BD59</f>
        <v>Catar</v>
      </c>
      <c r="F443" s="9" t="str">
        <f ca="1">+WORLDCUP!BD61</f>
        <v>Turquía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c r="A444" s="9" t="s">
        <v>803</v>
      </c>
      <c r="B444" s="9">
        <f ca="1">+IF(A444=WORLDCUP!$BI$112,1,0)</f>
        <v>0</v>
      </c>
      <c r="C444" s="9" t="str">
        <f ca="1">+WORLDCUP!BD60</f>
        <v>Haití</v>
      </c>
      <c r="D444" s="9" t="str">
        <f ca="1">+WORLDCUP!BD67</f>
        <v>Austria</v>
      </c>
      <c r="E444" s="9" t="str">
        <f ca="1">+WORLDCUP!BD59</f>
        <v>Catar</v>
      </c>
      <c r="F444" s="9" t="str">
        <f ca="1">+WORLDCUP!BD61</f>
        <v>Turquía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c r="A445" s="9" t="s">
        <v>802</v>
      </c>
      <c r="B445" s="9">
        <f ca="1">+IF(A445=WORLDCUP!$BI$112,1,0)</f>
        <v>0</v>
      </c>
      <c r="C445" s="9" t="str">
        <f ca="1">+WORLDCUP!BD60</f>
        <v>Haití</v>
      </c>
      <c r="D445" s="9" t="str">
        <f ca="1">+WORLDCUP!BD67</f>
        <v>Austria</v>
      </c>
      <c r="E445" s="9" t="str">
        <f ca="1">+WORLDCUP!BD59</f>
        <v>Catar</v>
      </c>
      <c r="F445" s="9" t="str">
        <f ca="1">+WORLDCUP!BD61</f>
        <v>Turquía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Turquía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c r="A447" s="9" t="s">
        <v>800</v>
      </c>
      <c r="B447" s="9">
        <f ca="1">+IF(A447=WORLDCUP!$BI$112,1,0)</f>
        <v>0</v>
      </c>
      <c r="C447" s="9" t="str">
        <f ca="1">+WORLDCUP!BD60</f>
        <v>Haití</v>
      </c>
      <c r="D447" s="9" t="str">
        <f ca="1">+WORLDCUP!BD67</f>
        <v>Austria</v>
      </c>
      <c r="E447" s="9" t="str">
        <f ca="1">+WORLDCUP!BD59</f>
        <v>Catar</v>
      </c>
      <c r="F447" s="9" t="str">
        <f ca="1">+WORLDCUP!BD61</f>
        <v>Turquía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Turquía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Turquía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Turquía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Turquía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c r="A452" s="9" t="s">
        <v>795</v>
      </c>
      <c r="B452" s="9">
        <f ca="1">+IF(A452=WORLDCUP!$BI$112,1,0)</f>
        <v>0</v>
      </c>
      <c r="C452" s="9" t="str">
        <f ca="1">+WORLDCUP!BD60</f>
        <v>Haití</v>
      </c>
      <c r="D452" s="9" t="str">
        <f ca="1">+WORLDCUP!BD64</f>
        <v>Irán</v>
      </c>
      <c r="E452" s="9" t="str">
        <f ca="1">+WORLDCUP!BD59</f>
        <v>Catar</v>
      </c>
      <c r="F452" s="9" t="str">
        <f ca="1">+WORLDCUP!BD61</f>
        <v>Turquía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c r="A453" s="9" t="s">
        <v>794</v>
      </c>
      <c r="B453" s="9">
        <f ca="1">+IF(A453=WORLDCUP!$BI$112,1,0)</f>
        <v>0</v>
      </c>
      <c r="C453" s="9" t="str">
        <f ca="1">+WORLDCUP!BD60</f>
        <v>Haití</v>
      </c>
      <c r="D453" s="9" t="str">
        <f ca="1">+WORLDCUP!BD64</f>
        <v>Irán</v>
      </c>
      <c r="E453" s="9" t="str">
        <f ca="1">+WORLDCUP!BD59</f>
        <v>Catar</v>
      </c>
      <c r="F453" s="9" t="str">
        <f ca="1">+WORLDCUP!BD61</f>
        <v>Turquía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c r="A454" s="9" t="s">
        <v>793</v>
      </c>
      <c r="B454" s="9">
        <f ca="1">+IF(A454=WORLDCUP!$BI$112,1,0)</f>
        <v>0</v>
      </c>
      <c r="C454" s="9" t="str">
        <f ca="1">+WORLDCUP!BD60</f>
        <v>Haití</v>
      </c>
      <c r="D454" s="9" t="str">
        <f ca="1">+WORLDCUP!BD64</f>
        <v>Irán</v>
      </c>
      <c r="E454" s="9" t="str">
        <f ca="1">+WORLDCUP!BD59</f>
        <v>Catar</v>
      </c>
      <c r="F454" s="9" t="str">
        <f ca="1">+WORLDCUP!BD61</f>
        <v>Turquía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c r="A455" s="9" t="s">
        <v>792</v>
      </c>
      <c r="B455" s="9">
        <f ca="1">+IF(A455=WORLDCUP!$BI$112,1,0)</f>
        <v>0</v>
      </c>
      <c r="C455" s="9" t="str">
        <f ca="1">+WORLDCUP!BD60</f>
        <v>Haití</v>
      </c>
      <c r="D455" s="9" t="str">
        <f ca="1">+WORLDCUP!BD64</f>
        <v>Irán</v>
      </c>
      <c r="E455" s="9" t="str">
        <f ca="1">+WORLDCUP!BD59</f>
        <v>Catar</v>
      </c>
      <c r="F455" s="9" t="str">
        <f ca="1">+WORLDCUP!BD61</f>
        <v>Turquía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c r="A456" s="9" t="s">
        <v>791</v>
      </c>
      <c r="B456" s="9">
        <f ca="1">+IF(A456=WORLDCUP!$BI$112,1,0)</f>
        <v>0</v>
      </c>
      <c r="C456" s="9" t="str">
        <f ca="1">+WORLDCUP!BD60</f>
        <v>Haití</v>
      </c>
      <c r="D456" s="9" t="str">
        <f ca="1">+WORLDCUP!BD64</f>
        <v>Irán</v>
      </c>
      <c r="E456" s="9" t="str">
        <f ca="1">+WORLDCUP!BD59</f>
        <v>Catar</v>
      </c>
      <c r="F456" s="9" t="str">
        <f ca="1">+WORLDCUP!BD61</f>
        <v>Turquía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c r="A457" s="9" t="s">
        <v>790</v>
      </c>
      <c r="B457" s="9">
        <f ca="1">+IF(A457=WORLDCUP!$BI$112,1,0)</f>
        <v>0</v>
      </c>
      <c r="C457" s="9" t="str">
        <f ca="1">+WORLDCUP!BD60</f>
        <v>Haití</v>
      </c>
      <c r="D457" s="9" t="str">
        <f ca="1">+WORLDCUP!BD64</f>
        <v>Irán</v>
      </c>
      <c r="E457" s="9" t="str">
        <f ca="1">+WORLDCUP!BD59</f>
        <v>Catar</v>
      </c>
      <c r="F457" s="9" t="str">
        <f ca="1">+WORLDCUP!BD61</f>
        <v>Turquía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c r="A458" s="9" t="s">
        <v>789</v>
      </c>
      <c r="B458" s="9">
        <f ca="1">+IF(A458=WORLDCUP!$BI$112,1,0)</f>
        <v>0</v>
      </c>
      <c r="C458" s="9" t="str">
        <f ca="1">+WORLDCUP!BD60</f>
        <v>Haití</v>
      </c>
      <c r="D458" s="9" t="str">
        <f ca="1">+WORLDCUP!BD64</f>
        <v>Irán</v>
      </c>
      <c r="E458" s="9" t="str">
        <f ca="1">+WORLDCUP!BD59</f>
        <v>Catar</v>
      </c>
      <c r="F458" s="9" t="str">
        <f ca="1">+WORLDCUP!BD61</f>
        <v>Turquía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Turquía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Turquía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Turquía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Turquía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Turquía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Turquía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Turquía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Turquía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Turquía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Turquía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Turquía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Turquía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Turquía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Turquía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Turquía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Turquía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Turquía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Turquía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Turquía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Turquía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Turquía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Turquía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Turquía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c r="A482" s="9" t="s">
        <v>459</v>
      </c>
      <c r="B482" s="9">
        <f ca="1">+IF(A482=WORLDCUP!$BI$112,1,0)</f>
        <v>0</v>
      </c>
      <c r="C482" s="9" t="str">
        <f ca="1">+WORLDCUP!BD60</f>
        <v>Haití</v>
      </c>
      <c r="D482" s="9" t="str">
        <f ca="1">+WORLDCUP!BD62</f>
        <v>Costa de Marfil</v>
      </c>
      <c r="E482" s="9" t="str">
        <f ca="1">+WORLDCUP!BD59</f>
        <v>Catar</v>
      </c>
      <c r="F482" s="9" t="str">
        <f ca="1">+WORLDCUP!BD61</f>
        <v>Turquía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c r="A483" s="9" t="s">
        <v>458</v>
      </c>
      <c r="B483" s="9">
        <f ca="1">+IF(A483=WORLDCUP!$BI$112,1,0)</f>
        <v>0</v>
      </c>
      <c r="C483" s="9" t="str">
        <f ca="1">+WORLDCUP!BD60</f>
        <v>Haití</v>
      </c>
      <c r="D483" s="9" t="str">
        <f ca="1">+WORLDCUP!BD67</f>
        <v>Austria</v>
      </c>
      <c r="E483" s="9" t="str">
        <f ca="1">+WORLDCUP!BD59</f>
        <v>Catar</v>
      </c>
      <c r="F483" s="9" t="str">
        <f ca="1">+WORLDCUP!BD61</f>
        <v>Turquía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c r="A484" s="9" t="s">
        <v>457</v>
      </c>
      <c r="B484" s="9">
        <f ca="1">+IF(A484=WORLDCUP!$BI$112,1,0)</f>
        <v>0</v>
      </c>
      <c r="C484" s="9" t="str">
        <f ca="1">+WORLDCUP!BD60</f>
        <v>Haití</v>
      </c>
      <c r="D484" s="9" t="str">
        <f ca="1">+WORLDCUP!BD67</f>
        <v>Austria</v>
      </c>
      <c r="E484" s="9" t="str">
        <f ca="1">+WORLDCUP!BD59</f>
        <v>Catar</v>
      </c>
      <c r="F484" s="9" t="str">
        <f ca="1">+WORLDCUP!BD61</f>
        <v>Turquía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c r="A485" s="9" t="s">
        <v>456</v>
      </c>
      <c r="B485" s="9">
        <f ca="1">+IF(A485=WORLDCUP!$BI$112,1,0)</f>
        <v>0</v>
      </c>
      <c r="C485" s="9" t="str">
        <f ca="1">+WORLDCUP!BD60</f>
        <v>Haití</v>
      </c>
      <c r="D485" s="9" t="str">
        <f ca="1">+WORLDCUP!BD62</f>
        <v>Costa de Marfil</v>
      </c>
      <c r="E485" s="9" t="str">
        <f ca="1">+WORLDCUP!BD59</f>
        <v>Catar</v>
      </c>
      <c r="F485" s="9" t="str">
        <f ca="1">+WORLDCUP!BD61</f>
        <v>Turquía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c r="A486" s="9" t="s">
        <v>455</v>
      </c>
      <c r="B486" s="9">
        <f ca="1">+IF(A486=WORLDCUP!$BI$112,1,0)</f>
        <v>0</v>
      </c>
      <c r="C486" s="9" t="str">
        <f ca="1">+WORLDCUP!BD60</f>
        <v>Haití</v>
      </c>
      <c r="D486" s="9" t="str">
        <f ca="1">+WORLDCUP!BD62</f>
        <v>Costa de Marfil</v>
      </c>
      <c r="E486" s="9" t="str">
        <f ca="1">+WORLDCUP!BD59</f>
        <v>Catar</v>
      </c>
      <c r="F486" s="9" t="str">
        <f ca="1">+WORLDCUP!BD61</f>
        <v>Turquía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c r="A487" s="9" t="s">
        <v>454</v>
      </c>
      <c r="B487" s="9">
        <f ca="1">+IF(A487=WORLDCUP!$BI$112,1,0)</f>
        <v>0</v>
      </c>
      <c r="C487" s="9" t="str">
        <f ca="1">+WORLDCUP!BD60</f>
        <v>Haití</v>
      </c>
      <c r="D487" s="9" t="str">
        <f ca="1">+WORLDCUP!BD67</f>
        <v>Austria</v>
      </c>
      <c r="E487" s="9" t="str">
        <f ca="1">+WORLDCUP!BD59</f>
        <v>Catar</v>
      </c>
      <c r="F487" s="9" t="str">
        <f ca="1">+WORLDCUP!BD61</f>
        <v>Turquía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Turquía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Turquía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Turquía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Turquía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c r="A492" s="9" t="s">
        <v>449</v>
      </c>
      <c r="B492" s="9">
        <f ca="1">+IF(A492=WORLDCUP!$BI$112,1,0)</f>
        <v>0</v>
      </c>
      <c r="C492" s="9" t="str">
        <f ca="1">+WORLDCUP!BD60</f>
        <v>Haití</v>
      </c>
      <c r="D492" s="9" t="str">
        <f ca="1">+WORLDCUP!BD64</f>
        <v>Irán</v>
      </c>
      <c r="E492" s="9" t="str">
        <f ca="1">+WORLDCUP!BD59</f>
        <v>Catar</v>
      </c>
      <c r="F492" s="9" t="str">
        <f ca="1">+WORLDCUP!BD61</f>
        <v>Turquía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c r="A493" s="9" t="s">
        <v>448</v>
      </c>
      <c r="B493" s="9">
        <f ca="1">+IF(A493=WORLDCUP!$BI$112,1,0)</f>
        <v>0</v>
      </c>
      <c r="C493" s="9" t="str">
        <f ca="1">+WORLDCUP!BD60</f>
        <v>Haití</v>
      </c>
      <c r="D493" s="9" t="str">
        <f ca="1">+WORLDCUP!BD64</f>
        <v>Irán</v>
      </c>
      <c r="E493" s="9" t="str">
        <f ca="1">+WORLDCUP!BD59</f>
        <v>Catar</v>
      </c>
      <c r="F493" s="9" t="str">
        <f ca="1">+WORLDCUP!BD61</f>
        <v>Turquía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c r="A494" s="9" t="s">
        <v>447</v>
      </c>
      <c r="B494" s="9">
        <f ca="1">+IF(A494=WORLDCUP!$BI$112,1,0)</f>
        <v>0</v>
      </c>
      <c r="C494" s="9" t="str">
        <f ca="1">+WORLDCUP!BD60</f>
        <v>Haití</v>
      </c>
      <c r="D494" s="9" t="str">
        <f ca="1">+WORLDCUP!BD64</f>
        <v>Irán</v>
      </c>
      <c r="E494" s="9" t="str">
        <f ca="1">+WORLDCUP!BD59</f>
        <v>Catar</v>
      </c>
      <c r="F494" s="9" t="str">
        <f ca="1">+WORLDCUP!BD61</f>
        <v>Turquía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c r="A495" s="9" t="s">
        <v>446</v>
      </c>
      <c r="B495" s="9">
        <f ca="1">+IF(A495=WORLDCUP!$BI$112,1,0)</f>
        <v>0</v>
      </c>
      <c r="C495" s="9" t="str">
        <f ca="1">+WORLDCUP!BD60</f>
        <v>Haití</v>
      </c>
      <c r="D495" s="9" t="str">
        <f ca="1">+WORLDCUP!BD64</f>
        <v>Irán</v>
      </c>
      <c r="E495" s="9" t="str">
        <f ca="1">+WORLDCUP!BD59</f>
        <v>Catar</v>
      </c>
      <c r="F495" s="9" t="str">
        <f ca="1">+WORLDCUP!BD61</f>
        <v>Turquía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Turquía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workbookViewId="0">
      <selection activeCell="BR506" sqref="BR506"/>
    </sheetView>
  </sheetViews>
  <sheetFormatPr baseColWidth="10" defaultRowHeight="14.4"/>
  <cols>
    <col min="4" max="4" width="10.77734375" customWidth="1"/>
  </cols>
  <sheetData>
    <row r="1" spans="1:6">
      <c r="A1" s="429"/>
      <c r="B1" s="448" t="str">
        <f>Idiomas!D515</f>
        <v>Gráfico solo en fase de grupos</v>
      </c>
      <c r="C1" s="429"/>
      <c r="D1" s="429"/>
      <c r="F1" s="429"/>
    </row>
    <row r="2" spans="1:6">
      <c r="A2" s="408"/>
      <c r="B2" s="17"/>
      <c r="C2" s="17"/>
      <c r="D2" s="17"/>
    </row>
    <row r="3" spans="1:6">
      <c r="A3" s="408"/>
      <c r="B3" s="17"/>
      <c r="C3" s="17"/>
      <c r="D3" s="17"/>
    </row>
    <row r="4" spans="1:6">
      <c r="A4" s="408"/>
      <c r="B4" s="17"/>
      <c r="C4" s="17"/>
      <c r="D4" s="17"/>
    </row>
    <row r="5" spans="1:6">
      <c r="A5" s="408"/>
      <c r="B5" s="17"/>
      <c r="C5" s="17"/>
      <c r="D5" s="17"/>
    </row>
    <row r="6" spans="1:6">
      <c r="A6" s="408"/>
      <c r="B6" s="17"/>
      <c r="C6" s="17"/>
      <c r="D6" s="17"/>
    </row>
    <row r="7" spans="1:6">
      <c r="A7" s="408"/>
      <c r="B7" s="17"/>
      <c r="C7" s="17"/>
      <c r="D7" s="17"/>
    </row>
    <row r="8" spans="1:6">
      <c r="A8" s="408"/>
      <c r="B8" s="17"/>
      <c r="C8" s="17"/>
      <c r="D8" s="17"/>
    </row>
    <row r="9" spans="1:6">
      <c r="A9" s="408"/>
      <c r="B9" s="17"/>
      <c r="C9" s="17"/>
      <c r="D9" s="17"/>
    </row>
    <row r="10" spans="1:6">
      <c r="A10" s="408"/>
      <c r="B10" s="17"/>
      <c r="C10" s="17"/>
      <c r="D10" s="17"/>
    </row>
    <row r="11" spans="1:6">
      <c r="A11" s="408"/>
      <c r="B11" s="17"/>
      <c r="C11" s="17"/>
      <c r="D11" s="17"/>
    </row>
    <row r="12" spans="1:6">
      <c r="A12" s="408"/>
      <c r="B12" s="17"/>
      <c r="C12" s="17"/>
      <c r="D12" s="17"/>
    </row>
    <row r="13" spans="1:6">
      <c r="A13" s="408"/>
      <c r="B13" s="17"/>
      <c r="C13" s="17"/>
      <c r="D13" s="17"/>
    </row>
    <row r="14" spans="1:6">
      <c r="A14" s="408"/>
      <c r="B14" s="17"/>
      <c r="C14" s="17"/>
      <c r="D14" s="17"/>
    </row>
    <row r="15" spans="1:6">
      <c r="A15" s="409"/>
      <c r="B15" s="410"/>
      <c r="C15" s="410"/>
      <c r="D15" s="410"/>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15</vt:i4>
      </vt:variant>
      <vt:variant>
        <vt:lpstr>Rangos con nombre</vt:lpstr>
      </vt:variant>
      <vt:variant>
        <vt:i4>19</vt:i4>
      </vt:variant>
    </vt:vector>
  </HeadingPairs>
  <TitlesOfParts>
    <vt:vector size="34" baseType="lpstr">
      <vt:lpstr>Home</vt:lpstr>
      <vt:lpstr>ADMIN</vt:lpstr>
      <vt:lpstr>WORLDCUP</vt:lpstr>
      <vt:lpstr>CLAS</vt:lpstr>
      <vt:lpstr>DailyPrediction</vt:lpstr>
      <vt:lpstr>DailyClas</vt:lpstr>
      <vt:lpstr>Idiomas</vt:lpstr>
      <vt:lpstr>Fixture</vt:lpstr>
      <vt:lpstr>Stats</vt:lpstr>
      <vt:lpstr>x2</vt:lpstr>
      <vt:lpstr>Credits</vt:lpstr>
      <vt:lpstr>Equipos</vt:lpstr>
      <vt:lpstr>Horarios</vt:lpstr>
      <vt:lpstr>Combinaciones3</vt:lpstr>
      <vt:lpstr>Graf</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L E I N E R</cp:lastModifiedBy>
  <cp:lastPrinted>2018-12-06T18:06:35Z</cp:lastPrinted>
  <dcterms:created xsi:type="dcterms:W3CDTF">2015-10-31T09:41:54Z</dcterms:created>
  <dcterms:modified xsi:type="dcterms:W3CDTF">2026-06-13T18:18:05Z</dcterms:modified>
  <cp:category/>
</cp:coreProperties>
</file>